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86E616-F671-4129-A6E0-6C714F4F9D62}" xr6:coauthVersionLast="47" xr6:coauthVersionMax="47" xr10:uidLastSave="{00000000-0000-0000-0000-000000000000}"/>
  <bookViews>
    <workbookView xWindow="-120" yWindow="-120" windowWidth="38640" windowHeight="15720" tabRatio="688" firstSheet="4" activeTab="5"/>
  </bookViews>
  <sheets>
    <sheet name="Supplies" sheetId="1" r:id="rId1"/>
    <sheet name="EOLSupplies" sheetId="2" r:id="rId2"/>
    <sheet name="BaseloadMarkets" sheetId="3" r:id="rId3"/>
    <sheet name="SwingMarkets" sheetId="4" r:id="rId4"/>
    <sheet name="EOLMarkets" sheetId="5" r:id="rId5"/>
    <sheet name="OCCMarkets" sheetId="6" r:id="rId6"/>
    <sheet name="EES" sheetId="7" r:id="rId7"/>
    <sheet name="Border" sheetId="8" r:id="rId8"/>
    <sheet name="Summary" sheetId="9" r:id="rId9"/>
    <sheet name="Harbor Cogen" sheetId="10" r:id="rId10"/>
    <sheet name="5 Day" sheetId="11" r:id="rId11"/>
    <sheet name="Hub" sheetId="12" r:id="rId12"/>
    <sheet name="Oxy" sheetId="13" r:id="rId13"/>
    <sheet name="Smurfit" sheetId="14" r:id="rId14"/>
  </sheets>
  <definedNames>
    <definedName name="BaseloadMarkets">BaseloadMarkets!$A$1:$DU$41</definedName>
    <definedName name="CanFibre" localSheetId="4">EOLMarkets!$A$1:$B$37</definedName>
    <definedName name="CanFibre" localSheetId="1">EOLSupplies!$A$1:$B$37</definedName>
    <definedName name="CanFibre" localSheetId="3">SwingMarkets!$A$1:$B$37</definedName>
    <definedName name="CanFibre">OCCMarkets!$A$1:$AB$37</definedName>
    <definedName name="EES" localSheetId="8">EES!$A$1:$AV$36</definedName>
    <definedName name="EES">EES!$A$1:$AV$36</definedName>
    <definedName name="EOLMarkets">EOLMarkets!$A$1:$IK$37</definedName>
    <definedName name="EOLMarkets2">#REF!</definedName>
    <definedName name="EOLMarkets3">#REF!</definedName>
    <definedName name="EOLMarkets4">#REF!</definedName>
    <definedName name="EOLMarkets5">#REF!</definedName>
    <definedName name="EOLMarkets6">#REF!</definedName>
    <definedName name="EOLSuplies4">#REF!</definedName>
    <definedName name="EOLSuppies3">#REF!</definedName>
    <definedName name="EOLSupplies">EOLSupplies!$A$1:$ED$37</definedName>
    <definedName name="EOLSupplies2">#REF!</definedName>
    <definedName name="EOLSupplies3">#REF!</definedName>
    <definedName name="EOLSupplies4">#REF!</definedName>
    <definedName name="EOLSupplies5">#REF!</definedName>
    <definedName name="Filtrol" localSheetId="4">EOLMarkets!$A$1:$B$37</definedName>
    <definedName name="Filtrol" localSheetId="1">EOLSupplies!$A$1:$B$37</definedName>
    <definedName name="Filtrol" localSheetId="3">SwingMarkets!$A$1:$B$37</definedName>
    <definedName name="Filtrol">OCCMarkets!$A$1:$U$37</definedName>
    <definedName name="Harbor">OCCMarkets!$A$1:$BR$37</definedName>
    <definedName name="Hub">Hub!$A$1:$HA$38</definedName>
    <definedName name="Oxy" localSheetId="11">Hub!$A$1:$G$37</definedName>
    <definedName name="Oxy" localSheetId="8">Oxy!$A$1:$G$37</definedName>
    <definedName name="Oxy">Oxy!$A$1:$G$37</definedName>
    <definedName name="Pasadena" localSheetId="4">EOLMarkets!$A$1:$B$37</definedName>
    <definedName name="Pasadena" localSheetId="1">EOLSupplies!$A$1:$B$37</definedName>
    <definedName name="Pasadena" localSheetId="3">SwingMarkets!$A$1:$B$37</definedName>
    <definedName name="Pasadena">OCCMarkets!$A$1:$N$37</definedName>
    <definedName name="_xlnm.Print_Area" localSheetId="7">Border!$A$3:$T$35</definedName>
    <definedName name="_xlnm.Print_Area" localSheetId="4">EOLMarkets!$A$1:$ET$37</definedName>
    <definedName name="_xlnm.Print_Area" localSheetId="1">EOLSupplies!$A$1:$DV$37</definedName>
    <definedName name="_xlnm.Print_Area" localSheetId="8">Summary!$A$1:$R$109</definedName>
    <definedName name="_xlnm.Print_Titles" localSheetId="2">BaseloadMarkets!$A:$A</definedName>
    <definedName name="_xlnm.Print_Titles" localSheetId="7">Border!$A:$A</definedName>
    <definedName name="_xlnm.Print_Titles" localSheetId="4">EOLMarkets!$A:$A</definedName>
    <definedName name="_xlnm.Print_Titles" localSheetId="1">EOLSupplies!$A:$A</definedName>
    <definedName name="_xlnm.Print_Titles" localSheetId="5">OCCMarkets!$A:$A</definedName>
    <definedName name="_xlnm.Print_Titles" localSheetId="3">SwingMarkets!$A:$A</definedName>
    <definedName name="Smurfit" localSheetId="4">EOLMarkets!$A$1:$B$37</definedName>
    <definedName name="Smurfit" localSheetId="1">EOLSupplies!$A$1:$B$37</definedName>
    <definedName name="Smurfit" localSheetId="9">'Harbor Cogen'!$A$1:$F$38</definedName>
    <definedName name="Smurfit" localSheetId="5">OCCMarkets!$A$1:$BK$37</definedName>
    <definedName name="Smurfit" localSheetId="3">SwingMarkets!$A$1:$B$37</definedName>
    <definedName name="Smurfit">Smurfit!$A$1:$AO$38</definedName>
    <definedName name="Supplies">Supplies!$A$1:$BH$44</definedName>
    <definedName name="Top" localSheetId="4">EOLMarkets!$A$1</definedName>
    <definedName name="Top" localSheetId="1">EOLSupplies!$A$1</definedName>
    <definedName name="Top" localSheetId="5">OCCMarkets!$A$1</definedName>
    <definedName name="Top" localSheetId="3">SwingMarkets!$A$1</definedName>
    <definedName name="Top">BaseloadMarkets!$A$1</definedName>
  </definedNames>
  <calcPr calcId="0" fullCalcOnLoad="1"/>
</workbook>
</file>

<file path=xl/calcChain.xml><?xml version="1.0" encoding="utf-8"?>
<calcChain xmlns="http://schemas.openxmlformats.org/spreadsheetml/2006/main">
  <c r="A6" i="11" l="1"/>
  <c r="B6" i="11"/>
  <c r="C6" i="11"/>
  <c r="D6" i="11"/>
  <c r="E6" i="11"/>
  <c r="F6" i="11"/>
  <c r="H6" i="11"/>
  <c r="I6" i="11"/>
  <c r="J6" i="11"/>
  <c r="K6" i="11"/>
  <c r="L6" i="11"/>
  <c r="N6" i="11"/>
  <c r="O6" i="11"/>
  <c r="P6" i="11"/>
  <c r="Q6" i="11"/>
  <c r="R6" i="11"/>
  <c r="T6" i="11"/>
  <c r="U6" i="11"/>
  <c r="V6" i="11"/>
  <c r="W6" i="11"/>
  <c r="X6" i="11"/>
  <c r="Z6" i="11"/>
  <c r="AA6" i="11"/>
  <c r="AB6" i="11"/>
  <c r="AC6" i="11"/>
  <c r="AD6" i="11"/>
  <c r="AF6" i="11"/>
  <c r="AG6" i="11"/>
  <c r="AH6" i="11"/>
  <c r="AI6" i="11"/>
  <c r="AJ6" i="11"/>
  <c r="AL6" i="11"/>
  <c r="AM6" i="11"/>
  <c r="AN6" i="11"/>
  <c r="AO6" i="11"/>
  <c r="AP6" i="11"/>
  <c r="AR6" i="11"/>
  <c r="AS6" i="11"/>
  <c r="AT6" i="11"/>
  <c r="AU6" i="11"/>
  <c r="AV6" i="11"/>
  <c r="AX6" i="11"/>
  <c r="AY6" i="11"/>
  <c r="AZ6" i="11"/>
  <c r="BA6" i="11"/>
  <c r="BB6" i="11"/>
  <c r="BE6" i="11"/>
  <c r="BF6" i="11"/>
  <c r="BG6" i="11"/>
  <c r="BH6" i="11"/>
  <c r="BI6" i="11"/>
  <c r="A7" i="11"/>
  <c r="B7" i="11"/>
  <c r="C7" i="11"/>
  <c r="D7" i="11"/>
  <c r="E7" i="11"/>
  <c r="F7" i="11"/>
  <c r="H7" i="11"/>
  <c r="I7" i="11"/>
  <c r="J7" i="11"/>
  <c r="K7" i="11"/>
  <c r="L7" i="11"/>
  <c r="N7" i="11"/>
  <c r="O7" i="11"/>
  <c r="P7" i="11"/>
  <c r="Q7" i="11"/>
  <c r="R7" i="11"/>
  <c r="T7" i="11"/>
  <c r="U7" i="11"/>
  <c r="V7" i="11"/>
  <c r="W7" i="11"/>
  <c r="X7" i="11"/>
  <c r="Z7" i="11"/>
  <c r="AA7" i="11"/>
  <c r="AB7" i="11"/>
  <c r="AC7" i="11"/>
  <c r="AD7" i="11"/>
  <c r="AF7" i="11"/>
  <c r="AG7" i="11"/>
  <c r="AH7" i="11"/>
  <c r="AI7" i="11"/>
  <c r="AJ7" i="11"/>
  <c r="AL7" i="11"/>
  <c r="AM7" i="11"/>
  <c r="AN7" i="11"/>
  <c r="AO7" i="11"/>
  <c r="AP7" i="11"/>
  <c r="AR7" i="11"/>
  <c r="AS7" i="11"/>
  <c r="AT7" i="11"/>
  <c r="AU7" i="11"/>
  <c r="AV7" i="11"/>
  <c r="AX7" i="11"/>
  <c r="AY7" i="11"/>
  <c r="AZ7" i="11"/>
  <c r="BA7" i="11"/>
  <c r="BB7" i="11"/>
  <c r="BE7" i="11"/>
  <c r="BF7" i="11"/>
  <c r="BG7" i="11"/>
  <c r="BH7" i="11"/>
  <c r="BI7" i="11"/>
  <c r="A8" i="11"/>
  <c r="B8" i="11"/>
  <c r="C8" i="11"/>
  <c r="D8" i="11"/>
  <c r="E8" i="11"/>
  <c r="F8" i="11"/>
  <c r="H8" i="11"/>
  <c r="I8" i="11"/>
  <c r="J8" i="11"/>
  <c r="K8" i="11"/>
  <c r="L8" i="11"/>
  <c r="N8" i="11"/>
  <c r="O8" i="11"/>
  <c r="P8" i="11"/>
  <c r="Q8" i="11"/>
  <c r="R8" i="11"/>
  <c r="T8" i="11"/>
  <c r="U8" i="11"/>
  <c r="V8" i="11"/>
  <c r="W8" i="11"/>
  <c r="X8" i="11"/>
  <c r="Z8" i="11"/>
  <c r="AA8" i="11"/>
  <c r="AB8" i="11"/>
  <c r="AC8" i="11"/>
  <c r="AD8" i="11"/>
  <c r="AF8" i="11"/>
  <c r="AG8" i="11"/>
  <c r="AH8" i="11"/>
  <c r="AI8" i="11"/>
  <c r="AJ8" i="11"/>
  <c r="AL8" i="11"/>
  <c r="AM8" i="11"/>
  <c r="AN8" i="11"/>
  <c r="AO8" i="11"/>
  <c r="AP8" i="11"/>
  <c r="AR8" i="11"/>
  <c r="AS8" i="11"/>
  <c r="AT8" i="11"/>
  <c r="AU8" i="11"/>
  <c r="AV8" i="11"/>
  <c r="AX8" i="11"/>
  <c r="AY8" i="11"/>
  <c r="AZ8" i="11"/>
  <c r="BA8" i="11"/>
  <c r="BB8" i="11"/>
  <c r="BE8" i="11"/>
  <c r="BF8" i="11"/>
  <c r="BG8" i="11"/>
  <c r="BH8" i="11"/>
  <c r="BI8" i="11"/>
  <c r="A9" i="11"/>
  <c r="B9" i="11"/>
  <c r="C9" i="11"/>
  <c r="D9" i="11"/>
  <c r="E9" i="11"/>
  <c r="F9" i="11"/>
  <c r="H9" i="11"/>
  <c r="I9" i="11"/>
  <c r="J9" i="11"/>
  <c r="K9" i="11"/>
  <c r="L9" i="11"/>
  <c r="N9" i="11"/>
  <c r="O9" i="11"/>
  <c r="P9" i="11"/>
  <c r="Q9" i="11"/>
  <c r="R9" i="11"/>
  <c r="T9" i="11"/>
  <c r="U9" i="11"/>
  <c r="V9" i="11"/>
  <c r="W9" i="11"/>
  <c r="X9" i="11"/>
  <c r="Z9" i="11"/>
  <c r="AA9" i="11"/>
  <c r="AB9" i="11"/>
  <c r="AC9" i="11"/>
  <c r="AD9" i="11"/>
  <c r="AF9" i="11"/>
  <c r="AG9" i="11"/>
  <c r="AH9" i="11"/>
  <c r="AI9" i="11"/>
  <c r="AJ9" i="11"/>
  <c r="AL9" i="11"/>
  <c r="AM9" i="11"/>
  <c r="AN9" i="11"/>
  <c r="AO9" i="11"/>
  <c r="AP9" i="11"/>
  <c r="AR9" i="11"/>
  <c r="AS9" i="11"/>
  <c r="AT9" i="11"/>
  <c r="AU9" i="11"/>
  <c r="AV9" i="11"/>
  <c r="AX9" i="11"/>
  <c r="AY9" i="11"/>
  <c r="AZ9" i="11"/>
  <c r="BA9" i="11"/>
  <c r="BB9" i="11"/>
  <c r="BE9" i="11"/>
  <c r="BF9" i="11"/>
  <c r="BG9" i="11"/>
  <c r="BH9" i="11"/>
  <c r="BI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E10" i="11"/>
  <c r="BF10" i="11"/>
  <c r="BG10" i="11"/>
  <c r="BH10" i="11"/>
  <c r="BI10" i="11"/>
  <c r="BJ10" i="11"/>
  <c r="A11" i="11"/>
  <c r="B11" i="11"/>
  <c r="C11" i="11"/>
  <c r="D11" i="11"/>
  <c r="E11" i="11"/>
  <c r="F11" i="11"/>
  <c r="H11" i="11"/>
  <c r="I11" i="11"/>
  <c r="J11" i="11"/>
  <c r="K11" i="11"/>
  <c r="L11" i="11"/>
  <c r="N11" i="11"/>
  <c r="O11" i="11"/>
  <c r="P11" i="11"/>
  <c r="Q11" i="11"/>
  <c r="R11" i="11"/>
  <c r="T11" i="11"/>
  <c r="U11" i="11"/>
  <c r="V11" i="11"/>
  <c r="W11" i="11"/>
  <c r="X11" i="11"/>
  <c r="Z11" i="11"/>
  <c r="AA11" i="11"/>
  <c r="AB11" i="11"/>
  <c r="AC11" i="11"/>
  <c r="AD11" i="11"/>
  <c r="AF11" i="11"/>
  <c r="AG11" i="11"/>
  <c r="AH11" i="11"/>
  <c r="AI11" i="11"/>
  <c r="AJ11" i="11"/>
  <c r="AL11" i="11"/>
  <c r="AM11" i="11"/>
  <c r="AN11" i="11"/>
  <c r="AO11" i="11"/>
  <c r="AP11" i="11"/>
  <c r="AR11" i="11"/>
  <c r="AS11" i="11"/>
  <c r="AT11" i="11"/>
  <c r="AU11" i="11"/>
  <c r="AV11" i="11"/>
  <c r="AX11" i="11"/>
  <c r="AY11" i="11"/>
  <c r="AZ11" i="11"/>
  <c r="BA11" i="11"/>
  <c r="BB11" i="11"/>
  <c r="BE11" i="11"/>
  <c r="BF11" i="11"/>
  <c r="BG11" i="11"/>
  <c r="BH11" i="11"/>
  <c r="BI11" i="11"/>
  <c r="A12" i="11"/>
  <c r="B12" i="11"/>
  <c r="C12" i="11"/>
  <c r="D12" i="11"/>
  <c r="E12" i="11"/>
  <c r="F12" i="11"/>
  <c r="H12" i="11"/>
  <c r="I12" i="11"/>
  <c r="J12" i="11"/>
  <c r="K12" i="11"/>
  <c r="L12" i="11"/>
  <c r="N12" i="11"/>
  <c r="O12" i="11"/>
  <c r="P12" i="11"/>
  <c r="Q12" i="11"/>
  <c r="R12" i="11"/>
  <c r="T12" i="11"/>
  <c r="U12" i="11"/>
  <c r="V12" i="11"/>
  <c r="W12" i="11"/>
  <c r="X12" i="11"/>
  <c r="Z12" i="11"/>
  <c r="AA12" i="11"/>
  <c r="AB12" i="11"/>
  <c r="AC12" i="11"/>
  <c r="AD12" i="11"/>
  <c r="AF12" i="11"/>
  <c r="AG12" i="11"/>
  <c r="AH12" i="11"/>
  <c r="AI12" i="11"/>
  <c r="AJ12" i="11"/>
  <c r="AL12" i="11"/>
  <c r="AM12" i="11"/>
  <c r="AN12" i="11"/>
  <c r="AO12" i="11"/>
  <c r="AP12" i="11"/>
  <c r="AR12" i="11"/>
  <c r="AS12" i="11"/>
  <c r="AT12" i="11"/>
  <c r="AU12" i="11"/>
  <c r="AV12" i="11"/>
  <c r="AX12" i="11"/>
  <c r="AY12" i="11"/>
  <c r="AZ12" i="11"/>
  <c r="BA12" i="11"/>
  <c r="BB12" i="11"/>
  <c r="BE12" i="11"/>
  <c r="BF12" i="11"/>
  <c r="BG12" i="11"/>
  <c r="BH12" i="11"/>
  <c r="BI12" i="11"/>
  <c r="A13" i="11"/>
  <c r="B13" i="11"/>
  <c r="C13" i="11"/>
  <c r="D13" i="11"/>
  <c r="E13" i="11"/>
  <c r="F13" i="11"/>
  <c r="H13" i="11"/>
  <c r="I13" i="11"/>
  <c r="J13" i="11"/>
  <c r="K13" i="11"/>
  <c r="L13" i="11"/>
  <c r="N13" i="11"/>
  <c r="O13" i="11"/>
  <c r="P13" i="11"/>
  <c r="Q13" i="11"/>
  <c r="R13" i="11"/>
  <c r="T13" i="11"/>
  <c r="U13" i="11"/>
  <c r="V13" i="11"/>
  <c r="W13" i="11"/>
  <c r="X13" i="11"/>
  <c r="Z13" i="11"/>
  <c r="AA13" i="11"/>
  <c r="AB13" i="11"/>
  <c r="AC13" i="11"/>
  <c r="AD13" i="11"/>
  <c r="AF13" i="11"/>
  <c r="AG13" i="11"/>
  <c r="AH13" i="11"/>
  <c r="AI13" i="11"/>
  <c r="AJ13" i="11"/>
  <c r="AL13" i="11"/>
  <c r="AM13" i="11"/>
  <c r="AN13" i="11"/>
  <c r="AO13" i="11"/>
  <c r="AP13" i="11"/>
  <c r="AR13" i="11"/>
  <c r="AS13" i="11"/>
  <c r="AT13" i="11"/>
  <c r="AU13" i="11"/>
  <c r="AV13" i="11"/>
  <c r="AX13" i="11"/>
  <c r="AY13" i="11"/>
  <c r="AZ13" i="11"/>
  <c r="BA13" i="11"/>
  <c r="BB13" i="11"/>
  <c r="BE13" i="11"/>
  <c r="BF13" i="11"/>
  <c r="BG13" i="11"/>
  <c r="BH13" i="11"/>
  <c r="BI13" i="11"/>
  <c r="A14" i="11"/>
  <c r="B14" i="11"/>
  <c r="C14" i="11"/>
  <c r="D14" i="11"/>
  <c r="E14" i="11"/>
  <c r="F14" i="11"/>
  <c r="H14" i="11"/>
  <c r="I14" i="11"/>
  <c r="J14" i="11"/>
  <c r="K14" i="11"/>
  <c r="L14" i="11"/>
  <c r="N14" i="11"/>
  <c r="O14" i="11"/>
  <c r="P14" i="11"/>
  <c r="Q14" i="11"/>
  <c r="R14" i="11"/>
  <c r="T14" i="11"/>
  <c r="U14" i="11"/>
  <c r="V14" i="11"/>
  <c r="W14" i="11"/>
  <c r="X14" i="11"/>
  <c r="Z14" i="11"/>
  <c r="AA14" i="11"/>
  <c r="AB14" i="11"/>
  <c r="AC14" i="11"/>
  <c r="AD14" i="11"/>
  <c r="AF14" i="11"/>
  <c r="AG14" i="11"/>
  <c r="AH14" i="11"/>
  <c r="AI14" i="11"/>
  <c r="AJ14" i="11"/>
  <c r="AL14" i="11"/>
  <c r="AM14" i="11"/>
  <c r="AN14" i="11"/>
  <c r="AO14" i="11"/>
  <c r="AP14" i="11"/>
  <c r="AR14" i="11"/>
  <c r="AS14" i="11"/>
  <c r="AT14" i="11"/>
  <c r="AU14" i="11"/>
  <c r="AV14" i="11"/>
  <c r="AX14" i="11"/>
  <c r="AY14" i="11"/>
  <c r="AZ14" i="11"/>
  <c r="BA14" i="11"/>
  <c r="BB14" i="11"/>
  <c r="BE14" i="11"/>
  <c r="BF14" i="11"/>
  <c r="BG14" i="11"/>
  <c r="BH14" i="11"/>
  <c r="BI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E15" i="11"/>
  <c r="BF15" i="11"/>
  <c r="BG15" i="11"/>
  <c r="BH15" i="11"/>
  <c r="BI15" i="11"/>
  <c r="BJ15" i="11"/>
  <c r="A16" i="11"/>
  <c r="B16" i="11"/>
  <c r="C16" i="11"/>
  <c r="D16" i="11"/>
  <c r="E16" i="11"/>
  <c r="F16" i="11"/>
  <c r="H16" i="11"/>
  <c r="I16" i="11"/>
  <c r="J16" i="11"/>
  <c r="K16" i="11"/>
  <c r="L16" i="11"/>
  <c r="N16" i="11"/>
  <c r="O16" i="11"/>
  <c r="P16" i="11"/>
  <c r="Q16" i="11"/>
  <c r="R16" i="11"/>
  <c r="T16" i="11"/>
  <c r="U16" i="11"/>
  <c r="V16" i="11"/>
  <c r="W16" i="11"/>
  <c r="X16" i="11"/>
  <c r="Z16" i="11"/>
  <c r="AA16" i="11"/>
  <c r="AB16" i="11"/>
  <c r="AC16" i="11"/>
  <c r="AD16" i="11"/>
  <c r="AF16" i="11"/>
  <c r="AG16" i="11"/>
  <c r="AH16" i="11"/>
  <c r="AI16" i="11"/>
  <c r="AJ16" i="11"/>
  <c r="AL16" i="11"/>
  <c r="AM16" i="11"/>
  <c r="AN16" i="11"/>
  <c r="AO16" i="11"/>
  <c r="AP16" i="11"/>
  <c r="AR16" i="11"/>
  <c r="AS16" i="11"/>
  <c r="AT16" i="11"/>
  <c r="AU16" i="11"/>
  <c r="AV16" i="11"/>
  <c r="AX16" i="11"/>
  <c r="AY16" i="11"/>
  <c r="AZ16" i="11"/>
  <c r="BA16" i="11"/>
  <c r="BB16" i="11"/>
  <c r="BE16" i="11"/>
  <c r="BF16" i="11"/>
  <c r="BG16" i="11"/>
  <c r="BH16" i="11"/>
  <c r="BI16" i="11"/>
  <c r="A17" i="11"/>
  <c r="B17" i="11"/>
  <c r="C17" i="11"/>
  <c r="D17" i="11"/>
  <c r="E17" i="11"/>
  <c r="F17" i="11"/>
  <c r="H17" i="11"/>
  <c r="I17" i="11"/>
  <c r="J17" i="11"/>
  <c r="K17" i="11"/>
  <c r="L17" i="11"/>
  <c r="N17" i="11"/>
  <c r="O17" i="11"/>
  <c r="P17" i="11"/>
  <c r="Q17" i="11"/>
  <c r="R17" i="11"/>
  <c r="T17" i="11"/>
  <c r="U17" i="11"/>
  <c r="V17" i="11"/>
  <c r="W17" i="11"/>
  <c r="X17" i="11"/>
  <c r="Z17" i="11"/>
  <c r="AA17" i="11"/>
  <c r="AB17" i="11"/>
  <c r="AC17" i="11"/>
  <c r="AD17" i="11"/>
  <c r="AF17" i="11"/>
  <c r="AG17" i="11"/>
  <c r="AH17" i="11"/>
  <c r="AI17" i="11"/>
  <c r="AJ17" i="11"/>
  <c r="AL17" i="11"/>
  <c r="AM17" i="11"/>
  <c r="AN17" i="11"/>
  <c r="AO17" i="11"/>
  <c r="AP17" i="11"/>
  <c r="AR17" i="11"/>
  <c r="AS17" i="11"/>
  <c r="AT17" i="11"/>
  <c r="AU17" i="11"/>
  <c r="AV17" i="11"/>
  <c r="AX17" i="11"/>
  <c r="AY17" i="11"/>
  <c r="AZ17" i="11"/>
  <c r="BA17" i="11"/>
  <c r="BB17" i="11"/>
  <c r="BE17" i="11"/>
  <c r="BF17" i="11"/>
  <c r="BG17" i="11"/>
  <c r="BH17" i="11"/>
  <c r="BI17" i="11"/>
  <c r="A18" i="11"/>
  <c r="B18" i="11"/>
  <c r="C18" i="11"/>
  <c r="D18" i="11"/>
  <c r="E18" i="11"/>
  <c r="F18" i="11"/>
  <c r="H18" i="11"/>
  <c r="I18" i="11"/>
  <c r="J18" i="11"/>
  <c r="K18" i="11"/>
  <c r="L18" i="11"/>
  <c r="N18" i="11"/>
  <c r="O18" i="11"/>
  <c r="P18" i="11"/>
  <c r="Q18" i="11"/>
  <c r="R18" i="11"/>
  <c r="T18" i="11"/>
  <c r="U18" i="11"/>
  <c r="V18" i="11"/>
  <c r="W18" i="11"/>
  <c r="X18" i="11"/>
  <c r="Z18" i="11"/>
  <c r="AA18" i="11"/>
  <c r="AB18" i="11"/>
  <c r="AC18" i="11"/>
  <c r="AD18" i="11"/>
  <c r="AF18" i="11"/>
  <c r="AG18" i="11"/>
  <c r="AH18" i="11"/>
  <c r="AI18" i="11"/>
  <c r="AJ18" i="11"/>
  <c r="AL18" i="11"/>
  <c r="AM18" i="11"/>
  <c r="AN18" i="11"/>
  <c r="AO18" i="11"/>
  <c r="AP18" i="11"/>
  <c r="AR18" i="11"/>
  <c r="AS18" i="11"/>
  <c r="AT18" i="11"/>
  <c r="AU18" i="11"/>
  <c r="AV18" i="11"/>
  <c r="AX18" i="11"/>
  <c r="AY18" i="11"/>
  <c r="AZ18" i="11"/>
  <c r="BA18" i="11"/>
  <c r="BB18" i="11"/>
  <c r="BE18" i="11"/>
  <c r="BF18" i="11"/>
  <c r="BG18" i="11"/>
  <c r="BH18" i="11"/>
  <c r="BI18" i="11"/>
  <c r="A19" i="11"/>
  <c r="B19" i="11"/>
  <c r="C19" i="11"/>
  <c r="D19" i="11"/>
  <c r="E19" i="11"/>
  <c r="F19" i="11"/>
  <c r="H19" i="11"/>
  <c r="I19" i="11"/>
  <c r="J19" i="11"/>
  <c r="K19" i="11"/>
  <c r="L19" i="11"/>
  <c r="N19" i="11"/>
  <c r="O19" i="11"/>
  <c r="P19" i="11"/>
  <c r="Q19" i="11"/>
  <c r="R19" i="11"/>
  <c r="T19" i="11"/>
  <c r="U19" i="11"/>
  <c r="V19" i="11"/>
  <c r="W19" i="11"/>
  <c r="X19" i="11"/>
  <c r="Z19" i="11"/>
  <c r="AA19" i="11"/>
  <c r="AB19" i="11"/>
  <c r="AC19" i="11"/>
  <c r="AD19" i="11"/>
  <c r="AF19" i="11"/>
  <c r="AG19" i="11"/>
  <c r="AH19" i="11"/>
  <c r="AI19" i="11"/>
  <c r="AJ19" i="11"/>
  <c r="AL19" i="11"/>
  <c r="AM19" i="11"/>
  <c r="AN19" i="11"/>
  <c r="AO19" i="11"/>
  <c r="AP19" i="11"/>
  <c r="AR19" i="11"/>
  <c r="AS19" i="11"/>
  <c r="AT19" i="11"/>
  <c r="AU19" i="11"/>
  <c r="AV19" i="11"/>
  <c r="AX19" i="11"/>
  <c r="AY19" i="11"/>
  <c r="AZ19" i="11"/>
  <c r="BA19" i="11"/>
  <c r="BB19" i="11"/>
  <c r="BE19" i="11"/>
  <c r="BF19" i="11"/>
  <c r="BG19" i="11"/>
  <c r="BH19" i="11"/>
  <c r="BI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E20" i="11"/>
  <c r="BF20" i="11"/>
  <c r="BG20" i="11"/>
  <c r="BH20" i="11"/>
  <c r="BI20" i="11"/>
  <c r="BJ20" i="11"/>
  <c r="A21" i="11"/>
  <c r="B21" i="11"/>
  <c r="C21" i="11"/>
  <c r="D21" i="11"/>
  <c r="E21" i="11"/>
  <c r="F21" i="11"/>
  <c r="H21" i="11"/>
  <c r="I21" i="11"/>
  <c r="J21" i="11"/>
  <c r="K21" i="11"/>
  <c r="L21" i="11"/>
  <c r="N21" i="11"/>
  <c r="O21" i="11"/>
  <c r="P21" i="11"/>
  <c r="Q21" i="11"/>
  <c r="R21" i="11"/>
  <c r="T21" i="11"/>
  <c r="U21" i="11"/>
  <c r="V21" i="11"/>
  <c r="W21" i="11"/>
  <c r="X21" i="11"/>
  <c r="Z21" i="11"/>
  <c r="AA21" i="11"/>
  <c r="AB21" i="11"/>
  <c r="AC21" i="11"/>
  <c r="AD21" i="11"/>
  <c r="AF21" i="11"/>
  <c r="AG21" i="11"/>
  <c r="AH21" i="11"/>
  <c r="AI21" i="11"/>
  <c r="AJ21" i="11"/>
  <c r="AL21" i="11"/>
  <c r="AM21" i="11"/>
  <c r="AN21" i="11"/>
  <c r="AO21" i="11"/>
  <c r="AP21" i="11"/>
  <c r="AR21" i="11"/>
  <c r="AS21" i="11"/>
  <c r="AT21" i="11"/>
  <c r="AU21" i="11"/>
  <c r="AV21" i="11"/>
  <c r="AX21" i="11"/>
  <c r="AY21" i="11"/>
  <c r="AZ21" i="11"/>
  <c r="BA21" i="11"/>
  <c r="BB21" i="11"/>
  <c r="BE21" i="11"/>
  <c r="BF21" i="11"/>
  <c r="BG21" i="11"/>
  <c r="BH21" i="11"/>
  <c r="BI21" i="11"/>
  <c r="A22" i="11"/>
  <c r="B22" i="11"/>
  <c r="C22" i="11"/>
  <c r="D22" i="11"/>
  <c r="E22" i="11"/>
  <c r="F22" i="11"/>
  <c r="H22" i="11"/>
  <c r="I22" i="11"/>
  <c r="J22" i="11"/>
  <c r="K22" i="11"/>
  <c r="L22" i="11"/>
  <c r="N22" i="11"/>
  <c r="O22" i="11"/>
  <c r="P22" i="11"/>
  <c r="Q22" i="11"/>
  <c r="R22" i="11"/>
  <c r="T22" i="11"/>
  <c r="U22" i="11"/>
  <c r="V22" i="11"/>
  <c r="W22" i="11"/>
  <c r="X22" i="11"/>
  <c r="Z22" i="11"/>
  <c r="AA22" i="11"/>
  <c r="AB22" i="11"/>
  <c r="AC22" i="11"/>
  <c r="AD22" i="11"/>
  <c r="AF22" i="11"/>
  <c r="AG22" i="11"/>
  <c r="AH22" i="11"/>
  <c r="AI22" i="11"/>
  <c r="AJ22" i="11"/>
  <c r="AL22" i="11"/>
  <c r="AM22" i="11"/>
  <c r="AN22" i="11"/>
  <c r="AO22" i="11"/>
  <c r="AP22" i="11"/>
  <c r="AR22" i="11"/>
  <c r="AS22" i="11"/>
  <c r="AT22" i="11"/>
  <c r="AU22" i="11"/>
  <c r="AV22" i="11"/>
  <c r="AX22" i="11"/>
  <c r="AY22" i="11"/>
  <c r="AZ22" i="11"/>
  <c r="BA22" i="11"/>
  <c r="BB22" i="11"/>
  <c r="BE22" i="11"/>
  <c r="BF22" i="11"/>
  <c r="BG22" i="11"/>
  <c r="BH22" i="11"/>
  <c r="BI22" i="11"/>
  <c r="A23" i="11"/>
  <c r="B23" i="11"/>
  <c r="C23" i="11"/>
  <c r="D23" i="11"/>
  <c r="E23" i="11"/>
  <c r="F23" i="11"/>
  <c r="H23" i="11"/>
  <c r="I23" i="11"/>
  <c r="J23" i="11"/>
  <c r="K23" i="11"/>
  <c r="L23" i="11"/>
  <c r="N23" i="11"/>
  <c r="O23" i="11"/>
  <c r="P23" i="11"/>
  <c r="Q23" i="11"/>
  <c r="R23" i="11"/>
  <c r="T23" i="11"/>
  <c r="U23" i="11"/>
  <c r="V23" i="11"/>
  <c r="W23" i="11"/>
  <c r="X23" i="11"/>
  <c r="Z23" i="11"/>
  <c r="AA23" i="11"/>
  <c r="AB23" i="11"/>
  <c r="AC23" i="11"/>
  <c r="AD23" i="11"/>
  <c r="AF23" i="11"/>
  <c r="AG23" i="11"/>
  <c r="AH23" i="11"/>
  <c r="AI23" i="11"/>
  <c r="AJ23" i="11"/>
  <c r="AL23" i="11"/>
  <c r="AM23" i="11"/>
  <c r="AN23" i="11"/>
  <c r="AO23" i="11"/>
  <c r="AP23" i="11"/>
  <c r="AR23" i="11"/>
  <c r="AS23" i="11"/>
  <c r="AT23" i="11"/>
  <c r="AU23" i="11"/>
  <c r="AV23" i="11"/>
  <c r="AX23" i="11"/>
  <c r="AY23" i="11"/>
  <c r="AZ23" i="11"/>
  <c r="BA23" i="11"/>
  <c r="BB23" i="11"/>
  <c r="BE23" i="11"/>
  <c r="BF23" i="11"/>
  <c r="BG23" i="11"/>
  <c r="BH23" i="11"/>
  <c r="BI23" i="11"/>
  <c r="A24" i="11"/>
  <c r="B24" i="11"/>
  <c r="C24" i="11"/>
  <c r="D24" i="11"/>
  <c r="E24" i="11"/>
  <c r="F24" i="11"/>
  <c r="H24" i="11"/>
  <c r="I24" i="11"/>
  <c r="J24" i="11"/>
  <c r="K24" i="11"/>
  <c r="L24" i="11"/>
  <c r="N24" i="11"/>
  <c r="O24" i="11"/>
  <c r="P24" i="11"/>
  <c r="Q24" i="11"/>
  <c r="R24" i="11"/>
  <c r="T24" i="11"/>
  <c r="U24" i="11"/>
  <c r="V24" i="11"/>
  <c r="W24" i="11"/>
  <c r="X24" i="11"/>
  <c r="Z24" i="11"/>
  <c r="AA24" i="11"/>
  <c r="AB24" i="11"/>
  <c r="AC24" i="11"/>
  <c r="AD24" i="11"/>
  <c r="AF24" i="11"/>
  <c r="AG24" i="11"/>
  <c r="AH24" i="11"/>
  <c r="AI24" i="11"/>
  <c r="AJ24" i="11"/>
  <c r="AL24" i="11"/>
  <c r="AM24" i="11"/>
  <c r="AN24" i="11"/>
  <c r="AO24" i="11"/>
  <c r="AP24" i="11"/>
  <c r="AR24" i="11"/>
  <c r="AS24" i="11"/>
  <c r="AT24" i="11"/>
  <c r="AU24" i="11"/>
  <c r="AV24" i="11"/>
  <c r="AX24" i="11"/>
  <c r="AY24" i="11"/>
  <c r="AZ24" i="11"/>
  <c r="BA24" i="11"/>
  <c r="BB24" i="11"/>
  <c r="BE24" i="11"/>
  <c r="BF24" i="11"/>
  <c r="BG24" i="11"/>
  <c r="BH24" i="11"/>
  <c r="BI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E25" i="11"/>
  <c r="BF25" i="11"/>
  <c r="BG25" i="11"/>
  <c r="BH25" i="11"/>
  <c r="BI25" i="11"/>
  <c r="BJ25" i="11"/>
  <c r="A26" i="11"/>
  <c r="B26" i="11"/>
  <c r="C26" i="11"/>
  <c r="D26" i="11"/>
  <c r="E26" i="11"/>
  <c r="F26" i="11"/>
  <c r="H26" i="11"/>
  <c r="I26" i="11"/>
  <c r="J26" i="11"/>
  <c r="K26" i="11"/>
  <c r="L26" i="11"/>
  <c r="N26" i="11"/>
  <c r="O26" i="11"/>
  <c r="P26" i="11"/>
  <c r="Q26" i="11"/>
  <c r="R26" i="11"/>
  <c r="T26" i="11"/>
  <c r="U26" i="11"/>
  <c r="V26" i="11"/>
  <c r="W26" i="11"/>
  <c r="X26" i="11"/>
  <c r="Z26" i="11"/>
  <c r="AA26" i="11"/>
  <c r="AB26" i="11"/>
  <c r="AC26" i="11"/>
  <c r="AD26" i="11"/>
  <c r="AF26" i="11"/>
  <c r="AG26" i="11"/>
  <c r="AH26" i="11"/>
  <c r="AI26" i="11"/>
  <c r="AJ26" i="11"/>
  <c r="AL26" i="11"/>
  <c r="AM26" i="11"/>
  <c r="AN26" i="11"/>
  <c r="AO26" i="11"/>
  <c r="AP26" i="11"/>
  <c r="AR26" i="11"/>
  <c r="AS26" i="11"/>
  <c r="AT26" i="11"/>
  <c r="AU26" i="11"/>
  <c r="AV26" i="11"/>
  <c r="AX26" i="11"/>
  <c r="AY26" i="11"/>
  <c r="AZ26" i="11"/>
  <c r="BA26" i="11"/>
  <c r="BB26" i="11"/>
  <c r="BE26" i="11"/>
  <c r="BF26" i="11"/>
  <c r="BG26" i="11"/>
  <c r="BH26" i="11"/>
  <c r="BI26" i="11"/>
  <c r="A27" i="11"/>
  <c r="B27" i="11"/>
  <c r="C27" i="11"/>
  <c r="D27" i="11"/>
  <c r="E27" i="11"/>
  <c r="F27" i="11"/>
  <c r="H27" i="11"/>
  <c r="I27" i="11"/>
  <c r="J27" i="11"/>
  <c r="K27" i="11"/>
  <c r="L27" i="11"/>
  <c r="N27" i="11"/>
  <c r="O27" i="11"/>
  <c r="P27" i="11"/>
  <c r="Q27" i="11"/>
  <c r="R27" i="11"/>
  <c r="T27" i="11"/>
  <c r="U27" i="11"/>
  <c r="V27" i="11"/>
  <c r="W27" i="11"/>
  <c r="X27" i="11"/>
  <c r="Z27" i="11"/>
  <c r="AA27" i="11"/>
  <c r="AB27" i="11"/>
  <c r="AC27" i="11"/>
  <c r="AD27" i="11"/>
  <c r="AF27" i="11"/>
  <c r="AG27" i="11"/>
  <c r="AH27" i="11"/>
  <c r="AI27" i="11"/>
  <c r="AJ27" i="11"/>
  <c r="AL27" i="11"/>
  <c r="AM27" i="11"/>
  <c r="AN27" i="11"/>
  <c r="AO27" i="11"/>
  <c r="AP27" i="11"/>
  <c r="AR27" i="11"/>
  <c r="AS27" i="11"/>
  <c r="AT27" i="11"/>
  <c r="AU27" i="11"/>
  <c r="AV27" i="11"/>
  <c r="AX27" i="11"/>
  <c r="AY27" i="11"/>
  <c r="AZ27" i="11"/>
  <c r="BA27" i="11"/>
  <c r="BB27" i="11"/>
  <c r="BE27" i="11"/>
  <c r="BF27" i="11"/>
  <c r="BG27" i="11"/>
  <c r="BH27" i="11"/>
  <c r="BI27" i="11"/>
  <c r="A28" i="11"/>
  <c r="B28" i="11"/>
  <c r="C28" i="11"/>
  <c r="D28" i="11"/>
  <c r="E28" i="11"/>
  <c r="F28" i="11"/>
  <c r="H28" i="11"/>
  <c r="I28" i="11"/>
  <c r="J28" i="11"/>
  <c r="K28" i="11"/>
  <c r="L28" i="11"/>
  <c r="N28" i="11"/>
  <c r="O28" i="11"/>
  <c r="P28" i="11"/>
  <c r="Q28" i="11"/>
  <c r="R28" i="11"/>
  <c r="T28" i="11"/>
  <c r="U28" i="11"/>
  <c r="V28" i="11"/>
  <c r="W28" i="11"/>
  <c r="X28" i="11"/>
  <c r="Z28" i="11"/>
  <c r="AA28" i="11"/>
  <c r="AB28" i="11"/>
  <c r="AC28" i="11"/>
  <c r="AD28" i="11"/>
  <c r="AF28" i="11"/>
  <c r="AG28" i="11"/>
  <c r="AH28" i="11"/>
  <c r="AI28" i="11"/>
  <c r="AJ28" i="11"/>
  <c r="AL28" i="11"/>
  <c r="AM28" i="11"/>
  <c r="AN28" i="11"/>
  <c r="AO28" i="11"/>
  <c r="AP28" i="11"/>
  <c r="AR28" i="11"/>
  <c r="AS28" i="11"/>
  <c r="AT28" i="11"/>
  <c r="AU28" i="11"/>
  <c r="AV28" i="11"/>
  <c r="AX28" i="11"/>
  <c r="AY28" i="11"/>
  <c r="AZ28" i="11"/>
  <c r="BA28" i="11"/>
  <c r="BB28" i="11"/>
  <c r="BE28" i="11"/>
  <c r="BF28" i="11"/>
  <c r="BG28" i="11"/>
  <c r="BH28" i="11"/>
  <c r="BI28" i="11"/>
  <c r="A29" i="11"/>
  <c r="B29" i="11"/>
  <c r="C29" i="11"/>
  <c r="D29" i="11"/>
  <c r="E29" i="11"/>
  <c r="F29" i="11"/>
  <c r="H29" i="11"/>
  <c r="I29" i="11"/>
  <c r="J29" i="11"/>
  <c r="K29" i="11"/>
  <c r="L29" i="11"/>
  <c r="N29" i="11"/>
  <c r="O29" i="11"/>
  <c r="P29" i="11"/>
  <c r="Q29" i="11"/>
  <c r="R29" i="11"/>
  <c r="T29" i="11"/>
  <c r="U29" i="11"/>
  <c r="V29" i="11"/>
  <c r="W29" i="11"/>
  <c r="X29" i="11"/>
  <c r="Z29" i="11"/>
  <c r="AA29" i="11"/>
  <c r="AB29" i="11"/>
  <c r="AC29" i="11"/>
  <c r="AD29" i="11"/>
  <c r="AF29" i="11"/>
  <c r="AG29" i="11"/>
  <c r="AH29" i="11"/>
  <c r="AI29" i="11"/>
  <c r="AJ29" i="11"/>
  <c r="AL29" i="11"/>
  <c r="AM29" i="11"/>
  <c r="AN29" i="11"/>
  <c r="AO29" i="11"/>
  <c r="AP29" i="11"/>
  <c r="AR29" i="11"/>
  <c r="AS29" i="11"/>
  <c r="AT29" i="11"/>
  <c r="AU29" i="11"/>
  <c r="AV29" i="11"/>
  <c r="AX29" i="11"/>
  <c r="AY29" i="11"/>
  <c r="AZ29" i="11"/>
  <c r="BA29" i="11"/>
  <c r="BB29" i="11"/>
  <c r="BE29" i="11"/>
  <c r="BF29" i="11"/>
  <c r="BG29" i="11"/>
  <c r="BH29" i="11"/>
  <c r="BI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E30" i="11"/>
  <c r="BF30" i="11"/>
  <c r="BG30" i="11"/>
  <c r="BH30" i="11"/>
  <c r="BI30" i="11"/>
  <c r="BJ30" i="11"/>
  <c r="A31" i="11"/>
  <c r="B31" i="11"/>
  <c r="C31" i="11"/>
  <c r="D31" i="11"/>
  <c r="E31" i="11"/>
  <c r="F31" i="11"/>
  <c r="H31" i="11"/>
  <c r="I31" i="11"/>
  <c r="J31" i="11"/>
  <c r="K31" i="11"/>
  <c r="L31" i="11"/>
  <c r="N31" i="11"/>
  <c r="O31" i="11"/>
  <c r="P31" i="11"/>
  <c r="Q31" i="11"/>
  <c r="R31" i="11"/>
  <c r="T31" i="11"/>
  <c r="U31" i="11"/>
  <c r="V31" i="11"/>
  <c r="W31" i="11"/>
  <c r="X31" i="11"/>
  <c r="Z31" i="11"/>
  <c r="AA31" i="11"/>
  <c r="AB31" i="11"/>
  <c r="AC31" i="11"/>
  <c r="AD31" i="11"/>
  <c r="AF31" i="11"/>
  <c r="AG31" i="11"/>
  <c r="AH31" i="11"/>
  <c r="AI31" i="11"/>
  <c r="AJ31" i="11"/>
  <c r="AL31" i="11"/>
  <c r="AM31" i="11"/>
  <c r="AN31" i="11"/>
  <c r="AO31" i="11"/>
  <c r="AP31" i="11"/>
  <c r="AR31" i="11"/>
  <c r="AS31" i="11"/>
  <c r="AT31" i="11"/>
  <c r="AU31" i="11"/>
  <c r="AV31" i="11"/>
  <c r="AX31" i="11"/>
  <c r="AY31" i="11"/>
  <c r="AZ31" i="11"/>
  <c r="BA31" i="11"/>
  <c r="BB31" i="11"/>
  <c r="BE31" i="11"/>
  <c r="BF31" i="11"/>
  <c r="BG31" i="11"/>
  <c r="BH31" i="11"/>
  <c r="BI31" i="11"/>
  <c r="A32" i="11"/>
  <c r="B32" i="11"/>
  <c r="C32" i="11"/>
  <c r="D32" i="11"/>
  <c r="E32" i="11"/>
  <c r="F32" i="11"/>
  <c r="H32" i="11"/>
  <c r="I32" i="11"/>
  <c r="J32" i="11"/>
  <c r="K32" i="11"/>
  <c r="L32" i="11"/>
  <c r="N32" i="11"/>
  <c r="O32" i="11"/>
  <c r="P32" i="11"/>
  <c r="Q32" i="11"/>
  <c r="R32" i="11"/>
  <c r="T32" i="11"/>
  <c r="U32" i="11"/>
  <c r="V32" i="11"/>
  <c r="W32" i="11"/>
  <c r="X32" i="11"/>
  <c r="Z32" i="11"/>
  <c r="AA32" i="11"/>
  <c r="AB32" i="11"/>
  <c r="AC32" i="11"/>
  <c r="AD32" i="11"/>
  <c r="AF32" i="11"/>
  <c r="AG32" i="11"/>
  <c r="AH32" i="11"/>
  <c r="AI32" i="11"/>
  <c r="AJ32" i="11"/>
  <c r="AL32" i="11"/>
  <c r="AM32" i="11"/>
  <c r="AN32" i="11"/>
  <c r="AO32" i="11"/>
  <c r="AP32" i="11"/>
  <c r="AR32" i="11"/>
  <c r="AS32" i="11"/>
  <c r="AT32" i="11"/>
  <c r="AU32" i="11"/>
  <c r="AV32" i="11"/>
  <c r="AX32" i="11"/>
  <c r="AY32" i="11"/>
  <c r="AZ32" i="11"/>
  <c r="BA32" i="11"/>
  <c r="BB32" i="11"/>
  <c r="BE32" i="11"/>
  <c r="BF32" i="11"/>
  <c r="BG32" i="11"/>
  <c r="BH32" i="11"/>
  <c r="BI32" i="11"/>
  <c r="A33" i="11"/>
  <c r="B33" i="11"/>
  <c r="C33" i="11"/>
  <c r="D33" i="11"/>
  <c r="E33" i="11"/>
  <c r="F33" i="11"/>
  <c r="H33" i="11"/>
  <c r="I33" i="11"/>
  <c r="J33" i="11"/>
  <c r="K33" i="11"/>
  <c r="L33" i="11"/>
  <c r="N33" i="11"/>
  <c r="O33" i="11"/>
  <c r="P33" i="11"/>
  <c r="Q33" i="11"/>
  <c r="R33" i="11"/>
  <c r="T33" i="11"/>
  <c r="U33" i="11"/>
  <c r="V33" i="11"/>
  <c r="W33" i="11"/>
  <c r="X33" i="11"/>
  <c r="Z33" i="11"/>
  <c r="AA33" i="11"/>
  <c r="AB33" i="11"/>
  <c r="AC33" i="11"/>
  <c r="AD33" i="11"/>
  <c r="AF33" i="11"/>
  <c r="AG33" i="11"/>
  <c r="AH33" i="11"/>
  <c r="AI33" i="11"/>
  <c r="AJ33" i="11"/>
  <c r="AL33" i="11"/>
  <c r="AM33" i="11"/>
  <c r="AN33" i="11"/>
  <c r="AO33" i="11"/>
  <c r="AP33" i="11"/>
  <c r="AR33" i="11"/>
  <c r="AS33" i="11"/>
  <c r="AT33" i="11"/>
  <c r="AU33" i="11"/>
  <c r="AV33" i="11"/>
  <c r="AX33" i="11"/>
  <c r="AY33" i="11"/>
  <c r="AZ33" i="11"/>
  <c r="BA33" i="11"/>
  <c r="BB33" i="11"/>
  <c r="BE33" i="11"/>
  <c r="BF33" i="11"/>
  <c r="BG33" i="11"/>
  <c r="BH33" i="11"/>
  <c r="BI33" i="11"/>
  <c r="A34" i="11"/>
  <c r="B34" i="11"/>
  <c r="C34" i="11"/>
  <c r="D34" i="11"/>
  <c r="E34" i="11"/>
  <c r="F34" i="11"/>
  <c r="H34" i="11"/>
  <c r="I34" i="11"/>
  <c r="J34" i="11"/>
  <c r="K34" i="11"/>
  <c r="L34" i="11"/>
  <c r="N34" i="11"/>
  <c r="O34" i="11"/>
  <c r="P34" i="11"/>
  <c r="Q34" i="11"/>
  <c r="R34" i="11"/>
  <c r="T34" i="11"/>
  <c r="U34" i="11"/>
  <c r="V34" i="11"/>
  <c r="W34" i="11"/>
  <c r="X34" i="11"/>
  <c r="Z34" i="11"/>
  <c r="AA34" i="11"/>
  <c r="AB34" i="11"/>
  <c r="AC34" i="11"/>
  <c r="AD34" i="11"/>
  <c r="AF34" i="11"/>
  <c r="AG34" i="11"/>
  <c r="AH34" i="11"/>
  <c r="AI34" i="11"/>
  <c r="AJ34" i="11"/>
  <c r="AL34" i="11"/>
  <c r="AM34" i="11"/>
  <c r="AN34" i="11"/>
  <c r="AO34" i="11"/>
  <c r="AP34" i="11"/>
  <c r="AR34" i="11"/>
  <c r="AS34" i="11"/>
  <c r="AT34" i="11"/>
  <c r="AU34" i="11"/>
  <c r="AV34" i="11"/>
  <c r="AX34" i="11"/>
  <c r="AY34" i="11"/>
  <c r="AZ34" i="11"/>
  <c r="BA34" i="11"/>
  <c r="BB34" i="11"/>
  <c r="BE34" i="11"/>
  <c r="BF34" i="11"/>
  <c r="BG34" i="11"/>
  <c r="BH34" i="11"/>
  <c r="BI34" i="11"/>
  <c r="A35" i="11"/>
  <c r="B35" i="11"/>
  <c r="C35" i="11"/>
  <c r="D35" i="11"/>
  <c r="E35" i="11"/>
  <c r="F35" i="11"/>
  <c r="H35" i="11"/>
  <c r="I35" i="11"/>
  <c r="J35" i="11"/>
  <c r="K35" i="11"/>
  <c r="L35" i="11"/>
  <c r="N35" i="11"/>
  <c r="O35" i="11"/>
  <c r="P35" i="11"/>
  <c r="Q35" i="11"/>
  <c r="R35" i="11"/>
  <c r="T35" i="11"/>
  <c r="U35" i="11"/>
  <c r="V35" i="11"/>
  <c r="W35" i="11"/>
  <c r="X35" i="11"/>
  <c r="Z35" i="11"/>
  <c r="AA35" i="11"/>
  <c r="AB35" i="11"/>
  <c r="AC35" i="11"/>
  <c r="AD35" i="11"/>
  <c r="AF35" i="11"/>
  <c r="AG35" i="11"/>
  <c r="AH35" i="11"/>
  <c r="AI35" i="11"/>
  <c r="AJ35" i="11"/>
  <c r="AL35" i="11"/>
  <c r="AM35" i="11"/>
  <c r="AN35" i="11"/>
  <c r="AO35" i="11"/>
  <c r="AP35" i="11"/>
  <c r="AQ35" i="11"/>
  <c r="AR35" i="11"/>
  <c r="AS35" i="11"/>
  <c r="AT35" i="11"/>
  <c r="AU35" i="11"/>
  <c r="AV35" i="11"/>
  <c r="AX35" i="11"/>
  <c r="AY35" i="11"/>
  <c r="AZ35" i="11"/>
  <c r="BA35" i="11"/>
  <c r="BB35" i="11"/>
  <c r="BE35" i="11"/>
  <c r="BF35" i="11"/>
  <c r="BG35" i="11"/>
  <c r="BH35" i="11"/>
  <c r="BI35" i="11"/>
  <c r="BJ35" i="11"/>
  <c r="A36" i="11"/>
  <c r="B36" i="11"/>
  <c r="C36" i="11"/>
  <c r="D36" i="11"/>
  <c r="E36" i="11"/>
  <c r="F36" i="11"/>
  <c r="H36" i="11"/>
  <c r="I36" i="11"/>
  <c r="J36" i="11"/>
  <c r="K36" i="11"/>
  <c r="L36" i="11"/>
  <c r="N36" i="11"/>
  <c r="O36" i="11"/>
  <c r="P36" i="11"/>
  <c r="Q36" i="11"/>
  <c r="R36" i="11"/>
  <c r="T36" i="11"/>
  <c r="U36" i="11"/>
  <c r="V36" i="11"/>
  <c r="W36" i="11"/>
  <c r="X36" i="11"/>
  <c r="Z36" i="11"/>
  <c r="AA36" i="11"/>
  <c r="AB36" i="11"/>
  <c r="AC36" i="11"/>
  <c r="AD36" i="11"/>
  <c r="AF36" i="11"/>
  <c r="AG36" i="11"/>
  <c r="AH36" i="11"/>
  <c r="AI36" i="11"/>
  <c r="AJ36" i="11"/>
  <c r="AL36" i="11"/>
  <c r="AM36" i="11"/>
  <c r="AN36" i="11"/>
  <c r="AO36" i="11"/>
  <c r="AP36" i="11"/>
  <c r="AQ36" i="11"/>
  <c r="AR36" i="11"/>
  <c r="AS36" i="11"/>
  <c r="AT36" i="11"/>
  <c r="AU36" i="11"/>
  <c r="AV36" i="11"/>
  <c r="AX36" i="11"/>
  <c r="AY36" i="11"/>
  <c r="AZ36" i="11"/>
  <c r="BA36" i="11"/>
  <c r="BB36" i="11"/>
  <c r="BE36" i="11"/>
  <c r="BF36" i="11"/>
  <c r="BG36" i="11"/>
  <c r="BH36" i="11"/>
  <c r="BI36" i="11"/>
  <c r="BJ36" i="11"/>
  <c r="B37" i="11"/>
  <c r="C37" i="11"/>
  <c r="D37" i="11"/>
  <c r="E37" i="11"/>
  <c r="F37" i="11"/>
  <c r="H37" i="11"/>
  <c r="I37" i="11"/>
  <c r="J37" i="11"/>
  <c r="K37" i="11"/>
  <c r="L37" i="11"/>
  <c r="N37" i="11"/>
  <c r="O37" i="11"/>
  <c r="P37" i="11"/>
  <c r="Q37" i="11"/>
  <c r="R37" i="11"/>
  <c r="T37" i="11"/>
  <c r="U37" i="11"/>
  <c r="V37" i="11"/>
  <c r="W37" i="11"/>
  <c r="X37" i="11"/>
  <c r="Z37" i="11"/>
  <c r="AA37" i="11"/>
  <c r="AB37" i="11"/>
  <c r="AC37" i="11"/>
  <c r="AD37" i="11"/>
  <c r="AF37" i="11"/>
  <c r="AG37" i="11"/>
  <c r="AH37" i="11"/>
  <c r="AI37" i="11"/>
  <c r="AJ37" i="11"/>
  <c r="AL37" i="11"/>
  <c r="AM37" i="11"/>
  <c r="AN37" i="11"/>
  <c r="AO37" i="11"/>
  <c r="AP37" i="11"/>
  <c r="AR37" i="11"/>
  <c r="AS37" i="11"/>
  <c r="AT37" i="11"/>
  <c r="AU37" i="11"/>
  <c r="AV37" i="11"/>
  <c r="AX37" i="11"/>
  <c r="AY37" i="11"/>
  <c r="AZ37" i="11"/>
  <c r="BA37" i="11"/>
  <c r="BB37" i="11"/>
  <c r="BE37" i="11"/>
  <c r="BF37" i="11"/>
  <c r="BG37" i="11"/>
  <c r="BH37" i="11"/>
  <c r="BI37" i="11"/>
  <c r="B1" i="3"/>
  <c r="E6" i="3"/>
  <c r="H6" i="3"/>
  <c r="K6" i="3"/>
  <c r="N6" i="3"/>
  <c r="O6" i="3"/>
  <c r="Q6" i="3"/>
  <c r="T6" i="3"/>
  <c r="U6" i="3"/>
  <c r="V6" i="3"/>
  <c r="W6" i="3"/>
  <c r="Z6" i="3"/>
  <c r="AC6" i="3"/>
  <c r="AF6" i="3"/>
  <c r="AI6" i="3"/>
  <c r="AL6" i="3"/>
  <c r="AO6" i="3"/>
  <c r="AR6" i="3"/>
  <c r="AU6" i="3"/>
  <c r="AX6" i="3"/>
  <c r="BA6" i="3"/>
  <c r="BD6" i="3"/>
  <c r="BG6" i="3"/>
  <c r="BJ6" i="3"/>
  <c r="BM6" i="3"/>
  <c r="BP6" i="3"/>
  <c r="BS6" i="3"/>
  <c r="BV6" i="3"/>
  <c r="BY6" i="3"/>
  <c r="CB6" i="3"/>
  <c r="CE6" i="3"/>
  <c r="CH6" i="3"/>
  <c r="CK6" i="3"/>
  <c r="CN6" i="3"/>
  <c r="CQ6" i="3"/>
  <c r="CT6" i="3"/>
  <c r="CW6" i="3"/>
  <c r="CZ6" i="3"/>
  <c r="DC6" i="3"/>
  <c r="DF6" i="3"/>
  <c r="DI6" i="3"/>
  <c r="DL6" i="3"/>
  <c r="DO6" i="3"/>
  <c r="DR6" i="3"/>
  <c r="DS6" i="3"/>
  <c r="DT6" i="3"/>
  <c r="DU6" i="3"/>
  <c r="A7" i="3"/>
  <c r="E7" i="3"/>
  <c r="H7" i="3"/>
  <c r="K7" i="3"/>
  <c r="N7" i="3"/>
  <c r="O7" i="3"/>
  <c r="Q7" i="3"/>
  <c r="T7" i="3"/>
  <c r="U7" i="3"/>
  <c r="V7" i="3"/>
  <c r="W7" i="3"/>
  <c r="Z7" i="3"/>
  <c r="AC7" i="3"/>
  <c r="AF7" i="3"/>
  <c r="AI7" i="3"/>
  <c r="AL7" i="3"/>
  <c r="AO7" i="3"/>
  <c r="AR7" i="3"/>
  <c r="AU7" i="3"/>
  <c r="AX7" i="3"/>
  <c r="BA7" i="3"/>
  <c r="BD7" i="3"/>
  <c r="BG7" i="3"/>
  <c r="BJ7" i="3"/>
  <c r="BM7" i="3"/>
  <c r="BP7" i="3"/>
  <c r="BS7" i="3"/>
  <c r="BV7" i="3"/>
  <c r="BY7" i="3"/>
  <c r="CB7" i="3"/>
  <c r="CE7" i="3"/>
  <c r="CH7" i="3"/>
  <c r="CK7" i="3"/>
  <c r="CN7" i="3"/>
  <c r="CQ7" i="3"/>
  <c r="CT7" i="3"/>
  <c r="CW7" i="3"/>
  <c r="CZ7" i="3"/>
  <c r="DC7" i="3"/>
  <c r="DF7" i="3"/>
  <c r="DI7" i="3"/>
  <c r="DL7" i="3"/>
  <c r="DO7" i="3"/>
  <c r="DR7" i="3"/>
  <c r="DS7" i="3"/>
  <c r="DT7" i="3"/>
  <c r="DU7" i="3"/>
  <c r="A8" i="3"/>
  <c r="E8" i="3"/>
  <c r="H8" i="3"/>
  <c r="K8" i="3"/>
  <c r="N8" i="3"/>
  <c r="O8" i="3"/>
  <c r="Q8" i="3"/>
  <c r="T8" i="3"/>
  <c r="U8" i="3"/>
  <c r="V8" i="3"/>
  <c r="W8" i="3"/>
  <c r="Z8" i="3"/>
  <c r="AC8" i="3"/>
  <c r="AF8" i="3"/>
  <c r="AI8" i="3"/>
  <c r="AL8" i="3"/>
  <c r="AO8" i="3"/>
  <c r="AR8" i="3"/>
  <c r="AU8" i="3"/>
  <c r="AX8" i="3"/>
  <c r="BA8" i="3"/>
  <c r="BD8" i="3"/>
  <c r="BG8" i="3"/>
  <c r="BJ8" i="3"/>
  <c r="BM8" i="3"/>
  <c r="BP8" i="3"/>
  <c r="BS8" i="3"/>
  <c r="BV8" i="3"/>
  <c r="BY8" i="3"/>
  <c r="CB8" i="3"/>
  <c r="CE8" i="3"/>
  <c r="CH8" i="3"/>
  <c r="CK8" i="3"/>
  <c r="CN8" i="3"/>
  <c r="CQ8" i="3"/>
  <c r="CT8" i="3"/>
  <c r="CW8" i="3"/>
  <c r="CZ8" i="3"/>
  <c r="DC8" i="3"/>
  <c r="DF8" i="3"/>
  <c r="DI8" i="3"/>
  <c r="DL8" i="3"/>
  <c r="DO8" i="3"/>
  <c r="DR8" i="3"/>
  <c r="DS8" i="3"/>
  <c r="DT8" i="3"/>
  <c r="DU8" i="3"/>
  <c r="A9" i="3"/>
  <c r="E9" i="3"/>
  <c r="H9" i="3"/>
  <c r="K9" i="3"/>
  <c r="N9" i="3"/>
  <c r="O9" i="3"/>
  <c r="Q9" i="3"/>
  <c r="T9" i="3"/>
  <c r="U9" i="3"/>
  <c r="V9" i="3"/>
  <c r="W9" i="3"/>
  <c r="Z9" i="3"/>
  <c r="AC9" i="3"/>
  <c r="AF9" i="3"/>
  <c r="AH9" i="3"/>
  <c r="AI9" i="3"/>
  <c r="AL9" i="3"/>
  <c r="AO9" i="3"/>
  <c r="AR9" i="3"/>
  <c r="AU9" i="3"/>
  <c r="AX9" i="3"/>
  <c r="BA9" i="3"/>
  <c r="BD9" i="3"/>
  <c r="BG9" i="3"/>
  <c r="BJ9" i="3"/>
  <c r="BM9" i="3"/>
  <c r="BP9" i="3"/>
  <c r="BS9" i="3"/>
  <c r="BV9" i="3"/>
  <c r="BY9" i="3"/>
  <c r="CB9" i="3"/>
  <c r="CE9" i="3"/>
  <c r="CH9" i="3"/>
  <c r="CK9" i="3"/>
  <c r="CN9" i="3"/>
  <c r="CQ9" i="3"/>
  <c r="CT9" i="3"/>
  <c r="CW9" i="3"/>
  <c r="CZ9" i="3"/>
  <c r="DC9" i="3"/>
  <c r="DF9" i="3"/>
  <c r="DI9" i="3"/>
  <c r="DL9" i="3"/>
  <c r="DO9" i="3"/>
  <c r="DR9" i="3"/>
  <c r="DS9" i="3"/>
  <c r="DT9" i="3"/>
  <c r="DU9" i="3"/>
  <c r="A10" i="3"/>
  <c r="E10" i="3"/>
  <c r="H10" i="3"/>
  <c r="K10" i="3"/>
  <c r="N10" i="3"/>
  <c r="O10" i="3"/>
  <c r="Q10" i="3"/>
  <c r="T10" i="3"/>
  <c r="U10" i="3"/>
  <c r="V10" i="3"/>
  <c r="W10" i="3"/>
  <c r="Z10" i="3"/>
  <c r="AC10" i="3"/>
  <c r="AF10" i="3"/>
  <c r="AH10" i="3"/>
  <c r="AI10" i="3"/>
  <c r="AL10" i="3"/>
  <c r="AO10" i="3"/>
  <c r="AR10" i="3"/>
  <c r="AU10" i="3"/>
  <c r="AX10" i="3"/>
  <c r="BA10" i="3"/>
  <c r="BD10" i="3"/>
  <c r="BG10" i="3"/>
  <c r="BJ10" i="3"/>
  <c r="BM10" i="3"/>
  <c r="BP10" i="3"/>
  <c r="BS10" i="3"/>
  <c r="BV10" i="3"/>
  <c r="BY10" i="3"/>
  <c r="CB10" i="3"/>
  <c r="CE10" i="3"/>
  <c r="CH10" i="3"/>
  <c r="CK10" i="3"/>
  <c r="CN10" i="3"/>
  <c r="CQ10" i="3"/>
  <c r="CT10" i="3"/>
  <c r="CW10" i="3"/>
  <c r="CZ10" i="3"/>
  <c r="DC10" i="3"/>
  <c r="DF10" i="3"/>
  <c r="DI10" i="3"/>
  <c r="DL10" i="3"/>
  <c r="DO10" i="3"/>
  <c r="DR10" i="3"/>
  <c r="DS10" i="3"/>
  <c r="DT10" i="3"/>
  <c r="DU10" i="3"/>
  <c r="A11" i="3"/>
  <c r="E11" i="3"/>
  <c r="H11" i="3"/>
  <c r="K11" i="3"/>
  <c r="N11" i="3"/>
  <c r="O11" i="3"/>
  <c r="Q11" i="3"/>
  <c r="T11" i="3"/>
  <c r="U11" i="3"/>
  <c r="V11" i="3"/>
  <c r="W11" i="3"/>
  <c r="Z11" i="3"/>
  <c r="AC11" i="3"/>
  <c r="AF11" i="3"/>
  <c r="AH11" i="3"/>
  <c r="AI11" i="3"/>
  <c r="AL11" i="3"/>
  <c r="AO11" i="3"/>
  <c r="AR11" i="3"/>
  <c r="AU11" i="3"/>
  <c r="AX11" i="3"/>
  <c r="BA11" i="3"/>
  <c r="BD11" i="3"/>
  <c r="BG11" i="3"/>
  <c r="BJ11" i="3"/>
  <c r="BM11" i="3"/>
  <c r="BP11" i="3"/>
  <c r="BS11" i="3"/>
  <c r="BV11" i="3"/>
  <c r="BY11" i="3"/>
  <c r="CB11" i="3"/>
  <c r="CE11" i="3"/>
  <c r="CH11" i="3"/>
  <c r="CK11" i="3"/>
  <c r="CN11" i="3"/>
  <c r="CQ11" i="3"/>
  <c r="CT11" i="3"/>
  <c r="CW11" i="3"/>
  <c r="CZ11" i="3"/>
  <c r="DC11" i="3"/>
  <c r="DF11" i="3"/>
  <c r="DI11" i="3"/>
  <c r="DL11" i="3"/>
  <c r="DO11" i="3"/>
  <c r="DR11" i="3"/>
  <c r="DS11" i="3"/>
  <c r="DT11" i="3"/>
  <c r="DU11" i="3"/>
  <c r="A12" i="3"/>
  <c r="E12" i="3"/>
  <c r="H12" i="3"/>
  <c r="K12" i="3"/>
  <c r="N12" i="3"/>
  <c r="O12" i="3"/>
  <c r="Q12" i="3"/>
  <c r="T12" i="3"/>
  <c r="U12" i="3"/>
  <c r="V12" i="3"/>
  <c r="W12" i="3"/>
  <c r="Z12" i="3"/>
  <c r="AC12" i="3"/>
  <c r="AF12" i="3"/>
  <c r="AI12" i="3"/>
  <c r="AL12" i="3"/>
  <c r="AO12" i="3"/>
  <c r="AR12" i="3"/>
  <c r="AU12" i="3"/>
  <c r="AX12" i="3"/>
  <c r="BA12" i="3"/>
  <c r="BD12" i="3"/>
  <c r="BG12" i="3"/>
  <c r="BJ12" i="3"/>
  <c r="BM12" i="3"/>
  <c r="BP12" i="3"/>
  <c r="BS12" i="3"/>
  <c r="BV12" i="3"/>
  <c r="BY12" i="3"/>
  <c r="CB12" i="3"/>
  <c r="CE12" i="3"/>
  <c r="CH12" i="3"/>
  <c r="CK12" i="3"/>
  <c r="CN12" i="3"/>
  <c r="CQ12" i="3"/>
  <c r="CT12" i="3"/>
  <c r="CW12" i="3"/>
  <c r="CZ12" i="3"/>
  <c r="DC12" i="3"/>
  <c r="DF12" i="3"/>
  <c r="DI12" i="3"/>
  <c r="DL12" i="3"/>
  <c r="DO12" i="3"/>
  <c r="DR12" i="3"/>
  <c r="DS12" i="3"/>
  <c r="DT12" i="3"/>
  <c r="DU12" i="3"/>
  <c r="A13" i="3"/>
  <c r="E13" i="3"/>
  <c r="H13" i="3"/>
  <c r="K13" i="3"/>
  <c r="N13" i="3"/>
  <c r="O13" i="3"/>
  <c r="Q13" i="3"/>
  <c r="T13" i="3"/>
  <c r="U13" i="3"/>
  <c r="V13" i="3"/>
  <c r="W13" i="3"/>
  <c r="Z13" i="3"/>
  <c r="AC13" i="3"/>
  <c r="AF13" i="3"/>
  <c r="AI13" i="3"/>
  <c r="AL13" i="3"/>
  <c r="AO13" i="3"/>
  <c r="AR13" i="3"/>
  <c r="AU13" i="3"/>
  <c r="AX13" i="3"/>
  <c r="BA13" i="3"/>
  <c r="BD13" i="3"/>
  <c r="BG13" i="3"/>
  <c r="BJ13" i="3"/>
  <c r="BM13" i="3"/>
  <c r="BP13" i="3"/>
  <c r="BS13" i="3"/>
  <c r="BV13" i="3"/>
  <c r="BY13" i="3"/>
  <c r="CB13" i="3"/>
  <c r="CE13" i="3"/>
  <c r="CH13" i="3"/>
  <c r="CK13" i="3"/>
  <c r="CN13" i="3"/>
  <c r="CQ13" i="3"/>
  <c r="CT13" i="3"/>
  <c r="CW13" i="3"/>
  <c r="CZ13" i="3"/>
  <c r="DC13" i="3"/>
  <c r="DF13" i="3"/>
  <c r="DI13" i="3"/>
  <c r="DL13" i="3"/>
  <c r="DO13" i="3"/>
  <c r="DR13" i="3"/>
  <c r="DS13" i="3"/>
  <c r="DT13" i="3"/>
  <c r="DU13" i="3"/>
  <c r="A14" i="3"/>
  <c r="E14" i="3"/>
  <c r="H14" i="3"/>
  <c r="K14" i="3"/>
  <c r="N14" i="3"/>
  <c r="O14" i="3"/>
  <c r="Q14" i="3"/>
  <c r="T14" i="3"/>
  <c r="U14" i="3"/>
  <c r="V14" i="3"/>
  <c r="W14" i="3"/>
  <c r="Z14" i="3"/>
  <c r="AC14" i="3"/>
  <c r="AF14" i="3"/>
  <c r="AI14" i="3"/>
  <c r="AL14" i="3"/>
  <c r="AO14" i="3"/>
  <c r="AR14" i="3"/>
  <c r="AU14" i="3"/>
  <c r="AX14" i="3"/>
  <c r="BA14" i="3"/>
  <c r="BD14" i="3"/>
  <c r="BG14" i="3"/>
  <c r="BJ14" i="3"/>
  <c r="BM14" i="3"/>
  <c r="BP14" i="3"/>
  <c r="BS14" i="3"/>
  <c r="BV14" i="3"/>
  <c r="BY14" i="3"/>
  <c r="CB14" i="3"/>
  <c r="CE14" i="3"/>
  <c r="CH14" i="3"/>
  <c r="CK14" i="3"/>
  <c r="CN14" i="3"/>
  <c r="CQ14" i="3"/>
  <c r="CT14" i="3"/>
  <c r="CW14" i="3"/>
  <c r="CZ14" i="3"/>
  <c r="DC14" i="3"/>
  <c r="DF14" i="3"/>
  <c r="DI14" i="3"/>
  <c r="DL14" i="3"/>
  <c r="DO14" i="3"/>
  <c r="DR14" i="3"/>
  <c r="DS14" i="3"/>
  <c r="DT14" i="3"/>
  <c r="DU14" i="3"/>
  <c r="A15" i="3"/>
  <c r="E15" i="3"/>
  <c r="H15" i="3"/>
  <c r="K15" i="3"/>
  <c r="N15" i="3"/>
  <c r="O15" i="3"/>
  <c r="Q15" i="3"/>
  <c r="T15" i="3"/>
  <c r="U15" i="3"/>
  <c r="V15" i="3"/>
  <c r="W15" i="3"/>
  <c r="Z15" i="3"/>
  <c r="AC15" i="3"/>
  <c r="AF15" i="3"/>
  <c r="AI15" i="3"/>
  <c r="AL15" i="3"/>
  <c r="AO15" i="3"/>
  <c r="AR15" i="3"/>
  <c r="AU15" i="3"/>
  <c r="AX15" i="3"/>
  <c r="BA15" i="3"/>
  <c r="BD15" i="3"/>
  <c r="BG15" i="3"/>
  <c r="BJ15" i="3"/>
  <c r="BM15" i="3"/>
  <c r="BP15" i="3"/>
  <c r="BS15" i="3"/>
  <c r="BV15" i="3"/>
  <c r="BY15" i="3"/>
  <c r="CB15" i="3"/>
  <c r="CE15" i="3"/>
  <c r="CH15" i="3"/>
  <c r="CK15" i="3"/>
  <c r="CN15" i="3"/>
  <c r="CQ15" i="3"/>
  <c r="CT15" i="3"/>
  <c r="CW15" i="3"/>
  <c r="CZ15" i="3"/>
  <c r="DC15" i="3"/>
  <c r="DF15" i="3"/>
  <c r="DI15" i="3"/>
  <c r="DL15" i="3"/>
  <c r="DO15" i="3"/>
  <c r="DR15" i="3"/>
  <c r="DS15" i="3"/>
  <c r="DT15" i="3"/>
  <c r="DU15" i="3"/>
  <c r="A16" i="3"/>
  <c r="E16" i="3"/>
  <c r="H16" i="3"/>
  <c r="K16" i="3"/>
  <c r="N16" i="3"/>
  <c r="O16" i="3"/>
  <c r="Q16" i="3"/>
  <c r="T16" i="3"/>
  <c r="U16" i="3"/>
  <c r="V16" i="3"/>
  <c r="W16" i="3"/>
  <c r="Z16" i="3"/>
  <c r="AC16" i="3"/>
  <c r="AF16" i="3"/>
  <c r="AI16" i="3"/>
  <c r="AL16" i="3"/>
  <c r="AO16" i="3"/>
  <c r="AR16" i="3"/>
  <c r="AU16" i="3"/>
  <c r="AX16" i="3"/>
  <c r="BA16" i="3"/>
  <c r="BD16" i="3"/>
  <c r="BG16" i="3"/>
  <c r="BJ16" i="3"/>
  <c r="BM16" i="3"/>
  <c r="BP16" i="3"/>
  <c r="BS16" i="3"/>
  <c r="BV16" i="3"/>
  <c r="BY16" i="3"/>
  <c r="CB16" i="3"/>
  <c r="CE16" i="3"/>
  <c r="CH16" i="3"/>
  <c r="CK16" i="3"/>
  <c r="CN16" i="3"/>
  <c r="CQ16" i="3"/>
  <c r="CT16" i="3"/>
  <c r="CW16" i="3"/>
  <c r="CZ16" i="3"/>
  <c r="DC16" i="3"/>
  <c r="DF16" i="3"/>
  <c r="DI16" i="3"/>
  <c r="DL16" i="3"/>
  <c r="DO16" i="3"/>
  <c r="DR16" i="3"/>
  <c r="DS16" i="3"/>
  <c r="DT16" i="3"/>
  <c r="DU16" i="3"/>
  <c r="A17" i="3"/>
  <c r="E17" i="3"/>
  <c r="H17" i="3"/>
  <c r="K17" i="3"/>
  <c r="N17" i="3"/>
  <c r="O17" i="3"/>
  <c r="Q17" i="3"/>
  <c r="T17" i="3"/>
  <c r="U17" i="3"/>
  <c r="V17" i="3"/>
  <c r="W17" i="3"/>
  <c r="Z17" i="3"/>
  <c r="AC17" i="3"/>
  <c r="AF17" i="3"/>
  <c r="AI17" i="3"/>
  <c r="AL17" i="3"/>
  <c r="AO17" i="3"/>
  <c r="AR17" i="3"/>
  <c r="AU17" i="3"/>
  <c r="AX17" i="3"/>
  <c r="BA17" i="3"/>
  <c r="BD17" i="3"/>
  <c r="BG17" i="3"/>
  <c r="BJ17" i="3"/>
  <c r="BM17" i="3"/>
  <c r="BP17" i="3"/>
  <c r="BS17" i="3"/>
  <c r="BV17" i="3"/>
  <c r="BY17" i="3"/>
  <c r="CB17" i="3"/>
  <c r="CE17" i="3"/>
  <c r="CH17" i="3"/>
  <c r="CK17" i="3"/>
  <c r="CN17" i="3"/>
  <c r="CQ17" i="3"/>
  <c r="CT17" i="3"/>
  <c r="CW17" i="3"/>
  <c r="CZ17" i="3"/>
  <c r="DC17" i="3"/>
  <c r="DF17" i="3"/>
  <c r="DI17" i="3"/>
  <c r="DL17" i="3"/>
  <c r="DO17" i="3"/>
  <c r="DR17" i="3"/>
  <c r="DS17" i="3"/>
  <c r="DT17" i="3"/>
  <c r="DU17" i="3"/>
  <c r="A18" i="3"/>
  <c r="E18" i="3"/>
  <c r="H18" i="3"/>
  <c r="K18" i="3"/>
  <c r="N18" i="3"/>
  <c r="O18" i="3"/>
  <c r="Q18" i="3"/>
  <c r="T18" i="3"/>
  <c r="U18" i="3"/>
  <c r="V18" i="3"/>
  <c r="W18" i="3"/>
  <c r="Z18" i="3"/>
  <c r="AC18" i="3"/>
  <c r="AF18" i="3"/>
  <c r="AI18" i="3"/>
  <c r="AL18" i="3"/>
  <c r="AO18" i="3"/>
  <c r="AR18" i="3"/>
  <c r="AU18" i="3"/>
  <c r="AX18" i="3"/>
  <c r="BA18" i="3"/>
  <c r="BD18" i="3"/>
  <c r="BG18" i="3"/>
  <c r="BJ18" i="3"/>
  <c r="BM18" i="3"/>
  <c r="BP18" i="3"/>
  <c r="BS18" i="3"/>
  <c r="BV18" i="3"/>
  <c r="BY18" i="3"/>
  <c r="CB18" i="3"/>
  <c r="CE18" i="3"/>
  <c r="CH18" i="3"/>
  <c r="CK18" i="3"/>
  <c r="CN18" i="3"/>
  <c r="CQ18" i="3"/>
  <c r="CT18" i="3"/>
  <c r="CW18" i="3"/>
  <c r="CZ18" i="3"/>
  <c r="DC18" i="3"/>
  <c r="DF18" i="3"/>
  <c r="DI18" i="3"/>
  <c r="DL18" i="3"/>
  <c r="DO18" i="3"/>
  <c r="DR18" i="3"/>
  <c r="DS18" i="3"/>
  <c r="DT18" i="3"/>
  <c r="DU18" i="3"/>
  <c r="A19" i="3"/>
  <c r="E19" i="3"/>
  <c r="H19" i="3"/>
  <c r="K19" i="3"/>
  <c r="N19" i="3"/>
  <c r="O19" i="3"/>
  <c r="Q19" i="3"/>
  <c r="T19" i="3"/>
  <c r="U19" i="3"/>
  <c r="V19" i="3"/>
  <c r="W19" i="3"/>
  <c r="Z19" i="3"/>
  <c r="AC19" i="3"/>
  <c r="AF19" i="3"/>
  <c r="AI19" i="3"/>
  <c r="AL19" i="3"/>
  <c r="AO19" i="3"/>
  <c r="AR19" i="3"/>
  <c r="AU19" i="3"/>
  <c r="AX19" i="3"/>
  <c r="BA19" i="3"/>
  <c r="BD19" i="3"/>
  <c r="BG19" i="3"/>
  <c r="BJ19" i="3"/>
  <c r="BM19" i="3"/>
  <c r="BP19" i="3"/>
  <c r="BS19" i="3"/>
  <c r="BV19" i="3"/>
  <c r="BY19" i="3"/>
  <c r="CB19" i="3"/>
  <c r="CE19" i="3"/>
  <c r="CH19" i="3"/>
  <c r="CK19" i="3"/>
  <c r="CN19" i="3"/>
  <c r="CQ19" i="3"/>
  <c r="CT19" i="3"/>
  <c r="CW19" i="3"/>
  <c r="CZ19" i="3"/>
  <c r="DC19" i="3"/>
  <c r="DF19" i="3"/>
  <c r="DI19" i="3"/>
  <c r="DL19" i="3"/>
  <c r="DO19" i="3"/>
  <c r="DR19" i="3"/>
  <c r="DS19" i="3"/>
  <c r="DT19" i="3"/>
  <c r="DU19" i="3"/>
  <c r="A20" i="3"/>
  <c r="E20" i="3"/>
  <c r="H20" i="3"/>
  <c r="K20" i="3"/>
  <c r="N20" i="3"/>
  <c r="O20" i="3"/>
  <c r="Q20" i="3"/>
  <c r="T20" i="3"/>
  <c r="U20" i="3"/>
  <c r="V20" i="3"/>
  <c r="W20" i="3"/>
  <c r="Z20" i="3"/>
  <c r="AC20" i="3"/>
  <c r="AF20" i="3"/>
  <c r="AI20" i="3"/>
  <c r="AL20" i="3"/>
  <c r="AO20" i="3"/>
  <c r="AR20" i="3"/>
  <c r="AU20" i="3"/>
  <c r="AX20" i="3"/>
  <c r="BA20" i="3"/>
  <c r="BD20" i="3"/>
  <c r="BG20" i="3"/>
  <c r="BJ20" i="3"/>
  <c r="BM20" i="3"/>
  <c r="BP20" i="3"/>
  <c r="BS20" i="3"/>
  <c r="BV20" i="3"/>
  <c r="BY20" i="3"/>
  <c r="CB20" i="3"/>
  <c r="CE20" i="3"/>
  <c r="CH20" i="3"/>
  <c r="CK20" i="3"/>
  <c r="CN20" i="3"/>
  <c r="CQ20" i="3"/>
  <c r="CT20" i="3"/>
  <c r="CW20" i="3"/>
  <c r="CZ20" i="3"/>
  <c r="DC20" i="3"/>
  <c r="DF20" i="3"/>
  <c r="DI20" i="3"/>
  <c r="DL20" i="3"/>
  <c r="DO20" i="3"/>
  <c r="DR20" i="3"/>
  <c r="DS20" i="3"/>
  <c r="DT20" i="3"/>
  <c r="DU20" i="3"/>
  <c r="A21" i="3"/>
  <c r="E21" i="3"/>
  <c r="H21" i="3"/>
  <c r="K21" i="3"/>
  <c r="N21" i="3"/>
  <c r="O21" i="3"/>
  <c r="Q21" i="3"/>
  <c r="T21" i="3"/>
  <c r="U21" i="3"/>
  <c r="V21" i="3"/>
  <c r="W21" i="3"/>
  <c r="Z21" i="3"/>
  <c r="AC21" i="3"/>
  <c r="AF21" i="3"/>
  <c r="AI21" i="3"/>
  <c r="AL21" i="3"/>
  <c r="AO21" i="3"/>
  <c r="AR21" i="3"/>
  <c r="AU21" i="3"/>
  <c r="AX21" i="3"/>
  <c r="BA21" i="3"/>
  <c r="BD21" i="3"/>
  <c r="BG21" i="3"/>
  <c r="BJ21" i="3"/>
  <c r="BM21" i="3"/>
  <c r="BP21" i="3"/>
  <c r="BS21" i="3"/>
  <c r="BV21" i="3"/>
  <c r="BY21" i="3"/>
  <c r="CB21" i="3"/>
  <c r="CE21" i="3"/>
  <c r="CH21" i="3"/>
  <c r="CK21" i="3"/>
  <c r="CN21" i="3"/>
  <c r="CQ21" i="3"/>
  <c r="CT21" i="3"/>
  <c r="CW21" i="3"/>
  <c r="CZ21" i="3"/>
  <c r="DC21" i="3"/>
  <c r="DF21" i="3"/>
  <c r="DI21" i="3"/>
  <c r="DL21" i="3"/>
  <c r="DO21" i="3"/>
  <c r="DR21" i="3"/>
  <c r="DS21" i="3"/>
  <c r="DT21" i="3"/>
  <c r="DU21" i="3"/>
  <c r="A22" i="3"/>
  <c r="E22" i="3"/>
  <c r="H22" i="3"/>
  <c r="K22" i="3"/>
  <c r="N22" i="3"/>
  <c r="O22" i="3"/>
  <c r="Q22" i="3"/>
  <c r="T22" i="3"/>
  <c r="U22" i="3"/>
  <c r="V22" i="3"/>
  <c r="W22" i="3"/>
  <c r="Z22" i="3"/>
  <c r="AC22" i="3"/>
  <c r="AF22" i="3"/>
  <c r="AI22" i="3"/>
  <c r="AL22" i="3"/>
  <c r="AO22" i="3"/>
  <c r="AR22" i="3"/>
  <c r="AU22" i="3"/>
  <c r="AX22" i="3"/>
  <c r="BA22" i="3"/>
  <c r="BD22" i="3"/>
  <c r="BG22" i="3"/>
  <c r="BJ22" i="3"/>
  <c r="BM22" i="3"/>
  <c r="BP22" i="3"/>
  <c r="BS22" i="3"/>
  <c r="BV22" i="3"/>
  <c r="BY22" i="3"/>
  <c r="CB22" i="3"/>
  <c r="CE22" i="3"/>
  <c r="CH22" i="3"/>
  <c r="CK22" i="3"/>
  <c r="CN22" i="3"/>
  <c r="CQ22" i="3"/>
  <c r="CT22" i="3"/>
  <c r="CW22" i="3"/>
  <c r="CZ22" i="3"/>
  <c r="DC22" i="3"/>
  <c r="DF22" i="3"/>
  <c r="DI22" i="3"/>
  <c r="DL22" i="3"/>
  <c r="DO22" i="3"/>
  <c r="DR22" i="3"/>
  <c r="DS22" i="3"/>
  <c r="DT22" i="3"/>
  <c r="DU22" i="3"/>
  <c r="A23" i="3"/>
  <c r="E23" i="3"/>
  <c r="H23" i="3"/>
  <c r="K23" i="3"/>
  <c r="N23" i="3"/>
  <c r="O23" i="3"/>
  <c r="Q23" i="3"/>
  <c r="T23" i="3"/>
  <c r="U23" i="3"/>
  <c r="V23" i="3"/>
  <c r="W23" i="3"/>
  <c r="Z23" i="3"/>
  <c r="AC23" i="3"/>
  <c r="AF23" i="3"/>
  <c r="AI23" i="3"/>
  <c r="AL23" i="3"/>
  <c r="AO23" i="3"/>
  <c r="AR23" i="3"/>
  <c r="AU23" i="3"/>
  <c r="AX23" i="3"/>
  <c r="BA23" i="3"/>
  <c r="BD23" i="3"/>
  <c r="BG23" i="3"/>
  <c r="BJ23" i="3"/>
  <c r="BM23" i="3"/>
  <c r="BP23" i="3"/>
  <c r="BS23" i="3"/>
  <c r="BV23" i="3"/>
  <c r="BY23" i="3"/>
  <c r="CB23" i="3"/>
  <c r="CE23" i="3"/>
  <c r="CH23" i="3"/>
  <c r="CK23" i="3"/>
  <c r="CN23" i="3"/>
  <c r="CQ23" i="3"/>
  <c r="CT23" i="3"/>
  <c r="CW23" i="3"/>
  <c r="CZ23" i="3"/>
  <c r="DC23" i="3"/>
  <c r="DF23" i="3"/>
  <c r="DI23" i="3"/>
  <c r="DL23" i="3"/>
  <c r="DO23" i="3"/>
  <c r="DR23" i="3"/>
  <c r="DS23" i="3"/>
  <c r="DT23" i="3"/>
  <c r="DU23" i="3"/>
  <c r="A24" i="3"/>
  <c r="E24" i="3"/>
  <c r="H24" i="3"/>
  <c r="K24" i="3"/>
  <c r="N24" i="3"/>
  <c r="O24" i="3"/>
  <c r="Q24" i="3"/>
  <c r="T24" i="3"/>
  <c r="U24" i="3"/>
  <c r="V24" i="3"/>
  <c r="W24" i="3"/>
  <c r="Z24" i="3"/>
  <c r="AC24" i="3"/>
  <c r="AF24" i="3"/>
  <c r="AI24" i="3"/>
  <c r="AL24" i="3"/>
  <c r="AO24" i="3"/>
  <c r="AR24" i="3"/>
  <c r="AU24" i="3"/>
  <c r="AX24" i="3"/>
  <c r="BA24" i="3"/>
  <c r="BD24" i="3"/>
  <c r="BG24" i="3"/>
  <c r="BJ24" i="3"/>
  <c r="BM24" i="3"/>
  <c r="BP24" i="3"/>
  <c r="BS24" i="3"/>
  <c r="BV24" i="3"/>
  <c r="BY24" i="3"/>
  <c r="CB24" i="3"/>
  <c r="CE24" i="3"/>
  <c r="CH24" i="3"/>
  <c r="CK24" i="3"/>
  <c r="CN24" i="3"/>
  <c r="CQ24" i="3"/>
  <c r="CT24" i="3"/>
  <c r="CW24" i="3"/>
  <c r="CZ24" i="3"/>
  <c r="DC24" i="3"/>
  <c r="DF24" i="3"/>
  <c r="DI24" i="3"/>
  <c r="DL24" i="3"/>
  <c r="DO24" i="3"/>
  <c r="DR24" i="3"/>
  <c r="DS24" i="3"/>
  <c r="DT24" i="3"/>
  <c r="DU24" i="3"/>
  <c r="A25" i="3"/>
  <c r="E25" i="3"/>
  <c r="H25" i="3"/>
  <c r="K25" i="3"/>
  <c r="N25" i="3"/>
  <c r="O25" i="3"/>
  <c r="Q25" i="3"/>
  <c r="T25" i="3"/>
  <c r="U25" i="3"/>
  <c r="V25" i="3"/>
  <c r="W25" i="3"/>
  <c r="Z25" i="3"/>
  <c r="AC25" i="3"/>
  <c r="AF25" i="3"/>
  <c r="AI25" i="3"/>
  <c r="AL25" i="3"/>
  <c r="AO25" i="3"/>
  <c r="AR25" i="3"/>
  <c r="AU25" i="3"/>
  <c r="AX25" i="3"/>
  <c r="BA25" i="3"/>
  <c r="BD25" i="3"/>
  <c r="BG25" i="3"/>
  <c r="BJ25" i="3"/>
  <c r="BM25" i="3"/>
  <c r="BP25" i="3"/>
  <c r="BS25" i="3"/>
  <c r="BV25" i="3"/>
  <c r="BY25" i="3"/>
  <c r="CB25" i="3"/>
  <c r="CE25" i="3"/>
  <c r="CH25" i="3"/>
  <c r="CK25" i="3"/>
  <c r="CN25" i="3"/>
  <c r="CQ25" i="3"/>
  <c r="CT25" i="3"/>
  <c r="CW25" i="3"/>
  <c r="CZ25" i="3"/>
  <c r="DC25" i="3"/>
  <c r="DF25" i="3"/>
  <c r="DI25" i="3"/>
  <c r="DL25" i="3"/>
  <c r="DO25" i="3"/>
  <c r="DR25" i="3"/>
  <c r="DS25" i="3"/>
  <c r="DT25" i="3"/>
  <c r="DU25" i="3"/>
  <c r="A26" i="3"/>
  <c r="E26" i="3"/>
  <c r="H26" i="3"/>
  <c r="K26" i="3"/>
  <c r="N26" i="3"/>
  <c r="O26" i="3"/>
  <c r="Q26" i="3"/>
  <c r="T26" i="3"/>
  <c r="U26" i="3"/>
  <c r="V26" i="3"/>
  <c r="W26" i="3"/>
  <c r="Z26" i="3"/>
  <c r="AC26" i="3"/>
  <c r="AF26" i="3"/>
  <c r="AI26" i="3"/>
  <c r="AL26" i="3"/>
  <c r="AO26" i="3"/>
  <c r="AR26" i="3"/>
  <c r="AU26" i="3"/>
  <c r="AX26" i="3"/>
  <c r="BA26" i="3"/>
  <c r="BD26" i="3"/>
  <c r="BG26" i="3"/>
  <c r="BJ26" i="3"/>
  <c r="BM26" i="3"/>
  <c r="BP26" i="3"/>
  <c r="BS26" i="3"/>
  <c r="BV26" i="3"/>
  <c r="BY26" i="3"/>
  <c r="CB26" i="3"/>
  <c r="CE26" i="3"/>
  <c r="CH26" i="3"/>
  <c r="CK26" i="3"/>
  <c r="CN26" i="3"/>
  <c r="CQ26" i="3"/>
  <c r="CT26" i="3"/>
  <c r="CW26" i="3"/>
  <c r="CZ26" i="3"/>
  <c r="DC26" i="3"/>
  <c r="DF26" i="3"/>
  <c r="DI26" i="3"/>
  <c r="DL26" i="3"/>
  <c r="DO26" i="3"/>
  <c r="DR26" i="3"/>
  <c r="DS26" i="3"/>
  <c r="DT26" i="3"/>
  <c r="DU26" i="3"/>
  <c r="A27" i="3"/>
  <c r="E27" i="3"/>
  <c r="H27" i="3"/>
  <c r="K27" i="3"/>
  <c r="N27" i="3"/>
  <c r="O27" i="3"/>
  <c r="Q27" i="3"/>
  <c r="T27" i="3"/>
  <c r="U27" i="3"/>
  <c r="V27" i="3"/>
  <c r="W27" i="3"/>
  <c r="Z27" i="3"/>
  <c r="AC27" i="3"/>
  <c r="AF27" i="3"/>
  <c r="AI27" i="3"/>
  <c r="AL27" i="3"/>
  <c r="AO27" i="3"/>
  <c r="AR27" i="3"/>
  <c r="AU27" i="3"/>
  <c r="AX27" i="3"/>
  <c r="BA27" i="3"/>
  <c r="BD27" i="3"/>
  <c r="BG27" i="3"/>
  <c r="BJ27" i="3"/>
  <c r="BM27" i="3"/>
  <c r="BP27" i="3"/>
  <c r="BS27" i="3"/>
  <c r="BV27" i="3"/>
  <c r="BY27" i="3"/>
  <c r="CB27" i="3"/>
  <c r="CE27" i="3"/>
  <c r="CH27" i="3"/>
  <c r="CK27" i="3"/>
  <c r="CN27" i="3"/>
  <c r="CQ27" i="3"/>
  <c r="CT27" i="3"/>
  <c r="CW27" i="3"/>
  <c r="CZ27" i="3"/>
  <c r="DC27" i="3"/>
  <c r="DF27" i="3"/>
  <c r="DI27" i="3"/>
  <c r="DL27" i="3"/>
  <c r="DO27" i="3"/>
  <c r="DR27" i="3"/>
  <c r="DS27" i="3"/>
  <c r="DT27" i="3"/>
  <c r="DU27" i="3"/>
  <c r="A28" i="3"/>
  <c r="E28" i="3"/>
  <c r="H28" i="3"/>
  <c r="K28" i="3"/>
  <c r="N28" i="3"/>
  <c r="O28" i="3"/>
  <c r="Q28" i="3"/>
  <c r="T28" i="3"/>
  <c r="U28" i="3"/>
  <c r="V28" i="3"/>
  <c r="W28" i="3"/>
  <c r="Z28" i="3"/>
  <c r="AC28" i="3"/>
  <c r="AF28" i="3"/>
  <c r="AH28" i="3"/>
  <c r="AI28" i="3"/>
  <c r="AL28" i="3"/>
  <c r="AO28" i="3"/>
  <c r="AR28" i="3"/>
  <c r="AU28" i="3"/>
  <c r="AX28" i="3"/>
  <c r="BA28" i="3"/>
  <c r="BD28" i="3"/>
  <c r="BG28" i="3"/>
  <c r="BJ28" i="3"/>
  <c r="BM28" i="3"/>
  <c r="BP28" i="3"/>
  <c r="BS28" i="3"/>
  <c r="BV28" i="3"/>
  <c r="BY28" i="3"/>
  <c r="CB28" i="3"/>
  <c r="CE28" i="3"/>
  <c r="CH28" i="3"/>
  <c r="CK28" i="3"/>
  <c r="CN28" i="3"/>
  <c r="CQ28" i="3"/>
  <c r="CT28" i="3"/>
  <c r="CW28" i="3"/>
  <c r="CZ28" i="3"/>
  <c r="DC28" i="3"/>
  <c r="DF28" i="3"/>
  <c r="DI28" i="3"/>
  <c r="DL28" i="3"/>
  <c r="DO28" i="3"/>
  <c r="DR28" i="3"/>
  <c r="DS28" i="3"/>
  <c r="DT28" i="3"/>
  <c r="DU28" i="3"/>
  <c r="A29" i="3"/>
  <c r="E29" i="3"/>
  <c r="H29" i="3"/>
  <c r="K29" i="3"/>
  <c r="N29" i="3"/>
  <c r="O29" i="3"/>
  <c r="Q29" i="3"/>
  <c r="T29" i="3"/>
  <c r="U29" i="3"/>
  <c r="V29" i="3"/>
  <c r="W29" i="3"/>
  <c r="Z29" i="3"/>
  <c r="AC29" i="3"/>
  <c r="AF29" i="3"/>
  <c r="AI29" i="3"/>
  <c r="AL29" i="3"/>
  <c r="AO29" i="3"/>
  <c r="AR29" i="3"/>
  <c r="AU29" i="3"/>
  <c r="AX29" i="3"/>
  <c r="BA29" i="3"/>
  <c r="BD29" i="3"/>
  <c r="BG29" i="3"/>
  <c r="BJ29" i="3"/>
  <c r="BM29" i="3"/>
  <c r="BP29" i="3"/>
  <c r="BS29" i="3"/>
  <c r="BV29" i="3"/>
  <c r="BY29" i="3"/>
  <c r="CB29" i="3"/>
  <c r="CE29" i="3"/>
  <c r="CH29" i="3"/>
  <c r="CK29" i="3"/>
  <c r="CN29" i="3"/>
  <c r="CQ29" i="3"/>
  <c r="CT29" i="3"/>
  <c r="CW29" i="3"/>
  <c r="CZ29" i="3"/>
  <c r="DC29" i="3"/>
  <c r="DF29" i="3"/>
  <c r="DI29" i="3"/>
  <c r="DL29" i="3"/>
  <c r="DO29" i="3"/>
  <c r="DR29" i="3"/>
  <c r="DS29" i="3"/>
  <c r="DT29" i="3"/>
  <c r="DU29" i="3"/>
  <c r="A30" i="3"/>
  <c r="E30" i="3"/>
  <c r="H30" i="3"/>
  <c r="K30" i="3"/>
  <c r="N30" i="3"/>
  <c r="O30" i="3"/>
  <c r="Q30" i="3"/>
  <c r="T30" i="3"/>
  <c r="U30" i="3"/>
  <c r="V30" i="3"/>
  <c r="W30" i="3"/>
  <c r="Z30" i="3"/>
  <c r="AC30" i="3"/>
  <c r="AF30" i="3"/>
  <c r="AI30" i="3"/>
  <c r="AL30" i="3"/>
  <c r="AO30" i="3"/>
  <c r="AR30" i="3"/>
  <c r="AU30" i="3"/>
  <c r="AX30" i="3"/>
  <c r="BA30" i="3"/>
  <c r="BD30" i="3"/>
  <c r="BG30" i="3"/>
  <c r="BJ30" i="3"/>
  <c r="BM30" i="3"/>
  <c r="BP30" i="3"/>
  <c r="BS30" i="3"/>
  <c r="BV30" i="3"/>
  <c r="BY30" i="3"/>
  <c r="CB30" i="3"/>
  <c r="CE30" i="3"/>
  <c r="CH30" i="3"/>
  <c r="CK30" i="3"/>
  <c r="CN30" i="3"/>
  <c r="CQ30" i="3"/>
  <c r="CT30" i="3"/>
  <c r="CW30" i="3"/>
  <c r="CZ30" i="3"/>
  <c r="DC30" i="3"/>
  <c r="DF30" i="3"/>
  <c r="DI30" i="3"/>
  <c r="DL30" i="3"/>
  <c r="DO30" i="3"/>
  <c r="DR30" i="3"/>
  <c r="DS30" i="3"/>
  <c r="DT30" i="3"/>
  <c r="DU30" i="3"/>
  <c r="A31" i="3"/>
  <c r="E31" i="3"/>
  <c r="H31" i="3"/>
  <c r="K31" i="3"/>
  <c r="N31" i="3"/>
  <c r="O31" i="3"/>
  <c r="Q31" i="3"/>
  <c r="T31" i="3"/>
  <c r="U31" i="3"/>
  <c r="V31" i="3"/>
  <c r="W31" i="3"/>
  <c r="Z31" i="3"/>
  <c r="AC31" i="3"/>
  <c r="AF31" i="3"/>
  <c r="AI31" i="3"/>
  <c r="AL31" i="3"/>
  <c r="AO31" i="3"/>
  <c r="AR31" i="3"/>
  <c r="AU31" i="3"/>
  <c r="AX31" i="3"/>
  <c r="BA31" i="3"/>
  <c r="BD31" i="3"/>
  <c r="BG31" i="3"/>
  <c r="BJ31" i="3"/>
  <c r="BM31" i="3"/>
  <c r="BP31" i="3"/>
  <c r="BS31" i="3"/>
  <c r="BV31" i="3"/>
  <c r="BY31" i="3"/>
  <c r="CB31" i="3"/>
  <c r="CE31" i="3"/>
  <c r="CH31" i="3"/>
  <c r="CK31" i="3"/>
  <c r="CN31" i="3"/>
  <c r="CQ31" i="3"/>
  <c r="CT31" i="3"/>
  <c r="CW31" i="3"/>
  <c r="CZ31" i="3"/>
  <c r="DC31" i="3"/>
  <c r="DF31" i="3"/>
  <c r="DI31" i="3"/>
  <c r="DL31" i="3"/>
  <c r="DO31" i="3"/>
  <c r="DR31" i="3"/>
  <c r="DS31" i="3"/>
  <c r="DT31" i="3"/>
  <c r="DU31" i="3"/>
  <c r="A32" i="3"/>
  <c r="E32" i="3"/>
  <c r="H32" i="3"/>
  <c r="K32" i="3"/>
  <c r="N32" i="3"/>
  <c r="O32" i="3"/>
  <c r="Q32" i="3"/>
  <c r="T32" i="3"/>
  <c r="U32" i="3"/>
  <c r="V32" i="3"/>
  <c r="W32" i="3"/>
  <c r="Z32" i="3"/>
  <c r="AC32" i="3"/>
  <c r="AF32" i="3"/>
  <c r="AI32" i="3"/>
  <c r="AL32" i="3"/>
  <c r="AO32" i="3"/>
  <c r="AR32" i="3"/>
  <c r="AU32" i="3"/>
  <c r="AX32" i="3"/>
  <c r="BA32" i="3"/>
  <c r="BD32" i="3"/>
  <c r="BG32" i="3"/>
  <c r="BJ32" i="3"/>
  <c r="BM32" i="3"/>
  <c r="BP32" i="3"/>
  <c r="BS32" i="3"/>
  <c r="BV32" i="3"/>
  <c r="BY32" i="3"/>
  <c r="CB32" i="3"/>
  <c r="CE32" i="3"/>
  <c r="CH32" i="3"/>
  <c r="CK32" i="3"/>
  <c r="CN32" i="3"/>
  <c r="CQ32" i="3"/>
  <c r="CT32" i="3"/>
  <c r="CW32" i="3"/>
  <c r="CZ32" i="3"/>
  <c r="DC32" i="3"/>
  <c r="DF32" i="3"/>
  <c r="DI32" i="3"/>
  <c r="DL32" i="3"/>
  <c r="DO32" i="3"/>
  <c r="DR32" i="3"/>
  <c r="DS32" i="3"/>
  <c r="DT32" i="3"/>
  <c r="DU32" i="3"/>
  <c r="A33" i="3"/>
  <c r="E33" i="3"/>
  <c r="H33" i="3"/>
  <c r="K33" i="3"/>
  <c r="N33" i="3"/>
  <c r="O33" i="3"/>
  <c r="Q33" i="3"/>
  <c r="T33" i="3"/>
  <c r="U33" i="3"/>
  <c r="V33" i="3"/>
  <c r="W33" i="3"/>
  <c r="Z33" i="3"/>
  <c r="AC33" i="3"/>
  <c r="AF33" i="3"/>
  <c r="AI33" i="3"/>
  <c r="AL33" i="3"/>
  <c r="AO33" i="3"/>
  <c r="AR33" i="3"/>
  <c r="AU33" i="3"/>
  <c r="AX33" i="3"/>
  <c r="BA33" i="3"/>
  <c r="BD33" i="3"/>
  <c r="BG33" i="3"/>
  <c r="BJ33" i="3"/>
  <c r="BM33" i="3"/>
  <c r="BP33" i="3"/>
  <c r="BS33" i="3"/>
  <c r="BV33" i="3"/>
  <c r="BY33" i="3"/>
  <c r="CB33" i="3"/>
  <c r="CE33" i="3"/>
  <c r="CH33" i="3"/>
  <c r="CK33" i="3"/>
  <c r="CN33" i="3"/>
  <c r="CQ33" i="3"/>
  <c r="CT33" i="3"/>
  <c r="CW33" i="3"/>
  <c r="CZ33" i="3"/>
  <c r="DC33" i="3"/>
  <c r="DF33" i="3"/>
  <c r="DI33" i="3"/>
  <c r="DL33" i="3"/>
  <c r="DO33" i="3"/>
  <c r="DR33" i="3"/>
  <c r="DS33" i="3"/>
  <c r="DT33" i="3"/>
  <c r="DU33" i="3"/>
  <c r="A34" i="3"/>
  <c r="E34" i="3"/>
  <c r="H34" i="3"/>
  <c r="K34" i="3"/>
  <c r="N34" i="3"/>
  <c r="O34" i="3"/>
  <c r="Q34" i="3"/>
  <c r="T34" i="3"/>
  <c r="U34" i="3"/>
  <c r="V34" i="3"/>
  <c r="W34" i="3"/>
  <c r="Z34" i="3"/>
  <c r="AC34" i="3"/>
  <c r="AF34" i="3"/>
  <c r="AI34" i="3"/>
  <c r="AL34" i="3"/>
  <c r="AO34" i="3"/>
  <c r="AR34" i="3"/>
  <c r="AU34" i="3"/>
  <c r="AX34" i="3"/>
  <c r="BA34" i="3"/>
  <c r="BD34" i="3"/>
  <c r="BG34" i="3"/>
  <c r="BJ34" i="3"/>
  <c r="BM34" i="3"/>
  <c r="BP34" i="3"/>
  <c r="BS34" i="3"/>
  <c r="BV34" i="3"/>
  <c r="BY34" i="3"/>
  <c r="CB34" i="3"/>
  <c r="CE34" i="3"/>
  <c r="CH34" i="3"/>
  <c r="CK34" i="3"/>
  <c r="CN34" i="3"/>
  <c r="CQ34" i="3"/>
  <c r="CT34" i="3"/>
  <c r="CW34" i="3"/>
  <c r="CZ34" i="3"/>
  <c r="DC34" i="3"/>
  <c r="DF34" i="3"/>
  <c r="DI34" i="3"/>
  <c r="DL34" i="3"/>
  <c r="DO34" i="3"/>
  <c r="DR34" i="3"/>
  <c r="DS34" i="3"/>
  <c r="DT34" i="3"/>
  <c r="DU34" i="3"/>
  <c r="A35" i="3"/>
  <c r="E35" i="3"/>
  <c r="H35" i="3"/>
  <c r="K35" i="3"/>
  <c r="N35" i="3"/>
  <c r="O35" i="3"/>
  <c r="Q35" i="3"/>
  <c r="T35" i="3"/>
  <c r="U35" i="3"/>
  <c r="V35" i="3"/>
  <c r="W35" i="3"/>
  <c r="Z35" i="3"/>
  <c r="AC35" i="3"/>
  <c r="AF35" i="3"/>
  <c r="AI35" i="3"/>
  <c r="AL35" i="3"/>
  <c r="AO35" i="3"/>
  <c r="AR35" i="3"/>
  <c r="AU35" i="3"/>
  <c r="AX35" i="3"/>
  <c r="BA35" i="3"/>
  <c r="BD35" i="3"/>
  <c r="BG35" i="3"/>
  <c r="BJ35" i="3"/>
  <c r="BM35" i="3"/>
  <c r="BP35" i="3"/>
  <c r="BS35" i="3"/>
  <c r="BV35" i="3"/>
  <c r="BY35" i="3"/>
  <c r="CB35" i="3"/>
  <c r="CE35" i="3"/>
  <c r="CH35" i="3"/>
  <c r="CK35" i="3"/>
  <c r="CN35" i="3"/>
  <c r="CQ35" i="3"/>
  <c r="CT35" i="3"/>
  <c r="CW35" i="3"/>
  <c r="CZ35" i="3"/>
  <c r="DC35" i="3"/>
  <c r="DF35" i="3"/>
  <c r="DI35" i="3"/>
  <c r="DL35" i="3"/>
  <c r="DO35" i="3"/>
  <c r="DR35" i="3"/>
  <c r="DS35" i="3"/>
  <c r="DT35" i="3"/>
  <c r="DU35" i="3"/>
  <c r="A36" i="3"/>
  <c r="E36" i="3"/>
  <c r="H36" i="3"/>
  <c r="K36" i="3"/>
  <c r="N36" i="3"/>
  <c r="O36" i="3"/>
  <c r="Q36" i="3"/>
  <c r="T36" i="3"/>
  <c r="U36" i="3"/>
  <c r="V36" i="3"/>
  <c r="W36" i="3"/>
  <c r="Z36" i="3"/>
  <c r="AC36" i="3"/>
  <c r="AF36" i="3"/>
  <c r="AI36" i="3"/>
  <c r="AL36" i="3"/>
  <c r="AO36" i="3"/>
  <c r="AR36" i="3"/>
  <c r="AU36" i="3"/>
  <c r="AX36" i="3"/>
  <c r="BA36" i="3"/>
  <c r="BD36" i="3"/>
  <c r="BG36" i="3"/>
  <c r="BJ36" i="3"/>
  <c r="BM36" i="3"/>
  <c r="BP36" i="3"/>
  <c r="BS36" i="3"/>
  <c r="BV36" i="3"/>
  <c r="BY36" i="3"/>
  <c r="CB36" i="3"/>
  <c r="CE36" i="3"/>
  <c r="CH36" i="3"/>
  <c r="CK36" i="3"/>
  <c r="CN36" i="3"/>
  <c r="CQ36" i="3"/>
  <c r="CT36" i="3"/>
  <c r="CW36" i="3"/>
  <c r="CZ36" i="3"/>
  <c r="DC36" i="3"/>
  <c r="DF36" i="3"/>
  <c r="DI36" i="3"/>
  <c r="DL36" i="3"/>
  <c r="DO36" i="3"/>
  <c r="DR36" i="3"/>
  <c r="DS36" i="3"/>
  <c r="DT36" i="3"/>
  <c r="DU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A2" i="8"/>
  <c r="A4" i="8"/>
  <c r="B4" i="8"/>
  <c r="G4" i="8"/>
  <c r="H4" i="8"/>
  <c r="L4" i="8"/>
  <c r="M4" i="8"/>
  <c r="O4" i="8"/>
  <c r="P4" i="8"/>
  <c r="R4" i="8"/>
  <c r="S4" i="8"/>
  <c r="T4" i="8"/>
  <c r="V4" i="8"/>
  <c r="X4" i="8"/>
  <c r="A5" i="8"/>
  <c r="B5" i="8"/>
  <c r="G5" i="8"/>
  <c r="H5" i="8"/>
  <c r="L5" i="8"/>
  <c r="M5" i="8"/>
  <c r="O5" i="8"/>
  <c r="P5" i="8"/>
  <c r="R5" i="8"/>
  <c r="S5" i="8"/>
  <c r="T5" i="8"/>
  <c r="V5" i="8"/>
  <c r="X5" i="8"/>
  <c r="A6" i="8"/>
  <c r="B6" i="8"/>
  <c r="G6" i="8"/>
  <c r="H6" i="8"/>
  <c r="L6" i="8"/>
  <c r="M6" i="8"/>
  <c r="O6" i="8"/>
  <c r="P6" i="8"/>
  <c r="R6" i="8"/>
  <c r="S6" i="8"/>
  <c r="T6" i="8"/>
  <c r="V6" i="8"/>
  <c r="X6" i="8"/>
  <c r="A7" i="8"/>
  <c r="B7" i="8"/>
  <c r="G7" i="8"/>
  <c r="H7" i="8"/>
  <c r="L7" i="8"/>
  <c r="M7" i="8"/>
  <c r="O7" i="8"/>
  <c r="P7" i="8"/>
  <c r="R7" i="8"/>
  <c r="S7" i="8"/>
  <c r="T7" i="8"/>
  <c r="V7" i="8"/>
  <c r="X7" i="8"/>
  <c r="Z7" i="8"/>
  <c r="A8" i="8"/>
  <c r="B8" i="8"/>
  <c r="G8" i="8"/>
  <c r="H8" i="8"/>
  <c r="L8" i="8"/>
  <c r="M8" i="8"/>
  <c r="O8" i="8"/>
  <c r="P8" i="8"/>
  <c r="R8" i="8"/>
  <c r="S8" i="8"/>
  <c r="T8" i="8"/>
  <c r="V8" i="8"/>
  <c r="X8" i="8"/>
  <c r="Z8" i="8"/>
  <c r="A9" i="8"/>
  <c r="B9" i="8"/>
  <c r="G9" i="8"/>
  <c r="H9" i="8"/>
  <c r="L9" i="8"/>
  <c r="M9" i="8"/>
  <c r="O9" i="8"/>
  <c r="P9" i="8"/>
  <c r="R9" i="8"/>
  <c r="S9" i="8"/>
  <c r="T9" i="8"/>
  <c r="V9" i="8"/>
  <c r="X9" i="8"/>
  <c r="Z9" i="8"/>
  <c r="A10" i="8"/>
  <c r="B10" i="8"/>
  <c r="G10" i="8"/>
  <c r="H10" i="8"/>
  <c r="L10" i="8"/>
  <c r="M10" i="8"/>
  <c r="O10" i="8"/>
  <c r="P10" i="8"/>
  <c r="R10" i="8"/>
  <c r="S10" i="8"/>
  <c r="T10" i="8"/>
  <c r="V10" i="8"/>
  <c r="X10" i="8"/>
  <c r="Z10" i="8"/>
  <c r="A11" i="8"/>
  <c r="B11" i="8"/>
  <c r="G11" i="8"/>
  <c r="H11" i="8"/>
  <c r="L11" i="8"/>
  <c r="M11" i="8"/>
  <c r="O11" i="8"/>
  <c r="P11" i="8"/>
  <c r="R11" i="8"/>
  <c r="S11" i="8"/>
  <c r="T11" i="8"/>
  <c r="V11" i="8"/>
  <c r="X11" i="8"/>
  <c r="Z11" i="8"/>
  <c r="A12" i="8"/>
  <c r="B12" i="8"/>
  <c r="G12" i="8"/>
  <c r="H12" i="8"/>
  <c r="L12" i="8"/>
  <c r="M12" i="8"/>
  <c r="O12" i="8"/>
  <c r="P12" i="8"/>
  <c r="R12" i="8"/>
  <c r="S12" i="8"/>
  <c r="T12" i="8"/>
  <c r="V12" i="8"/>
  <c r="X12" i="8"/>
  <c r="Z12" i="8"/>
  <c r="A13" i="8"/>
  <c r="B13" i="8"/>
  <c r="G13" i="8"/>
  <c r="H13" i="8"/>
  <c r="L13" i="8"/>
  <c r="M13" i="8"/>
  <c r="O13" i="8"/>
  <c r="P13" i="8"/>
  <c r="R13" i="8"/>
  <c r="S13" i="8"/>
  <c r="T13" i="8"/>
  <c r="V13" i="8"/>
  <c r="X13" i="8"/>
  <c r="Z13" i="8"/>
  <c r="A14" i="8"/>
  <c r="B14" i="8"/>
  <c r="G14" i="8"/>
  <c r="H14" i="8"/>
  <c r="L14" i="8"/>
  <c r="M14" i="8"/>
  <c r="O14" i="8"/>
  <c r="P14" i="8"/>
  <c r="R14" i="8"/>
  <c r="S14" i="8"/>
  <c r="T14" i="8"/>
  <c r="V14" i="8"/>
  <c r="X14" i="8"/>
  <c r="Z14" i="8"/>
  <c r="A15" i="8"/>
  <c r="B15" i="8"/>
  <c r="G15" i="8"/>
  <c r="H15" i="8"/>
  <c r="L15" i="8"/>
  <c r="M15" i="8"/>
  <c r="O15" i="8"/>
  <c r="P15" i="8"/>
  <c r="R15" i="8"/>
  <c r="S15" i="8"/>
  <c r="T15" i="8"/>
  <c r="V15" i="8"/>
  <c r="X15" i="8"/>
  <c r="Z15" i="8"/>
  <c r="A16" i="8"/>
  <c r="B16" i="8"/>
  <c r="G16" i="8"/>
  <c r="H16" i="8"/>
  <c r="L16" i="8"/>
  <c r="M16" i="8"/>
  <c r="O16" i="8"/>
  <c r="P16" i="8"/>
  <c r="R16" i="8"/>
  <c r="S16" i="8"/>
  <c r="T16" i="8"/>
  <c r="V16" i="8"/>
  <c r="X16" i="8"/>
  <c r="Z16" i="8"/>
  <c r="A17" i="8"/>
  <c r="B17" i="8"/>
  <c r="G17" i="8"/>
  <c r="H17" i="8"/>
  <c r="L17" i="8"/>
  <c r="M17" i="8"/>
  <c r="O17" i="8"/>
  <c r="P17" i="8"/>
  <c r="R17" i="8"/>
  <c r="S17" i="8"/>
  <c r="T17" i="8"/>
  <c r="V17" i="8"/>
  <c r="X17" i="8"/>
  <c r="Z17" i="8"/>
  <c r="A18" i="8"/>
  <c r="B18" i="8"/>
  <c r="G18" i="8"/>
  <c r="H18" i="8"/>
  <c r="L18" i="8"/>
  <c r="M18" i="8"/>
  <c r="O18" i="8"/>
  <c r="P18" i="8"/>
  <c r="R18" i="8"/>
  <c r="S18" i="8"/>
  <c r="T18" i="8"/>
  <c r="V18" i="8"/>
  <c r="X18" i="8"/>
  <c r="Z18" i="8"/>
  <c r="A19" i="8"/>
  <c r="B19" i="8"/>
  <c r="G19" i="8"/>
  <c r="H19" i="8"/>
  <c r="L19" i="8"/>
  <c r="M19" i="8"/>
  <c r="O19" i="8"/>
  <c r="P19" i="8"/>
  <c r="R19" i="8"/>
  <c r="S19" i="8"/>
  <c r="T19" i="8"/>
  <c r="V19" i="8"/>
  <c r="X19" i="8"/>
  <c r="Z19" i="8"/>
  <c r="A20" i="8"/>
  <c r="B20" i="8"/>
  <c r="G20" i="8"/>
  <c r="H20" i="8"/>
  <c r="L20" i="8"/>
  <c r="M20" i="8"/>
  <c r="O20" i="8"/>
  <c r="P20" i="8"/>
  <c r="R20" i="8"/>
  <c r="S20" i="8"/>
  <c r="T20" i="8"/>
  <c r="V20" i="8"/>
  <c r="X20" i="8"/>
  <c r="Z20" i="8"/>
  <c r="A21" i="8"/>
  <c r="B21" i="8"/>
  <c r="G21" i="8"/>
  <c r="H21" i="8"/>
  <c r="L21" i="8"/>
  <c r="M21" i="8"/>
  <c r="O21" i="8"/>
  <c r="P21" i="8"/>
  <c r="R21" i="8"/>
  <c r="S21" i="8"/>
  <c r="T21" i="8"/>
  <c r="V21" i="8"/>
  <c r="X21" i="8"/>
  <c r="Z21" i="8"/>
  <c r="A22" i="8"/>
  <c r="B22" i="8"/>
  <c r="G22" i="8"/>
  <c r="H22" i="8"/>
  <c r="L22" i="8"/>
  <c r="M22" i="8"/>
  <c r="O22" i="8"/>
  <c r="P22" i="8"/>
  <c r="R22" i="8"/>
  <c r="S22" i="8"/>
  <c r="T22" i="8"/>
  <c r="V22" i="8"/>
  <c r="X22" i="8"/>
  <c r="Z22" i="8"/>
  <c r="A23" i="8"/>
  <c r="B23" i="8"/>
  <c r="G23" i="8"/>
  <c r="H23" i="8"/>
  <c r="L23" i="8"/>
  <c r="M23" i="8"/>
  <c r="O23" i="8"/>
  <c r="P23" i="8"/>
  <c r="R23" i="8"/>
  <c r="S23" i="8"/>
  <c r="T23" i="8"/>
  <c r="V23" i="8"/>
  <c r="X23" i="8"/>
  <c r="Z23" i="8"/>
  <c r="A24" i="8"/>
  <c r="B24" i="8"/>
  <c r="G24" i="8"/>
  <c r="H24" i="8"/>
  <c r="L24" i="8"/>
  <c r="M24" i="8"/>
  <c r="O24" i="8"/>
  <c r="P24" i="8"/>
  <c r="R24" i="8"/>
  <c r="S24" i="8"/>
  <c r="T24" i="8"/>
  <c r="V24" i="8"/>
  <c r="X24" i="8"/>
  <c r="Z24" i="8"/>
  <c r="A25" i="8"/>
  <c r="B25" i="8"/>
  <c r="G25" i="8"/>
  <c r="H25" i="8"/>
  <c r="L25" i="8"/>
  <c r="M25" i="8"/>
  <c r="O25" i="8"/>
  <c r="P25" i="8"/>
  <c r="R25" i="8"/>
  <c r="S25" i="8"/>
  <c r="T25" i="8"/>
  <c r="V25" i="8"/>
  <c r="X25" i="8"/>
  <c r="Z25" i="8"/>
  <c r="A26" i="8"/>
  <c r="B26" i="8"/>
  <c r="G26" i="8"/>
  <c r="H26" i="8"/>
  <c r="L26" i="8"/>
  <c r="M26" i="8"/>
  <c r="O26" i="8"/>
  <c r="P26" i="8"/>
  <c r="R26" i="8"/>
  <c r="S26" i="8"/>
  <c r="T26" i="8"/>
  <c r="V26" i="8"/>
  <c r="X26" i="8"/>
  <c r="Z26" i="8"/>
  <c r="A27" i="8"/>
  <c r="B27" i="8"/>
  <c r="G27" i="8"/>
  <c r="H27" i="8"/>
  <c r="L27" i="8"/>
  <c r="M27" i="8"/>
  <c r="O27" i="8"/>
  <c r="P27" i="8"/>
  <c r="R27" i="8"/>
  <c r="S27" i="8"/>
  <c r="T27" i="8"/>
  <c r="V27" i="8"/>
  <c r="X27" i="8"/>
  <c r="Z27" i="8"/>
  <c r="A28" i="8"/>
  <c r="B28" i="8"/>
  <c r="G28" i="8"/>
  <c r="H28" i="8"/>
  <c r="L28" i="8"/>
  <c r="M28" i="8"/>
  <c r="O28" i="8"/>
  <c r="P28" i="8"/>
  <c r="R28" i="8"/>
  <c r="S28" i="8"/>
  <c r="T28" i="8"/>
  <c r="V28" i="8"/>
  <c r="X28" i="8"/>
  <c r="Z28" i="8"/>
  <c r="A29" i="8"/>
  <c r="B29" i="8"/>
  <c r="G29" i="8"/>
  <c r="H29" i="8"/>
  <c r="L29" i="8"/>
  <c r="M29" i="8"/>
  <c r="O29" i="8"/>
  <c r="P29" i="8"/>
  <c r="R29" i="8"/>
  <c r="S29" i="8"/>
  <c r="T29" i="8"/>
  <c r="V29" i="8"/>
  <c r="X29" i="8"/>
  <c r="Z29" i="8"/>
  <c r="A30" i="8"/>
  <c r="B30" i="8"/>
  <c r="G30" i="8"/>
  <c r="H30" i="8"/>
  <c r="M30" i="8"/>
  <c r="O30" i="8"/>
  <c r="P30" i="8"/>
  <c r="R30" i="8"/>
  <c r="S30" i="8"/>
  <c r="T30" i="8"/>
  <c r="V30" i="8"/>
  <c r="X30" i="8"/>
  <c r="Z30" i="8"/>
  <c r="A31" i="8"/>
  <c r="B31" i="8"/>
  <c r="G31" i="8"/>
  <c r="H31" i="8"/>
  <c r="M31" i="8"/>
  <c r="O31" i="8"/>
  <c r="P31" i="8"/>
  <c r="R31" i="8"/>
  <c r="S31" i="8"/>
  <c r="T31" i="8"/>
  <c r="V31" i="8"/>
  <c r="X31" i="8"/>
  <c r="Z31" i="8"/>
  <c r="A32" i="8"/>
  <c r="B32" i="8"/>
  <c r="G32" i="8"/>
  <c r="H32" i="8"/>
  <c r="L32" i="8"/>
  <c r="M32" i="8"/>
  <c r="O32" i="8"/>
  <c r="P32" i="8"/>
  <c r="R32" i="8"/>
  <c r="S32" i="8"/>
  <c r="T32" i="8"/>
  <c r="V32" i="8"/>
  <c r="X32" i="8"/>
  <c r="Z32" i="8"/>
  <c r="A33" i="8"/>
  <c r="B33" i="8"/>
  <c r="G33" i="8"/>
  <c r="H33" i="8"/>
  <c r="M33" i="8"/>
  <c r="O33" i="8"/>
  <c r="P33" i="8"/>
  <c r="R33" i="8"/>
  <c r="S33" i="8"/>
  <c r="T33" i="8"/>
  <c r="V33" i="8"/>
  <c r="X33" i="8"/>
  <c r="Z33" i="8"/>
  <c r="A34" i="8"/>
  <c r="B34" i="8"/>
  <c r="G34" i="8"/>
  <c r="H34" i="8"/>
  <c r="M34" i="8"/>
  <c r="O34" i="8"/>
  <c r="P34" i="8"/>
  <c r="R34" i="8"/>
  <c r="S34" i="8"/>
  <c r="T34" i="8"/>
  <c r="V34" i="8"/>
  <c r="X34" i="8"/>
  <c r="Z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R35" i="8"/>
  <c r="V35" i="8"/>
  <c r="Z36" i="8"/>
  <c r="E1" i="7"/>
  <c r="A5" i="7"/>
  <c r="M5" i="7"/>
  <c r="N5" i="7"/>
  <c r="P5" i="7"/>
  <c r="AM5" i="7"/>
  <c r="AN5" i="7"/>
  <c r="AO5" i="7"/>
  <c r="AQ5" i="7"/>
  <c r="AS5" i="7"/>
  <c r="AU5" i="7"/>
  <c r="A6" i="7"/>
  <c r="M6" i="7"/>
  <c r="N6" i="7"/>
  <c r="P6" i="7"/>
  <c r="AM6" i="7"/>
  <c r="AN6" i="7"/>
  <c r="AO6" i="7"/>
  <c r="AQ6" i="7"/>
  <c r="AS6" i="7"/>
  <c r="AU6" i="7"/>
  <c r="A7" i="7"/>
  <c r="M7" i="7"/>
  <c r="N7" i="7"/>
  <c r="P7" i="7"/>
  <c r="AM7" i="7"/>
  <c r="AN7" i="7"/>
  <c r="AO7" i="7"/>
  <c r="AQ7" i="7"/>
  <c r="AS7" i="7"/>
  <c r="AU7" i="7"/>
  <c r="A8" i="7"/>
  <c r="M8" i="7"/>
  <c r="P8" i="7"/>
  <c r="AM8" i="7"/>
  <c r="AN8" i="7"/>
  <c r="AO8" i="7"/>
  <c r="AQ8" i="7"/>
  <c r="AS8" i="7"/>
  <c r="AU8" i="7"/>
  <c r="A9" i="7"/>
  <c r="M9" i="7"/>
  <c r="N9" i="7"/>
  <c r="P9" i="7"/>
  <c r="AM9" i="7"/>
  <c r="AN9" i="7"/>
  <c r="AO9" i="7"/>
  <c r="AQ9" i="7"/>
  <c r="AS9" i="7"/>
  <c r="AU9" i="7"/>
  <c r="A10" i="7"/>
  <c r="M10" i="7"/>
  <c r="Q10" i="7"/>
  <c r="R10" i="7"/>
  <c r="S10" i="7"/>
  <c r="AM10" i="7"/>
  <c r="AN10" i="7"/>
  <c r="AO10" i="7"/>
  <c r="AQ10" i="7"/>
  <c r="AS10" i="7"/>
  <c r="AU10" i="7"/>
  <c r="A11" i="7"/>
  <c r="K11" i="7"/>
  <c r="M11" i="7"/>
  <c r="AM11" i="7"/>
  <c r="AN11" i="7"/>
  <c r="AO11" i="7"/>
  <c r="AQ11" i="7"/>
  <c r="AS11" i="7"/>
  <c r="AU11" i="7"/>
  <c r="A12" i="7"/>
  <c r="D12" i="7"/>
  <c r="M12" i="7"/>
  <c r="N12" i="7"/>
  <c r="AM12" i="7"/>
  <c r="AN12" i="7"/>
  <c r="AO12" i="7"/>
  <c r="AQ12" i="7"/>
  <c r="AS12" i="7"/>
  <c r="AU12" i="7"/>
  <c r="A13" i="7"/>
  <c r="D13" i="7"/>
  <c r="M13" i="7"/>
  <c r="AM13" i="7"/>
  <c r="AN13" i="7"/>
  <c r="AO13" i="7"/>
  <c r="AQ13" i="7"/>
  <c r="AS13" i="7"/>
  <c r="AU13" i="7"/>
  <c r="A14" i="7"/>
  <c r="K14" i="7"/>
  <c r="M14" i="7"/>
  <c r="AM14" i="7"/>
  <c r="AN14" i="7"/>
  <c r="AO14" i="7"/>
  <c r="AQ14" i="7"/>
  <c r="AS14" i="7"/>
  <c r="AU14" i="7"/>
  <c r="A15" i="7"/>
  <c r="K15" i="7"/>
  <c r="M15" i="7"/>
  <c r="AM15" i="7"/>
  <c r="AN15" i="7"/>
  <c r="AO15" i="7"/>
  <c r="AQ15" i="7"/>
  <c r="AS15" i="7"/>
  <c r="AU15" i="7"/>
  <c r="A16" i="7"/>
  <c r="D16" i="7"/>
  <c r="M16" i="7"/>
  <c r="AM16" i="7"/>
  <c r="AN16" i="7"/>
  <c r="AO16" i="7"/>
  <c r="AQ16" i="7"/>
  <c r="AS16" i="7"/>
  <c r="AU16" i="7"/>
  <c r="A17" i="7"/>
  <c r="K17" i="7"/>
  <c r="M17" i="7"/>
  <c r="AM17" i="7"/>
  <c r="AN17" i="7"/>
  <c r="AO17" i="7"/>
  <c r="AQ17" i="7"/>
  <c r="AS17" i="7"/>
  <c r="AU17" i="7"/>
  <c r="A18" i="7"/>
  <c r="D18" i="7"/>
  <c r="K18" i="7"/>
  <c r="M18" i="7"/>
  <c r="R18" i="7"/>
  <c r="AD18" i="7"/>
  <c r="AM18" i="7"/>
  <c r="AN18" i="7"/>
  <c r="AO18" i="7"/>
  <c r="AQ18" i="7"/>
  <c r="AS18" i="7"/>
  <c r="AU18" i="7"/>
  <c r="A19" i="7"/>
  <c r="D19" i="7"/>
  <c r="M19" i="7"/>
  <c r="AD19" i="7"/>
  <c r="AM19" i="7"/>
  <c r="AN19" i="7"/>
  <c r="AO19" i="7"/>
  <c r="AQ19" i="7"/>
  <c r="AS19" i="7"/>
  <c r="AU19" i="7"/>
  <c r="A20" i="7"/>
  <c r="D20" i="7"/>
  <c r="M20" i="7"/>
  <c r="AD20" i="7"/>
  <c r="AM20" i="7"/>
  <c r="AN20" i="7"/>
  <c r="AO20" i="7"/>
  <c r="AQ20" i="7"/>
  <c r="AS20" i="7"/>
  <c r="AU20" i="7"/>
  <c r="A21" i="7"/>
  <c r="D21" i="7"/>
  <c r="K21" i="7"/>
  <c r="M21" i="7"/>
  <c r="AD21" i="7"/>
  <c r="AM21" i="7"/>
  <c r="AN21" i="7"/>
  <c r="AO21" i="7"/>
  <c r="AQ21" i="7"/>
  <c r="AS21" i="7"/>
  <c r="AU21" i="7"/>
  <c r="A22" i="7"/>
  <c r="D22" i="7"/>
  <c r="K22" i="7"/>
  <c r="M22" i="7"/>
  <c r="S22" i="7"/>
  <c r="AM22" i="7"/>
  <c r="AN22" i="7"/>
  <c r="AO22" i="7"/>
  <c r="AQ22" i="7"/>
  <c r="AS22" i="7"/>
  <c r="AU22" i="7"/>
  <c r="A23" i="7"/>
  <c r="D23" i="7"/>
  <c r="K23" i="7"/>
  <c r="M23" i="7"/>
  <c r="S23" i="7"/>
  <c r="Z23" i="7"/>
  <c r="AD23" i="7"/>
  <c r="AG23" i="7"/>
  <c r="AM23" i="7"/>
  <c r="AN23" i="7"/>
  <c r="AO23" i="7"/>
  <c r="AQ23" i="7"/>
  <c r="AS23" i="7"/>
  <c r="AU23" i="7"/>
  <c r="A24" i="7"/>
  <c r="D24" i="7"/>
  <c r="K24" i="7"/>
  <c r="M24" i="7"/>
  <c r="AD24" i="7"/>
  <c r="AM24" i="7"/>
  <c r="AN24" i="7"/>
  <c r="AO24" i="7"/>
  <c r="AQ24" i="7"/>
  <c r="AS24" i="7"/>
  <c r="AU24" i="7"/>
  <c r="A25" i="7"/>
  <c r="M25" i="7"/>
  <c r="Y25" i="7"/>
  <c r="AM25" i="7"/>
  <c r="AN25" i="7"/>
  <c r="AO25" i="7"/>
  <c r="AQ25" i="7"/>
  <c r="AS25" i="7"/>
  <c r="AU25" i="7"/>
  <c r="A26" i="7"/>
  <c r="M26" i="7"/>
  <c r="AM26" i="7"/>
  <c r="AN26" i="7"/>
  <c r="AO26" i="7"/>
  <c r="AQ26" i="7"/>
  <c r="AS26" i="7"/>
  <c r="AU26" i="7"/>
  <c r="A27" i="7"/>
  <c r="AM27" i="7"/>
  <c r="AN27" i="7"/>
  <c r="AO27" i="7"/>
  <c r="AQ27" i="7"/>
  <c r="AS27" i="7"/>
  <c r="AU27" i="7"/>
  <c r="A28" i="7"/>
  <c r="I28" i="7"/>
  <c r="AM28" i="7"/>
  <c r="AN28" i="7"/>
  <c r="AO28" i="7"/>
  <c r="AQ28" i="7"/>
  <c r="AS28" i="7"/>
  <c r="AU28" i="7"/>
  <c r="A29" i="7"/>
  <c r="I29" i="7"/>
  <c r="AM29" i="7"/>
  <c r="AN29" i="7"/>
  <c r="AO29" i="7"/>
  <c r="AQ29" i="7"/>
  <c r="AS29" i="7"/>
  <c r="AU29" i="7"/>
  <c r="A30" i="7"/>
  <c r="R30" i="7"/>
  <c r="S30" i="7"/>
  <c r="T30" i="7"/>
  <c r="Z30" i="7"/>
  <c r="AD30" i="7"/>
  <c r="AM30" i="7"/>
  <c r="AN30" i="7"/>
  <c r="AO30" i="7"/>
  <c r="AQ30" i="7"/>
  <c r="AS30" i="7"/>
  <c r="AU30" i="7"/>
  <c r="A31" i="7"/>
  <c r="AM31" i="7"/>
  <c r="AN31" i="7"/>
  <c r="AO31" i="7"/>
  <c r="AQ31" i="7"/>
  <c r="AS31" i="7"/>
  <c r="AU31" i="7"/>
  <c r="A32" i="7"/>
  <c r="M32" i="7"/>
  <c r="AM32" i="7"/>
  <c r="AN32" i="7"/>
  <c r="AO32" i="7"/>
  <c r="AQ32" i="7"/>
  <c r="AS32" i="7"/>
  <c r="AU32" i="7"/>
  <c r="A33" i="7"/>
  <c r="M33" i="7"/>
  <c r="P33" i="7"/>
  <c r="AM33" i="7"/>
  <c r="AN33" i="7"/>
  <c r="AO33" i="7"/>
  <c r="AQ33" i="7"/>
  <c r="AS33" i="7"/>
  <c r="AU33" i="7"/>
  <c r="A34" i="7"/>
  <c r="M34" i="7"/>
  <c r="AM34" i="7"/>
  <c r="AN34" i="7"/>
  <c r="AO34" i="7"/>
  <c r="AQ34" i="7"/>
  <c r="AS34" i="7"/>
  <c r="AU34" i="7"/>
  <c r="A35" i="7"/>
  <c r="M35" i="7"/>
  <c r="AM35" i="7"/>
  <c r="AN35" i="7"/>
  <c r="AO35" i="7"/>
  <c r="AQ35" i="7"/>
  <c r="AS35" i="7"/>
  <c r="AU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B1" i="5"/>
  <c r="A6" i="5"/>
  <c r="B6" i="5"/>
  <c r="E6" i="5"/>
  <c r="H6" i="5"/>
  <c r="K6" i="5"/>
  <c r="N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I6" i="5"/>
  <c r="AJ6" i="5"/>
  <c r="AL6" i="5"/>
  <c r="AO6" i="5"/>
  <c r="AR6" i="5"/>
  <c r="AU6" i="5"/>
  <c r="AX6" i="5"/>
  <c r="BA6" i="5"/>
  <c r="BD6" i="5"/>
  <c r="BG6" i="5"/>
  <c r="BJ6" i="5"/>
  <c r="BM6" i="5"/>
  <c r="BP6" i="5"/>
  <c r="BS6" i="5"/>
  <c r="BV6" i="5"/>
  <c r="BY6" i="5"/>
  <c r="CB6" i="5"/>
  <c r="CE6" i="5"/>
  <c r="CH6" i="5"/>
  <c r="CK6" i="5"/>
  <c r="CN6" i="5"/>
  <c r="CQ6" i="5"/>
  <c r="CT6" i="5"/>
  <c r="CW6" i="5"/>
  <c r="CZ6" i="5"/>
  <c r="DC6" i="5"/>
  <c r="DF6" i="5"/>
  <c r="DI6" i="5"/>
  <c r="DL6" i="5"/>
  <c r="DO6" i="5"/>
  <c r="DR6" i="5"/>
  <c r="DU6" i="5"/>
  <c r="DX6" i="5"/>
  <c r="EA6" i="5"/>
  <c r="ED6" i="5"/>
  <c r="EG6" i="5"/>
  <c r="EJ6" i="5"/>
  <c r="EM6" i="5"/>
  <c r="EP6" i="5"/>
  <c r="EQ6" i="5"/>
  <c r="ER6" i="5"/>
  <c r="ES6" i="5"/>
  <c r="ET6" i="5"/>
  <c r="EV6" i="5"/>
  <c r="EW6" i="5"/>
  <c r="EX6" i="5"/>
  <c r="EY6" i="5"/>
  <c r="FA6" i="5"/>
  <c r="FB6" i="5"/>
  <c r="A7" i="5"/>
  <c r="B7" i="5"/>
  <c r="E7" i="5"/>
  <c r="H7" i="5"/>
  <c r="K7" i="5"/>
  <c r="N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I7" i="5"/>
  <c r="AJ7" i="5"/>
  <c r="AL7" i="5"/>
  <c r="AO7" i="5"/>
  <c r="AR7" i="5"/>
  <c r="AU7" i="5"/>
  <c r="AX7" i="5"/>
  <c r="BA7" i="5"/>
  <c r="BD7" i="5"/>
  <c r="BG7" i="5"/>
  <c r="BJ7" i="5"/>
  <c r="BM7" i="5"/>
  <c r="BP7" i="5"/>
  <c r="BS7" i="5"/>
  <c r="BV7" i="5"/>
  <c r="BY7" i="5"/>
  <c r="CB7" i="5"/>
  <c r="CE7" i="5"/>
  <c r="CH7" i="5"/>
  <c r="CK7" i="5"/>
  <c r="CN7" i="5"/>
  <c r="CQ7" i="5"/>
  <c r="CT7" i="5"/>
  <c r="CW7" i="5"/>
  <c r="CZ7" i="5"/>
  <c r="DC7" i="5"/>
  <c r="DF7" i="5"/>
  <c r="DI7" i="5"/>
  <c r="DL7" i="5"/>
  <c r="DO7" i="5"/>
  <c r="DR7" i="5"/>
  <c r="DU7" i="5"/>
  <c r="DX7" i="5"/>
  <c r="EA7" i="5"/>
  <c r="ED7" i="5"/>
  <c r="EG7" i="5"/>
  <c r="EJ7" i="5"/>
  <c r="EM7" i="5"/>
  <c r="EP7" i="5"/>
  <c r="EQ7" i="5"/>
  <c r="ER7" i="5"/>
  <c r="ES7" i="5"/>
  <c r="ET7" i="5"/>
  <c r="EV7" i="5"/>
  <c r="EW7" i="5"/>
  <c r="EX7" i="5"/>
  <c r="EY7" i="5"/>
  <c r="FA7" i="5"/>
  <c r="FB7" i="5"/>
  <c r="A8" i="5"/>
  <c r="B8" i="5"/>
  <c r="E8" i="5"/>
  <c r="H8" i="5"/>
  <c r="K8" i="5"/>
  <c r="N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I8" i="5"/>
  <c r="AJ8" i="5"/>
  <c r="AL8" i="5"/>
  <c r="AO8" i="5"/>
  <c r="AR8" i="5"/>
  <c r="AU8" i="5"/>
  <c r="AX8" i="5"/>
  <c r="BA8" i="5"/>
  <c r="BD8" i="5"/>
  <c r="BG8" i="5"/>
  <c r="BJ8" i="5"/>
  <c r="BM8" i="5"/>
  <c r="BP8" i="5"/>
  <c r="BS8" i="5"/>
  <c r="BV8" i="5"/>
  <c r="BY8" i="5"/>
  <c r="CB8" i="5"/>
  <c r="CE8" i="5"/>
  <c r="CH8" i="5"/>
  <c r="CK8" i="5"/>
  <c r="CN8" i="5"/>
  <c r="CQ8" i="5"/>
  <c r="CT8" i="5"/>
  <c r="CW8" i="5"/>
  <c r="CZ8" i="5"/>
  <c r="DC8" i="5"/>
  <c r="DF8" i="5"/>
  <c r="DI8" i="5"/>
  <c r="DL8" i="5"/>
  <c r="DO8" i="5"/>
  <c r="DR8" i="5"/>
  <c r="DU8" i="5"/>
  <c r="DX8" i="5"/>
  <c r="EA8" i="5"/>
  <c r="ED8" i="5"/>
  <c r="EG8" i="5"/>
  <c r="EJ8" i="5"/>
  <c r="EM8" i="5"/>
  <c r="EP8" i="5"/>
  <c r="EQ8" i="5"/>
  <c r="ER8" i="5"/>
  <c r="ES8" i="5"/>
  <c r="ET8" i="5"/>
  <c r="EV8" i="5"/>
  <c r="EW8" i="5"/>
  <c r="EX8" i="5"/>
  <c r="EY8" i="5"/>
  <c r="FA8" i="5"/>
  <c r="FB8" i="5"/>
  <c r="A9" i="5"/>
  <c r="B9" i="5"/>
  <c r="E9" i="5"/>
  <c r="H9" i="5"/>
  <c r="K9" i="5"/>
  <c r="N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I9" i="5"/>
  <c r="AJ9" i="5"/>
  <c r="AL9" i="5"/>
  <c r="AO9" i="5"/>
  <c r="AR9" i="5"/>
  <c r="AU9" i="5"/>
  <c r="AX9" i="5"/>
  <c r="BA9" i="5"/>
  <c r="BD9" i="5"/>
  <c r="BG9" i="5"/>
  <c r="BJ9" i="5"/>
  <c r="BM9" i="5"/>
  <c r="BP9" i="5"/>
  <c r="BS9" i="5"/>
  <c r="BV9" i="5"/>
  <c r="BY9" i="5"/>
  <c r="CB9" i="5"/>
  <c r="CE9" i="5"/>
  <c r="CH9" i="5"/>
  <c r="CK9" i="5"/>
  <c r="CN9" i="5"/>
  <c r="CQ9" i="5"/>
  <c r="CT9" i="5"/>
  <c r="CW9" i="5"/>
  <c r="CZ9" i="5"/>
  <c r="DC9" i="5"/>
  <c r="DF9" i="5"/>
  <c r="DI9" i="5"/>
  <c r="DL9" i="5"/>
  <c r="DO9" i="5"/>
  <c r="DR9" i="5"/>
  <c r="DU9" i="5"/>
  <c r="DX9" i="5"/>
  <c r="EA9" i="5"/>
  <c r="ED9" i="5"/>
  <c r="EG9" i="5"/>
  <c r="EJ9" i="5"/>
  <c r="EM9" i="5"/>
  <c r="EP9" i="5"/>
  <c r="EQ9" i="5"/>
  <c r="ER9" i="5"/>
  <c r="ES9" i="5"/>
  <c r="ET9" i="5"/>
  <c r="EV9" i="5"/>
  <c r="EW9" i="5"/>
  <c r="EX9" i="5"/>
  <c r="EY9" i="5"/>
  <c r="FA9" i="5"/>
  <c r="FB9" i="5"/>
  <c r="A10" i="5"/>
  <c r="B10" i="5"/>
  <c r="E10" i="5"/>
  <c r="H10" i="5"/>
  <c r="K10" i="5"/>
  <c r="N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I10" i="5"/>
  <c r="AJ10" i="5"/>
  <c r="AL10" i="5"/>
  <c r="AO10" i="5"/>
  <c r="AR10" i="5"/>
  <c r="AU10" i="5"/>
  <c r="AX10" i="5"/>
  <c r="BA10" i="5"/>
  <c r="BD10" i="5"/>
  <c r="BG10" i="5"/>
  <c r="BJ10" i="5"/>
  <c r="BM10" i="5"/>
  <c r="BP10" i="5"/>
  <c r="BS10" i="5"/>
  <c r="BV10" i="5"/>
  <c r="BY10" i="5"/>
  <c r="CB10" i="5"/>
  <c r="CE10" i="5"/>
  <c r="CH10" i="5"/>
  <c r="CK10" i="5"/>
  <c r="CN10" i="5"/>
  <c r="CQ10" i="5"/>
  <c r="CT10" i="5"/>
  <c r="CW10" i="5"/>
  <c r="CZ10" i="5"/>
  <c r="DC10" i="5"/>
  <c r="DF10" i="5"/>
  <c r="DI10" i="5"/>
  <c r="DL10" i="5"/>
  <c r="DO10" i="5"/>
  <c r="DR10" i="5"/>
  <c r="DU10" i="5"/>
  <c r="DX10" i="5"/>
  <c r="EA10" i="5"/>
  <c r="ED10" i="5"/>
  <c r="EG10" i="5"/>
  <c r="EJ10" i="5"/>
  <c r="EM10" i="5"/>
  <c r="EP10" i="5"/>
  <c r="EQ10" i="5"/>
  <c r="ER10" i="5"/>
  <c r="ES10" i="5"/>
  <c r="ET10" i="5"/>
  <c r="EV10" i="5"/>
  <c r="EW10" i="5"/>
  <c r="EX10" i="5"/>
  <c r="EY10" i="5"/>
  <c r="FA10" i="5"/>
  <c r="FB10" i="5"/>
  <c r="A11" i="5"/>
  <c r="B11" i="5"/>
  <c r="E11" i="5"/>
  <c r="H11" i="5"/>
  <c r="K11" i="5"/>
  <c r="N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H11" i="5"/>
  <c r="AI11" i="5"/>
  <c r="AJ11" i="5"/>
  <c r="AL11" i="5"/>
  <c r="AO11" i="5"/>
  <c r="AR11" i="5"/>
  <c r="AU11" i="5"/>
  <c r="AX11" i="5"/>
  <c r="BA11" i="5"/>
  <c r="BD11" i="5"/>
  <c r="BG11" i="5"/>
  <c r="BJ11" i="5"/>
  <c r="BM11" i="5"/>
  <c r="BP11" i="5"/>
  <c r="BS11" i="5"/>
  <c r="BV11" i="5"/>
  <c r="BY11" i="5"/>
  <c r="CB11" i="5"/>
  <c r="CE11" i="5"/>
  <c r="CH11" i="5"/>
  <c r="CK11" i="5"/>
  <c r="CN11" i="5"/>
  <c r="CQ11" i="5"/>
  <c r="CT11" i="5"/>
  <c r="CW11" i="5"/>
  <c r="CZ11" i="5"/>
  <c r="DC11" i="5"/>
  <c r="DF11" i="5"/>
  <c r="DI11" i="5"/>
  <c r="DL11" i="5"/>
  <c r="DO11" i="5"/>
  <c r="DR11" i="5"/>
  <c r="DU11" i="5"/>
  <c r="DX11" i="5"/>
  <c r="EA11" i="5"/>
  <c r="ED11" i="5"/>
  <c r="EG11" i="5"/>
  <c r="EJ11" i="5"/>
  <c r="EM11" i="5"/>
  <c r="EP11" i="5"/>
  <c r="EQ11" i="5"/>
  <c r="ER11" i="5"/>
  <c r="ES11" i="5"/>
  <c r="ET11" i="5"/>
  <c r="EV11" i="5"/>
  <c r="EW11" i="5"/>
  <c r="EX11" i="5"/>
  <c r="EY11" i="5"/>
  <c r="FA11" i="5"/>
  <c r="FB11" i="5"/>
  <c r="A12" i="5"/>
  <c r="B12" i="5"/>
  <c r="E12" i="5"/>
  <c r="H12" i="5"/>
  <c r="K12" i="5"/>
  <c r="N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I12" i="5"/>
  <c r="AJ12" i="5"/>
  <c r="AL12" i="5"/>
  <c r="AO12" i="5"/>
  <c r="AR12" i="5"/>
  <c r="AU12" i="5"/>
  <c r="AX12" i="5"/>
  <c r="BA12" i="5"/>
  <c r="BD12" i="5"/>
  <c r="BG12" i="5"/>
  <c r="BJ12" i="5"/>
  <c r="BM12" i="5"/>
  <c r="BP12" i="5"/>
  <c r="BS12" i="5"/>
  <c r="BV12" i="5"/>
  <c r="BY12" i="5"/>
  <c r="CB12" i="5"/>
  <c r="CE12" i="5"/>
  <c r="CH12" i="5"/>
  <c r="CK12" i="5"/>
  <c r="CN12" i="5"/>
  <c r="CQ12" i="5"/>
  <c r="CT12" i="5"/>
  <c r="CW12" i="5"/>
  <c r="CZ12" i="5"/>
  <c r="DC12" i="5"/>
  <c r="DF12" i="5"/>
  <c r="DI12" i="5"/>
  <c r="DL12" i="5"/>
  <c r="DO12" i="5"/>
  <c r="DR12" i="5"/>
  <c r="DU12" i="5"/>
  <c r="DX12" i="5"/>
  <c r="EA12" i="5"/>
  <c r="ED12" i="5"/>
  <c r="EG12" i="5"/>
  <c r="EJ12" i="5"/>
  <c r="EM12" i="5"/>
  <c r="EP12" i="5"/>
  <c r="EQ12" i="5"/>
  <c r="ER12" i="5"/>
  <c r="ES12" i="5"/>
  <c r="ET12" i="5"/>
  <c r="EV12" i="5"/>
  <c r="EW12" i="5"/>
  <c r="EX12" i="5"/>
  <c r="EY12" i="5"/>
  <c r="FA12" i="5"/>
  <c r="FB12" i="5"/>
  <c r="A13" i="5"/>
  <c r="B13" i="5"/>
  <c r="E13" i="5"/>
  <c r="H13" i="5"/>
  <c r="K13" i="5"/>
  <c r="N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I13" i="5"/>
  <c r="AJ13" i="5"/>
  <c r="AK13" i="5"/>
  <c r="AL13" i="5"/>
  <c r="AO13" i="5"/>
  <c r="AR13" i="5"/>
  <c r="AU13" i="5"/>
  <c r="AX13" i="5"/>
  <c r="BA13" i="5"/>
  <c r="BD13" i="5"/>
  <c r="BG13" i="5"/>
  <c r="BJ13" i="5"/>
  <c r="BM13" i="5"/>
  <c r="BP13" i="5"/>
  <c r="BS13" i="5"/>
  <c r="BV13" i="5"/>
  <c r="BY13" i="5"/>
  <c r="CB13" i="5"/>
  <c r="CE13" i="5"/>
  <c r="CH13" i="5"/>
  <c r="CK13" i="5"/>
  <c r="CN13" i="5"/>
  <c r="CQ13" i="5"/>
  <c r="CT13" i="5"/>
  <c r="CW13" i="5"/>
  <c r="CZ13" i="5"/>
  <c r="DC13" i="5"/>
  <c r="DF13" i="5"/>
  <c r="DI13" i="5"/>
  <c r="DL13" i="5"/>
  <c r="DO13" i="5"/>
  <c r="DR13" i="5"/>
  <c r="DU13" i="5"/>
  <c r="DX13" i="5"/>
  <c r="EA13" i="5"/>
  <c r="ED13" i="5"/>
  <c r="EG13" i="5"/>
  <c r="EJ13" i="5"/>
  <c r="EM13" i="5"/>
  <c r="EP13" i="5"/>
  <c r="EQ13" i="5"/>
  <c r="ER13" i="5"/>
  <c r="ES13" i="5"/>
  <c r="ET13" i="5"/>
  <c r="EV13" i="5"/>
  <c r="EW13" i="5"/>
  <c r="EX13" i="5"/>
  <c r="EY13" i="5"/>
  <c r="FA13" i="5"/>
  <c r="FB13" i="5"/>
  <c r="A14" i="5"/>
  <c r="B14" i="5"/>
  <c r="E14" i="5"/>
  <c r="H14" i="5"/>
  <c r="K14" i="5"/>
  <c r="N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H14" i="5"/>
  <c r="AI14" i="5"/>
  <c r="AJ14" i="5"/>
  <c r="AK14" i="5"/>
  <c r="AL14" i="5"/>
  <c r="AO14" i="5"/>
  <c r="AR14" i="5"/>
  <c r="AU14" i="5"/>
  <c r="AX14" i="5"/>
  <c r="BA14" i="5"/>
  <c r="BD14" i="5"/>
  <c r="BG14" i="5"/>
  <c r="BJ14" i="5"/>
  <c r="BM14" i="5"/>
  <c r="BP14" i="5"/>
  <c r="BS14" i="5"/>
  <c r="BV14" i="5"/>
  <c r="BY14" i="5"/>
  <c r="CB14" i="5"/>
  <c r="CE14" i="5"/>
  <c r="CH14" i="5"/>
  <c r="CK14" i="5"/>
  <c r="CN14" i="5"/>
  <c r="CQ14" i="5"/>
  <c r="CT14" i="5"/>
  <c r="CW14" i="5"/>
  <c r="CZ14" i="5"/>
  <c r="DC14" i="5"/>
  <c r="DF14" i="5"/>
  <c r="DI14" i="5"/>
  <c r="DL14" i="5"/>
  <c r="DO14" i="5"/>
  <c r="DR14" i="5"/>
  <c r="DU14" i="5"/>
  <c r="DX14" i="5"/>
  <c r="EA14" i="5"/>
  <c r="ED14" i="5"/>
  <c r="EG14" i="5"/>
  <c r="EJ14" i="5"/>
  <c r="EM14" i="5"/>
  <c r="EP14" i="5"/>
  <c r="EQ14" i="5"/>
  <c r="ER14" i="5"/>
  <c r="ES14" i="5"/>
  <c r="ET14" i="5"/>
  <c r="EV14" i="5"/>
  <c r="EW14" i="5"/>
  <c r="EX14" i="5"/>
  <c r="EY14" i="5"/>
  <c r="FA14" i="5"/>
  <c r="FB14" i="5"/>
  <c r="A15" i="5"/>
  <c r="B15" i="5"/>
  <c r="E15" i="5"/>
  <c r="H15" i="5"/>
  <c r="K15" i="5"/>
  <c r="N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I15" i="5"/>
  <c r="AJ15" i="5"/>
  <c r="AK15" i="5"/>
  <c r="AL15" i="5"/>
  <c r="AO15" i="5"/>
  <c r="AR15" i="5"/>
  <c r="AU15" i="5"/>
  <c r="AX15" i="5"/>
  <c r="BA15" i="5"/>
  <c r="BD15" i="5"/>
  <c r="BG15" i="5"/>
  <c r="BJ15" i="5"/>
  <c r="BM15" i="5"/>
  <c r="BP15" i="5"/>
  <c r="BS15" i="5"/>
  <c r="BV15" i="5"/>
  <c r="BY15" i="5"/>
  <c r="CB15" i="5"/>
  <c r="CE15" i="5"/>
  <c r="CH15" i="5"/>
  <c r="CK15" i="5"/>
  <c r="CN15" i="5"/>
  <c r="CQ15" i="5"/>
  <c r="CT15" i="5"/>
  <c r="CW15" i="5"/>
  <c r="CZ15" i="5"/>
  <c r="DC15" i="5"/>
  <c r="DF15" i="5"/>
  <c r="DI15" i="5"/>
  <c r="DL15" i="5"/>
  <c r="DO15" i="5"/>
  <c r="DR15" i="5"/>
  <c r="DU15" i="5"/>
  <c r="DX15" i="5"/>
  <c r="EA15" i="5"/>
  <c r="ED15" i="5"/>
  <c r="EG15" i="5"/>
  <c r="EJ15" i="5"/>
  <c r="EM15" i="5"/>
  <c r="EP15" i="5"/>
  <c r="EQ15" i="5"/>
  <c r="ER15" i="5"/>
  <c r="ES15" i="5"/>
  <c r="ET15" i="5"/>
  <c r="EV15" i="5"/>
  <c r="EW15" i="5"/>
  <c r="EX15" i="5"/>
  <c r="EY15" i="5"/>
  <c r="FA15" i="5"/>
  <c r="FB15" i="5"/>
  <c r="A16" i="5"/>
  <c r="B16" i="5"/>
  <c r="E16" i="5"/>
  <c r="H16" i="5"/>
  <c r="K16" i="5"/>
  <c r="N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H16" i="5"/>
  <c r="AI16" i="5"/>
  <c r="AJ16" i="5"/>
  <c r="AK16" i="5"/>
  <c r="AL16" i="5"/>
  <c r="AO16" i="5"/>
  <c r="AR16" i="5"/>
  <c r="AU16" i="5"/>
  <c r="AX16" i="5"/>
  <c r="BA16" i="5"/>
  <c r="BD16" i="5"/>
  <c r="BG16" i="5"/>
  <c r="BJ16" i="5"/>
  <c r="BM16" i="5"/>
  <c r="BP16" i="5"/>
  <c r="BS16" i="5"/>
  <c r="BV16" i="5"/>
  <c r="BY16" i="5"/>
  <c r="CB16" i="5"/>
  <c r="CE16" i="5"/>
  <c r="CH16" i="5"/>
  <c r="CK16" i="5"/>
  <c r="CN16" i="5"/>
  <c r="CQ16" i="5"/>
  <c r="CT16" i="5"/>
  <c r="CW16" i="5"/>
  <c r="CZ16" i="5"/>
  <c r="DC16" i="5"/>
  <c r="DF16" i="5"/>
  <c r="DI16" i="5"/>
  <c r="DL16" i="5"/>
  <c r="DO16" i="5"/>
  <c r="DR16" i="5"/>
  <c r="DU16" i="5"/>
  <c r="DX16" i="5"/>
  <c r="EA16" i="5"/>
  <c r="ED16" i="5"/>
  <c r="EG16" i="5"/>
  <c r="EJ16" i="5"/>
  <c r="EM16" i="5"/>
  <c r="EP16" i="5"/>
  <c r="EQ16" i="5"/>
  <c r="ER16" i="5"/>
  <c r="ES16" i="5"/>
  <c r="ET16" i="5"/>
  <c r="EV16" i="5"/>
  <c r="EW16" i="5"/>
  <c r="EX16" i="5"/>
  <c r="EY16" i="5"/>
  <c r="FA16" i="5"/>
  <c r="FB16" i="5"/>
  <c r="A17" i="5"/>
  <c r="B17" i="5"/>
  <c r="E17" i="5"/>
  <c r="H17" i="5"/>
  <c r="K17" i="5"/>
  <c r="N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H17" i="5"/>
  <c r="AI17" i="5"/>
  <c r="AJ17" i="5"/>
  <c r="AK17" i="5"/>
  <c r="AL17" i="5"/>
  <c r="AO17" i="5"/>
  <c r="AR17" i="5"/>
  <c r="AU17" i="5"/>
  <c r="AX17" i="5"/>
  <c r="BA17" i="5"/>
  <c r="BD17" i="5"/>
  <c r="BG17" i="5"/>
  <c r="BJ17" i="5"/>
  <c r="BM17" i="5"/>
  <c r="BP17" i="5"/>
  <c r="BS17" i="5"/>
  <c r="BV17" i="5"/>
  <c r="BY17" i="5"/>
  <c r="CB17" i="5"/>
  <c r="CE17" i="5"/>
  <c r="CH17" i="5"/>
  <c r="CK17" i="5"/>
  <c r="CN17" i="5"/>
  <c r="CQ17" i="5"/>
  <c r="CT17" i="5"/>
  <c r="CW17" i="5"/>
  <c r="CZ17" i="5"/>
  <c r="DC17" i="5"/>
  <c r="DF17" i="5"/>
  <c r="DI17" i="5"/>
  <c r="DL17" i="5"/>
  <c r="DO17" i="5"/>
  <c r="DR17" i="5"/>
  <c r="DU17" i="5"/>
  <c r="DX17" i="5"/>
  <c r="EA17" i="5"/>
  <c r="ED17" i="5"/>
  <c r="EG17" i="5"/>
  <c r="EJ17" i="5"/>
  <c r="EM17" i="5"/>
  <c r="EP17" i="5"/>
  <c r="EQ17" i="5"/>
  <c r="ER17" i="5"/>
  <c r="ES17" i="5"/>
  <c r="ET17" i="5"/>
  <c r="EV17" i="5"/>
  <c r="EW17" i="5"/>
  <c r="EX17" i="5"/>
  <c r="EY17" i="5"/>
  <c r="FA17" i="5"/>
  <c r="FB17" i="5"/>
  <c r="A18" i="5"/>
  <c r="B18" i="5"/>
  <c r="E18" i="5"/>
  <c r="H18" i="5"/>
  <c r="K18" i="5"/>
  <c r="N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H18" i="5"/>
  <c r="AI18" i="5"/>
  <c r="AJ18" i="5"/>
  <c r="AK18" i="5"/>
  <c r="AL18" i="5"/>
  <c r="AO18" i="5"/>
  <c r="AR18" i="5"/>
  <c r="AU18" i="5"/>
  <c r="AX18" i="5"/>
  <c r="BA18" i="5"/>
  <c r="BD18" i="5"/>
  <c r="BG18" i="5"/>
  <c r="BJ18" i="5"/>
  <c r="BM18" i="5"/>
  <c r="BP18" i="5"/>
  <c r="BS18" i="5"/>
  <c r="BV18" i="5"/>
  <c r="BY18" i="5"/>
  <c r="CB18" i="5"/>
  <c r="CE18" i="5"/>
  <c r="CH18" i="5"/>
  <c r="CK18" i="5"/>
  <c r="CN18" i="5"/>
  <c r="CQ18" i="5"/>
  <c r="CT18" i="5"/>
  <c r="CW18" i="5"/>
  <c r="CZ18" i="5"/>
  <c r="DC18" i="5"/>
  <c r="DF18" i="5"/>
  <c r="DI18" i="5"/>
  <c r="DL18" i="5"/>
  <c r="DO18" i="5"/>
  <c r="DR18" i="5"/>
  <c r="DU18" i="5"/>
  <c r="DX18" i="5"/>
  <c r="EA18" i="5"/>
  <c r="ED18" i="5"/>
  <c r="EG18" i="5"/>
  <c r="EJ18" i="5"/>
  <c r="EM18" i="5"/>
  <c r="EP18" i="5"/>
  <c r="EQ18" i="5"/>
  <c r="ER18" i="5"/>
  <c r="ES18" i="5"/>
  <c r="ET18" i="5"/>
  <c r="EV18" i="5"/>
  <c r="EW18" i="5"/>
  <c r="EX18" i="5"/>
  <c r="EY18" i="5"/>
  <c r="FA18" i="5"/>
  <c r="FB18" i="5"/>
  <c r="A19" i="5"/>
  <c r="B19" i="5"/>
  <c r="E19" i="5"/>
  <c r="H19" i="5"/>
  <c r="K19" i="5"/>
  <c r="N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H19" i="5"/>
  <c r="AI19" i="5"/>
  <c r="AJ19" i="5"/>
  <c r="AK19" i="5"/>
  <c r="AL19" i="5"/>
  <c r="AO19" i="5"/>
  <c r="AR19" i="5"/>
  <c r="AU19" i="5"/>
  <c r="AX19" i="5"/>
  <c r="BA19" i="5"/>
  <c r="BD19" i="5"/>
  <c r="BG19" i="5"/>
  <c r="BJ19" i="5"/>
  <c r="BM19" i="5"/>
  <c r="BP19" i="5"/>
  <c r="BS19" i="5"/>
  <c r="BV19" i="5"/>
  <c r="BY19" i="5"/>
  <c r="CB19" i="5"/>
  <c r="CE19" i="5"/>
  <c r="CH19" i="5"/>
  <c r="CK19" i="5"/>
  <c r="CN19" i="5"/>
  <c r="CQ19" i="5"/>
  <c r="CT19" i="5"/>
  <c r="CW19" i="5"/>
  <c r="CZ19" i="5"/>
  <c r="DC19" i="5"/>
  <c r="DF19" i="5"/>
  <c r="DI19" i="5"/>
  <c r="DL19" i="5"/>
  <c r="DO19" i="5"/>
  <c r="DR19" i="5"/>
  <c r="DU19" i="5"/>
  <c r="DX19" i="5"/>
  <c r="EA19" i="5"/>
  <c r="ED19" i="5"/>
  <c r="EG19" i="5"/>
  <c r="EJ19" i="5"/>
  <c r="EM19" i="5"/>
  <c r="EP19" i="5"/>
  <c r="EQ19" i="5"/>
  <c r="ER19" i="5"/>
  <c r="ES19" i="5"/>
  <c r="ET19" i="5"/>
  <c r="EV19" i="5"/>
  <c r="EW19" i="5"/>
  <c r="EX19" i="5"/>
  <c r="EY19" i="5"/>
  <c r="FA19" i="5"/>
  <c r="FB19" i="5"/>
  <c r="A20" i="5"/>
  <c r="B20" i="5"/>
  <c r="E20" i="5"/>
  <c r="H20" i="5"/>
  <c r="K20" i="5"/>
  <c r="N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I20" i="5"/>
  <c r="AJ20" i="5"/>
  <c r="AK20" i="5"/>
  <c r="AL20" i="5"/>
  <c r="AO20" i="5"/>
  <c r="AR20" i="5"/>
  <c r="AU20" i="5"/>
  <c r="AX20" i="5"/>
  <c r="BA20" i="5"/>
  <c r="BD20" i="5"/>
  <c r="BG20" i="5"/>
  <c r="BJ20" i="5"/>
  <c r="BM20" i="5"/>
  <c r="BP20" i="5"/>
  <c r="BS20" i="5"/>
  <c r="BV20" i="5"/>
  <c r="BY20" i="5"/>
  <c r="CB20" i="5"/>
  <c r="CE20" i="5"/>
  <c r="CH20" i="5"/>
  <c r="CK20" i="5"/>
  <c r="CN20" i="5"/>
  <c r="CQ20" i="5"/>
  <c r="CT20" i="5"/>
  <c r="CW20" i="5"/>
  <c r="CZ20" i="5"/>
  <c r="DC20" i="5"/>
  <c r="DF20" i="5"/>
  <c r="DI20" i="5"/>
  <c r="DL20" i="5"/>
  <c r="DO20" i="5"/>
  <c r="DR20" i="5"/>
  <c r="DU20" i="5"/>
  <c r="DX20" i="5"/>
  <c r="EA20" i="5"/>
  <c r="ED20" i="5"/>
  <c r="EG20" i="5"/>
  <c r="EJ20" i="5"/>
  <c r="EM20" i="5"/>
  <c r="EP20" i="5"/>
  <c r="EQ20" i="5"/>
  <c r="ER20" i="5"/>
  <c r="ES20" i="5"/>
  <c r="ET20" i="5"/>
  <c r="EV20" i="5"/>
  <c r="EW20" i="5"/>
  <c r="EX20" i="5"/>
  <c r="EY20" i="5"/>
  <c r="FA20" i="5"/>
  <c r="FB20" i="5"/>
  <c r="A21" i="5"/>
  <c r="B21" i="5"/>
  <c r="E21" i="5"/>
  <c r="H21" i="5"/>
  <c r="K21" i="5"/>
  <c r="N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I21" i="5"/>
  <c r="AJ21" i="5"/>
  <c r="AK21" i="5"/>
  <c r="AL21" i="5"/>
  <c r="AO21" i="5"/>
  <c r="AR21" i="5"/>
  <c r="AU21" i="5"/>
  <c r="AX21" i="5"/>
  <c r="BA21" i="5"/>
  <c r="BD21" i="5"/>
  <c r="BG21" i="5"/>
  <c r="BJ21" i="5"/>
  <c r="BM21" i="5"/>
  <c r="BP21" i="5"/>
  <c r="BS21" i="5"/>
  <c r="BV21" i="5"/>
  <c r="BY21" i="5"/>
  <c r="CB21" i="5"/>
  <c r="CE21" i="5"/>
  <c r="CH21" i="5"/>
  <c r="CK21" i="5"/>
  <c r="CN21" i="5"/>
  <c r="CQ21" i="5"/>
  <c r="CT21" i="5"/>
  <c r="CW21" i="5"/>
  <c r="CZ21" i="5"/>
  <c r="DC21" i="5"/>
  <c r="DF21" i="5"/>
  <c r="DI21" i="5"/>
  <c r="DL21" i="5"/>
  <c r="DO21" i="5"/>
  <c r="DR21" i="5"/>
  <c r="DU21" i="5"/>
  <c r="DX21" i="5"/>
  <c r="EA21" i="5"/>
  <c r="ED21" i="5"/>
  <c r="EG21" i="5"/>
  <c r="EJ21" i="5"/>
  <c r="EM21" i="5"/>
  <c r="EP21" i="5"/>
  <c r="EQ21" i="5"/>
  <c r="ER21" i="5"/>
  <c r="ES21" i="5"/>
  <c r="ET21" i="5"/>
  <c r="EV21" i="5"/>
  <c r="EW21" i="5"/>
  <c r="EX21" i="5"/>
  <c r="EY21" i="5"/>
  <c r="FA21" i="5"/>
  <c r="FB21" i="5"/>
  <c r="A22" i="5"/>
  <c r="B22" i="5"/>
  <c r="E22" i="5"/>
  <c r="H22" i="5"/>
  <c r="K22" i="5"/>
  <c r="N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I22" i="5"/>
  <c r="AJ22" i="5"/>
  <c r="AK22" i="5"/>
  <c r="AL22" i="5"/>
  <c r="AO22" i="5"/>
  <c r="AR22" i="5"/>
  <c r="AU22" i="5"/>
  <c r="AX22" i="5"/>
  <c r="BA22" i="5"/>
  <c r="BD22" i="5"/>
  <c r="BG22" i="5"/>
  <c r="BJ22" i="5"/>
  <c r="BM22" i="5"/>
  <c r="BP22" i="5"/>
  <c r="BS22" i="5"/>
  <c r="BV22" i="5"/>
  <c r="BY22" i="5"/>
  <c r="CB22" i="5"/>
  <c r="CE22" i="5"/>
  <c r="CH22" i="5"/>
  <c r="CK22" i="5"/>
  <c r="CN22" i="5"/>
  <c r="CQ22" i="5"/>
  <c r="CT22" i="5"/>
  <c r="CW22" i="5"/>
  <c r="CZ22" i="5"/>
  <c r="DC22" i="5"/>
  <c r="DF22" i="5"/>
  <c r="DI22" i="5"/>
  <c r="DL22" i="5"/>
  <c r="DO22" i="5"/>
  <c r="DR22" i="5"/>
  <c r="DU22" i="5"/>
  <c r="DX22" i="5"/>
  <c r="EA22" i="5"/>
  <c r="ED22" i="5"/>
  <c r="EG22" i="5"/>
  <c r="EJ22" i="5"/>
  <c r="EM22" i="5"/>
  <c r="EP22" i="5"/>
  <c r="EQ22" i="5"/>
  <c r="ER22" i="5"/>
  <c r="ES22" i="5"/>
  <c r="ET22" i="5"/>
  <c r="EV22" i="5"/>
  <c r="EW22" i="5"/>
  <c r="EX22" i="5"/>
  <c r="EY22" i="5"/>
  <c r="FA22" i="5"/>
  <c r="FB22" i="5"/>
  <c r="A23" i="5"/>
  <c r="B23" i="5"/>
  <c r="E23" i="5"/>
  <c r="H23" i="5"/>
  <c r="K23" i="5"/>
  <c r="N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H23" i="5"/>
  <c r="AI23" i="5"/>
  <c r="AJ23" i="5"/>
  <c r="AK23" i="5"/>
  <c r="AL23" i="5"/>
  <c r="AO23" i="5"/>
  <c r="AR23" i="5"/>
  <c r="AU23" i="5"/>
  <c r="AX23" i="5"/>
  <c r="BA23" i="5"/>
  <c r="BD23" i="5"/>
  <c r="BG23" i="5"/>
  <c r="BJ23" i="5"/>
  <c r="BM23" i="5"/>
  <c r="BP23" i="5"/>
  <c r="BS23" i="5"/>
  <c r="BV23" i="5"/>
  <c r="BY23" i="5"/>
  <c r="CB23" i="5"/>
  <c r="CE23" i="5"/>
  <c r="CH23" i="5"/>
  <c r="CK23" i="5"/>
  <c r="CN23" i="5"/>
  <c r="CQ23" i="5"/>
  <c r="CT23" i="5"/>
  <c r="CW23" i="5"/>
  <c r="CZ23" i="5"/>
  <c r="DC23" i="5"/>
  <c r="DF23" i="5"/>
  <c r="DI23" i="5"/>
  <c r="DL23" i="5"/>
  <c r="DO23" i="5"/>
  <c r="DR23" i="5"/>
  <c r="DU23" i="5"/>
  <c r="DX23" i="5"/>
  <c r="EA23" i="5"/>
  <c r="ED23" i="5"/>
  <c r="EG23" i="5"/>
  <c r="EJ23" i="5"/>
  <c r="EM23" i="5"/>
  <c r="EP23" i="5"/>
  <c r="EQ23" i="5"/>
  <c r="ER23" i="5"/>
  <c r="ES23" i="5"/>
  <c r="ET23" i="5"/>
  <c r="EV23" i="5"/>
  <c r="EW23" i="5"/>
  <c r="EX23" i="5"/>
  <c r="EY23" i="5"/>
  <c r="FA23" i="5"/>
  <c r="FB23" i="5"/>
  <c r="A24" i="5"/>
  <c r="B24" i="5"/>
  <c r="E24" i="5"/>
  <c r="H24" i="5"/>
  <c r="K24" i="5"/>
  <c r="N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H24" i="5"/>
  <c r="AI24" i="5"/>
  <c r="AJ24" i="5"/>
  <c r="AK24" i="5"/>
  <c r="AL24" i="5"/>
  <c r="AO24" i="5"/>
  <c r="AR24" i="5"/>
  <c r="AU24" i="5"/>
  <c r="AX24" i="5"/>
  <c r="BA24" i="5"/>
  <c r="BD24" i="5"/>
  <c r="BG24" i="5"/>
  <c r="BJ24" i="5"/>
  <c r="BM24" i="5"/>
  <c r="BP24" i="5"/>
  <c r="BS24" i="5"/>
  <c r="BV24" i="5"/>
  <c r="BY24" i="5"/>
  <c r="CB24" i="5"/>
  <c r="CE24" i="5"/>
  <c r="CH24" i="5"/>
  <c r="CK24" i="5"/>
  <c r="CN24" i="5"/>
  <c r="CQ24" i="5"/>
  <c r="CT24" i="5"/>
  <c r="CW24" i="5"/>
  <c r="CZ24" i="5"/>
  <c r="DC24" i="5"/>
  <c r="DF24" i="5"/>
  <c r="DI24" i="5"/>
  <c r="DL24" i="5"/>
  <c r="DO24" i="5"/>
  <c r="DR24" i="5"/>
  <c r="DU24" i="5"/>
  <c r="DX24" i="5"/>
  <c r="EA24" i="5"/>
  <c r="ED24" i="5"/>
  <c r="EG24" i="5"/>
  <c r="EJ24" i="5"/>
  <c r="EM24" i="5"/>
  <c r="EP24" i="5"/>
  <c r="EQ24" i="5"/>
  <c r="ER24" i="5"/>
  <c r="ES24" i="5"/>
  <c r="ET24" i="5"/>
  <c r="EV24" i="5"/>
  <c r="EW24" i="5"/>
  <c r="EX24" i="5"/>
  <c r="EY24" i="5"/>
  <c r="FA24" i="5"/>
  <c r="FB24" i="5"/>
  <c r="A25" i="5"/>
  <c r="B25" i="5"/>
  <c r="E25" i="5"/>
  <c r="H25" i="5"/>
  <c r="K25" i="5"/>
  <c r="N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H25" i="5"/>
  <c r="AI25" i="5"/>
  <c r="AJ25" i="5"/>
  <c r="AK25" i="5"/>
  <c r="AL25" i="5"/>
  <c r="AO25" i="5"/>
  <c r="AR25" i="5"/>
  <c r="AU25" i="5"/>
  <c r="AX25" i="5"/>
  <c r="BA25" i="5"/>
  <c r="BD25" i="5"/>
  <c r="BG25" i="5"/>
  <c r="BJ25" i="5"/>
  <c r="BM25" i="5"/>
  <c r="BP25" i="5"/>
  <c r="BS25" i="5"/>
  <c r="BV25" i="5"/>
  <c r="BY25" i="5"/>
  <c r="CB25" i="5"/>
  <c r="CE25" i="5"/>
  <c r="CH25" i="5"/>
  <c r="CK25" i="5"/>
  <c r="CN25" i="5"/>
  <c r="CQ25" i="5"/>
  <c r="CT25" i="5"/>
  <c r="CW25" i="5"/>
  <c r="CZ25" i="5"/>
  <c r="DC25" i="5"/>
  <c r="DF25" i="5"/>
  <c r="DI25" i="5"/>
  <c r="DL25" i="5"/>
  <c r="DO25" i="5"/>
  <c r="DR25" i="5"/>
  <c r="DU25" i="5"/>
  <c r="DX25" i="5"/>
  <c r="EA25" i="5"/>
  <c r="ED25" i="5"/>
  <c r="EG25" i="5"/>
  <c r="EJ25" i="5"/>
  <c r="EM25" i="5"/>
  <c r="EP25" i="5"/>
  <c r="EQ25" i="5"/>
  <c r="ER25" i="5"/>
  <c r="ES25" i="5"/>
  <c r="ET25" i="5"/>
  <c r="EV25" i="5"/>
  <c r="EW25" i="5"/>
  <c r="EX25" i="5"/>
  <c r="EY25" i="5"/>
  <c r="FA25" i="5"/>
  <c r="FB25" i="5"/>
  <c r="A26" i="5"/>
  <c r="B26" i="5"/>
  <c r="E26" i="5"/>
  <c r="H26" i="5"/>
  <c r="K26" i="5"/>
  <c r="N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H26" i="5"/>
  <c r="AI26" i="5"/>
  <c r="AJ26" i="5"/>
  <c r="AK26" i="5"/>
  <c r="AL26" i="5"/>
  <c r="AO26" i="5"/>
  <c r="AR26" i="5"/>
  <c r="AU26" i="5"/>
  <c r="AX26" i="5"/>
  <c r="BA26" i="5"/>
  <c r="BD26" i="5"/>
  <c r="BG26" i="5"/>
  <c r="BJ26" i="5"/>
  <c r="BM26" i="5"/>
  <c r="BP26" i="5"/>
  <c r="BS26" i="5"/>
  <c r="BV26" i="5"/>
  <c r="BY26" i="5"/>
  <c r="CB26" i="5"/>
  <c r="CE26" i="5"/>
  <c r="CH26" i="5"/>
  <c r="CK26" i="5"/>
  <c r="CN26" i="5"/>
  <c r="CQ26" i="5"/>
  <c r="CT26" i="5"/>
  <c r="CW26" i="5"/>
  <c r="CZ26" i="5"/>
  <c r="DC26" i="5"/>
  <c r="DF26" i="5"/>
  <c r="DI26" i="5"/>
  <c r="DL26" i="5"/>
  <c r="DO26" i="5"/>
  <c r="DR26" i="5"/>
  <c r="DU26" i="5"/>
  <c r="DX26" i="5"/>
  <c r="EA26" i="5"/>
  <c r="ED26" i="5"/>
  <c r="EG26" i="5"/>
  <c r="EJ26" i="5"/>
  <c r="EM26" i="5"/>
  <c r="EP26" i="5"/>
  <c r="EQ26" i="5"/>
  <c r="ER26" i="5"/>
  <c r="ES26" i="5"/>
  <c r="ET26" i="5"/>
  <c r="EV26" i="5"/>
  <c r="EW26" i="5"/>
  <c r="EX26" i="5"/>
  <c r="EY26" i="5"/>
  <c r="FA26" i="5"/>
  <c r="FB26" i="5"/>
  <c r="A27" i="5"/>
  <c r="B27" i="5"/>
  <c r="E27" i="5"/>
  <c r="H27" i="5"/>
  <c r="K27" i="5"/>
  <c r="N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H27" i="5"/>
  <c r="AI27" i="5"/>
  <c r="AJ27" i="5"/>
  <c r="AK27" i="5"/>
  <c r="AL27" i="5"/>
  <c r="AO27" i="5"/>
  <c r="AR27" i="5"/>
  <c r="AU27" i="5"/>
  <c r="AX27" i="5"/>
  <c r="BA27" i="5"/>
  <c r="BD27" i="5"/>
  <c r="BG27" i="5"/>
  <c r="BJ27" i="5"/>
  <c r="BM27" i="5"/>
  <c r="BP27" i="5"/>
  <c r="BS27" i="5"/>
  <c r="BV27" i="5"/>
  <c r="BY27" i="5"/>
  <c r="CB27" i="5"/>
  <c r="CE27" i="5"/>
  <c r="CH27" i="5"/>
  <c r="CK27" i="5"/>
  <c r="CN27" i="5"/>
  <c r="CQ27" i="5"/>
  <c r="CT27" i="5"/>
  <c r="CW27" i="5"/>
  <c r="CZ27" i="5"/>
  <c r="DC27" i="5"/>
  <c r="DF27" i="5"/>
  <c r="DI27" i="5"/>
  <c r="DL27" i="5"/>
  <c r="DO27" i="5"/>
  <c r="DR27" i="5"/>
  <c r="DU27" i="5"/>
  <c r="DX27" i="5"/>
  <c r="EA27" i="5"/>
  <c r="ED27" i="5"/>
  <c r="EG27" i="5"/>
  <c r="EJ27" i="5"/>
  <c r="EM27" i="5"/>
  <c r="EP27" i="5"/>
  <c r="EQ27" i="5"/>
  <c r="ER27" i="5"/>
  <c r="ES27" i="5"/>
  <c r="ET27" i="5"/>
  <c r="EV27" i="5"/>
  <c r="EW27" i="5"/>
  <c r="EX27" i="5"/>
  <c r="EY27" i="5"/>
  <c r="FA27" i="5"/>
  <c r="FB27" i="5"/>
  <c r="A28" i="5"/>
  <c r="B28" i="5"/>
  <c r="E28" i="5"/>
  <c r="H28" i="5"/>
  <c r="K28" i="5"/>
  <c r="N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H28" i="5"/>
  <c r="AI28" i="5"/>
  <c r="AJ28" i="5"/>
  <c r="AK28" i="5"/>
  <c r="AL28" i="5"/>
  <c r="AO28" i="5"/>
  <c r="AR28" i="5"/>
  <c r="AU28" i="5"/>
  <c r="AX28" i="5"/>
  <c r="BA28" i="5"/>
  <c r="BD28" i="5"/>
  <c r="BG28" i="5"/>
  <c r="BJ28" i="5"/>
  <c r="BM28" i="5"/>
  <c r="BP28" i="5"/>
  <c r="BS28" i="5"/>
  <c r="BV28" i="5"/>
  <c r="BY28" i="5"/>
  <c r="CB28" i="5"/>
  <c r="CE28" i="5"/>
  <c r="CH28" i="5"/>
  <c r="CK28" i="5"/>
  <c r="CN28" i="5"/>
  <c r="CQ28" i="5"/>
  <c r="CT28" i="5"/>
  <c r="CW28" i="5"/>
  <c r="CZ28" i="5"/>
  <c r="DC28" i="5"/>
  <c r="DF28" i="5"/>
  <c r="DI28" i="5"/>
  <c r="DL28" i="5"/>
  <c r="DO28" i="5"/>
  <c r="DR28" i="5"/>
  <c r="DU28" i="5"/>
  <c r="DX28" i="5"/>
  <c r="EA28" i="5"/>
  <c r="ED28" i="5"/>
  <c r="EG28" i="5"/>
  <c r="EJ28" i="5"/>
  <c r="EM28" i="5"/>
  <c r="EP28" i="5"/>
  <c r="EQ28" i="5"/>
  <c r="ER28" i="5"/>
  <c r="ES28" i="5"/>
  <c r="ET28" i="5"/>
  <c r="EV28" i="5"/>
  <c r="EW28" i="5"/>
  <c r="EX28" i="5"/>
  <c r="EY28" i="5"/>
  <c r="FA28" i="5"/>
  <c r="FB28" i="5"/>
  <c r="A29" i="5"/>
  <c r="B29" i="5"/>
  <c r="E29" i="5"/>
  <c r="H29" i="5"/>
  <c r="K29" i="5"/>
  <c r="N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H29" i="5"/>
  <c r="AI29" i="5"/>
  <c r="AJ29" i="5"/>
  <c r="AK29" i="5"/>
  <c r="AL29" i="5"/>
  <c r="AO29" i="5"/>
  <c r="AR29" i="5"/>
  <c r="AU29" i="5"/>
  <c r="AX29" i="5"/>
  <c r="BA29" i="5"/>
  <c r="BD29" i="5"/>
  <c r="BG29" i="5"/>
  <c r="BJ29" i="5"/>
  <c r="BM29" i="5"/>
  <c r="BP29" i="5"/>
  <c r="BS29" i="5"/>
  <c r="BV29" i="5"/>
  <c r="BY29" i="5"/>
  <c r="CB29" i="5"/>
  <c r="CE29" i="5"/>
  <c r="CH29" i="5"/>
  <c r="CK29" i="5"/>
  <c r="CN29" i="5"/>
  <c r="CQ29" i="5"/>
  <c r="CT29" i="5"/>
  <c r="CW29" i="5"/>
  <c r="CZ29" i="5"/>
  <c r="DC29" i="5"/>
  <c r="DF29" i="5"/>
  <c r="DI29" i="5"/>
  <c r="DL29" i="5"/>
  <c r="DO29" i="5"/>
  <c r="DR29" i="5"/>
  <c r="DU29" i="5"/>
  <c r="DX29" i="5"/>
  <c r="EA29" i="5"/>
  <c r="ED29" i="5"/>
  <c r="EG29" i="5"/>
  <c r="EJ29" i="5"/>
  <c r="EM29" i="5"/>
  <c r="EP29" i="5"/>
  <c r="EQ29" i="5"/>
  <c r="ER29" i="5"/>
  <c r="ES29" i="5"/>
  <c r="ET29" i="5"/>
  <c r="EV29" i="5"/>
  <c r="EW29" i="5"/>
  <c r="EX29" i="5"/>
  <c r="EY29" i="5"/>
  <c r="FA29" i="5"/>
  <c r="FB29" i="5"/>
  <c r="A30" i="5"/>
  <c r="B30" i="5"/>
  <c r="E30" i="5"/>
  <c r="H30" i="5"/>
  <c r="K30" i="5"/>
  <c r="N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H30" i="5"/>
  <c r="AI30" i="5"/>
  <c r="AJ30" i="5"/>
  <c r="AK30" i="5"/>
  <c r="AL30" i="5"/>
  <c r="AO30" i="5"/>
  <c r="AR30" i="5"/>
  <c r="AU30" i="5"/>
  <c r="AX30" i="5"/>
  <c r="BA30" i="5"/>
  <c r="BD30" i="5"/>
  <c r="BG30" i="5"/>
  <c r="BJ30" i="5"/>
  <c r="BM30" i="5"/>
  <c r="BP30" i="5"/>
  <c r="BS30" i="5"/>
  <c r="BV30" i="5"/>
  <c r="BY30" i="5"/>
  <c r="CB30" i="5"/>
  <c r="CE30" i="5"/>
  <c r="CH30" i="5"/>
  <c r="CK30" i="5"/>
  <c r="CN30" i="5"/>
  <c r="CQ30" i="5"/>
  <c r="CT30" i="5"/>
  <c r="CW30" i="5"/>
  <c r="CZ30" i="5"/>
  <c r="DC30" i="5"/>
  <c r="DF30" i="5"/>
  <c r="DI30" i="5"/>
  <c r="DL30" i="5"/>
  <c r="DO30" i="5"/>
  <c r="DR30" i="5"/>
  <c r="DU30" i="5"/>
  <c r="DX30" i="5"/>
  <c r="EA30" i="5"/>
  <c r="ED30" i="5"/>
  <c r="EG30" i="5"/>
  <c r="EJ30" i="5"/>
  <c r="EM30" i="5"/>
  <c r="EP30" i="5"/>
  <c r="EQ30" i="5"/>
  <c r="ER30" i="5"/>
  <c r="ES30" i="5"/>
  <c r="ET30" i="5"/>
  <c r="EV30" i="5"/>
  <c r="EW30" i="5"/>
  <c r="EX30" i="5"/>
  <c r="EY30" i="5"/>
  <c r="FA30" i="5"/>
  <c r="FB30" i="5"/>
  <c r="A31" i="5"/>
  <c r="B31" i="5"/>
  <c r="E31" i="5"/>
  <c r="H31" i="5"/>
  <c r="K31" i="5"/>
  <c r="N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H31" i="5"/>
  <c r="AI31" i="5"/>
  <c r="AJ31" i="5"/>
  <c r="AK31" i="5"/>
  <c r="AL31" i="5"/>
  <c r="AO31" i="5"/>
  <c r="AR31" i="5"/>
  <c r="AU31" i="5"/>
  <c r="AX31" i="5"/>
  <c r="BA31" i="5"/>
  <c r="BD31" i="5"/>
  <c r="BG31" i="5"/>
  <c r="BJ31" i="5"/>
  <c r="BM31" i="5"/>
  <c r="BP31" i="5"/>
  <c r="BS31" i="5"/>
  <c r="BV31" i="5"/>
  <c r="BY31" i="5"/>
  <c r="CB31" i="5"/>
  <c r="CE31" i="5"/>
  <c r="CH31" i="5"/>
  <c r="CK31" i="5"/>
  <c r="CN31" i="5"/>
  <c r="CQ31" i="5"/>
  <c r="CT31" i="5"/>
  <c r="CW31" i="5"/>
  <c r="CZ31" i="5"/>
  <c r="DC31" i="5"/>
  <c r="DF31" i="5"/>
  <c r="DI31" i="5"/>
  <c r="DL31" i="5"/>
  <c r="DO31" i="5"/>
  <c r="DR31" i="5"/>
  <c r="DU31" i="5"/>
  <c r="DX31" i="5"/>
  <c r="EA31" i="5"/>
  <c r="ED31" i="5"/>
  <c r="EG31" i="5"/>
  <c r="EJ31" i="5"/>
  <c r="EM31" i="5"/>
  <c r="EP31" i="5"/>
  <c r="EQ31" i="5"/>
  <c r="ER31" i="5"/>
  <c r="ES31" i="5"/>
  <c r="ET31" i="5"/>
  <c r="EV31" i="5"/>
  <c r="EW31" i="5"/>
  <c r="EX31" i="5"/>
  <c r="EY31" i="5"/>
  <c r="FA31" i="5"/>
  <c r="FB31" i="5"/>
  <c r="A32" i="5"/>
  <c r="B32" i="5"/>
  <c r="E32" i="5"/>
  <c r="H32" i="5"/>
  <c r="K32" i="5"/>
  <c r="N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I32" i="5"/>
  <c r="AJ32" i="5"/>
  <c r="AK32" i="5"/>
  <c r="AL32" i="5"/>
  <c r="AO32" i="5"/>
  <c r="AR32" i="5"/>
  <c r="AU32" i="5"/>
  <c r="AX32" i="5"/>
  <c r="BA32" i="5"/>
  <c r="BD32" i="5"/>
  <c r="BG32" i="5"/>
  <c r="BJ32" i="5"/>
  <c r="BM32" i="5"/>
  <c r="BP32" i="5"/>
  <c r="BS32" i="5"/>
  <c r="BV32" i="5"/>
  <c r="BY32" i="5"/>
  <c r="CB32" i="5"/>
  <c r="CE32" i="5"/>
  <c r="CH32" i="5"/>
  <c r="CK32" i="5"/>
  <c r="CN32" i="5"/>
  <c r="CQ32" i="5"/>
  <c r="CT32" i="5"/>
  <c r="CW32" i="5"/>
  <c r="CZ32" i="5"/>
  <c r="DC32" i="5"/>
  <c r="DF32" i="5"/>
  <c r="DI32" i="5"/>
  <c r="DL32" i="5"/>
  <c r="DO32" i="5"/>
  <c r="DR32" i="5"/>
  <c r="DU32" i="5"/>
  <c r="DX32" i="5"/>
  <c r="EA32" i="5"/>
  <c r="ED32" i="5"/>
  <c r="EG32" i="5"/>
  <c r="EJ32" i="5"/>
  <c r="EM32" i="5"/>
  <c r="EP32" i="5"/>
  <c r="EQ32" i="5"/>
  <c r="ER32" i="5"/>
  <c r="ES32" i="5"/>
  <c r="ET32" i="5"/>
  <c r="EV32" i="5"/>
  <c r="EW32" i="5"/>
  <c r="EX32" i="5"/>
  <c r="EY32" i="5"/>
  <c r="FA32" i="5"/>
  <c r="FB32" i="5"/>
  <c r="A33" i="5"/>
  <c r="B33" i="5"/>
  <c r="E33" i="5"/>
  <c r="H33" i="5"/>
  <c r="K33" i="5"/>
  <c r="N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I33" i="5"/>
  <c r="AJ33" i="5"/>
  <c r="AK33" i="5"/>
  <c r="AL33" i="5"/>
  <c r="AO33" i="5"/>
  <c r="AR33" i="5"/>
  <c r="AU33" i="5"/>
  <c r="AX33" i="5"/>
  <c r="BA33" i="5"/>
  <c r="BD33" i="5"/>
  <c r="BG33" i="5"/>
  <c r="BJ33" i="5"/>
  <c r="BM33" i="5"/>
  <c r="BP33" i="5"/>
  <c r="BS33" i="5"/>
  <c r="BV33" i="5"/>
  <c r="BY33" i="5"/>
  <c r="CB33" i="5"/>
  <c r="CE33" i="5"/>
  <c r="CH33" i="5"/>
  <c r="CK33" i="5"/>
  <c r="CN33" i="5"/>
  <c r="CQ33" i="5"/>
  <c r="CT33" i="5"/>
  <c r="CW33" i="5"/>
  <c r="CZ33" i="5"/>
  <c r="DC33" i="5"/>
  <c r="DF33" i="5"/>
  <c r="DI33" i="5"/>
  <c r="DL33" i="5"/>
  <c r="DO33" i="5"/>
  <c r="DR33" i="5"/>
  <c r="DU33" i="5"/>
  <c r="DX33" i="5"/>
  <c r="EA33" i="5"/>
  <c r="ED33" i="5"/>
  <c r="EG33" i="5"/>
  <c r="EJ33" i="5"/>
  <c r="EM33" i="5"/>
  <c r="EP33" i="5"/>
  <c r="EQ33" i="5"/>
  <c r="ER33" i="5"/>
  <c r="ES33" i="5"/>
  <c r="ET33" i="5"/>
  <c r="EV33" i="5"/>
  <c r="EW33" i="5"/>
  <c r="EX33" i="5"/>
  <c r="EY33" i="5"/>
  <c r="FA33" i="5"/>
  <c r="FB33" i="5"/>
  <c r="A34" i="5"/>
  <c r="B34" i="5"/>
  <c r="E34" i="5"/>
  <c r="H34" i="5"/>
  <c r="K34" i="5"/>
  <c r="N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I34" i="5"/>
  <c r="AJ34" i="5"/>
  <c r="AK34" i="5"/>
  <c r="AL34" i="5"/>
  <c r="AO34" i="5"/>
  <c r="AR34" i="5"/>
  <c r="AU34" i="5"/>
  <c r="AX34" i="5"/>
  <c r="BA34" i="5"/>
  <c r="BD34" i="5"/>
  <c r="BG34" i="5"/>
  <c r="BJ34" i="5"/>
  <c r="BM34" i="5"/>
  <c r="BP34" i="5"/>
  <c r="BS34" i="5"/>
  <c r="BV34" i="5"/>
  <c r="BY34" i="5"/>
  <c r="CB34" i="5"/>
  <c r="CE34" i="5"/>
  <c r="CH34" i="5"/>
  <c r="CK34" i="5"/>
  <c r="CN34" i="5"/>
  <c r="CQ34" i="5"/>
  <c r="CT34" i="5"/>
  <c r="CW34" i="5"/>
  <c r="CZ34" i="5"/>
  <c r="DC34" i="5"/>
  <c r="DF34" i="5"/>
  <c r="DI34" i="5"/>
  <c r="DL34" i="5"/>
  <c r="DO34" i="5"/>
  <c r="DR34" i="5"/>
  <c r="DU34" i="5"/>
  <c r="DX34" i="5"/>
  <c r="EA34" i="5"/>
  <c r="ED34" i="5"/>
  <c r="EG34" i="5"/>
  <c r="EJ34" i="5"/>
  <c r="EM34" i="5"/>
  <c r="EP34" i="5"/>
  <c r="EQ34" i="5"/>
  <c r="ER34" i="5"/>
  <c r="ES34" i="5"/>
  <c r="ET34" i="5"/>
  <c r="EV34" i="5"/>
  <c r="EW34" i="5"/>
  <c r="EX34" i="5"/>
  <c r="EY34" i="5"/>
  <c r="FA34" i="5"/>
  <c r="FB34" i="5"/>
  <c r="A35" i="5"/>
  <c r="B35" i="5"/>
  <c r="E35" i="5"/>
  <c r="H35" i="5"/>
  <c r="K35" i="5"/>
  <c r="N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I35" i="5"/>
  <c r="AJ35" i="5"/>
  <c r="AK35" i="5"/>
  <c r="AL35" i="5"/>
  <c r="AO35" i="5"/>
  <c r="AR35" i="5"/>
  <c r="AU35" i="5"/>
  <c r="AX35" i="5"/>
  <c r="BA35" i="5"/>
  <c r="BD35" i="5"/>
  <c r="BG35" i="5"/>
  <c r="BJ35" i="5"/>
  <c r="BM35" i="5"/>
  <c r="BP35" i="5"/>
  <c r="BS35" i="5"/>
  <c r="BV35" i="5"/>
  <c r="BY35" i="5"/>
  <c r="CB35" i="5"/>
  <c r="CE35" i="5"/>
  <c r="CH35" i="5"/>
  <c r="CK35" i="5"/>
  <c r="CN35" i="5"/>
  <c r="CQ35" i="5"/>
  <c r="CT35" i="5"/>
  <c r="CW35" i="5"/>
  <c r="CZ35" i="5"/>
  <c r="DC35" i="5"/>
  <c r="DF35" i="5"/>
  <c r="DI35" i="5"/>
  <c r="DL35" i="5"/>
  <c r="DO35" i="5"/>
  <c r="DR35" i="5"/>
  <c r="DU35" i="5"/>
  <c r="DX35" i="5"/>
  <c r="EA35" i="5"/>
  <c r="ED35" i="5"/>
  <c r="EG35" i="5"/>
  <c r="EJ35" i="5"/>
  <c r="EM35" i="5"/>
  <c r="EP35" i="5"/>
  <c r="EQ35" i="5"/>
  <c r="ER35" i="5"/>
  <c r="ES35" i="5"/>
  <c r="ET35" i="5"/>
  <c r="EV35" i="5"/>
  <c r="EW35" i="5"/>
  <c r="EX35" i="5"/>
  <c r="EY35" i="5"/>
  <c r="FA35" i="5"/>
  <c r="FB35" i="5"/>
  <c r="A36" i="5"/>
  <c r="B36" i="5"/>
  <c r="E36" i="5"/>
  <c r="H36" i="5"/>
  <c r="K36" i="5"/>
  <c r="N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I36" i="5"/>
  <c r="AJ36" i="5"/>
  <c r="AK36" i="5"/>
  <c r="AL36" i="5"/>
  <c r="AO36" i="5"/>
  <c r="AR36" i="5"/>
  <c r="AU36" i="5"/>
  <c r="AX36" i="5"/>
  <c r="BA36" i="5"/>
  <c r="BD36" i="5"/>
  <c r="BG36" i="5"/>
  <c r="BJ36" i="5"/>
  <c r="BM36" i="5"/>
  <c r="BP36" i="5"/>
  <c r="BS36" i="5"/>
  <c r="BV36" i="5"/>
  <c r="BY36" i="5"/>
  <c r="CB36" i="5"/>
  <c r="CE36" i="5"/>
  <c r="CH36" i="5"/>
  <c r="CK36" i="5"/>
  <c r="CN36" i="5"/>
  <c r="CQ36" i="5"/>
  <c r="CT36" i="5"/>
  <c r="CW36" i="5"/>
  <c r="CZ36" i="5"/>
  <c r="DC36" i="5"/>
  <c r="DF36" i="5"/>
  <c r="DI36" i="5"/>
  <c r="DL36" i="5"/>
  <c r="DO36" i="5"/>
  <c r="DR36" i="5"/>
  <c r="DU36" i="5"/>
  <c r="DX36" i="5"/>
  <c r="EA36" i="5"/>
  <c r="ED36" i="5"/>
  <c r="EG36" i="5"/>
  <c r="EJ36" i="5"/>
  <c r="EM36" i="5"/>
  <c r="EP36" i="5"/>
  <c r="EQ36" i="5"/>
  <c r="ER36" i="5"/>
  <c r="ES36" i="5"/>
  <c r="ET36" i="5"/>
  <c r="EV36" i="5"/>
  <c r="EW36" i="5"/>
  <c r="EX36" i="5"/>
  <c r="EY36" i="5"/>
  <c r="FA36" i="5"/>
  <c r="FB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FB39" i="5"/>
  <c r="FC39" i="5"/>
  <c r="FD39" i="5"/>
  <c r="FE39" i="5"/>
  <c r="FF39" i="5"/>
  <c r="FG39" i="5"/>
  <c r="FH39" i="5"/>
  <c r="FI39" i="5"/>
  <c r="FJ39" i="5"/>
  <c r="FK39" i="5"/>
  <c r="FL39" i="5"/>
  <c r="FM39" i="5"/>
  <c r="B1" i="2"/>
  <c r="A6" i="2"/>
  <c r="B6" i="2"/>
  <c r="E6" i="2"/>
  <c r="H6" i="2"/>
  <c r="I6" i="2"/>
  <c r="J6" i="2"/>
  <c r="K6" i="2"/>
  <c r="N6" i="2"/>
  <c r="Q6" i="2"/>
  <c r="T6" i="2"/>
  <c r="W6" i="2"/>
  <c r="Z6" i="2"/>
  <c r="AC6" i="2"/>
  <c r="AF6" i="2"/>
  <c r="AI6" i="2"/>
  <c r="AL6" i="2"/>
  <c r="AO6" i="2"/>
  <c r="AR6" i="2"/>
  <c r="AU6" i="2"/>
  <c r="AV6" i="2"/>
  <c r="AX6" i="2"/>
  <c r="BA6" i="2"/>
  <c r="BD6" i="2"/>
  <c r="BG6" i="2"/>
  <c r="BJ6" i="2"/>
  <c r="BM6" i="2"/>
  <c r="BP6" i="2"/>
  <c r="BS6" i="2"/>
  <c r="BV6" i="2"/>
  <c r="BY6" i="2"/>
  <c r="CB6" i="2"/>
  <c r="CE6" i="2"/>
  <c r="CH6" i="2"/>
  <c r="CK6" i="2"/>
  <c r="CN6" i="2"/>
  <c r="CQ6" i="2"/>
  <c r="CT6" i="2"/>
  <c r="CW6" i="2"/>
  <c r="CZ6" i="2"/>
  <c r="DC6" i="2"/>
  <c r="DF6" i="2"/>
  <c r="DI6" i="2"/>
  <c r="DL6" i="2"/>
  <c r="DO6" i="2"/>
  <c r="DR6" i="2"/>
  <c r="DS6" i="2"/>
  <c r="DT6" i="2"/>
  <c r="DU6" i="2"/>
  <c r="DV6" i="2"/>
  <c r="DX6" i="2"/>
  <c r="DY6" i="2"/>
  <c r="DZ6" i="2"/>
  <c r="EA6" i="2"/>
  <c r="EC6" i="2"/>
  <c r="ED6" i="2"/>
  <c r="A7" i="2"/>
  <c r="B7" i="2"/>
  <c r="E7" i="2"/>
  <c r="H7" i="2"/>
  <c r="I7" i="2"/>
  <c r="J7" i="2"/>
  <c r="K7" i="2"/>
  <c r="N7" i="2"/>
  <c r="Q7" i="2"/>
  <c r="T7" i="2"/>
  <c r="W7" i="2"/>
  <c r="Z7" i="2"/>
  <c r="AC7" i="2"/>
  <c r="AF7" i="2"/>
  <c r="AI7" i="2"/>
  <c r="AL7" i="2"/>
  <c r="AO7" i="2"/>
  <c r="AR7" i="2"/>
  <c r="AU7" i="2"/>
  <c r="AV7" i="2"/>
  <c r="AX7" i="2"/>
  <c r="BA7" i="2"/>
  <c r="BD7" i="2"/>
  <c r="BG7" i="2"/>
  <c r="BJ7" i="2"/>
  <c r="BM7" i="2"/>
  <c r="BP7" i="2"/>
  <c r="BS7" i="2"/>
  <c r="BV7" i="2"/>
  <c r="BY7" i="2"/>
  <c r="CB7" i="2"/>
  <c r="CE7" i="2"/>
  <c r="CH7" i="2"/>
  <c r="CK7" i="2"/>
  <c r="CN7" i="2"/>
  <c r="CQ7" i="2"/>
  <c r="CT7" i="2"/>
  <c r="CW7" i="2"/>
  <c r="CZ7" i="2"/>
  <c r="DC7" i="2"/>
  <c r="DF7" i="2"/>
  <c r="DI7" i="2"/>
  <c r="DL7" i="2"/>
  <c r="DO7" i="2"/>
  <c r="DR7" i="2"/>
  <c r="DS7" i="2"/>
  <c r="DT7" i="2"/>
  <c r="DU7" i="2"/>
  <c r="DV7" i="2"/>
  <c r="DX7" i="2"/>
  <c r="DY7" i="2"/>
  <c r="DZ7" i="2"/>
  <c r="EA7" i="2"/>
  <c r="EC7" i="2"/>
  <c r="ED7" i="2"/>
  <c r="A8" i="2"/>
  <c r="B8" i="2"/>
  <c r="E8" i="2"/>
  <c r="H8" i="2"/>
  <c r="I8" i="2"/>
  <c r="J8" i="2"/>
  <c r="K8" i="2"/>
  <c r="N8" i="2"/>
  <c r="Q8" i="2"/>
  <c r="T8" i="2"/>
  <c r="W8" i="2"/>
  <c r="Z8" i="2"/>
  <c r="AC8" i="2"/>
  <c r="AF8" i="2"/>
  <c r="AI8" i="2"/>
  <c r="AL8" i="2"/>
  <c r="AO8" i="2"/>
  <c r="AR8" i="2"/>
  <c r="AU8" i="2"/>
  <c r="AV8" i="2"/>
  <c r="AX8" i="2"/>
  <c r="BA8" i="2"/>
  <c r="BD8" i="2"/>
  <c r="BG8" i="2"/>
  <c r="BJ8" i="2"/>
  <c r="BM8" i="2"/>
  <c r="BP8" i="2"/>
  <c r="BS8" i="2"/>
  <c r="BV8" i="2"/>
  <c r="BY8" i="2"/>
  <c r="CB8" i="2"/>
  <c r="CE8" i="2"/>
  <c r="CH8" i="2"/>
  <c r="CK8" i="2"/>
  <c r="CN8" i="2"/>
  <c r="CQ8" i="2"/>
  <c r="CT8" i="2"/>
  <c r="CW8" i="2"/>
  <c r="CZ8" i="2"/>
  <c r="DC8" i="2"/>
  <c r="DF8" i="2"/>
  <c r="DI8" i="2"/>
  <c r="DL8" i="2"/>
  <c r="DO8" i="2"/>
  <c r="DR8" i="2"/>
  <c r="DS8" i="2"/>
  <c r="DT8" i="2"/>
  <c r="DU8" i="2"/>
  <c r="DV8" i="2"/>
  <c r="DX8" i="2"/>
  <c r="DY8" i="2"/>
  <c r="DZ8" i="2"/>
  <c r="EA8" i="2"/>
  <c r="EC8" i="2"/>
  <c r="ED8" i="2"/>
  <c r="A9" i="2"/>
  <c r="B9" i="2"/>
  <c r="E9" i="2"/>
  <c r="H9" i="2"/>
  <c r="I9" i="2"/>
  <c r="J9" i="2"/>
  <c r="K9" i="2"/>
  <c r="N9" i="2"/>
  <c r="Q9" i="2"/>
  <c r="T9" i="2"/>
  <c r="W9" i="2"/>
  <c r="Z9" i="2"/>
  <c r="AC9" i="2"/>
  <c r="AF9" i="2"/>
  <c r="AI9" i="2"/>
  <c r="AL9" i="2"/>
  <c r="AO9" i="2"/>
  <c r="AR9" i="2"/>
  <c r="AU9" i="2"/>
  <c r="AV9" i="2"/>
  <c r="AX9" i="2"/>
  <c r="BA9" i="2"/>
  <c r="BD9" i="2"/>
  <c r="BG9" i="2"/>
  <c r="BJ9" i="2"/>
  <c r="BM9" i="2"/>
  <c r="BP9" i="2"/>
  <c r="BS9" i="2"/>
  <c r="BV9" i="2"/>
  <c r="BY9" i="2"/>
  <c r="CB9" i="2"/>
  <c r="CE9" i="2"/>
  <c r="CH9" i="2"/>
  <c r="CK9" i="2"/>
  <c r="CN9" i="2"/>
  <c r="CQ9" i="2"/>
  <c r="CT9" i="2"/>
  <c r="CW9" i="2"/>
  <c r="CZ9" i="2"/>
  <c r="DC9" i="2"/>
  <c r="DF9" i="2"/>
  <c r="DI9" i="2"/>
  <c r="DL9" i="2"/>
  <c r="DO9" i="2"/>
  <c r="DR9" i="2"/>
  <c r="DS9" i="2"/>
  <c r="DT9" i="2"/>
  <c r="DU9" i="2"/>
  <c r="DV9" i="2"/>
  <c r="DX9" i="2"/>
  <c r="DY9" i="2"/>
  <c r="DZ9" i="2"/>
  <c r="EA9" i="2"/>
  <c r="EC9" i="2"/>
  <c r="ED9" i="2"/>
  <c r="A10" i="2"/>
  <c r="B10" i="2"/>
  <c r="E10" i="2"/>
  <c r="H10" i="2"/>
  <c r="I10" i="2"/>
  <c r="J10" i="2"/>
  <c r="K10" i="2"/>
  <c r="N10" i="2"/>
  <c r="Q10" i="2"/>
  <c r="T10" i="2"/>
  <c r="W10" i="2"/>
  <c r="Z10" i="2"/>
  <c r="AC10" i="2"/>
  <c r="AF10" i="2"/>
  <c r="AI10" i="2"/>
  <c r="AL10" i="2"/>
  <c r="AO10" i="2"/>
  <c r="AR10" i="2"/>
  <c r="AU10" i="2"/>
  <c r="AV10" i="2"/>
  <c r="AW10" i="2"/>
  <c r="AX10" i="2"/>
  <c r="BA10" i="2"/>
  <c r="BD10" i="2"/>
  <c r="BG10" i="2"/>
  <c r="BJ10" i="2"/>
  <c r="BM10" i="2"/>
  <c r="BP10" i="2"/>
  <c r="BS10" i="2"/>
  <c r="BV10" i="2"/>
  <c r="BY10" i="2"/>
  <c r="CB10" i="2"/>
  <c r="CE10" i="2"/>
  <c r="CH10" i="2"/>
  <c r="CK10" i="2"/>
  <c r="CN10" i="2"/>
  <c r="CQ10" i="2"/>
  <c r="CT10" i="2"/>
  <c r="CW10" i="2"/>
  <c r="CZ10" i="2"/>
  <c r="DC10" i="2"/>
  <c r="DF10" i="2"/>
  <c r="DI10" i="2"/>
  <c r="DL10" i="2"/>
  <c r="DO10" i="2"/>
  <c r="DR10" i="2"/>
  <c r="DS10" i="2"/>
  <c r="DT10" i="2"/>
  <c r="DU10" i="2"/>
  <c r="DV10" i="2"/>
  <c r="DX10" i="2"/>
  <c r="DY10" i="2"/>
  <c r="DZ10" i="2"/>
  <c r="EA10" i="2"/>
  <c r="EC10" i="2"/>
  <c r="ED10" i="2"/>
  <c r="A11" i="2"/>
  <c r="B11" i="2"/>
  <c r="E11" i="2"/>
  <c r="H11" i="2"/>
  <c r="I11" i="2"/>
  <c r="J11" i="2"/>
  <c r="K11" i="2"/>
  <c r="N11" i="2"/>
  <c r="Q11" i="2"/>
  <c r="T11" i="2"/>
  <c r="W11" i="2"/>
  <c r="Z11" i="2"/>
  <c r="AC11" i="2"/>
  <c r="AF11" i="2"/>
  <c r="AI11" i="2"/>
  <c r="AL11" i="2"/>
  <c r="AO11" i="2"/>
  <c r="AR11" i="2"/>
  <c r="AU11" i="2"/>
  <c r="AX11" i="2"/>
  <c r="BA11" i="2"/>
  <c r="BD11" i="2"/>
  <c r="BG11" i="2"/>
  <c r="BJ11" i="2"/>
  <c r="BM11" i="2"/>
  <c r="BP11" i="2"/>
  <c r="BS11" i="2"/>
  <c r="BV11" i="2"/>
  <c r="BY11" i="2"/>
  <c r="CB11" i="2"/>
  <c r="CE11" i="2"/>
  <c r="CH11" i="2"/>
  <c r="CK11" i="2"/>
  <c r="CN11" i="2"/>
  <c r="CQ11" i="2"/>
  <c r="CT11" i="2"/>
  <c r="CW11" i="2"/>
  <c r="CZ11" i="2"/>
  <c r="DC11" i="2"/>
  <c r="DF11" i="2"/>
  <c r="DI11" i="2"/>
  <c r="DL11" i="2"/>
  <c r="DO11" i="2"/>
  <c r="DR11" i="2"/>
  <c r="DS11" i="2"/>
  <c r="DT11" i="2"/>
  <c r="DU11" i="2"/>
  <c r="DV11" i="2"/>
  <c r="DX11" i="2"/>
  <c r="DY11" i="2"/>
  <c r="DZ11" i="2"/>
  <c r="EA11" i="2"/>
  <c r="EC11" i="2"/>
  <c r="ED11" i="2"/>
  <c r="A12" i="2"/>
  <c r="B12" i="2"/>
  <c r="E12" i="2"/>
  <c r="H12" i="2"/>
  <c r="I12" i="2"/>
  <c r="J12" i="2"/>
  <c r="K12" i="2"/>
  <c r="N12" i="2"/>
  <c r="Q12" i="2"/>
  <c r="T12" i="2"/>
  <c r="W12" i="2"/>
  <c r="Z12" i="2"/>
  <c r="AC12" i="2"/>
  <c r="AF12" i="2"/>
  <c r="AI12" i="2"/>
  <c r="AL12" i="2"/>
  <c r="AO12" i="2"/>
  <c r="AR12" i="2"/>
  <c r="AU12" i="2"/>
  <c r="AX12" i="2"/>
  <c r="BA12" i="2"/>
  <c r="BD12" i="2"/>
  <c r="BG12" i="2"/>
  <c r="BJ12" i="2"/>
  <c r="BM12" i="2"/>
  <c r="BP12" i="2"/>
  <c r="BS12" i="2"/>
  <c r="BV12" i="2"/>
  <c r="BY12" i="2"/>
  <c r="CB12" i="2"/>
  <c r="CE12" i="2"/>
  <c r="CH12" i="2"/>
  <c r="CK12" i="2"/>
  <c r="CN12" i="2"/>
  <c r="CQ12" i="2"/>
  <c r="CT12" i="2"/>
  <c r="CW12" i="2"/>
  <c r="CZ12" i="2"/>
  <c r="DC12" i="2"/>
  <c r="DF12" i="2"/>
  <c r="DI12" i="2"/>
  <c r="DL12" i="2"/>
  <c r="DO12" i="2"/>
  <c r="DR12" i="2"/>
  <c r="DS12" i="2"/>
  <c r="DT12" i="2"/>
  <c r="DU12" i="2"/>
  <c r="DV12" i="2"/>
  <c r="DX12" i="2"/>
  <c r="DY12" i="2"/>
  <c r="DZ12" i="2"/>
  <c r="EA12" i="2"/>
  <c r="EC12" i="2"/>
  <c r="ED12" i="2"/>
  <c r="A13" i="2"/>
  <c r="B13" i="2"/>
  <c r="E13" i="2"/>
  <c r="H13" i="2"/>
  <c r="I13" i="2"/>
  <c r="J13" i="2"/>
  <c r="K13" i="2"/>
  <c r="N13" i="2"/>
  <c r="Q13" i="2"/>
  <c r="T13" i="2"/>
  <c r="W13" i="2"/>
  <c r="Z13" i="2"/>
  <c r="AC13" i="2"/>
  <c r="AF13" i="2"/>
  <c r="AI13" i="2"/>
  <c r="AL13" i="2"/>
  <c r="AO13" i="2"/>
  <c r="AR13" i="2"/>
  <c r="AU13" i="2"/>
  <c r="AX13" i="2"/>
  <c r="BA13" i="2"/>
  <c r="BD13" i="2"/>
  <c r="BG13" i="2"/>
  <c r="BJ13" i="2"/>
  <c r="BM13" i="2"/>
  <c r="BP13" i="2"/>
  <c r="BS13" i="2"/>
  <c r="BV13" i="2"/>
  <c r="BY13" i="2"/>
  <c r="CB13" i="2"/>
  <c r="CE13" i="2"/>
  <c r="CH13" i="2"/>
  <c r="CK13" i="2"/>
  <c r="CN13" i="2"/>
  <c r="CQ13" i="2"/>
  <c r="CT13" i="2"/>
  <c r="CW13" i="2"/>
  <c r="CZ13" i="2"/>
  <c r="DC13" i="2"/>
  <c r="DF13" i="2"/>
  <c r="DI13" i="2"/>
  <c r="DL13" i="2"/>
  <c r="DO13" i="2"/>
  <c r="DR13" i="2"/>
  <c r="DS13" i="2"/>
  <c r="DT13" i="2"/>
  <c r="DU13" i="2"/>
  <c r="DV13" i="2"/>
  <c r="DX13" i="2"/>
  <c r="DY13" i="2"/>
  <c r="DZ13" i="2"/>
  <c r="EA13" i="2"/>
  <c r="EC13" i="2"/>
  <c r="ED13" i="2"/>
  <c r="A14" i="2"/>
  <c r="B14" i="2"/>
  <c r="E14" i="2"/>
  <c r="H14" i="2"/>
  <c r="I14" i="2"/>
  <c r="J14" i="2"/>
  <c r="K14" i="2"/>
  <c r="N14" i="2"/>
  <c r="Q14" i="2"/>
  <c r="T14" i="2"/>
  <c r="W14" i="2"/>
  <c r="Z14" i="2"/>
  <c r="AC14" i="2"/>
  <c r="AF14" i="2"/>
  <c r="AI14" i="2"/>
  <c r="AL14" i="2"/>
  <c r="AO14" i="2"/>
  <c r="AR14" i="2"/>
  <c r="AU14" i="2"/>
  <c r="AW14" i="2"/>
  <c r="AX14" i="2"/>
  <c r="BA14" i="2"/>
  <c r="BD14" i="2"/>
  <c r="BG14" i="2"/>
  <c r="BJ14" i="2"/>
  <c r="BM14" i="2"/>
  <c r="BP14" i="2"/>
  <c r="BS14" i="2"/>
  <c r="BV14" i="2"/>
  <c r="BY14" i="2"/>
  <c r="CB14" i="2"/>
  <c r="CE14" i="2"/>
  <c r="CH14" i="2"/>
  <c r="CK14" i="2"/>
  <c r="CN14" i="2"/>
  <c r="CQ14" i="2"/>
  <c r="CT14" i="2"/>
  <c r="CW14" i="2"/>
  <c r="CZ14" i="2"/>
  <c r="DC14" i="2"/>
  <c r="DF14" i="2"/>
  <c r="DI14" i="2"/>
  <c r="DL14" i="2"/>
  <c r="DO14" i="2"/>
  <c r="DR14" i="2"/>
  <c r="DS14" i="2"/>
  <c r="DT14" i="2"/>
  <c r="DU14" i="2"/>
  <c r="DV14" i="2"/>
  <c r="DX14" i="2"/>
  <c r="DY14" i="2"/>
  <c r="DZ14" i="2"/>
  <c r="EA14" i="2"/>
  <c r="EC14" i="2"/>
  <c r="ED14" i="2"/>
  <c r="A15" i="2"/>
  <c r="B15" i="2"/>
  <c r="E15" i="2"/>
  <c r="H15" i="2"/>
  <c r="I15" i="2"/>
  <c r="J15" i="2"/>
  <c r="K15" i="2"/>
  <c r="N15" i="2"/>
  <c r="Q15" i="2"/>
  <c r="T15" i="2"/>
  <c r="W15" i="2"/>
  <c r="Z15" i="2"/>
  <c r="AC15" i="2"/>
  <c r="AF15" i="2"/>
  <c r="AI15" i="2"/>
  <c r="AL15" i="2"/>
  <c r="AO15" i="2"/>
  <c r="AR15" i="2"/>
  <c r="AU15" i="2"/>
  <c r="AW15" i="2"/>
  <c r="AX15" i="2"/>
  <c r="BA15" i="2"/>
  <c r="BD15" i="2"/>
  <c r="BG15" i="2"/>
  <c r="BJ15" i="2"/>
  <c r="BM15" i="2"/>
  <c r="BP15" i="2"/>
  <c r="BS15" i="2"/>
  <c r="BV15" i="2"/>
  <c r="BY15" i="2"/>
  <c r="CB15" i="2"/>
  <c r="CE15" i="2"/>
  <c r="CH15" i="2"/>
  <c r="CK15" i="2"/>
  <c r="CN15" i="2"/>
  <c r="CQ15" i="2"/>
  <c r="CT15" i="2"/>
  <c r="CW15" i="2"/>
  <c r="CZ15" i="2"/>
  <c r="DC15" i="2"/>
  <c r="DF15" i="2"/>
  <c r="DI15" i="2"/>
  <c r="DL15" i="2"/>
  <c r="DO15" i="2"/>
  <c r="DR15" i="2"/>
  <c r="DS15" i="2"/>
  <c r="DT15" i="2"/>
  <c r="DU15" i="2"/>
  <c r="DV15" i="2"/>
  <c r="DX15" i="2"/>
  <c r="DY15" i="2"/>
  <c r="DZ15" i="2"/>
  <c r="EA15" i="2"/>
  <c r="EC15" i="2"/>
  <c r="ED15" i="2"/>
  <c r="A16" i="2"/>
  <c r="B16" i="2"/>
  <c r="E16" i="2"/>
  <c r="H16" i="2"/>
  <c r="I16" i="2"/>
  <c r="J16" i="2"/>
  <c r="K16" i="2"/>
  <c r="N16" i="2"/>
  <c r="Q16" i="2"/>
  <c r="T16" i="2"/>
  <c r="W16" i="2"/>
  <c r="Z16" i="2"/>
  <c r="AC16" i="2"/>
  <c r="AF16" i="2"/>
  <c r="AI16" i="2"/>
  <c r="AL16" i="2"/>
  <c r="AO16" i="2"/>
  <c r="AR16" i="2"/>
  <c r="AU16" i="2"/>
  <c r="AV16" i="2"/>
  <c r="AX16" i="2"/>
  <c r="BA16" i="2"/>
  <c r="BD16" i="2"/>
  <c r="BG16" i="2"/>
  <c r="BJ16" i="2"/>
  <c r="BM16" i="2"/>
  <c r="BP16" i="2"/>
  <c r="BS16" i="2"/>
  <c r="BV16" i="2"/>
  <c r="BY16" i="2"/>
  <c r="CB16" i="2"/>
  <c r="CE16" i="2"/>
  <c r="CH16" i="2"/>
  <c r="CK16" i="2"/>
  <c r="CN16" i="2"/>
  <c r="CQ16" i="2"/>
  <c r="CT16" i="2"/>
  <c r="CW16" i="2"/>
  <c r="CZ16" i="2"/>
  <c r="DC16" i="2"/>
  <c r="DF16" i="2"/>
  <c r="DI16" i="2"/>
  <c r="DL16" i="2"/>
  <c r="DO16" i="2"/>
  <c r="DR16" i="2"/>
  <c r="DS16" i="2"/>
  <c r="DT16" i="2"/>
  <c r="DU16" i="2"/>
  <c r="DV16" i="2"/>
  <c r="DX16" i="2"/>
  <c r="DY16" i="2"/>
  <c r="DZ16" i="2"/>
  <c r="EA16" i="2"/>
  <c r="EC16" i="2"/>
  <c r="ED16" i="2"/>
  <c r="A17" i="2"/>
  <c r="B17" i="2"/>
  <c r="E17" i="2"/>
  <c r="H17" i="2"/>
  <c r="I17" i="2"/>
  <c r="J17" i="2"/>
  <c r="K17" i="2"/>
  <c r="N17" i="2"/>
  <c r="Q17" i="2"/>
  <c r="T17" i="2"/>
  <c r="W17" i="2"/>
  <c r="Z17" i="2"/>
  <c r="AC17" i="2"/>
  <c r="AF17" i="2"/>
  <c r="AI17" i="2"/>
  <c r="AL17" i="2"/>
  <c r="AO17" i="2"/>
  <c r="AR17" i="2"/>
  <c r="AU17" i="2"/>
  <c r="AW17" i="2"/>
  <c r="AX17" i="2"/>
  <c r="BA17" i="2"/>
  <c r="BD17" i="2"/>
  <c r="BG17" i="2"/>
  <c r="BJ17" i="2"/>
  <c r="BM17" i="2"/>
  <c r="BP17" i="2"/>
  <c r="BS17" i="2"/>
  <c r="BV17" i="2"/>
  <c r="BY17" i="2"/>
  <c r="CB17" i="2"/>
  <c r="CE17" i="2"/>
  <c r="CH17" i="2"/>
  <c r="CK17" i="2"/>
  <c r="CN17" i="2"/>
  <c r="CQ17" i="2"/>
  <c r="CT17" i="2"/>
  <c r="CW17" i="2"/>
  <c r="CZ17" i="2"/>
  <c r="DC17" i="2"/>
  <c r="DF17" i="2"/>
  <c r="DI17" i="2"/>
  <c r="DL17" i="2"/>
  <c r="DO17" i="2"/>
  <c r="DR17" i="2"/>
  <c r="DS17" i="2"/>
  <c r="DT17" i="2"/>
  <c r="DU17" i="2"/>
  <c r="DV17" i="2"/>
  <c r="DX17" i="2"/>
  <c r="DY17" i="2"/>
  <c r="DZ17" i="2"/>
  <c r="EA17" i="2"/>
  <c r="EC17" i="2"/>
  <c r="ED17" i="2"/>
  <c r="A18" i="2"/>
  <c r="B18" i="2"/>
  <c r="E18" i="2"/>
  <c r="H18" i="2"/>
  <c r="I18" i="2"/>
  <c r="J18" i="2"/>
  <c r="K18" i="2"/>
  <c r="N18" i="2"/>
  <c r="Q18" i="2"/>
  <c r="T18" i="2"/>
  <c r="W18" i="2"/>
  <c r="Z18" i="2"/>
  <c r="AC18" i="2"/>
  <c r="AF18" i="2"/>
  <c r="AI18" i="2"/>
  <c r="AL18" i="2"/>
  <c r="AO18" i="2"/>
  <c r="AR18" i="2"/>
  <c r="AU18" i="2"/>
  <c r="AW18" i="2"/>
  <c r="AX18" i="2"/>
  <c r="BA18" i="2"/>
  <c r="BD18" i="2"/>
  <c r="BG18" i="2"/>
  <c r="BJ18" i="2"/>
  <c r="BM18" i="2"/>
  <c r="BP18" i="2"/>
  <c r="BS18" i="2"/>
  <c r="BV18" i="2"/>
  <c r="BY18" i="2"/>
  <c r="CB18" i="2"/>
  <c r="CE18" i="2"/>
  <c r="CH18" i="2"/>
  <c r="CK18" i="2"/>
  <c r="CN18" i="2"/>
  <c r="CQ18" i="2"/>
  <c r="CT18" i="2"/>
  <c r="CW18" i="2"/>
  <c r="CZ18" i="2"/>
  <c r="DC18" i="2"/>
  <c r="DF18" i="2"/>
  <c r="DI18" i="2"/>
  <c r="DL18" i="2"/>
  <c r="DO18" i="2"/>
  <c r="DR18" i="2"/>
  <c r="DS18" i="2"/>
  <c r="DT18" i="2"/>
  <c r="DU18" i="2"/>
  <c r="DV18" i="2"/>
  <c r="DX18" i="2"/>
  <c r="DY18" i="2"/>
  <c r="DZ18" i="2"/>
  <c r="EA18" i="2"/>
  <c r="EC18" i="2"/>
  <c r="ED18" i="2"/>
  <c r="A19" i="2"/>
  <c r="B19" i="2"/>
  <c r="E19" i="2"/>
  <c r="G19" i="2"/>
  <c r="H19" i="2"/>
  <c r="I19" i="2"/>
  <c r="J19" i="2"/>
  <c r="K19" i="2"/>
  <c r="N19" i="2"/>
  <c r="Q19" i="2"/>
  <c r="T19" i="2"/>
  <c r="W19" i="2"/>
  <c r="Z19" i="2"/>
  <c r="AC19" i="2"/>
  <c r="AF19" i="2"/>
  <c r="AI19" i="2"/>
  <c r="AL19" i="2"/>
  <c r="AO19" i="2"/>
  <c r="AR19" i="2"/>
  <c r="AU19" i="2"/>
  <c r="AW19" i="2"/>
  <c r="AX19" i="2"/>
  <c r="BA19" i="2"/>
  <c r="BD19" i="2"/>
  <c r="BG19" i="2"/>
  <c r="BJ19" i="2"/>
  <c r="BM19" i="2"/>
  <c r="BP19" i="2"/>
  <c r="BS19" i="2"/>
  <c r="BV19" i="2"/>
  <c r="BY19" i="2"/>
  <c r="CB19" i="2"/>
  <c r="CE19" i="2"/>
  <c r="CH19" i="2"/>
  <c r="CK19" i="2"/>
  <c r="CN19" i="2"/>
  <c r="CQ19" i="2"/>
  <c r="CT19" i="2"/>
  <c r="CW19" i="2"/>
  <c r="CZ19" i="2"/>
  <c r="DC19" i="2"/>
  <c r="DF19" i="2"/>
  <c r="DI19" i="2"/>
  <c r="DL19" i="2"/>
  <c r="DO19" i="2"/>
  <c r="DR19" i="2"/>
  <c r="DS19" i="2"/>
  <c r="DT19" i="2"/>
  <c r="DU19" i="2"/>
  <c r="DV19" i="2"/>
  <c r="DX19" i="2"/>
  <c r="DY19" i="2"/>
  <c r="DZ19" i="2"/>
  <c r="EA19" i="2"/>
  <c r="EC19" i="2"/>
  <c r="ED19" i="2"/>
  <c r="A20" i="2"/>
  <c r="B20" i="2"/>
  <c r="E20" i="2"/>
  <c r="G20" i="2"/>
  <c r="H20" i="2"/>
  <c r="I20" i="2"/>
  <c r="J20" i="2"/>
  <c r="K20" i="2"/>
  <c r="N20" i="2"/>
  <c r="Q20" i="2"/>
  <c r="T20" i="2"/>
  <c r="W20" i="2"/>
  <c r="Z20" i="2"/>
  <c r="AC20" i="2"/>
  <c r="AF20" i="2"/>
  <c r="AI20" i="2"/>
  <c r="AL20" i="2"/>
  <c r="AO20" i="2"/>
  <c r="AR20" i="2"/>
  <c r="AU20" i="2"/>
  <c r="AX20" i="2"/>
  <c r="BA20" i="2"/>
  <c r="BD20" i="2"/>
  <c r="BG20" i="2"/>
  <c r="BJ20" i="2"/>
  <c r="BM20" i="2"/>
  <c r="BP20" i="2"/>
  <c r="BS20" i="2"/>
  <c r="BV20" i="2"/>
  <c r="BY20" i="2"/>
  <c r="CB20" i="2"/>
  <c r="CE20" i="2"/>
  <c r="CH20" i="2"/>
  <c r="CK20" i="2"/>
  <c r="CN20" i="2"/>
  <c r="CQ20" i="2"/>
  <c r="CT20" i="2"/>
  <c r="CW20" i="2"/>
  <c r="CZ20" i="2"/>
  <c r="DC20" i="2"/>
  <c r="DF20" i="2"/>
  <c r="DI20" i="2"/>
  <c r="DL20" i="2"/>
  <c r="DO20" i="2"/>
  <c r="DR20" i="2"/>
  <c r="DS20" i="2"/>
  <c r="DT20" i="2"/>
  <c r="DU20" i="2"/>
  <c r="DV20" i="2"/>
  <c r="DX20" i="2"/>
  <c r="DY20" i="2"/>
  <c r="DZ20" i="2"/>
  <c r="EA20" i="2"/>
  <c r="EC20" i="2"/>
  <c r="ED20" i="2"/>
  <c r="A21" i="2"/>
  <c r="B21" i="2"/>
  <c r="E21" i="2"/>
  <c r="G21" i="2"/>
  <c r="H21" i="2"/>
  <c r="I21" i="2"/>
  <c r="J21" i="2"/>
  <c r="K21" i="2"/>
  <c r="N21" i="2"/>
  <c r="Q21" i="2"/>
  <c r="T21" i="2"/>
  <c r="W21" i="2"/>
  <c r="Z21" i="2"/>
  <c r="AC21" i="2"/>
  <c r="AF21" i="2"/>
  <c r="AI21" i="2"/>
  <c r="AL21" i="2"/>
  <c r="AO21" i="2"/>
  <c r="AR21" i="2"/>
  <c r="AU21" i="2"/>
  <c r="AX21" i="2"/>
  <c r="BA21" i="2"/>
  <c r="BD21" i="2"/>
  <c r="BG21" i="2"/>
  <c r="BJ21" i="2"/>
  <c r="BM21" i="2"/>
  <c r="BP21" i="2"/>
  <c r="BS21" i="2"/>
  <c r="BV21" i="2"/>
  <c r="BY21" i="2"/>
  <c r="CB21" i="2"/>
  <c r="CE21" i="2"/>
  <c r="CH21" i="2"/>
  <c r="CK21" i="2"/>
  <c r="CN21" i="2"/>
  <c r="CQ21" i="2"/>
  <c r="CT21" i="2"/>
  <c r="CW21" i="2"/>
  <c r="CZ21" i="2"/>
  <c r="DC21" i="2"/>
  <c r="DF21" i="2"/>
  <c r="DI21" i="2"/>
  <c r="DL21" i="2"/>
  <c r="DO21" i="2"/>
  <c r="DR21" i="2"/>
  <c r="DS21" i="2"/>
  <c r="DT21" i="2"/>
  <c r="DU21" i="2"/>
  <c r="DV21" i="2"/>
  <c r="DX21" i="2"/>
  <c r="DY21" i="2"/>
  <c r="DZ21" i="2"/>
  <c r="EA21" i="2"/>
  <c r="EC21" i="2"/>
  <c r="ED21" i="2"/>
  <c r="A22" i="2"/>
  <c r="B22" i="2"/>
  <c r="E22" i="2"/>
  <c r="G22" i="2"/>
  <c r="H22" i="2"/>
  <c r="I22" i="2"/>
  <c r="J22" i="2"/>
  <c r="K22" i="2"/>
  <c r="N22" i="2"/>
  <c r="Q22" i="2"/>
  <c r="T22" i="2"/>
  <c r="W22" i="2"/>
  <c r="Z22" i="2"/>
  <c r="AC22" i="2"/>
  <c r="AF22" i="2"/>
  <c r="AI22" i="2"/>
  <c r="AL22" i="2"/>
  <c r="AO22" i="2"/>
  <c r="AR22" i="2"/>
  <c r="AU22" i="2"/>
  <c r="AX22" i="2"/>
  <c r="BA22" i="2"/>
  <c r="BD22" i="2"/>
  <c r="BG22" i="2"/>
  <c r="BJ22" i="2"/>
  <c r="BM22" i="2"/>
  <c r="BP22" i="2"/>
  <c r="BS22" i="2"/>
  <c r="BV22" i="2"/>
  <c r="BY22" i="2"/>
  <c r="CB22" i="2"/>
  <c r="CE22" i="2"/>
  <c r="CH22" i="2"/>
  <c r="CK22" i="2"/>
  <c r="CN22" i="2"/>
  <c r="CQ22" i="2"/>
  <c r="CT22" i="2"/>
  <c r="CW22" i="2"/>
  <c r="CZ22" i="2"/>
  <c r="DC22" i="2"/>
  <c r="DF22" i="2"/>
  <c r="DI22" i="2"/>
  <c r="DL22" i="2"/>
  <c r="DO22" i="2"/>
  <c r="DR22" i="2"/>
  <c r="DS22" i="2"/>
  <c r="DT22" i="2"/>
  <c r="DU22" i="2"/>
  <c r="DV22" i="2"/>
  <c r="DX22" i="2"/>
  <c r="DY22" i="2"/>
  <c r="DZ22" i="2"/>
  <c r="EA22" i="2"/>
  <c r="EC22" i="2"/>
  <c r="ED22" i="2"/>
  <c r="A23" i="2"/>
  <c r="B23" i="2"/>
  <c r="E23" i="2"/>
  <c r="H23" i="2"/>
  <c r="I23" i="2"/>
  <c r="J23" i="2"/>
  <c r="K23" i="2"/>
  <c r="N23" i="2"/>
  <c r="Q23" i="2"/>
  <c r="T23" i="2"/>
  <c r="W23" i="2"/>
  <c r="Z23" i="2"/>
  <c r="AC23" i="2"/>
  <c r="AF23" i="2"/>
  <c r="AI23" i="2"/>
  <c r="AL23" i="2"/>
  <c r="AO23" i="2"/>
  <c r="AR23" i="2"/>
  <c r="AU23" i="2"/>
  <c r="AW23" i="2"/>
  <c r="AX23" i="2"/>
  <c r="BA23" i="2"/>
  <c r="BD23" i="2"/>
  <c r="BG23" i="2"/>
  <c r="BJ23" i="2"/>
  <c r="BM23" i="2"/>
  <c r="BP23" i="2"/>
  <c r="BS23" i="2"/>
  <c r="BV23" i="2"/>
  <c r="BY23" i="2"/>
  <c r="CB23" i="2"/>
  <c r="CE23" i="2"/>
  <c r="CH23" i="2"/>
  <c r="CK23" i="2"/>
  <c r="CN23" i="2"/>
  <c r="CQ23" i="2"/>
  <c r="CT23" i="2"/>
  <c r="CW23" i="2"/>
  <c r="CZ23" i="2"/>
  <c r="DC23" i="2"/>
  <c r="DF23" i="2"/>
  <c r="DI23" i="2"/>
  <c r="DL23" i="2"/>
  <c r="DO23" i="2"/>
  <c r="DR23" i="2"/>
  <c r="DS23" i="2"/>
  <c r="DT23" i="2"/>
  <c r="DU23" i="2"/>
  <c r="DV23" i="2"/>
  <c r="DX23" i="2"/>
  <c r="DY23" i="2"/>
  <c r="DZ23" i="2"/>
  <c r="EA23" i="2"/>
  <c r="EC23" i="2"/>
  <c r="ED23" i="2"/>
  <c r="A24" i="2"/>
  <c r="B24" i="2"/>
  <c r="E24" i="2"/>
  <c r="G24" i="2"/>
  <c r="H24" i="2"/>
  <c r="I24" i="2"/>
  <c r="J24" i="2"/>
  <c r="K24" i="2"/>
  <c r="N24" i="2"/>
  <c r="Q24" i="2"/>
  <c r="T24" i="2"/>
  <c r="W24" i="2"/>
  <c r="Z24" i="2"/>
  <c r="AC24" i="2"/>
  <c r="AF24" i="2"/>
  <c r="AI24" i="2"/>
  <c r="AL24" i="2"/>
  <c r="AO24" i="2"/>
  <c r="AR24" i="2"/>
  <c r="AU24" i="2"/>
  <c r="AW24" i="2"/>
  <c r="AX24" i="2"/>
  <c r="BA24" i="2"/>
  <c r="BD24" i="2"/>
  <c r="BG24" i="2"/>
  <c r="BJ24" i="2"/>
  <c r="BM24" i="2"/>
  <c r="BP24" i="2"/>
  <c r="BS24" i="2"/>
  <c r="BV24" i="2"/>
  <c r="BY24" i="2"/>
  <c r="CB24" i="2"/>
  <c r="CE24" i="2"/>
  <c r="CH24" i="2"/>
  <c r="CK24" i="2"/>
  <c r="CN24" i="2"/>
  <c r="CQ24" i="2"/>
  <c r="CT24" i="2"/>
  <c r="CW24" i="2"/>
  <c r="CZ24" i="2"/>
  <c r="DC24" i="2"/>
  <c r="DF24" i="2"/>
  <c r="DI24" i="2"/>
  <c r="DL24" i="2"/>
  <c r="DO24" i="2"/>
  <c r="DR24" i="2"/>
  <c r="DS24" i="2"/>
  <c r="DT24" i="2"/>
  <c r="DU24" i="2"/>
  <c r="DV24" i="2"/>
  <c r="DX24" i="2"/>
  <c r="DY24" i="2"/>
  <c r="DZ24" i="2"/>
  <c r="EA24" i="2"/>
  <c r="EC24" i="2"/>
  <c r="ED24" i="2"/>
  <c r="A25" i="2"/>
  <c r="B25" i="2"/>
  <c r="E25" i="2"/>
  <c r="G25" i="2"/>
  <c r="H25" i="2"/>
  <c r="I25" i="2"/>
  <c r="J25" i="2"/>
  <c r="K25" i="2"/>
  <c r="N25" i="2"/>
  <c r="Q25" i="2"/>
  <c r="T25" i="2"/>
  <c r="W25" i="2"/>
  <c r="Z25" i="2"/>
  <c r="AC25" i="2"/>
  <c r="AF25" i="2"/>
  <c r="AI25" i="2"/>
  <c r="AL25" i="2"/>
  <c r="AO25" i="2"/>
  <c r="AR25" i="2"/>
  <c r="AU25" i="2"/>
  <c r="AW25" i="2"/>
  <c r="AX25" i="2"/>
  <c r="BA25" i="2"/>
  <c r="BD25" i="2"/>
  <c r="BG25" i="2"/>
  <c r="BJ25" i="2"/>
  <c r="BM25" i="2"/>
  <c r="BP25" i="2"/>
  <c r="BS25" i="2"/>
  <c r="BV25" i="2"/>
  <c r="BY25" i="2"/>
  <c r="CB25" i="2"/>
  <c r="CE25" i="2"/>
  <c r="CH25" i="2"/>
  <c r="CK25" i="2"/>
  <c r="CN25" i="2"/>
  <c r="CQ25" i="2"/>
  <c r="CT25" i="2"/>
  <c r="CW25" i="2"/>
  <c r="CZ25" i="2"/>
  <c r="DC25" i="2"/>
  <c r="DF25" i="2"/>
  <c r="DI25" i="2"/>
  <c r="DL25" i="2"/>
  <c r="DO25" i="2"/>
  <c r="DR25" i="2"/>
  <c r="DS25" i="2"/>
  <c r="DT25" i="2"/>
  <c r="DU25" i="2"/>
  <c r="DV25" i="2"/>
  <c r="DX25" i="2"/>
  <c r="DY25" i="2"/>
  <c r="DZ25" i="2"/>
  <c r="EA25" i="2"/>
  <c r="EC25" i="2"/>
  <c r="ED25" i="2"/>
  <c r="A26" i="2"/>
  <c r="B26" i="2"/>
  <c r="E26" i="2"/>
  <c r="H26" i="2"/>
  <c r="I26" i="2"/>
  <c r="J26" i="2"/>
  <c r="K26" i="2"/>
  <c r="N26" i="2"/>
  <c r="Q26" i="2"/>
  <c r="T26" i="2"/>
  <c r="W26" i="2"/>
  <c r="Z26" i="2"/>
  <c r="AC26" i="2"/>
  <c r="AF26" i="2"/>
  <c r="AI26" i="2"/>
  <c r="AL26" i="2"/>
  <c r="AO26" i="2"/>
  <c r="AR26" i="2"/>
  <c r="AU26" i="2"/>
  <c r="AW26" i="2"/>
  <c r="AX26" i="2"/>
  <c r="BA26" i="2"/>
  <c r="BD26" i="2"/>
  <c r="BG26" i="2"/>
  <c r="BJ26" i="2"/>
  <c r="BM26" i="2"/>
  <c r="BP26" i="2"/>
  <c r="BS26" i="2"/>
  <c r="BV26" i="2"/>
  <c r="BY26" i="2"/>
  <c r="CB26" i="2"/>
  <c r="CE26" i="2"/>
  <c r="CH26" i="2"/>
  <c r="CK26" i="2"/>
  <c r="CN26" i="2"/>
  <c r="CQ26" i="2"/>
  <c r="CT26" i="2"/>
  <c r="CW26" i="2"/>
  <c r="CZ26" i="2"/>
  <c r="DC26" i="2"/>
  <c r="DF26" i="2"/>
  <c r="DI26" i="2"/>
  <c r="DL26" i="2"/>
  <c r="DO26" i="2"/>
  <c r="DR26" i="2"/>
  <c r="DS26" i="2"/>
  <c r="DT26" i="2"/>
  <c r="DU26" i="2"/>
  <c r="DV26" i="2"/>
  <c r="DX26" i="2"/>
  <c r="DY26" i="2"/>
  <c r="DZ26" i="2"/>
  <c r="EA26" i="2"/>
  <c r="EC26" i="2"/>
  <c r="ED26" i="2"/>
  <c r="A27" i="2"/>
  <c r="B27" i="2"/>
  <c r="E27" i="2"/>
  <c r="H27" i="2"/>
  <c r="I27" i="2"/>
  <c r="J27" i="2"/>
  <c r="K27" i="2"/>
  <c r="N27" i="2"/>
  <c r="Q27" i="2"/>
  <c r="T27" i="2"/>
  <c r="W27" i="2"/>
  <c r="Z27" i="2"/>
  <c r="AC27" i="2"/>
  <c r="AF27" i="2"/>
  <c r="AI27" i="2"/>
  <c r="AL27" i="2"/>
  <c r="AO27" i="2"/>
  <c r="AR27" i="2"/>
  <c r="AU27" i="2"/>
  <c r="AX27" i="2"/>
  <c r="BA27" i="2"/>
  <c r="BD27" i="2"/>
  <c r="BG27" i="2"/>
  <c r="BJ27" i="2"/>
  <c r="BM27" i="2"/>
  <c r="BP27" i="2"/>
  <c r="BS27" i="2"/>
  <c r="BV27" i="2"/>
  <c r="BY27" i="2"/>
  <c r="CB27" i="2"/>
  <c r="CE27" i="2"/>
  <c r="CH27" i="2"/>
  <c r="CK27" i="2"/>
  <c r="CN27" i="2"/>
  <c r="CQ27" i="2"/>
  <c r="CT27" i="2"/>
  <c r="CW27" i="2"/>
  <c r="CZ27" i="2"/>
  <c r="DC27" i="2"/>
  <c r="DF27" i="2"/>
  <c r="DI27" i="2"/>
  <c r="DL27" i="2"/>
  <c r="DO27" i="2"/>
  <c r="DR27" i="2"/>
  <c r="DS27" i="2"/>
  <c r="DT27" i="2"/>
  <c r="DU27" i="2"/>
  <c r="DV27" i="2"/>
  <c r="DX27" i="2"/>
  <c r="DY27" i="2"/>
  <c r="DZ27" i="2"/>
  <c r="EA27" i="2"/>
  <c r="EC27" i="2"/>
  <c r="ED27" i="2"/>
  <c r="A28" i="2"/>
  <c r="B28" i="2"/>
  <c r="E28" i="2"/>
  <c r="H28" i="2"/>
  <c r="I28" i="2"/>
  <c r="J28" i="2"/>
  <c r="K28" i="2"/>
  <c r="N28" i="2"/>
  <c r="Q28" i="2"/>
  <c r="T28" i="2"/>
  <c r="W28" i="2"/>
  <c r="Z28" i="2"/>
  <c r="AC28" i="2"/>
  <c r="AF28" i="2"/>
  <c r="AI28" i="2"/>
  <c r="AL28" i="2"/>
  <c r="AO28" i="2"/>
  <c r="AR28" i="2"/>
  <c r="AU28" i="2"/>
  <c r="AX28" i="2"/>
  <c r="BA28" i="2"/>
  <c r="BD28" i="2"/>
  <c r="BG28" i="2"/>
  <c r="BJ28" i="2"/>
  <c r="BM28" i="2"/>
  <c r="BP28" i="2"/>
  <c r="BS28" i="2"/>
  <c r="BV28" i="2"/>
  <c r="BY28" i="2"/>
  <c r="CB28" i="2"/>
  <c r="CE28" i="2"/>
  <c r="CH28" i="2"/>
  <c r="CK28" i="2"/>
  <c r="CN28" i="2"/>
  <c r="CQ28" i="2"/>
  <c r="CT28" i="2"/>
  <c r="CW28" i="2"/>
  <c r="CZ28" i="2"/>
  <c r="DC28" i="2"/>
  <c r="DF28" i="2"/>
  <c r="DI28" i="2"/>
  <c r="DL28" i="2"/>
  <c r="DO28" i="2"/>
  <c r="DR28" i="2"/>
  <c r="DS28" i="2"/>
  <c r="DT28" i="2"/>
  <c r="DU28" i="2"/>
  <c r="DV28" i="2"/>
  <c r="DX28" i="2"/>
  <c r="DY28" i="2"/>
  <c r="DZ28" i="2"/>
  <c r="EA28" i="2"/>
  <c r="EC28" i="2"/>
  <c r="ED28" i="2"/>
  <c r="A29" i="2"/>
  <c r="B29" i="2"/>
  <c r="E29" i="2"/>
  <c r="H29" i="2"/>
  <c r="I29" i="2"/>
  <c r="J29" i="2"/>
  <c r="K29" i="2"/>
  <c r="N29" i="2"/>
  <c r="Q29" i="2"/>
  <c r="T29" i="2"/>
  <c r="W29" i="2"/>
  <c r="Z29" i="2"/>
  <c r="AC29" i="2"/>
  <c r="AF29" i="2"/>
  <c r="AI29" i="2"/>
  <c r="AL29" i="2"/>
  <c r="AO29" i="2"/>
  <c r="AR29" i="2"/>
  <c r="AU29" i="2"/>
  <c r="AX29" i="2"/>
  <c r="BA29" i="2"/>
  <c r="BD29" i="2"/>
  <c r="BG29" i="2"/>
  <c r="BJ29" i="2"/>
  <c r="BM29" i="2"/>
  <c r="BP29" i="2"/>
  <c r="BS29" i="2"/>
  <c r="BV29" i="2"/>
  <c r="BY29" i="2"/>
  <c r="CB29" i="2"/>
  <c r="CE29" i="2"/>
  <c r="CH29" i="2"/>
  <c r="CK29" i="2"/>
  <c r="CN29" i="2"/>
  <c r="CQ29" i="2"/>
  <c r="CT29" i="2"/>
  <c r="CW29" i="2"/>
  <c r="CZ29" i="2"/>
  <c r="DC29" i="2"/>
  <c r="DF29" i="2"/>
  <c r="DI29" i="2"/>
  <c r="DL29" i="2"/>
  <c r="DO29" i="2"/>
  <c r="DR29" i="2"/>
  <c r="DS29" i="2"/>
  <c r="DT29" i="2"/>
  <c r="DU29" i="2"/>
  <c r="DV29" i="2"/>
  <c r="DX29" i="2"/>
  <c r="DY29" i="2"/>
  <c r="DZ29" i="2"/>
  <c r="EA29" i="2"/>
  <c r="EC29" i="2"/>
  <c r="ED29" i="2"/>
  <c r="A30" i="2"/>
  <c r="B30" i="2"/>
  <c r="E30" i="2"/>
  <c r="H30" i="2"/>
  <c r="I30" i="2"/>
  <c r="J30" i="2"/>
  <c r="K30" i="2"/>
  <c r="N30" i="2"/>
  <c r="Q30" i="2"/>
  <c r="T30" i="2"/>
  <c r="W30" i="2"/>
  <c r="Z30" i="2"/>
  <c r="AC30" i="2"/>
  <c r="AF30" i="2"/>
  <c r="AI30" i="2"/>
  <c r="AL30" i="2"/>
  <c r="AO30" i="2"/>
  <c r="AR30" i="2"/>
  <c r="AU30" i="2"/>
  <c r="AX30" i="2"/>
  <c r="BA30" i="2"/>
  <c r="BD30" i="2"/>
  <c r="BG30" i="2"/>
  <c r="BJ30" i="2"/>
  <c r="BM30" i="2"/>
  <c r="BP30" i="2"/>
  <c r="BS30" i="2"/>
  <c r="BV30" i="2"/>
  <c r="BY30" i="2"/>
  <c r="CB30" i="2"/>
  <c r="CE30" i="2"/>
  <c r="CH30" i="2"/>
  <c r="CK30" i="2"/>
  <c r="CN30" i="2"/>
  <c r="CQ30" i="2"/>
  <c r="CT30" i="2"/>
  <c r="CW30" i="2"/>
  <c r="CZ30" i="2"/>
  <c r="DC30" i="2"/>
  <c r="DF30" i="2"/>
  <c r="DI30" i="2"/>
  <c r="DL30" i="2"/>
  <c r="DO30" i="2"/>
  <c r="DR30" i="2"/>
  <c r="DS30" i="2"/>
  <c r="DT30" i="2"/>
  <c r="DU30" i="2"/>
  <c r="DV30" i="2"/>
  <c r="DX30" i="2"/>
  <c r="DY30" i="2"/>
  <c r="DZ30" i="2"/>
  <c r="EA30" i="2"/>
  <c r="EC30" i="2"/>
  <c r="ED30" i="2"/>
  <c r="A31" i="2"/>
  <c r="B31" i="2"/>
  <c r="E31" i="2"/>
  <c r="G31" i="2"/>
  <c r="H31" i="2"/>
  <c r="I31" i="2"/>
  <c r="J31" i="2"/>
  <c r="K31" i="2"/>
  <c r="N31" i="2"/>
  <c r="Q31" i="2"/>
  <c r="T31" i="2"/>
  <c r="W31" i="2"/>
  <c r="Z31" i="2"/>
  <c r="AC31" i="2"/>
  <c r="AF31" i="2"/>
  <c r="AI31" i="2"/>
  <c r="AL31" i="2"/>
  <c r="AO31" i="2"/>
  <c r="AR31" i="2"/>
  <c r="AU31" i="2"/>
  <c r="AW31" i="2"/>
  <c r="AX31" i="2"/>
  <c r="BA31" i="2"/>
  <c r="BD31" i="2"/>
  <c r="BG31" i="2"/>
  <c r="BJ31" i="2"/>
  <c r="BM31" i="2"/>
  <c r="BP31" i="2"/>
  <c r="BS31" i="2"/>
  <c r="BV31" i="2"/>
  <c r="BY31" i="2"/>
  <c r="CB31" i="2"/>
  <c r="CE31" i="2"/>
  <c r="CH31" i="2"/>
  <c r="CK31" i="2"/>
  <c r="CN31" i="2"/>
  <c r="CQ31" i="2"/>
  <c r="CT31" i="2"/>
  <c r="CW31" i="2"/>
  <c r="CZ31" i="2"/>
  <c r="DC31" i="2"/>
  <c r="DF31" i="2"/>
  <c r="DI31" i="2"/>
  <c r="DL31" i="2"/>
  <c r="DO31" i="2"/>
  <c r="DR31" i="2"/>
  <c r="DS31" i="2"/>
  <c r="DT31" i="2"/>
  <c r="DU31" i="2"/>
  <c r="DV31" i="2"/>
  <c r="DX31" i="2"/>
  <c r="DY31" i="2"/>
  <c r="DZ31" i="2"/>
  <c r="EA31" i="2"/>
  <c r="EC31" i="2"/>
  <c r="ED31" i="2"/>
  <c r="A32" i="2"/>
  <c r="B32" i="2"/>
  <c r="E32" i="2"/>
  <c r="H32" i="2"/>
  <c r="I32" i="2"/>
  <c r="J32" i="2"/>
  <c r="K32" i="2"/>
  <c r="N32" i="2"/>
  <c r="Q32" i="2"/>
  <c r="T32" i="2"/>
  <c r="W32" i="2"/>
  <c r="Z32" i="2"/>
  <c r="AC32" i="2"/>
  <c r="AF32" i="2"/>
  <c r="AI32" i="2"/>
  <c r="AL32" i="2"/>
  <c r="AO32" i="2"/>
  <c r="AR32" i="2"/>
  <c r="AU32" i="2"/>
  <c r="AX32" i="2"/>
  <c r="BA32" i="2"/>
  <c r="BD32" i="2"/>
  <c r="BG32" i="2"/>
  <c r="BJ32" i="2"/>
  <c r="BM32" i="2"/>
  <c r="BP32" i="2"/>
  <c r="BS32" i="2"/>
  <c r="BV32" i="2"/>
  <c r="BY32" i="2"/>
  <c r="CB32" i="2"/>
  <c r="CE32" i="2"/>
  <c r="CH32" i="2"/>
  <c r="CK32" i="2"/>
  <c r="CN32" i="2"/>
  <c r="CQ32" i="2"/>
  <c r="CT32" i="2"/>
  <c r="CW32" i="2"/>
  <c r="CZ32" i="2"/>
  <c r="DC32" i="2"/>
  <c r="DF32" i="2"/>
  <c r="DI32" i="2"/>
  <c r="DL32" i="2"/>
  <c r="DO32" i="2"/>
  <c r="DR32" i="2"/>
  <c r="DS32" i="2"/>
  <c r="DT32" i="2"/>
  <c r="DU32" i="2"/>
  <c r="DV32" i="2"/>
  <c r="DX32" i="2"/>
  <c r="DY32" i="2"/>
  <c r="DZ32" i="2"/>
  <c r="EA32" i="2"/>
  <c r="EC32" i="2"/>
  <c r="ED32" i="2"/>
  <c r="A33" i="2"/>
  <c r="B33" i="2"/>
  <c r="E33" i="2"/>
  <c r="H33" i="2"/>
  <c r="I33" i="2"/>
  <c r="J33" i="2"/>
  <c r="K33" i="2"/>
  <c r="N33" i="2"/>
  <c r="Q33" i="2"/>
  <c r="T33" i="2"/>
  <c r="W33" i="2"/>
  <c r="Z33" i="2"/>
  <c r="AC33" i="2"/>
  <c r="AF33" i="2"/>
  <c r="AI33" i="2"/>
  <c r="AL33" i="2"/>
  <c r="AO33" i="2"/>
  <c r="AR33" i="2"/>
  <c r="AU33" i="2"/>
  <c r="AV33" i="2"/>
  <c r="AX33" i="2"/>
  <c r="BA33" i="2"/>
  <c r="BD33" i="2"/>
  <c r="BG33" i="2"/>
  <c r="BJ33" i="2"/>
  <c r="BM33" i="2"/>
  <c r="BP33" i="2"/>
  <c r="BS33" i="2"/>
  <c r="BV33" i="2"/>
  <c r="BY33" i="2"/>
  <c r="CB33" i="2"/>
  <c r="CE33" i="2"/>
  <c r="CH33" i="2"/>
  <c r="CK33" i="2"/>
  <c r="CN33" i="2"/>
  <c r="CQ33" i="2"/>
  <c r="CT33" i="2"/>
  <c r="CW33" i="2"/>
  <c r="CZ33" i="2"/>
  <c r="DC33" i="2"/>
  <c r="DF33" i="2"/>
  <c r="DI33" i="2"/>
  <c r="DL33" i="2"/>
  <c r="DO33" i="2"/>
  <c r="DR33" i="2"/>
  <c r="DS33" i="2"/>
  <c r="DT33" i="2"/>
  <c r="DU33" i="2"/>
  <c r="DV33" i="2"/>
  <c r="DX33" i="2"/>
  <c r="DY33" i="2"/>
  <c r="DZ33" i="2"/>
  <c r="EA33" i="2"/>
  <c r="EC33" i="2"/>
  <c r="ED33" i="2"/>
  <c r="A34" i="2"/>
  <c r="B34" i="2"/>
  <c r="E34" i="2"/>
  <c r="H34" i="2"/>
  <c r="I34" i="2"/>
  <c r="J34" i="2"/>
  <c r="K34" i="2"/>
  <c r="N34" i="2"/>
  <c r="Q34" i="2"/>
  <c r="T34" i="2"/>
  <c r="W34" i="2"/>
  <c r="Z34" i="2"/>
  <c r="AC34" i="2"/>
  <c r="AF34" i="2"/>
  <c r="AI34" i="2"/>
  <c r="AL34" i="2"/>
  <c r="AO34" i="2"/>
  <c r="AR34" i="2"/>
  <c r="AU34" i="2"/>
  <c r="AX34" i="2"/>
  <c r="BA34" i="2"/>
  <c r="BD34" i="2"/>
  <c r="BG34" i="2"/>
  <c r="BJ34" i="2"/>
  <c r="BM34" i="2"/>
  <c r="BP34" i="2"/>
  <c r="BS34" i="2"/>
  <c r="BV34" i="2"/>
  <c r="BY34" i="2"/>
  <c r="CB34" i="2"/>
  <c r="CE34" i="2"/>
  <c r="CH34" i="2"/>
  <c r="CK34" i="2"/>
  <c r="CN34" i="2"/>
  <c r="CQ34" i="2"/>
  <c r="CT34" i="2"/>
  <c r="CW34" i="2"/>
  <c r="CZ34" i="2"/>
  <c r="DC34" i="2"/>
  <c r="DF34" i="2"/>
  <c r="DI34" i="2"/>
  <c r="DL34" i="2"/>
  <c r="DO34" i="2"/>
  <c r="DR34" i="2"/>
  <c r="DS34" i="2"/>
  <c r="DT34" i="2"/>
  <c r="DU34" i="2"/>
  <c r="DV34" i="2"/>
  <c r="DX34" i="2"/>
  <c r="DY34" i="2"/>
  <c r="DZ34" i="2"/>
  <c r="EA34" i="2"/>
  <c r="EC34" i="2"/>
  <c r="ED34" i="2"/>
  <c r="A35" i="2"/>
  <c r="B35" i="2"/>
  <c r="E35" i="2"/>
  <c r="H35" i="2"/>
  <c r="I35" i="2"/>
  <c r="J35" i="2"/>
  <c r="K35" i="2"/>
  <c r="N35" i="2"/>
  <c r="Q35" i="2"/>
  <c r="T35" i="2"/>
  <c r="W35" i="2"/>
  <c r="Z35" i="2"/>
  <c r="AC35" i="2"/>
  <c r="AF35" i="2"/>
  <c r="AI35" i="2"/>
  <c r="AL35" i="2"/>
  <c r="AO35" i="2"/>
  <c r="AR35" i="2"/>
  <c r="AU35" i="2"/>
  <c r="AX35" i="2"/>
  <c r="BA35" i="2"/>
  <c r="BD35" i="2"/>
  <c r="BG35" i="2"/>
  <c r="BJ35" i="2"/>
  <c r="BM35" i="2"/>
  <c r="BP35" i="2"/>
  <c r="BS35" i="2"/>
  <c r="BV35" i="2"/>
  <c r="BY35" i="2"/>
  <c r="CB35" i="2"/>
  <c r="CE35" i="2"/>
  <c r="CH35" i="2"/>
  <c r="CK35" i="2"/>
  <c r="CN35" i="2"/>
  <c r="CQ35" i="2"/>
  <c r="CT35" i="2"/>
  <c r="CW35" i="2"/>
  <c r="CZ35" i="2"/>
  <c r="DC35" i="2"/>
  <c r="DF35" i="2"/>
  <c r="DI35" i="2"/>
  <c r="DL35" i="2"/>
  <c r="DO35" i="2"/>
  <c r="DR35" i="2"/>
  <c r="DS35" i="2"/>
  <c r="DT35" i="2"/>
  <c r="DU35" i="2"/>
  <c r="DV35" i="2"/>
  <c r="DX35" i="2"/>
  <c r="DY35" i="2"/>
  <c r="DZ35" i="2"/>
  <c r="EA35" i="2"/>
  <c r="EC35" i="2"/>
  <c r="ED35" i="2"/>
  <c r="A36" i="2"/>
  <c r="B36" i="2"/>
  <c r="E36" i="2"/>
  <c r="H36" i="2"/>
  <c r="I36" i="2"/>
  <c r="J36" i="2"/>
  <c r="K36" i="2"/>
  <c r="N36" i="2"/>
  <c r="Q36" i="2"/>
  <c r="T36" i="2"/>
  <c r="W36" i="2"/>
  <c r="Z36" i="2"/>
  <c r="AC36" i="2"/>
  <c r="AF36" i="2"/>
  <c r="AI36" i="2"/>
  <c r="AL36" i="2"/>
  <c r="AO36" i="2"/>
  <c r="AR36" i="2"/>
  <c r="AU36" i="2"/>
  <c r="AX36" i="2"/>
  <c r="BA36" i="2"/>
  <c r="BD36" i="2"/>
  <c r="BG36" i="2"/>
  <c r="BJ36" i="2"/>
  <c r="BM36" i="2"/>
  <c r="BP36" i="2"/>
  <c r="BS36" i="2"/>
  <c r="BV36" i="2"/>
  <c r="BY36" i="2"/>
  <c r="CB36" i="2"/>
  <c r="CE36" i="2"/>
  <c r="CH36" i="2"/>
  <c r="CK36" i="2"/>
  <c r="CN36" i="2"/>
  <c r="CQ36" i="2"/>
  <c r="CT36" i="2"/>
  <c r="CW36" i="2"/>
  <c r="CZ36" i="2"/>
  <c r="DC36" i="2"/>
  <c r="DF36" i="2"/>
  <c r="DI36" i="2"/>
  <c r="DL36" i="2"/>
  <c r="DO36" i="2"/>
  <c r="DR36" i="2"/>
  <c r="DS36" i="2"/>
  <c r="DT36" i="2"/>
  <c r="DU36" i="2"/>
  <c r="DV36" i="2"/>
  <c r="DX36" i="2"/>
  <c r="DY36" i="2"/>
  <c r="DZ36" i="2"/>
  <c r="EA36" i="2"/>
  <c r="EC36" i="2"/>
  <c r="ED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B1" i="10"/>
  <c r="A3" i="10"/>
  <c r="B3" i="10"/>
  <c r="A4" i="10"/>
  <c r="B4" i="10"/>
  <c r="E4" i="10"/>
  <c r="F4" i="10"/>
  <c r="A5" i="10"/>
  <c r="B5" i="10"/>
  <c r="E5" i="10"/>
  <c r="F5" i="10"/>
  <c r="A6" i="10"/>
  <c r="B6" i="10"/>
  <c r="E6" i="10"/>
  <c r="F6" i="10"/>
  <c r="A7" i="10"/>
  <c r="B7" i="10"/>
  <c r="E7" i="10"/>
  <c r="F7" i="10"/>
  <c r="A8" i="10"/>
  <c r="B8" i="10"/>
  <c r="E8" i="10"/>
  <c r="F8" i="10"/>
  <c r="A9" i="10"/>
  <c r="E9" i="10"/>
  <c r="F9" i="10"/>
  <c r="A10" i="10"/>
  <c r="E10" i="10"/>
  <c r="F10" i="10"/>
  <c r="A11" i="10"/>
  <c r="E11" i="10"/>
  <c r="F11" i="10"/>
  <c r="A12" i="10"/>
  <c r="B12" i="10"/>
  <c r="E12" i="10"/>
  <c r="F12" i="10"/>
  <c r="A13" i="10"/>
  <c r="B13" i="10"/>
  <c r="E13" i="10"/>
  <c r="F13" i="10"/>
  <c r="A14" i="10"/>
  <c r="B14" i="10"/>
  <c r="E14" i="10"/>
  <c r="F14" i="10"/>
  <c r="A15" i="10"/>
  <c r="B15" i="10"/>
  <c r="E15" i="10"/>
  <c r="F15" i="10"/>
  <c r="A16" i="10"/>
  <c r="B16" i="10"/>
  <c r="E16" i="10"/>
  <c r="F16" i="10"/>
  <c r="A17" i="10"/>
  <c r="B17" i="10"/>
  <c r="E17" i="10"/>
  <c r="F17" i="10"/>
  <c r="A18" i="10"/>
  <c r="B18" i="10"/>
  <c r="E18" i="10"/>
  <c r="F18" i="10"/>
  <c r="A19" i="10"/>
  <c r="B19" i="10"/>
  <c r="E19" i="10"/>
  <c r="F19" i="10"/>
  <c r="A20" i="10"/>
  <c r="B20" i="10"/>
  <c r="E20" i="10"/>
  <c r="F20" i="10"/>
  <c r="A21" i="10"/>
  <c r="B21" i="10"/>
  <c r="E21" i="10"/>
  <c r="F21" i="10"/>
  <c r="A22" i="10"/>
  <c r="B22" i="10"/>
  <c r="E22" i="10"/>
  <c r="F22" i="10"/>
  <c r="A23" i="10"/>
  <c r="B23" i="10"/>
  <c r="E23" i="10"/>
  <c r="F23" i="10"/>
  <c r="A24" i="10"/>
  <c r="B24" i="10"/>
  <c r="E24" i="10"/>
  <c r="F24" i="10"/>
  <c r="A25" i="10"/>
  <c r="B25" i="10"/>
  <c r="E25" i="10"/>
  <c r="F25" i="10"/>
  <c r="A26" i="10"/>
  <c r="B26" i="10"/>
  <c r="E26" i="10"/>
  <c r="F26" i="10"/>
  <c r="A27" i="10"/>
  <c r="B27" i="10"/>
  <c r="E27" i="10"/>
  <c r="F27" i="10"/>
  <c r="A28" i="10"/>
  <c r="B28" i="10"/>
  <c r="E28" i="10"/>
  <c r="F28" i="10"/>
  <c r="A29" i="10"/>
  <c r="B29" i="10"/>
  <c r="E29" i="10"/>
  <c r="F29" i="10"/>
  <c r="A30" i="10"/>
  <c r="B30" i="10"/>
  <c r="E30" i="10"/>
  <c r="F30" i="10"/>
  <c r="A31" i="10"/>
  <c r="B31" i="10"/>
  <c r="E31" i="10"/>
  <c r="F31" i="10"/>
  <c r="A32" i="10"/>
  <c r="B32" i="10"/>
  <c r="E32" i="10"/>
  <c r="F32" i="10"/>
  <c r="A33" i="10"/>
  <c r="B33" i="10"/>
  <c r="E33" i="10"/>
  <c r="F33" i="10"/>
  <c r="A34" i="10"/>
  <c r="B34" i="10"/>
  <c r="E34" i="10"/>
  <c r="F34" i="10"/>
  <c r="A35" i="10"/>
  <c r="B35" i="10"/>
  <c r="E35" i="10"/>
  <c r="F35" i="10"/>
  <c r="A36" i="10"/>
  <c r="E36" i="10"/>
  <c r="F36" i="10"/>
  <c r="B38" i="10"/>
  <c r="C38" i="10"/>
  <c r="E38" i="10"/>
  <c r="A2" i="12"/>
  <c r="B2" i="12"/>
  <c r="I2" i="12"/>
  <c r="P2" i="12"/>
  <c r="V2" i="12"/>
  <c r="AB2" i="12"/>
  <c r="AH2" i="12"/>
  <c r="AN2" i="12"/>
  <c r="B3" i="12"/>
  <c r="I3" i="12"/>
  <c r="P3" i="12"/>
  <c r="V3" i="12"/>
  <c r="AB3" i="12"/>
  <c r="AH3" i="12"/>
  <c r="AN3" i="12"/>
  <c r="B4" i="12"/>
  <c r="A6" i="12"/>
  <c r="C6" i="12"/>
  <c r="D6" i="12"/>
  <c r="E6" i="12"/>
  <c r="F6" i="12"/>
  <c r="G6" i="12"/>
  <c r="J6" i="12"/>
  <c r="K6" i="12"/>
  <c r="L6" i="12"/>
  <c r="M6" i="12"/>
  <c r="N6" i="12"/>
  <c r="Q6" i="12"/>
  <c r="R6" i="12"/>
  <c r="S6" i="12"/>
  <c r="T6" i="12"/>
  <c r="W6" i="12"/>
  <c r="X6" i="12"/>
  <c r="Y6" i="12"/>
  <c r="Z6" i="12"/>
  <c r="AC6" i="12"/>
  <c r="AD6" i="12"/>
  <c r="AE6" i="12"/>
  <c r="AF6" i="12"/>
  <c r="AI6" i="12"/>
  <c r="AJ6" i="12"/>
  <c r="AK6" i="12"/>
  <c r="AL6" i="12"/>
  <c r="AO6" i="12"/>
  <c r="AP6" i="12"/>
  <c r="AQ6" i="12"/>
  <c r="AR6" i="12"/>
  <c r="A7" i="12"/>
  <c r="C7" i="12"/>
  <c r="D7" i="12"/>
  <c r="E7" i="12"/>
  <c r="F7" i="12"/>
  <c r="G7" i="12"/>
  <c r="J7" i="12"/>
  <c r="K7" i="12"/>
  <c r="L7" i="12"/>
  <c r="M7" i="12"/>
  <c r="N7" i="12"/>
  <c r="Q7" i="12"/>
  <c r="R7" i="12"/>
  <c r="S7" i="12"/>
  <c r="T7" i="12"/>
  <c r="W7" i="12"/>
  <c r="X7" i="12"/>
  <c r="Y7" i="12"/>
  <c r="Z7" i="12"/>
  <c r="AC7" i="12"/>
  <c r="AD7" i="12"/>
  <c r="AE7" i="12"/>
  <c r="AF7" i="12"/>
  <c r="AI7" i="12"/>
  <c r="AJ7" i="12"/>
  <c r="AK7" i="12"/>
  <c r="AL7" i="12"/>
  <c r="AO7" i="12"/>
  <c r="AP7" i="12"/>
  <c r="AQ7" i="12"/>
  <c r="AR7" i="12"/>
  <c r="A8" i="12"/>
  <c r="C8" i="12"/>
  <c r="D8" i="12"/>
  <c r="E8" i="12"/>
  <c r="F8" i="12"/>
  <c r="G8" i="12"/>
  <c r="J8" i="12"/>
  <c r="K8" i="12"/>
  <c r="L8" i="12"/>
  <c r="M8" i="12"/>
  <c r="N8" i="12"/>
  <c r="Q8" i="12"/>
  <c r="R8" i="12"/>
  <c r="S8" i="12"/>
  <c r="T8" i="12"/>
  <c r="W8" i="12"/>
  <c r="X8" i="12"/>
  <c r="Y8" i="12"/>
  <c r="Z8" i="12"/>
  <c r="AC8" i="12"/>
  <c r="AD8" i="12"/>
  <c r="AE8" i="12"/>
  <c r="AF8" i="12"/>
  <c r="AI8" i="12"/>
  <c r="AJ8" i="12"/>
  <c r="AK8" i="12"/>
  <c r="AL8" i="12"/>
  <c r="AO8" i="12"/>
  <c r="AP8" i="12"/>
  <c r="AQ8" i="12"/>
  <c r="AR8" i="12"/>
  <c r="A9" i="12"/>
  <c r="C9" i="12"/>
  <c r="D9" i="12"/>
  <c r="E9" i="12"/>
  <c r="F9" i="12"/>
  <c r="G9" i="12"/>
  <c r="J9" i="12"/>
  <c r="K9" i="12"/>
  <c r="L9" i="12"/>
  <c r="M9" i="12"/>
  <c r="N9" i="12"/>
  <c r="Q9" i="12"/>
  <c r="R9" i="12"/>
  <c r="S9" i="12"/>
  <c r="T9" i="12"/>
  <c r="W9" i="12"/>
  <c r="X9" i="12"/>
  <c r="Y9" i="12"/>
  <c r="Z9" i="12"/>
  <c r="AC9" i="12"/>
  <c r="AD9" i="12"/>
  <c r="AE9" i="12"/>
  <c r="AF9" i="12"/>
  <c r="AI9" i="12"/>
  <c r="AJ9" i="12"/>
  <c r="AK9" i="12"/>
  <c r="AL9" i="12"/>
  <c r="AO9" i="12"/>
  <c r="AP9" i="12"/>
  <c r="AQ9" i="12"/>
  <c r="AR9" i="12"/>
  <c r="A10" i="12"/>
  <c r="C10" i="12"/>
  <c r="D10" i="12"/>
  <c r="E10" i="12"/>
  <c r="F10" i="12"/>
  <c r="G10" i="12"/>
  <c r="J10" i="12"/>
  <c r="K10" i="12"/>
  <c r="L10" i="12"/>
  <c r="M10" i="12"/>
  <c r="N10" i="12"/>
  <c r="Q10" i="12"/>
  <c r="R10" i="12"/>
  <c r="S10" i="12"/>
  <c r="T10" i="12"/>
  <c r="W10" i="12"/>
  <c r="X10" i="12"/>
  <c r="Y10" i="12"/>
  <c r="Z10" i="12"/>
  <c r="AC10" i="12"/>
  <c r="AD10" i="12"/>
  <c r="AE10" i="12"/>
  <c r="AF10" i="12"/>
  <c r="AI10" i="12"/>
  <c r="AJ10" i="12"/>
  <c r="AK10" i="12"/>
  <c r="AL10" i="12"/>
  <c r="AO10" i="12"/>
  <c r="AP10" i="12"/>
  <c r="AQ10" i="12"/>
  <c r="AR10" i="12"/>
  <c r="A11" i="12"/>
  <c r="C11" i="12"/>
  <c r="D11" i="12"/>
  <c r="E11" i="12"/>
  <c r="F11" i="12"/>
  <c r="G11" i="12"/>
  <c r="J11" i="12"/>
  <c r="K11" i="12"/>
  <c r="L11" i="12"/>
  <c r="M11" i="12"/>
  <c r="N11" i="12"/>
  <c r="Q11" i="12"/>
  <c r="R11" i="12"/>
  <c r="S11" i="12"/>
  <c r="T11" i="12"/>
  <c r="W11" i="12"/>
  <c r="X11" i="12"/>
  <c r="Y11" i="12"/>
  <c r="Z11" i="12"/>
  <c r="AC11" i="12"/>
  <c r="AD11" i="12"/>
  <c r="AE11" i="12"/>
  <c r="AF11" i="12"/>
  <c r="AI11" i="12"/>
  <c r="AJ11" i="12"/>
  <c r="AK11" i="12"/>
  <c r="AL11" i="12"/>
  <c r="AO11" i="12"/>
  <c r="AP11" i="12"/>
  <c r="AQ11" i="12"/>
  <c r="AR11" i="12"/>
  <c r="A12" i="12"/>
  <c r="C12" i="12"/>
  <c r="D12" i="12"/>
  <c r="E12" i="12"/>
  <c r="F12" i="12"/>
  <c r="G12" i="12"/>
  <c r="J12" i="12"/>
  <c r="K12" i="12"/>
  <c r="L12" i="12"/>
  <c r="M12" i="12"/>
  <c r="N12" i="12"/>
  <c r="Q12" i="12"/>
  <c r="R12" i="12"/>
  <c r="S12" i="12"/>
  <c r="T12" i="12"/>
  <c r="W12" i="12"/>
  <c r="X12" i="12"/>
  <c r="Y12" i="12"/>
  <c r="Z12" i="12"/>
  <c r="AC12" i="12"/>
  <c r="AD12" i="12"/>
  <c r="AE12" i="12"/>
  <c r="AF12" i="12"/>
  <c r="AI12" i="12"/>
  <c r="AJ12" i="12"/>
  <c r="AK12" i="12"/>
  <c r="AL12" i="12"/>
  <c r="AO12" i="12"/>
  <c r="AP12" i="12"/>
  <c r="AQ12" i="12"/>
  <c r="AR12" i="12"/>
  <c r="A13" i="12"/>
  <c r="C13" i="12"/>
  <c r="D13" i="12"/>
  <c r="E13" i="12"/>
  <c r="F13" i="12"/>
  <c r="G13" i="12"/>
  <c r="J13" i="12"/>
  <c r="K13" i="12"/>
  <c r="L13" i="12"/>
  <c r="M13" i="12"/>
  <c r="N13" i="12"/>
  <c r="Q13" i="12"/>
  <c r="R13" i="12"/>
  <c r="S13" i="12"/>
  <c r="T13" i="12"/>
  <c r="W13" i="12"/>
  <c r="X13" i="12"/>
  <c r="Y13" i="12"/>
  <c r="Z13" i="12"/>
  <c r="AC13" i="12"/>
  <c r="AD13" i="12"/>
  <c r="AE13" i="12"/>
  <c r="AF13" i="12"/>
  <c r="AI13" i="12"/>
  <c r="AJ13" i="12"/>
  <c r="AK13" i="12"/>
  <c r="AL13" i="12"/>
  <c r="AO13" i="12"/>
  <c r="AP13" i="12"/>
  <c r="AQ13" i="12"/>
  <c r="AR13" i="12"/>
  <c r="A14" i="12"/>
  <c r="C14" i="12"/>
  <c r="D14" i="12"/>
  <c r="E14" i="12"/>
  <c r="F14" i="12"/>
  <c r="G14" i="12"/>
  <c r="J14" i="12"/>
  <c r="K14" i="12"/>
  <c r="L14" i="12"/>
  <c r="M14" i="12"/>
  <c r="N14" i="12"/>
  <c r="Q14" i="12"/>
  <c r="R14" i="12"/>
  <c r="S14" i="12"/>
  <c r="T14" i="12"/>
  <c r="W14" i="12"/>
  <c r="X14" i="12"/>
  <c r="Y14" i="12"/>
  <c r="Z14" i="12"/>
  <c r="AC14" i="12"/>
  <c r="AD14" i="12"/>
  <c r="AE14" i="12"/>
  <c r="AF14" i="12"/>
  <c r="AI14" i="12"/>
  <c r="AJ14" i="12"/>
  <c r="AK14" i="12"/>
  <c r="AL14" i="12"/>
  <c r="AO14" i="12"/>
  <c r="AP14" i="12"/>
  <c r="AQ14" i="12"/>
  <c r="AR14" i="12"/>
  <c r="A15" i="12"/>
  <c r="C15" i="12"/>
  <c r="D15" i="12"/>
  <c r="E15" i="12"/>
  <c r="F15" i="12"/>
  <c r="G15" i="12"/>
  <c r="J15" i="12"/>
  <c r="K15" i="12"/>
  <c r="L15" i="12"/>
  <c r="M15" i="12"/>
  <c r="N15" i="12"/>
  <c r="Q15" i="12"/>
  <c r="R15" i="12"/>
  <c r="S15" i="12"/>
  <c r="T15" i="12"/>
  <c r="W15" i="12"/>
  <c r="X15" i="12"/>
  <c r="Y15" i="12"/>
  <c r="Z15" i="12"/>
  <c r="AC15" i="12"/>
  <c r="AD15" i="12"/>
  <c r="AE15" i="12"/>
  <c r="AF15" i="12"/>
  <c r="AI15" i="12"/>
  <c r="AJ15" i="12"/>
  <c r="AK15" i="12"/>
  <c r="AL15" i="12"/>
  <c r="AO15" i="12"/>
  <c r="AP15" i="12"/>
  <c r="AQ15" i="12"/>
  <c r="AR15" i="12"/>
  <c r="A16" i="12"/>
  <c r="C16" i="12"/>
  <c r="D16" i="12"/>
  <c r="E16" i="12"/>
  <c r="F16" i="12"/>
  <c r="G16" i="12"/>
  <c r="J16" i="12"/>
  <c r="K16" i="12"/>
  <c r="L16" i="12"/>
  <c r="M16" i="12"/>
  <c r="N16" i="12"/>
  <c r="Q16" i="12"/>
  <c r="R16" i="12"/>
  <c r="S16" i="12"/>
  <c r="T16" i="12"/>
  <c r="W16" i="12"/>
  <c r="X16" i="12"/>
  <c r="Y16" i="12"/>
  <c r="Z16" i="12"/>
  <c r="AC16" i="12"/>
  <c r="AD16" i="12"/>
  <c r="AE16" i="12"/>
  <c r="AF16" i="12"/>
  <c r="AI16" i="12"/>
  <c r="AJ16" i="12"/>
  <c r="AK16" i="12"/>
  <c r="AL16" i="12"/>
  <c r="AO16" i="12"/>
  <c r="AP16" i="12"/>
  <c r="AQ16" i="12"/>
  <c r="AR16" i="12"/>
  <c r="A17" i="12"/>
  <c r="C17" i="12"/>
  <c r="D17" i="12"/>
  <c r="E17" i="12"/>
  <c r="F17" i="12"/>
  <c r="G17" i="12"/>
  <c r="J17" i="12"/>
  <c r="K17" i="12"/>
  <c r="L17" i="12"/>
  <c r="M17" i="12"/>
  <c r="N17" i="12"/>
  <c r="Q17" i="12"/>
  <c r="R17" i="12"/>
  <c r="S17" i="12"/>
  <c r="T17" i="12"/>
  <c r="W17" i="12"/>
  <c r="X17" i="12"/>
  <c r="Y17" i="12"/>
  <c r="Z17" i="12"/>
  <c r="AC17" i="12"/>
  <c r="AD17" i="12"/>
  <c r="AE17" i="12"/>
  <c r="AF17" i="12"/>
  <c r="AI17" i="12"/>
  <c r="AJ17" i="12"/>
  <c r="AK17" i="12"/>
  <c r="AL17" i="12"/>
  <c r="AO17" i="12"/>
  <c r="AP17" i="12"/>
  <c r="AQ17" i="12"/>
  <c r="AR17" i="12"/>
  <c r="A18" i="12"/>
  <c r="C18" i="12"/>
  <c r="D18" i="12"/>
  <c r="E18" i="12"/>
  <c r="F18" i="12"/>
  <c r="G18" i="12"/>
  <c r="J18" i="12"/>
  <c r="K18" i="12"/>
  <c r="L18" i="12"/>
  <c r="M18" i="12"/>
  <c r="N18" i="12"/>
  <c r="Q18" i="12"/>
  <c r="R18" i="12"/>
  <c r="S18" i="12"/>
  <c r="T18" i="12"/>
  <c r="W18" i="12"/>
  <c r="X18" i="12"/>
  <c r="Y18" i="12"/>
  <c r="Z18" i="12"/>
  <c r="AC18" i="12"/>
  <c r="AD18" i="12"/>
  <c r="AE18" i="12"/>
  <c r="AF18" i="12"/>
  <c r="AI18" i="12"/>
  <c r="AJ18" i="12"/>
  <c r="AK18" i="12"/>
  <c r="AL18" i="12"/>
  <c r="AO18" i="12"/>
  <c r="AP18" i="12"/>
  <c r="AQ18" i="12"/>
  <c r="AR18" i="12"/>
  <c r="A19" i="12"/>
  <c r="C19" i="12"/>
  <c r="D19" i="12"/>
  <c r="E19" i="12"/>
  <c r="F19" i="12"/>
  <c r="G19" i="12"/>
  <c r="J19" i="12"/>
  <c r="K19" i="12"/>
  <c r="L19" i="12"/>
  <c r="M19" i="12"/>
  <c r="N19" i="12"/>
  <c r="Q19" i="12"/>
  <c r="R19" i="12"/>
  <c r="S19" i="12"/>
  <c r="T19" i="12"/>
  <c r="W19" i="12"/>
  <c r="X19" i="12"/>
  <c r="Y19" i="12"/>
  <c r="Z19" i="12"/>
  <c r="AC19" i="12"/>
  <c r="AD19" i="12"/>
  <c r="AE19" i="12"/>
  <c r="AF19" i="12"/>
  <c r="AI19" i="12"/>
  <c r="AJ19" i="12"/>
  <c r="AK19" i="12"/>
  <c r="AL19" i="12"/>
  <c r="AO19" i="12"/>
  <c r="AP19" i="12"/>
  <c r="AQ19" i="12"/>
  <c r="AR19" i="12"/>
  <c r="A20" i="12"/>
  <c r="C20" i="12"/>
  <c r="D20" i="12"/>
  <c r="E20" i="12"/>
  <c r="F20" i="12"/>
  <c r="G20" i="12"/>
  <c r="J20" i="12"/>
  <c r="K20" i="12"/>
  <c r="L20" i="12"/>
  <c r="M20" i="12"/>
  <c r="N20" i="12"/>
  <c r="Q20" i="12"/>
  <c r="R20" i="12"/>
  <c r="S20" i="12"/>
  <c r="T20" i="12"/>
  <c r="W20" i="12"/>
  <c r="X20" i="12"/>
  <c r="Y20" i="12"/>
  <c r="Z20" i="12"/>
  <c r="AC20" i="12"/>
  <c r="AD20" i="12"/>
  <c r="AE20" i="12"/>
  <c r="AF20" i="12"/>
  <c r="AI20" i="12"/>
  <c r="AJ20" i="12"/>
  <c r="AK20" i="12"/>
  <c r="AL20" i="12"/>
  <c r="AO20" i="12"/>
  <c r="AP20" i="12"/>
  <c r="AQ20" i="12"/>
  <c r="AR20" i="12"/>
  <c r="A21" i="12"/>
  <c r="C21" i="12"/>
  <c r="D21" i="12"/>
  <c r="E21" i="12"/>
  <c r="F21" i="12"/>
  <c r="G21" i="12"/>
  <c r="J21" i="12"/>
  <c r="K21" i="12"/>
  <c r="L21" i="12"/>
  <c r="M21" i="12"/>
  <c r="N21" i="12"/>
  <c r="Q21" i="12"/>
  <c r="R21" i="12"/>
  <c r="S21" i="12"/>
  <c r="T21" i="12"/>
  <c r="W21" i="12"/>
  <c r="X21" i="12"/>
  <c r="Y21" i="12"/>
  <c r="Z21" i="12"/>
  <c r="AC21" i="12"/>
  <c r="AD21" i="12"/>
  <c r="AE21" i="12"/>
  <c r="AF21" i="12"/>
  <c r="AI21" i="12"/>
  <c r="AJ21" i="12"/>
  <c r="AK21" i="12"/>
  <c r="AL21" i="12"/>
  <c r="AO21" i="12"/>
  <c r="AP21" i="12"/>
  <c r="AQ21" i="12"/>
  <c r="AR21" i="12"/>
  <c r="A22" i="12"/>
  <c r="C22" i="12"/>
  <c r="D22" i="12"/>
  <c r="E22" i="12"/>
  <c r="F22" i="12"/>
  <c r="G22" i="12"/>
  <c r="J22" i="12"/>
  <c r="K22" i="12"/>
  <c r="L22" i="12"/>
  <c r="M22" i="12"/>
  <c r="N22" i="12"/>
  <c r="Q22" i="12"/>
  <c r="R22" i="12"/>
  <c r="S22" i="12"/>
  <c r="T22" i="12"/>
  <c r="W22" i="12"/>
  <c r="X22" i="12"/>
  <c r="Y22" i="12"/>
  <c r="Z22" i="12"/>
  <c r="AC22" i="12"/>
  <c r="AD22" i="12"/>
  <c r="AE22" i="12"/>
  <c r="AF22" i="12"/>
  <c r="AI22" i="12"/>
  <c r="AJ22" i="12"/>
  <c r="AK22" i="12"/>
  <c r="AL22" i="12"/>
  <c r="AO22" i="12"/>
  <c r="AP22" i="12"/>
  <c r="AQ22" i="12"/>
  <c r="AR22" i="12"/>
  <c r="A23" i="12"/>
  <c r="C23" i="12"/>
  <c r="D23" i="12"/>
  <c r="E23" i="12"/>
  <c r="F23" i="12"/>
  <c r="G23" i="12"/>
  <c r="J23" i="12"/>
  <c r="K23" i="12"/>
  <c r="L23" i="12"/>
  <c r="M23" i="12"/>
  <c r="N23" i="12"/>
  <c r="Q23" i="12"/>
  <c r="R23" i="12"/>
  <c r="S23" i="12"/>
  <c r="T23" i="12"/>
  <c r="W23" i="12"/>
  <c r="X23" i="12"/>
  <c r="Y23" i="12"/>
  <c r="Z23" i="12"/>
  <c r="AC23" i="12"/>
  <c r="AD23" i="12"/>
  <c r="AE23" i="12"/>
  <c r="AF23" i="12"/>
  <c r="AI23" i="12"/>
  <c r="AJ23" i="12"/>
  <c r="AK23" i="12"/>
  <c r="AL23" i="12"/>
  <c r="AO23" i="12"/>
  <c r="AP23" i="12"/>
  <c r="AQ23" i="12"/>
  <c r="AR23" i="12"/>
  <c r="A24" i="12"/>
  <c r="C24" i="12"/>
  <c r="D24" i="12"/>
  <c r="E24" i="12"/>
  <c r="F24" i="12"/>
  <c r="G24" i="12"/>
  <c r="J24" i="12"/>
  <c r="K24" i="12"/>
  <c r="L24" i="12"/>
  <c r="M24" i="12"/>
  <c r="N24" i="12"/>
  <c r="Q24" i="12"/>
  <c r="R24" i="12"/>
  <c r="S24" i="12"/>
  <c r="T24" i="12"/>
  <c r="W24" i="12"/>
  <c r="X24" i="12"/>
  <c r="Y24" i="12"/>
  <c r="Z24" i="12"/>
  <c r="AC24" i="12"/>
  <c r="AD24" i="12"/>
  <c r="AE24" i="12"/>
  <c r="AF24" i="12"/>
  <c r="AI24" i="12"/>
  <c r="AJ24" i="12"/>
  <c r="AK24" i="12"/>
  <c r="AL24" i="12"/>
  <c r="AO24" i="12"/>
  <c r="AP24" i="12"/>
  <c r="AQ24" i="12"/>
  <c r="AR24" i="12"/>
  <c r="A25" i="12"/>
  <c r="C25" i="12"/>
  <c r="D25" i="12"/>
  <c r="E25" i="12"/>
  <c r="F25" i="12"/>
  <c r="G25" i="12"/>
  <c r="J25" i="12"/>
  <c r="K25" i="12"/>
  <c r="L25" i="12"/>
  <c r="M25" i="12"/>
  <c r="N25" i="12"/>
  <c r="Q25" i="12"/>
  <c r="R25" i="12"/>
  <c r="S25" i="12"/>
  <c r="T25" i="12"/>
  <c r="W25" i="12"/>
  <c r="X25" i="12"/>
  <c r="Y25" i="12"/>
  <c r="Z25" i="12"/>
  <c r="AC25" i="12"/>
  <c r="AD25" i="12"/>
  <c r="AE25" i="12"/>
  <c r="AF25" i="12"/>
  <c r="AI25" i="12"/>
  <c r="AJ25" i="12"/>
  <c r="AK25" i="12"/>
  <c r="AL25" i="12"/>
  <c r="AO25" i="12"/>
  <c r="AP25" i="12"/>
  <c r="AQ25" i="12"/>
  <c r="AR25" i="12"/>
  <c r="A26" i="12"/>
  <c r="C26" i="12"/>
  <c r="D26" i="12"/>
  <c r="E26" i="12"/>
  <c r="F26" i="12"/>
  <c r="G26" i="12"/>
  <c r="J26" i="12"/>
  <c r="K26" i="12"/>
  <c r="L26" i="12"/>
  <c r="M26" i="12"/>
  <c r="N26" i="12"/>
  <c r="Q26" i="12"/>
  <c r="R26" i="12"/>
  <c r="S26" i="12"/>
  <c r="T26" i="12"/>
  <c r="W26" i="12"/>
  <c r="X26" i="12"/>
  <c r="Y26" i="12"/>
  <c r="Z26" i="12"/>
  <c r="AC26" i="12"/>
  <c r="AD26" i="12"/>
  <c r="AE26" i="12"/>
  <c r="AF26" i="12"/>
  <c r="AI26" i="12"/>
  <c r="AJ26" i="12"/>
  <c r="AK26" i="12"/>
  <c r="AL26" i="12"/>
  <c r="AO26" i="12"/>
  <c r="AP26" i="12"/>
  <c r="AQ26" i="12"/>
  <c r="AR26" i="12"/>
  <c r="A27" i="12"/>
  <c r="C27" i="12"/>
  <c r="D27" i="12"/>
  <c r="E27" i="12"/>
  <c r="F27" i="12"/>
  <c r="G27" i="12"/>
  <c r="J27" i="12"/>
  <c r="K27" i="12"/>
  <c r="L27" i="12"/>
  <c r="M27" i="12"/>
  <c r="N27" i="12"/>
  <c r="Q27" i="12"/>
  <c r="R27" i="12"/>
  <c r="S27" i="12"/>
  <c r="T27" i="12"/>
  <c r="W27" i="12"/>
  <c r="X27" i="12"/>
  <c r="Y27" i="12"/>
  <c r="Z27" i="12"/>
  <c r="AC27" i="12"/>
  <c r="AD27" i="12"/>
  <c r="AE27" i="12"/>
  <c r="AF27" i="12"/>
  <c r="AI27" i="12"/>
  <c r="AJ27" i="12"/>
  <c r="AK27" i="12"/>
  <c r="AL27" i="12"/>
  <c r="AO27" i="12"/>
  <c r="AP27" i="12"/>
  <c r="AQ27" i="12"/>
  <c r="AR27" i="12"/>
  <c r="A28" i="12"/>
  <c r="C28" i="12"/>
  <c r="D28" i="12"/>
  <c r="E28" i="12"/>
  <c r="F28" i="12"/>
  <c r="G28" i="12"/>
  <c r="J28" i="12"/>
  <c r="K28" i="12"/>
  <c r="L28" i="12"/>
  <c r="M28" i="12"/>
  <c r="N28" i="12"/>
  <c r="Q28" i="12"/>
  <c r="R28" i="12"/>
  <c r="S28" i="12"/>
  <c r="T28" i="12"/>
  <c r="W28" i="12"/>
  <c r="X28" i="12"/>
  <c r="Y28" i="12"/>
  <c r="Z28" i="12"/>
  <c r="AC28" i="12"/>
  <c r="AD28" i="12"/>
  <c r="AE28" i="12"/>
  <c r="AF28" i="12"/>
  <c r="AI28" i="12"/>
  <c r="AJ28" i="12"/>
  <c r="AK28" i="12"/>
  <c r="AL28" i="12"/>
  <c r="AO28" i="12"/>
  <c r="AP28" i="12"/>
  <c r="AQ28" i="12"/>
  <c r="AR28" i="12"/>
  <c r="A29" i="12"/>
  <c r="C29" i="12"/>
  <c r="D29" i="12"/>
  <c r="E29" i="12"/>
  <c r="F29" i="12"/>
  <c r="G29" i="12"/>
  <c r="J29" i="12"/>
  <c r="K29" i="12"/>
  <c r="L29" i="12"/>
  <c r="M29" i="12"/>
  <c r="N29" i="12"/>
  <c r="Q29" i="12"/>
  <c r="R29" i="12"/>
  <c r="S29" i="12"/>
  <c r="T29" i="12"/>
  <c r="W29" i="12"/>
  <c r="X29" i="12"/>
  <c r="Y29" i="12"/>
  <c r="Z29" i="12"/>
  <c r="AC29" i="12"/>
  <c r="AD29" i="12"/>
  <c r="AE29" i="12"/>
  <c r="AF29" i="12"/>
  <c r="AI29" i="12"/>
  <c r="AJ29" i="12"/>
  <c r="AK29" i="12"/>
  <c r="AL29" i="12"/>
  <c r="AO29" i="12"/>
  <c r="AP29" i="12"/>
  <c r="AQ29" i="12"/>
  <c r="AR29" i="12"/>
  <c r="A30" i="12"/>
  <c r="C30" i="12"/>
  <c r="D30" i="12"/>
  <c r="E30" i="12"/>
  <c r="F30" i="12"/>
  <c r="G30" i="12"/>
  <c r="J30" i="12"/>
  <c r="K30" i="12"/>
  <c r="L30" i="12"/>
  <c r="M30" i="12"/>
  <c r="N30" i="12"/>
  <c r="Q30" i="12"/>
  <c r="R30" i="12"/>
  <c r="S30" i="12"/>
  <c r="T30" i="12"/>
  <c r="W30" i="12"/>
  <c r="X30" i="12"/>
  <c r="Y30" i="12"/>
  <c r="Z30" i="12"/>
  <c r="AC30" i="12"/>
  <c r="AD30" i="12"/>
  <c r="AE30" i="12"/>
  <c r="AF30" i="12"/>
  <c r="AI30" i="12"/>
  <c r="AJ30" i="12"/>
  <c r="AK30" i="12"/>
  <c r="AL30" i="12"/>
  <c r="AO30" i="12"/>
  <c r="AP30" i="12"/>
  <c r="AQ30" i="12"/>
  <c r="AR30" i="12"/>
  <c r="A31" i="12"/>
  <c r="C31" i="12"/>
  <c r="D31" i="12"/>
  <c r="E31" i="12"/>
  <c r="F31" i="12"/>
  <c r="G31" i="12"/>
  <c r="J31" i="12"/>
  <c r="K31" i="12"/>
  <c r="L31" i="12"/>
  <c r="M31" i="12"/>
  <c r="N31" i="12"/>
  <c r="Q31" i="12"/>
  <c r="R31" i="12"/>
  <c r="S31" i="12"/>
  <c r="T31" i="12"/>
  <c r="W31" i="12"/>
  <c r="X31" i="12"/>
  <c r="Y31" i="12"/>
  <c r="Z31" i="12"/>
  <c r="AC31" i="12"/>
  <c r="AD31" i="12"/>
  <c r="AE31" i="12"/>
  <c r="AF31" i="12"/>
  <c r="AI31" i="12"/>
  <c r="AJ31" i="12"/>
  <c r="AK31" i="12"/>
  <c r="AL31" i="12"/>
  <c r="AO31" i="12"/>
  <c r="AP31" i="12"/>
  <c r="AQ31" i="12"/>
  <c r="AR31" i="12"/>
  <c r="A32" i="12"/>
  <c r="C32" i="12"/>
  <c r="D32" i="12"/>
  <c r="E32" i="12"/>
  <c r="F32" i="12"/>
  <c r="G32" i="12"/>
  <c r="J32" i="12"/>
  <c r="K32" i="12"/>
  <c r="L32" i="12"/>
  <c r="M32" i="12"/>
  <c r="N32" i="12"/>
  <c r="Q32" i="12"/>
  <c r="R32" i="12"/>
  <c r="S32" i="12"/>
  <c r="T32" i="12"/>
  <c r="W32" i="12"/>
  <c r="X32" i="12"/>
  <c r="Y32" i="12"/>
  <c r="Z32" i="12"/>
  <c r="AC32" i="12"/>
  <c r="AD32" i="12"/>
  <c r="AE32" i="12"/>
  <c r="AF32" i="12"/>
  <c r="AI32" i="12"/>
  <c r="AJ32" i="12"/>
  <c r="AK32" i="12"/>
  <c r="AL32" i="12"/>
  <c r="AO32" i="12"/>
  <c r="AP32" i="12"/>
  <c r="AQ32" i="12"/>
  <c r="AR32" i="12"/>
  <c r="A33" i="12"/>
  <c r="C33" i="12"/>
  <c r="D33" i="12"/>
  <c r="E33" i="12"/>
  <c r="F33" i="12"/>
  <c r="G33" i="12"/>
  <c r="J33" i="12"/>
  <c r="K33" i="12"/>
  <c r="L33" i="12"/>
  <c r="M33" i="12"/>
  <c r="N33" i="12"/>
  <c r="Q33" i="12"/>
  <c r="R33" i="12"/>
  <c r="S33" i="12"/>
  <c r="T33" i="12"/>
  <c r="W33" i="12"/>
  <c r="X33" i="12"/>
  <c r="Y33" i="12"/>
  <c r="Z33" i="12"/>
  <c r="AC33" i="12"/>
  <c r="AD33" i="12"/>
  <c r="AE33" i="12"/>
  <c r="AF33" i="12"/>
  <c r="AI33" i="12"/>
  <c r="AJ33" i="12"/>
  <c r="AK33" i="12"/>
  <c r="AL33" i="12"/>
  <c r="AO33" i="12"/>
  <c r="AP33" i="12"/>
  <c r="AQ33" i="12"/>
  <c r="AR33" i="12"/>
  <c r="A34" i="12"/>
  <c r="C34" i="12"/>
  <c r="D34" i="12"/>
  <c r="E34" i="12"/>
  <c r="F34" i="12"/>
  <c r="G34" i="12"/>
  <c r="J34" i="12"/>
  <c r="K34" i="12"/>
  <c r="L34" i="12"/>
  <c r="M34" i="12"/>
  <c r="N34" i="12"/>
  <c r="Q34" i="12"/>
  <c r="R34" i="12"/>
  <c r="S34" i="12"/>
  <c r="T34" i="12"/>
  <c r="W34" i="12"/>
  <c r="X34" i="12"/>
  <c r="Y34" i="12"/>
  <c r="Z34" i="12"/>
  <c r="AC34" i="12"/>
  <c r="AD34" i="12"/>
  <c r="AE34" i="12"/>
  <c r="AF34" i="12"/>
  <c r="AI34" i="12"/>
  <c r="AJ34" i="12"/>
  <c r="AK34" i="12"/>
  <c r="AL34" i="12"/>
  <c r="AO34" i="12"/>
  <c r="AP34" i="12"/>
  <c r="AQ34" i="12"/>
  <c r="AR34" i="12"/>
  <c r="A35" i="12"/>
  <c r="C35" i="12"/>
  <c r="D35" i="12"/>
  <c r="E35" i="12"/>
  <c r="F35" i="12"/>
  <c r="G35" i="12"/>
  <c r="J35" i="12"/>
  <c r="K35" i="12"/>
  <c r="L35" i="12"/>
  <c r="M35" i="12"/>
  <c r="N35" i="12"/>
  <c r="Q35" i="12"/>
  <c r="R35" i="12"/>
  <c r="S35" i="12"/>
  <c r="T35" i="12"/>
  <c r="W35" i="12"/>
  <c r="X35" i="12"/>
  <c r="Y35" i="12"/>
  <c r="Z35" i="12"/>
  <c r="AC35" i="12"/>
  <c r="AD35" i="12"/>
  <c r="AE35" i="12"/>
  <c r="AF35" i="12"/>
  <c r="AI35" i="12"/>
  <c r="AJ35" i="12"/>
  <c r="AK35" i="12"/>
  <c r="AL35" i="12"/>
  <c r="AO35" i="12"/>
  <c r="AP35" i="12"/>
  <c r="AQ35" i="12"/>
  <c r="AR35" i="12"/>
  <c r="A36" i="12"/>
  <c r="C36" i="12"/>
  <c r="D36" i="12"/>
  <c r="E36" i="12"/>
  <c r="F36" i="12"/>
  <c r="G36" i="12"/>
  <c r="J36" i="12"/>
  <c r="K36" i="12"/>
  <c r="L36" i="12"/>
  <c r="M36" i="12"/>
  <c r="N36" i="12"/>
  <c r="Q36" i="12"/>
  <c r="R36" i="12"/>
  <c r="S36" i="12"/>
  <c r="T36" i="12"/>
  <c r="W36" i="12"/>
  <c r="X36" i="12"/>
  <c r="Y36" i="12"/>
  <c r="Z36" i="12"/>
  <c r="AC36" i="12"/>
  <c r="AD36" i="12"/>
  <c r="AE36" i="12"/>
  <c r="AF36" i="12"/>
  <c r="AI36" i="12"/>
  <c r="AJ36" i="12"/>
  <c r="AK36" i="12"/>
  <c r="AL36" i="12"/>
  <c r="AO36" i="12"/>
  <c r="AP36" i="12"/>
  <c r="AQ36" i="12"/>
  <c r="AR36" i="12"/>
  <c r="A37" i="12"/>
  <c r="B37" i="12"/>
  <c r="C37" i="12"/>
  <c r="D37" i="12"/>
  <c r="I37" i="12"/>
  <c r="J37" i="12"/>
  <c r="K37" i="12"/>
  <c r="P37" i="12"/>
  <c r="Q37" i="12"/>
  <c r="R37" i="12"/>
  <c r="V37" i="12"/>
  <c r="W37" i="12"/>
  <c r="X37" i="12"/>
  <c r="AB37" i="12"/>
  <c r="AC37" i="12"/>
  <c r="AD37" i="12"/>
  <c r="AH37" i="12"/>
  <c r="AI37" i="12"/>
  <c r="AJ37" i="12"/>
  <c r="AN37" i="12"/>
  <c r="AO37" i="12"/>
  <c r="AP37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DN40" i="12"/>
  <c r="DO40" i="12"/>
  <c r="DP40" i="12"/>
  <c r="DQ40" i="12"/>
  <c r="B1" i="6"/>
  <c r="A6" i="6"/>
  <c r="B6" i="6"/>
  <c r="D6" i="6"/>
  <c r="E6" i="6"/>
  <c r="H6" i="6"/>
  <c r="L6" i="6"/>
  <c r="M6" i="6"/>
  <c r="N6" i="6"/>
  <c r="S6" i="6"/>
  <c r="T6" i="6"/>
  <c r="U6" i="6"/>
  <c r="Z6" i="6"/>
  <c r="AA6" i="6"/>
  <c r="AB6" i="6"/>
  <c r="AG6" i="6"/>
  <c r="AH6" i="6"/>
  <c r="AI6" i="6"/>
  <c r="AK6" i="6"/>
  <c r="AN6" i="6"/>
  <c r="AO6" i="6"/>
  <c r="AP6" i="6"/>
  <c r="AU6" i="6"/>
  <c r="AV6" i="6"/>
  <c r="AW6" i="6"/>
  <c r="BB6" i="6"/>
  <c r="BC6" i="6"/>
  <c r="BD6" i="6"/>
  <c r="BI6" i="6"/>
  <c r="BJ6" i="6"/>
  <c r="BK6" i="6"/>
  <c r="BP6" i="6"/>
  <c r="BQ6" i="6"/>
  <c r="BR6" i="6"/>
  <c r="BW6" i="6"/>
  <c r="BX6" i="6"/>
  <c r="BY6" i="6"/>
  <c r="CD6" i="6"/>
  <c r="CE6" i="6"/>
  <c r="CF6" i="6"/>
  <c r="CK6" i="6"/>
  <c r="CL6" i="6"/>
  <c r="CM6" i="6"/>
  <c r="CN6" i="6"/>
  <c r="CO6" i="6"/>
  <c r="CP6" i="6"/>
  <c r="CQ6" i="6"/>
  <c r="A7" i="6"/>
  <c r="B7" i="6"/>
  <c r="E7" i="6"/>
  <c r="H7" i="6"/>
  <c r="L7" i="6"/>
  <c r="M7" i="6"/>
  <c r="N7" i="6"/>
  <c r="O7" i="6"/>
  <c r="S7" i="6"/>
  <c r="T7" i="6"/>
  <c r="U7" i="6"/>
  <c r="Z7" i="6"/>
  <c r="AA7" i="6"/>
  <c r="AB7" i="6"/>
  <c r="AG7" i="6"/>
  <c r="AH7" i="6"/>
  <c r="AI7" i="6"/>
  <c r="AK7" i="6"/>
  <c r="AN7" i="6"/>
  <c r="AO7" i="6"/>
  <c r="AP7" i="6"/>
  <c r="AU7" i="6"/>
  <c r="AV7" i="6"/>
  <c r="AW7" i="6"/>
  <c r="BB7" i="6"/>
  <c r="BC7" i="6"/>
  <c r="BD7" i="6"/>
  <c r="BI7" i="6"/>
  <c r="BJ7" i="6"/>
  <c r="BK7" i="6"/>
  <c r="BP7" i="6"/>
  <c r="BQ7" i="6"/>
  <c r="BR7" i="6"/>
  <c r="BW7" i="6"/>
  <c r="BX7" i="6"/>
  <c r="BY7" i="6"/>
  <c r="CD7" i="6"/>
  <c r="CE7" i="6"/>
  <c r="CF7" i="6"/>
  <c r="CK7" i="6"/>
  <c r="CL7" i="6"/>
  <c r="CM7" i="6"/>
  <c r="CN7" i="6"/>
  <c r="CO7" i="6"/>
  <c r="CP7" i="6"/>
  <c r="CQ7" i="6"/>
  <c r="A8" i="6"/>
  <c r="B8" i="6"/>
  <c r="E8" i="6"/>
  <c r="H8" i="6"/>
  <c r="L8" i="6"/>
  <c r="M8" i="6"/>
  <c r="N8" i="6"/>
  <c r="O8" i="6"/>
  <c r="S8" i="6"/>
  <c r="T8" i="6"/>
  <c r="U8" i="6"/>
  <c r="Z8" i="6"/>
  <c r="AA8" i="6"/>
  <c r="AB8" i="6"/>
  <c r="AG8" i="6"/>
  <c r="AH8" i="6"/>
  <c r="AI8" i="6"/>
  <c r="AK8" i="6"/>
  <c r="AN8" i="6"/>
  <c r="AO8" i="6"/>
  <c r="AP8" i="6"/>
  <c r="AU8" i="6"/>
  <c r="AV8" i="6"/>
  <c r="AW8" i="6"/>
  <c r="BB8" i="6"/>
  <c r="BC8" i="6"/>
  <c r="BD8" i="6"/>
  <c r="BI8" i="6"/>
  <c r="BJ8" i="6"/>
  <c r="BK8" i="6"/>
  <c r="BP8" i="6"/>
  <c r="BQ8" i="6"/>
  <c r="BR8" i="6"/>
  <c r="BW8" i="6"/>
  <c r="BX8" i="6"/>
  <c r="BY8" i="6"/>
  <c r="CD8" i="6"/>
  <c r="CE8" i="6"/>
  <c r="CF8" i="6"/>
  <c r="CK8" i="6"/>
  <c r="CL8" i="6"/>
  <c r="CM8" i="6"/>
  <c r="CN8" i="6"/>
  <c r="CO8" i="6"/>
  <c r="CP8" i="6"/>
  <c r="CQ8" i="6"/>
  <c r="A9" i="6"/>
  <c r="B9" i="6"/>
  <c r="D9" i="6"/>
  <c r="H9" i="6"/>
  <c r="L9" i="6"/>
  <c r="M9" i="6"/>
  <c r="N9" i="6"/>
  <c r="O9" i="6"/>
  <c r="S9" i="6"/>
  <c r="T9" i="6"/>
  <c r="U9" i="6"/>
  <c r="Z9" i="6"/>
  <c r="AA9" i="6"/>
  <c r="AB9" i="6"/>
  <c r="AG9" i="6"/>
  <c r="AH9" i="6"/>
  <c r="AI9" i="6"/>
  <c r="AK9" i="6"/>
  <c r="AN9" i="6"/>
  <c r="AO9" i="6"/>
  <c r="AP9" i="6"/>
  <c r="AU9" i="6"/>
  <c r="AV9" i="6"/>
  <c r="AW9" i="6"/>
  <c r="BB9" i="6"/>
  <c r="BC9" i="6"/>
  <c r="BD9" i="6"/>
  <c r="BI9" i="6"/>
  <c r="BJ9" i="6"/>
  <c r="BK9" i="6"/>
  <c r="BP9" i="6"/>
  <c r="BQ9" i="6"/>
  <c r="BR9" i="6"/>
  <c r="BW9" i="6"/>
  <c r="BX9" i="6"/>
  <c r="BY9" i="6"/>
  <c r="CD9" i="6"/>
  <c r="CE9" i="6"/>
  <c r="CF9" i="6"/>
  <c r="CK9" i="6"/>
  <c r="CL9" i="6"/>
  <c r="CM9" i="6"/>
  <c r="CN9" i="6"/>
  <c r="CO9" i="6"/>
  <c r="CP9" i="6"/>
  <c r="CQ9" i="6"/>
  <c r="A10" i="6"/>
  <c r="B10" i="6"/>
  <c r="D10" i="6"/>
  <c r="H10" i="6"/>
  <c r="L10" i="6"/>
  <c r="M10" i="6"/>
  <c r="N10" i="6"/>
  <c r="O10" i="6"/>
  <c r="S10" i="6"/>
  <c r="T10" i="6"/>
  <c r="U10" i="6"/>
  <c r="Z10" i="6"/>
  <c r="AA10" i="6"/>
  <c r="AB10" i="6"/>
  <c r="AG10" i="6"/>
  <c r="AH10" i="6"/>
  <c r="AI10" i="6"/>
  <c r="AK10" i="6"/>
  <c r="AM10" i="6"/>
  <c r="AN10" i="6"/>
  <c r="AO10" i="6"/>
  <c r="AP10" i="6"/>
  <c r="AU10" i="6"/>
  <c r="AV10" i="6"/>
  <c r="AW10" i="6"/>
  <c r="BB10" i="6"/>
  <c r="BC10" i="6"/>
  <c r="BD10" i="6"/>
  <c r="BI10" i="6"/>
  <c r="BJ10" i="6"/>
  <c r="BK10" i="6"/>
  <c r="BP10" i="6"/>
  <c r="BQ10" i="6"/>
  <c r="BR10" i="6"/>
  <c r="BW10" i="6"/>
  <c r="BX10" i="6"/>
  <c r="BY10" i="6"/>
  <c r="CD10" i="6"/>
  <c r="CE10" i="6"/>
  <c r="CF10" i="6"/>
  <c r="CK10" i="6"/>
  <c r="CL10" i="6"/>
  <c r="CM10" i="6"/>
  <c r="CN10" i="6"/>
  <c r="CO10" i="6"/>
  <c r="CP10" i="6"/>
  <c r="CQ10" i="6"/>
  <c r="A11" i="6"/>
  <c r="B11" i="6"/>
  <c r="H11" i="6"/>
  <c r="L11" i="6"/>
  <c r="M11" i="6"/>
  <c r="N11" i="6"/>
  <c r="S11" i="6"/>
  <c r="T11" i="6"/>
  <c r="U11" i="6"/>
  <c r="Z11" i="6"/>
  <c r="AA11" i="6"/>
  <c r="AB11" i="6"/>
  <c r="AG11" i="6"/>
  <c r="AH11" i="6"/>
  <c r="AI11" i="6"/>
  <c r="AK11" i="6"/>
  <c r="AN11" i="6"/>
  <c r="AO11" i="6"/>
  <c r="AP11" i="6"/>
  <c r="AU11" i="6"/>
  <c r="AV11" i="6"/>
  <c r="AW11" i="6"/>
  <c r="BB11" i="6"/>
  <c r="BC11" i="6"/>
  <c r="BD11" i="6"/>
  <c r="BI11" i="6"/>
  <c r="BJ11" i="6"/>
  <c r="BK11" i="6"/>
  <c r="BP11" i="6"/>
  <c r="BQ11" i="6"/>
  <c r="BR11" i="6"/>
  <c r="BW11" i="6"/>
  <c r="BX11" i="6"/>
  <c r="BY11" i="6"/>
  <c r="CD11" i="6"/>
  <c r="CE11" i="6"/>
  <c r="CF11" i="6"/>
  <c r="CK11" i="6"/>
  <c r="CL11" i="6"/>
  <c r="CM11" i="6"/>
  <c r="CN11" i="6"/>
  <c r="CO11" i="6"/>
  <c r="CP11" i="6"/>
  <c r="CQ11" i="6"/>
  <c r="A12" i="6"/>
  <c r="B12" i="6"/>
  <c r="H12" i="6"/>
  <c r="L12" i="6"/>
  <c r="M12" i="6"/>
  <c r="N12" i="6"/>
  <c r="S12" i="6"/>
  <c r="T12" i="6"/>
  <c r="U12" i="6"/>
  <c r="Z12" i="6"/>
  <c r="AA12" i="6"/>
  <c r="AB12" i="6"/>
  <c r="AG12" i="6"/>
  <c r="AH12" i="6"/>
  <c r="AI12" i="6"/>
  <c r="AK12" i="6"/>
  <c r="AN12" i="6"/>
  <c r="AO12" i="6"/>
  <c r="AP12" i="6"/>
  <c r="AU12" i="6"/>
  <c r="AV12" i="6"/>
  <c r="AW12" i="6"/>
  <c r="BB12" i="6"/>
  <c r="BC12" i="6"/>
  <c r="BD12" i="6"/>
  <c r="BI12" i="6"/>
  <c r="BJ12" i="6"/>
  <c r="BK12" i="6"/>
  <c r="BP12" i="6"/>
  <c r="BQ12" i="6"/>
  <c r="BR12" i="6"/>
  <c r="BW12" i="6"/>
  <c r="BX12" i="6"/>
  <c r="BY12" i="6"/>
  <c r="CD12" i="6"/>
  <c r="CE12" i="6"/>
  <c r="CF12" i="6"/>
  <c r="CK12" i="6"/>
  <c r="CL12" i="6"/>
  <c r="CM12" i="6"/>
  <c r="CN12" i="6"/>
  <c r="CO12" i="6"/>
  <c r="CP12" i="6"/>
  <c r="CQ12" i="6"/>
  <c r="A13" i="6"/>
  <c r="B13" i="6"/>
  <c r="D13" i="6"/>
  <c r="H13" i="6"/>
  <c r="L13" i="6"/>
  <c r="M13" i="6"/>
  <c r="N13" i="6"/>
  <c r="O13" i="6"/>
  <c r="S13" i="6"/>
  <c r="T13" i="6"/>
  <c r="U13" i="6"/>
  <c r="Z13" i="6"/>
  <c r="AA13" i="6"/>
  <c r="AB13" i="6"/>
  <c r="AG13" i="6"/>
  <c r="AH13" i="6"/>
  <c r="AI13" i="6"/>
  <c r="AK13" i="6"/>
  <c r="AN13" i="6"/>
  <c r="AO13" i="6"/>
  <c r="AP13" i="6"/>
  <c r="AU13" i="6"/>
  <c r="AV13" i="6"/>
  <c r="AW13" i="6"/>
  <c r="BB13" i="6"/>
  <c r="BC13" i="6"/>
  <c r="BD13" i="6"/>
  <c r="BI13" i="6"/>
  <c r="BJ13" i="6"/>
  <c r="BK13" i="6"/>
  <c r="BP13" i="6"/>
  <c r="BQ13" i="6"/>
  <c r="BR13" i="6"/>
  <c r="BW13" i="6"/>
  <c r="BX13" i="6"/>
  <c r="BY13" i="6"/>
  <c r="CD13" i="6"/>
  <c r="CE13" i="6"/>
  <c r="CF13" i="6"/>
  <c r="CK13" i="6"/>
  <c r="CL13" i="6"/>
  <c r="CM13" i="6"/>
  <c r="CN13" i="6"/>
  <c r="CO13" i="6"/>
  <c r="CP13" i="6"/>
  <c r="CQ13" i="6"/>
  <c r="A14" i="6"/>
  <c r="B14" i="6"/>
  <c r="H14" i="6"/>
  <c r="L14" i="6"/>
  <c r="M14" i="6"/>
  <c r="N14" i="6"/>
  <c r="S14" i="6"/>
  <c r="T14" i="6"/>
  <c r="U14" i="6"/>
  <c r="Z14" i="6"/>
  <c r="AA14" i="6"/>
  <c r="AB14" i="6"/>
  <c r="AG14" i="6"/>
  <c r="AH14" i="6"/>
  <c r="AI14" i="6"/>
  <c r="AN14" i="6"/>
  <c r="AO14" i="6"/>
  <c r="AP14" i="6"/>
  <c r="AU14" i="6"/>
  <c r="AV14" i="6"/>
  <c r="AW14" i="6"/>
  <c r="BB14" i="6"/>
  <c r="BC14" i="6"/>
  <c r="BD14" i="6"/>
  <c r="BI14" i="6"/>
  <c r="BJ14" i="6"/>
  <c r="BK14" i="6"/>
  <c r="BM14" i="6"/>
  <c r="BP14" i="6"/>
  <c r="BQ14" i="6"/>
  <c r="BR14" i="6"/>
  <c r="BW14" i="6"/>
  <c r="BX14" i="6"/>
  <c r="BY14" i="6"/>
  <c r="CD14" i="6"/>
  <c r="CE14" i="6"/>
  <c r="CF14" i="6"/>
  <c r="CK14" i="6"/>
  <c r="CL14" i="6"/>
  <c r="CM14" i="6"/>
  <c r="CN14" i="6"/>
  <c r="CO14" i="6"/>
  <c r="CP14" i="6"/>
  <c r="CQ14" i="6"/>
  <c r="A15" i="6"/>
  <c r="B15" i="6"/>
  <c r="H15" i="6"/>
  <c r="L15" i="6"/>
  <c r="M15" i="6"/>
  <c r="N15" i="6"/>
  <c r="S15" i="6"/>
  <c r="T15" i="6"/>
  <c r="U15" i="6"/>
  <c r="Z15" i="6"/>
  <c r="AA15" i="6"/>
  <c r="AB15" i="6"/>
  <c r="AG15" i="6"/>
  <c r="AH15" i="6"/>
  <c r="AI15" i="6"/>
  <c r="AN15" i="6"/>
  <c r="AO15" i="6"/>
  <c r="AP15" i="6"/>
  <c r="AU15" i="6"/>
  <c r="AV15" i="6"/>
  <c r="AW15" i="6"/>
  <c r="BB15" i="6"/>
  <c r="BC15" i="6"/>
  <c r="BD15" i="6"/>
  <c r="BI15" i="6"/>
  <c r="BJ15" i="6"/>
  <c r="BK15" i="6"/>
  <c r="BP15" i="6"/>
  <c r="BQ15" i="6"/>
  <c r="BR15" i="6"/>
  <c r="BW15" i="6"/>
  <c r="BX15" i="6"/>
  <c r="BY15" i="6"/>
  <c r="CD15" i="6"/>
  <c r="CE15" i="6"/>
  <c r="CF15" i="6"/>
  <c r="CK15" i="6"/>
  <c r="CL15" i="6"/>
  <c r="CM15" i="6"/>
  <c r="CN15" i="6"/>
  <c r="CO15" i="6"/>
  <c r="CP15" i="6"/>
  <c r="CQ15" i="6"/>
  <c r="A16" i="6"/>
  <c r="B16" i="6"/>
  <c r="G16" i="6"/>
  <c r="H16" i="6"/>
  <c r="L16" i="6"/>
  <c r="M16" i="6"/>
  <c r="N16" i="6"/>
  <c r="S16" i="6"/>
  <c r="T16" i="6"/>
  <c r="U16" i="6"/>
  <c r="Z16" i="6"/>
  <c r="AA16" i="6"/>
  <c r="AB16" i="6"/>
  <c r="AG16" i="6"/>
  <c r="AH16" i="6"/>
  <c r="AI16" i="6"/>
  <c r="AK16" i="6"/>
  <c r="AM16" i="6"/>
  <c r="AN16" i="6"/>
  <c r="AO16" i="6"/>
  <c r="AP16" i="6"/>
  <c r="AU16" i="6"/>
  <c r="AV16" i="6"/>
  <c r="AW16" i="6"/>
  <c r="BB16" i="6"/>
  <c r="BC16" i="6"/>
  <c r="BD16" i="6"/>
  <c r="BI16" i="6"/>
  <c r="BJ16" i="6"/>
  <c r="BK16" i="6"/>
  <c r="BP16" i="6"/>
  <c r="BQ16" i="6"/>
  <c r="BR16" i="6"/>
  <c r="BW16" i="6"/>
  <c r="BX16" i="6"/>
  <c r="BY16" i="6"/>
  <c r="CD16" i="6"/>
  <c r="CE16" i="6"/>
  <c r="CF16" i="6"/>
  <c r="CK16" i="6"/>
  <c r="CL16" i="6"/>
  <c r="CM16" i="6"/>
  <c r="CN16" i="6"/>
  <c r="CO16" i="6"/>
  <c r="CP16" i="6"/>
  <c r="CQ16" i="6"/>
  <c r="A17" i="6"/>
  <c r="B17" i="6"/>
  <c r="H17" i="6"/>
  <c r="L17" i="6"/>
  <c r="M17" i="6"/>
  <c r="N17" i="6"/>
  <c r="S17" i="6"/>
  <c r="T17" i="6"/>
  <c r="U17" i="6"/>
  <c r="Z17" i="6"/>
  <c r="AA17" i="6"/>
  <c r="AB17" i="6"/>
  <c r="AG17" i="6"/>
  <c r="AH17" i="6"/>
  <c r="AI17" i="6"/>
  <c r="AN17" i="6"/>
  <c r="AO17" i="6"/>
  <c r="AP17" i="6"/>
  <c r="AU17" i="6"/>
  <c r="AV17" i="6"/>
  <c r="AW17" i="6"/>
  <c r="BB17" i="6"/>
  <c r="BC17" i="6"/>
  <c r="BD17" i="6"/>
  <c r="BI17" i="6"/>
  <c r="BJ17" i="6"/>
  <c r="BK17" i="6"/>
  <c r="BP17" i="6"/>
  <c r="BQ17" i="6"/>
  <c r="BR17" i="6"/>
  <c r="BW17" i="6"/>
  <c r="BX17" i="6"/>
  <c r="BY17" i="6"/>
  <c r="CD17" i="6"/>
  <c r="CE17" i="6"/>
  <c r="CF17" i="6"/>
  <c r="CK17" i="6"/>
  <c r="CL17" i="6"/>
  <c r="CM17" i="6"/>
  <c r="CN17" i="6"/>
  <c r="CO17" i="6"/>
  <c r="CP17" i="6"/>
  <c r="CQ17" i="6"/>
  <c r="A18" i="6"/>
  <c r="B18" i="6"/>
  <c r="H18" i="6"/>
  <c r="L18" i="6"/>
  <c r="M18" i="6"/>
  <c r="N18" i="6"/>
  <c r="S18" i="6"/>
  <c r="T18" i="6"/>
  <c r="U18" i="6"/>
  <c r="Z18" i="6"/>
  <c r="AA18" i="6"/>
  <c r="AB18" i="6"/>
  <c r="AG18" i="6"/>
  <c r="AH18" i="6"/>
  <c r="AI18" i="6"/>
  <c r="AK18" i="6"/>
  <c r="AN18" i="6"/>
  <c r="AO18" i="6"/>
  <c r="AP18" i="6"/>
  <c r="AU18" i="6"/>
  <c r="AV18" i="6"/>
  <c r="AW18" i="6"/>
  <c r="BB18" i="6"/>
  <c r="BC18" i="6"/>
  <c r="BD18" i="6"/>
  <c r="BI18" i="6"/>
  <c r="BJ18" i="6"/>
  <c r="BK18" i="6"/>
  <c r="BP18" i="6"/>
  <c r="BQ18" i="6"/>
  <c r="BR18" i="6"/>
  <c r="BW18" i="6"/>
  <c r="BX18" i="6"/>
  <c r="BY18" i="6"/>
  <c r="CD18" i="6"/>
  <c r="CE18" i="6"/>
  <c r="CF18" i="6"/>
  <c r="CK18" i="6"/>
  <c r="CL18" i="6"/>
  <c r="CM18" i="6"/>
  <c r="CN18" i="6"/>
  <c r="CO18" i="6"/>
  <c r="CP18" i="6"/>
  <c r="CQ18" i="6"/>
  <c r="A19" i="6"/>
  <c r="B19" i="6"/>
  <c r="H19" i="6"/>
  <c r="L19" i="6"/>
  <c r="M19" i="6"/>
  <c r="N19" i="6"/>
  <c r="S19" i="6"/>
  <c r="T19" i="6"/>
  <c r="U19" i="6"/>
  <c r="Z19" i="6"/>
  <c r="AA19" i="6"/>
  <c r="AB19" i="6"/>
  <c r="AG19" i="6"/>
  <c r="AH19" i="6"/>
  <c r="AI19" i="6"/>
  <c r="AN19" i="6"/>
  <c r="AO19" i="6"/>
  <c r="AP19" i="6"/>
  <c r="AU19" i="6"/>
  <c r="AV19" i="6"/>
  <c r="AW19" i="6"/>
  <c r="BB19" i="6"/>
  <c r="BC19" i="6"/>
  <c r="BD19" i="6"/>
  <c r="BI19" i="6"/>
  <c r="BJ19" i="6"/>
  <c r="BK19" i="6"/>
  <c r="BP19" i="6"/>
  <c r="BQ19" i="6"/>
  <c r="BR19" i="6"/>
  <c r="BW19" i="6"/>
  <c r="BX19" i="6"/>
  <c r="BY19" i="6"/>
  <c r="CD19" i="6"/>
  <c r="CE19" i="6"/>
  <c r="CF19" i="6"/>
  <c r="CK19" i="6"/>
  <c r="CL19" i="6"/>
  <c r="CM19" i="6"/>
  <c r="CN19" i="6"/>
  <c r="CO19" i="6"/>
  <c r="CP19" i="6"/>
  <c r="CQ19" i="6"/>
  <c r="A20" i="6"/>
  <c r="B20" i="6"/>
  <c r="H20" i="6"/>
  <c r="L20" i="6"/>
  <c r="M20" i="6"/>
  <c r="N20" i="6"/>
  <c r="S20" i="6"/>
  <c r="T20" i="6"/>
  <c r="U20" i="6"/>
  <c r="Z20" i="6"/>
  <c r="AA20" i="6"/>
  <c r="AB20" i="6"/>
  <c r="AG20" i="6"/>
  <c r="AH20" i="6"/>
  <c r="AI20" i="6"/>
  <c r="AK20" i="6"/>
  <c r="AN20" i="6"/>
  <c r="AO20" i="6"/>
  <c r="AP20" i="6"/>
  <c r="AU20" i="6"/>
  <c r="AV20" i="6"/>
  <c r="AW20" i="6"/>
  <c r="BB20" i="6"/>
  <c r="BC20" i="6"/>
  <c r="BD20" i="6"/>
  <c r="BI20" i="6"/>
  <c r="BJ20" i="6"/>
  <c r="BK20" i="6"/>
  <c r="BP20" i="6"/>
  <c r="BQ20" i="6"/>
  <c r="BR20" i="6"/>
  <c r="BW20" i="6"/>
  <c r="BX20" i="6"/>
  <c r="BY20" i="6"/>
  <c r="CD20" i="6"/>
  <c r="CE20" i="6"/>
  <c r="CF20" i="6"/>
  <c r="CK20" i="6"/>
  <c r="CL20" i="6"/>
  <c r="CM20" i="6"/>
  <c r="CN20" i="6"/>
  <c r="CO20" i="6"/>
  <c r="CP20" i="6"/>
  <c r="CQ20" i="6"/>
  <c r="A21" i="6"/>
  <c r="B21" i="6"/>
  <c r="H21" i="6"/>
  <c r="L21" i="6"/>
  <c r="M21" i="6"/>
  <c r="N21" i="6"/>
  <c r="S21" i="6"/>
  <c r="T21" i="6"/>
  <c r="U21" i="6"/>
  <c r="Z21" i="6"/>
  <c r="AA21" i="6"/>
  <c r="AB21" i="6"/>
  <c r="AG21" i="6"/>
  <c r="AH21" i="6"/>
  <c r="AI21" i="6"/>
  <c r="AK21" i="6"/>
  <c r="AN21" i="6"/>
  <c r="AO21" i="6"/>
  <c r="AP21" i="6"/>
  <c r="AU21" i="6"/>
  <c r="AV21" i="6"/>
  <c r="AW21" i="6"/>
  <c r="BB21" i="6"/>
  <c r="BC21" i="6"/>
  <c r="BD21" i="6"/>
  <c r="BI21" i="6"/>
  <c r="BJ21" i="6"/>
  <c r="BK21" i="6"/>
  <c r="BP21" i="6"/>
  <c r="BQ21" i="6"/>
  <c r="BR21" i="6"/>
  <c r="BW21" i="6"/>
  <c r="BX21" i="6"/>
  <c r="BY21" i="6"/>
  <c r="CD21" i="6"/>
  <c r="CE21" i="6"/>
  <c r="CF21" i="6"/>
  <c r="CK21" i="6"/>
  <c r="CL21" i="6"/>
  <c r="CM21" i="6"/>
  <c r="CN21" i="6"/>
  <c r="CO21" i="6"/>
  <c r="CP21" i="6"/>
  <c r="CQ21" i="6"/>
  <c r="A22" i="6"/>
  <c r="B22" i="6"/>
  <c r="H22" i="6"/>
  <c r="L22" i="6"/>
  <c r="M22" i="6"/>
  <c r="N22" i="6"/>
  <c r="P22" i="6"/>
  <c r="S22" i="6"/>
  <c r="T22" i="6"/>
  <c r="U22" i="6"/>
  <c r="Z22" i="6"/>
  <c r="AA22" i="6"/>
  <c r="AB22" i="6"/>
  <c r="AG22" i="6"/>
  <c r="AH22" i="6"/>
  <c r="AI22" i="6"/>
  <c r="AK22" i="6"/>
  <c r="AN22" i="6"/>
  <c r="AO22" i="6"/>
  <c r="AP22" i="6"/>
  <c r="AU22" i="6"/>
  <c r="AV22" i="6"/>
  <c r="AW22" i="6"/>
  <c r="BB22" i="6"/>
  <c r="BC22" i="6"/>
  <c r="BD22" i="6"/>
  <c r="BI22" i="6"/>
  <c r="BJ22" i="6"/>
  <c r="BK22" i="6"/>
  <c r="BP22" i="6"/>
  <c r="BQ22" i="6"/>
  <c r="BR22" i="6"/>
  <c r="BW22" i="6"/>
  <c r="BX22" i="6"/>
  <c r="BY22" i="6"/>
  <c r="CD22" i="6"/>
  <c r="CE22" i="6"/>
  <c r="CF22" i="6"/>
  <c r="CK22" i="6"/>
  <c r="CL22" i="6"/>
  <c r="CM22" i="6"/>
  <c r="CN22" i="6"/>
  <c r="CO22" i="6"/>
  <c r="CP22" i="6"/>
  <c r="CQ22" i="6"/>
  <c r="A23" i="6"/>
  <c r="B23" i="6"/>
  <c r="H23" i="6"/>
  <c r="L23" i="6"/>
  <c r="M23" i="6"/>
  <c r="N23" i="6"/>
  <c r="S23" i="6"/>
  <c r="T23" i="6"/>
  <c r="U23" i="6"/>
  <c r="Z23" i="6"/>
  <c r="AA23" i="6"/>
  <c r="AB23" i="6"/>
  <c r="AG23" i="6"/>
  <c r="AH23" i="6"/>
  <c r="AI23" i="6"/>
  <c r="AN23" i="6"/>
  <c r="AO23" i="6"/>
  <c r="AP23" i="6"/>
  <c r="AU23" i="6"/>
  <c r="AV23" i="6"/>
  <c r="AW23" i="6"/>
  <c r="BB23" i="6"/>
  <c r="BC23" i="6"/>
  <c r="BD23" i="6"/>
  <c r="BI23" i="6"/>
  <c r="BJ23" i="6"/>
  <c r="BK23" i="6"/>
  <c r="BP23" i="6"/>
  <c r="BQ23" i="6"/>
  <c r="BR23" i="6"/>
  <c r="BW23" i="6"/>
  <c r="BX23" i="6"/>
  <c r="BY23" i="6"/>
  <c r="CD23" i="6"/>
  <c r="CE23" i="6"/>
  <c r="CF23" i="6"/>
  <c r="CK23" i="6"/>
  <c r="CL23" i="6"/>
  <c r="CM23" i="6"/>
  <c r="CN23" i="6"/>
  <c r="CO23" i="6"/>
  <c r="CP23" i="6"/>
  <c r="CQ23" i="6"/>
  <c r="A24" i="6"/>
  <c r="B24" i="6"/>
  <c r="H24" i="6"/>
  <c r="L24" i="6"/>
  <c r="M24" i="6"/>
  <c r="N24" i="6"/>
  <c r="S24" i="6"/>
  <c r="T24" i="6"/>
  <c r="U24" i="6"/>
  <c r="Z24" i="6"/>
  <c r="AA24" i="6"/>
  <c r="AB24" i="6"/>
  <c r="AG24" i="6"/>
  <c r="AH24" i="6"/>
  <c r="AI24" i="6"/>
  <c r="AN24" i="6"/>
  <c r="AO24" i="6"/>
  <c r="AP24" i="6"/>
  <c r="AU24" i="6"/>
  <c r="AV24" i="6"/>
  <c r="AW24" i="6"/>
  <c r="BB24" i="6"/>
  <c r="BC24" i="6"/>
  <c r="BD24" i="6"/>
  <c r="BI24" i="6"/>
  <c r="BJ24" i="6"/>
  <c r="BK24" i="6"/>
  <c r="BM24" i="6"/>
  <c r="BP24" i="6"/>
  <c r="BQ24" i="6"/>
  <c r="BR24" i="6"/>
  <c r="BW24" i="6"/>
  <c r="BX24" i="6"/>
  <c r="BY24" i="6"/>
  <c r="CD24" i="6"/>
  <c r="CE24" i="6"/>
  <c r="CF24" i="6"/>
  <c r="CK24" i="6"/>
  <c r="CL24" i="6"/>
  <c r="CM24" i="6"/>
  <c r="CN24" i="6"/>
  <c r="CO24" i="6"/>
  <c r="CP24" i="6"/>
  <c r="CQ24" i="6"/>
  <c r="A25" i="6"/>
  <c r="B25" i="6"/>
  <c r="H25" i="6"/>
  <c r="L25" i="6"/>
  <c r="M25" i="6"/>
  <c r="N25" i="6"/>
  <c r="S25" i="6"/>
  <c r="T25" i="6"/>
  <c r="U25" i="6"/>
  <c r="Z25" i="6"/>
  <c r="AA25" i="6"/>
  <c r="AB25" i="6"/>
  <c r="AG25" i="6"/>
  <c r="AH25" i="6"/>
  <c r="AI25" i="6"/>
  <c r="AN25" i="6"/>
  <c r="AO25" i="6"/>
  <c r="AP25" i="6"/>
  <c r="AU25" i="6"/>
  <c r="AV25" i="6"/>
  <c r="AW25" i="6"/>
  <c r="BB25" i="6"/>
  <c r="BC25" i="6"/>
  <c r="BD25" i="6"/>
  <c r="BI25" i="6"/>
  <c r="BJ25" i="6"/>
  <c r="BK25" i="6"/>
  <c r="BM25" i="6"/>
  <c r="BP25" i="6"/>
  <c r="BQ25" i="6"/>
  <c r="BR25" i="6"/>
  <c r="BW25" i="6"/>
  <c r="BX25" i="6"/>
  <c r="BY25" i="6"/>
  <c r="CD25" i="6"/>
  <c r="CE25" i="6"/>
  <c r="CF25" i="6"/>
  <c r="CK25" i="6"/>
  <c r="CL25" i="6"/>
  <c r="CM25" i="6"/>
  <c r="CN25" i="6"/>
  <c r="CO25" i="6"/>
  <c r="CP25" i="6"/>
  <c r="CQ25" i="6"/>
  <c r="A26" i="6"/>
  <c r="B26" i="6"/>
  <c r="H26" i="6"/>
  <c r="L26" i="6"/>
  <c r="M26" i="6"/>
  <c r="N26" i="6"/>
  <c r="S26" i="6"/>
  <c r="T26" i="6"/>
  <c r="U26" i="6"/>
  <c r="Z26" i="6"/>
  <c r="AA26" i="6"/>
  <c r="AB26" i="6"/>
  <c r="AG26" i="6"/>
  <c r="AH26" i="6"/>
  <c r="AI26" i="6"/>
  <c r="AN26" i="6"/>
  <c r="AO26" i="6"/>
  <c r="AP26" i="6"/>
  <c r="AU26" i="6"/>
  <c r="AV26" i="6"/>
  <c r="AW26" i="6"/>
  <c r="BB26" i="6"/>
  <c r="BC26" i="6"/>
  <c r="BD26" i="6"/>
  <c r="BI26" i="6"/>
  <c r="BJ26" i="6"/>
  <c r="BK26" i="6"/>
  <c r="BM26" i="6"/>
  <c r="BP26" i="6"/>
  <c r="BQ26" i="6"/>
  <c r="BR26" i="6"/>
  <c r="BW26" i="6"/>
  <c r="BX26" i="6"/>
  <c r="BY26" i="6"/>
  <c r="CD26" i="6"/>
  <c r="CE26" i="6"/>
  <c r="CF26" i="6"/>
  <c r="CK26" i="6"/>
  <c r="CL26" i="6"/>
  <c r="CM26" i="6"/>
  <c r="CN26" i="6"/>
  <c r="CO26" i="6"/>
  <c r="CP26" i="6"/>
  <c r="CQ26" i="6"/>
  <c r="A27" i="6"/>
  <c r="B27" i="6"/>
  <c r="H27" i="6"/>
  <c r="L27" i="6"/>
  <c r="M27" i="6"/>
  <c r="N27" i="6"/>
  <c r="S27" i="6"/>
  <c r="T27" i="6"/>
  <c r="U27" i="6"/>
  <c r="Z27" i="6"/>
  <c r="AA27" i="6"/>
  <c r="AB27" i="6"/>
  <c r="AG27" i="6"/>
  <c r="AH27" i="6"/>
  <c r="AI27" i="6"/>
  <c r="AN27" i="6"/>
  <c r="AO27" i="6"/>
  <c r="AP27" i="6"/>
  <c r="AU27" i="6"/>
  <c r="AV27" i="6"/>
  <c r="AW27" i="6"/>
  <c r="BB27" i="6"/>
  <c r="BC27" i="6"/>
  <c r="BD27" i="6"/>
  <c r="BI27" i="6"/>
  <c r="BJ27" i="6"/>
  <c r="BK27" i="6"/>
  <c r="BP27" i="6"/>
  <c r="BQ27" i="6"/>
  <c r="BR27" i="6"/>
  <c r="BW27" i="6"/>
  <c r="BX27" i="6"/>
  <c r="BY27" i="6"/>
  <c r="CD27" i="6"/>
  <c r="CE27" i="6"/>
  <c r="CF27" i="6"/>
  <c r="CK27" i="6"/>
  <c r="CL27" i="6"/>
  <c r="CM27" i="6"/>
  <c r="CN27" i="6"/>
  <c r="CO27" i="6"/>
  <c r="CP27" i="6"/>
  <c r="CQ27" i="6"/>
  <c r="A28" i="6"/>
  <c r="B28" i="6"/>
  <c r="L28" i="6"/>
  <c r="M28" i="6"/>
  <c r="N28" i="6"/>
  <c r="S28" i="6"/>
  <c r="T28" i="6"/>
  <c r="U28" i="6"/>
  <c r="Z28" i="6"/>
  <c r="AA28" i="6"/>
  <c r="AB28" i="6"/>
  <c r="AG28" i="6"/>
  <c r="AH28" i="6"/>
  <c r="AI28" i="6"/>
  <c r="AN28" i="6"/>
  <c r="AO28" i="6"/>
  <c r="AP28" i="6"/>
  <c r="AU28" i="6"/>
  <c r="AV28" i="6"/>
  <c r="AW28" i="6"/>
  <c r="BB28" i="6"/>
  <c r="BC28" i="6"/>
  <c r="BD28" i="6"/>
  <c r="BI28" i="6"/>
  <c r="BJ28" i="6"/>
  <c r="BK28" i="6"/>
  <c r="BP28" i="6"/>
  <c r="BQ28" i="6"/>
  <c r="BR28" i="6"/>
  <c r="BW28" i="6"/>
  <c r="BX28" i="6"/>
  <c r="BY28" i="6"/>
  <c r="CD28" i="6"/>
  <c r="CE28" i="6"/>
  <c r="CF28" i="6"/>
  <c r="CK28" i="6"/>
  <c r="CL28" i="6"/>
  <c r="CM28" i="6"/>
  <c r="CN28" i="6"/>
  <c r="CO28" i="6"/>
  <c r="CP28" i="6"/>
  <c r="CQ28" i="6"/>
  <c r="A29" i="6"/>
  <c r="B29" i="6"/>
  <c r="L29" i="6"/>
  <c r="M29" i="6"/>
  <c r="N29" i="6"/>
  <c r="S29" i="6"/>
  <c r="T29" i="6"/>
  <c r="U29" i="6"/>
  <c r="Z29" i="6"/>
  <c r="AA29" i="6"/>
  <c r="AB29" i="6"/>
  <c r="AG29" i="6"/>
  <c r="AH29" i="6"/>
  <c r="AI29" i="6"/>
  <c r="AN29" i="6"/>
  <c r="AO29" i="6"/>
  <c r="AP29" i="6"/>
  <c r="AU29" i="6"/>
  <c r="AV29" i="6"/>
  <c r="AW29" i="6"/>
  <c r="BB29" i="6"/>
  <c r="BC29" i="6"/>
  <c r="BD29" i="6"/>
  <c r="BI29" i="6"/>
  <c r="BJ29" i="6"/>
  <c r="BK29" i="6"/>
  <c r="BM29" i="6"/>
  <c r="BP29" i="6"/>
  <c r="BQ29" i="6"/>
  <c r="BR29" i="6"/>
  <c r="BW29" i="6"/>
  <c r="BX29" i="6"/>
  <c r="BY29" i="6"/>
  <c r="CD29" i="6"/>
  <c r="CE29" i="6"/>
  <c r="CF29" i="6"/>
  <c r="CK29" i="6"/>
  <c r="CL29" i="6"/>
  <c r="CM29" i="6"/>
  <c r="CN29" i="6"/>
  <c r="CO29" i="6"/>
  <c r="CP29" i="6"/>
  <c r="CQ29" i="6"/>
  <c r="A30" i="6"/>
  <c r="B30" i="6"/>
  <c r="D30" i="6"/>
  <c r="L30" i="6"/>
  <c r="M30" i="6"/>
  <c r="N30" i="6"/>
  <c r="S30" i="6"/>
  <c r="T30" i="6"/>
  <c r="U30" i="6"/>
  <c r="Z30" i="6"/>
  <c r="AA30" i="6"/>
  <c r="AB30" i="6"/>
  <c r="AG30" i="6"/>
  <c r="AH30" i="6"/>
  <c r="AI30" i="6"/>
  <c r="AK30" i="6"/>
  <c r="AN30" i="6"/>
  <c r="AO30" i="6"/>
  <c r="AP30" i="6"/>
  <c r="AU30" i="6"/>
  <c r="AV30" i="6"/>
  <c r="AW30" i="6"/>
  <c r="BB30" i="6"/>
  <c r="BC30" i="6"/>
  <c r="BD30" i="6"/>
  <c r="BI30" i="6"/>
  <c r="BJ30" i="6"/>
  <c r="BK30" i="6"/>
  <c r="BP30" i="6"/>
  <c r="BQ30" i="6"/>
  <c r="BR30" i="6"/>
  <c r="BW30" i="6"/>
  <c r="BX30" i="6"/>
  <c r="BY30" i="6"/>
  <c r="CD30" i="6"/>
  <c r="CE30" i="6"/>
  <c r="CF30" i="6"/>
  <c r="CK30" i="6"/>
  <c r="CL30" i="6"/>
  <c r="CM30" i="6"/>
  <c r="CN30" i="6"/>
  <c r="CO30" i="6"/>
  <c r="CP30" i="6"/>
  <c r="CQ30" i="6"/>
  <c r="A31" i="6"/>
  <c r="B31" i="6"/>
  <c r="L31" i="6"/>
  <c r="M31" i="6"/>
  <c r="N31" i="6"/>
  <c r="S31" i="6"/>
  <c r="T31" i="6"/>
  <c r="U31" i="6"/>
  <c r="Z31" i="6"/>
  <c r="AA31" i="6"/>
  <c r="AB31" i="6"/>
  <c r="AG31" i="6"/>
  <c r="AH31" i="6"/>
  <c r="AI31" i="6"/>
  <c r="AN31" i="6"/>
  <c r="AO31" i="6"/>
  <c r="AP31" i="6"/>
  <c r="AU31" i="6"/>
  <c r="AV31" i="6"/>
  <c r="AW31" i="6"/>
  <c r="BB31" i="6"/>
  <c r="BC31" i="6"/>
  <c r="BD31" i="6"/>
  <c r="BI31" i="6"/>
  <c r="BJ31" i="6"/>
  <c r="BK31" i="6"/>
  <c r="BP31" i="6"/>
  <c r="BQ31" i="6"/>
  <c r="BR31" i="6"/>
  <c r="BW31" i="6"/>
  <c r="BX31" i="6"/>
  <c r="BY31" i="6"/>
  <c r="CD31" i="6"/>
  <c r="CE31" i="6"/>
  <c r="CF31" i="6"/>
  <c r="CK31" i="6"/>
  <c r="CL31" i="6"/>
  <c r="CM31" i="6"/>
  <c r="CN31" i="6"/>
  <c r="CO31" i="6"/>
  <c r="CP31" i="6"/>
  <c r="CQ31" i="6"/>
  <c r="A32" i="6"/>
  <c r="B32" i="6"/>
  <c r="L32" i="6"/>
  <c r="M32" i="6"/>
  <c r="N32" i="6"/>
  <c r="S32" i="6"/>
  <c r="T32" i="6"/>
  <c r="U32" i="6"/>
  <c r="Z32" i="6"/>
  <c r="AA32" i="6"/>
  <c r="AB32" i="6"/>
  <c r="AG32" i="6"/>
  <c r="AH32" i="6"/>
  <c r="AI32" i="6"/>
  <c r="AN32" i="6"/>
  <c r="AO32" i="6"/>
  <c r="AP32" i="6"/>
  <c r="AU32" i="6"/>
  <c r="AV32" i="6"/>
  <c r="AW32" i="6"/>
  <c r="BB32" i="6"/>
  <c r="BC32" i="6"/>
  <c r="BD32" i="6"/>
  <c r="BI32" i="6"/>
  <c r="BJ32" i="6"/>
  <c r="BK32" i="6"/>
  <c r="BP32" i="6"/>
  <c r="BQ32" i="6"/>
  <c r="BR32" i="6"/>
  <c r="BW32" i="6"/>
  <c r="BX32" i="6"/>
  <c r="BY32" i="6"/>
  <c r="CD32" i="6"/>
  <c r="CE32" i="6"/>
  <c r="CF32" i="6"/>
  <c r="CK32" i="6"/>
  <c r="CL32" i="6"/>
  <c r="CM32" i="6"/>
  <c r="CN32" i="6"/>
  <c r="CO32" i="6"/>
  <c r="CP32" i="6"/>
  <c r="CQ32" i="6"/>
  <c r="A33" i="6"/>
  <c r="B33" i="6"/>
  <c r="H33" i="6"/>
  <c r="L33" i="6"/>
  <c r="M33" i="6"/>
  <c r="N33" i="6"/>
  <c r="S33" i="6"/>
  <c r="T33" i="6"/>
  <c r="U33" i="6"/>
  <c r="Z33" i="6"/>
  <c r="AA33" i="6"/>
  <c r="AB33" i="6"/>
  <c r="AG33" i="6"/>
  <c r="AH33" i="6"/>
  <c r="AI33" i="6"/>
  <c r="AN33" i="6"/>
  <c r="AO33" i="6"/>
  <c r="AP33" i="6"/>
  <c r="AU33" i="6"/>
  <c r="AV33" i="6"/>
  <c r="AW33" i="6"/>
  <c r="BB33" i="6"/>
  <c r="BC33" i="6"/>
  <c r="BD33" i="6"/>
  <c r="BI33" i="6"/>
  <c r="BJ33" i="6"/>
  <c r="BK33" i="6"/>
  <c r="BP33" i="6"/>
  <c r="BQ33" i="6"/>
  <c r="BR33" i="6"/>
  <c r="BW33" i="6"/>
  <c r="BX33" i="6"/>
  <c r="BY33" i="6"/>
  <c r="CD33" i="6"/>
  <c r="CE33" i="6"/>
  <c r="CF33" i="6"/>
  <c r="CK33" i="6"/>
  <c r="CL33" i="6"/>
  <c r="CM33" i="6"/>
  <c r="CN33" i="6"/>
  <c r="CO33" i="6"/>
  <c r="CP33" i="6"/>
  <c r="CQ33" i="6"/>
  <c r="A34" i="6"/>
  <c r="B34" i="6"/>
  <c r="H34" i="6"/>
  <c r="L34" i="6"/>
  <c r="M34" i="6"/>
  <c r="N34" i="6"/>
  <c r="S34" i="6"/>
  <c r="T34" i="6"/>
  <c r="U34" i="6"/>
  <c r="Z34" i="6"/>
  <c r="AA34" i="6"/>
  <c r="AB34" i="6"/>
  <c r="AG34" i="6"/>
  <c r="AH34" i="6"/>
  <c r="AI34" i="6"/>
  <c r="AN34" i="6"/>
  <c r="AO34" i="6"/>
  <c r="AP34" i="6"/>
  <c r="AU34" i="6"/>
  <c r="AV34" i="6"/>
  <c r="AW34" i="6"/>
  <c r="BB34" i="6"/>
  <c r="BC34" i="6"/>
  <c r="BD34" i="6"/>
  <c r="BI34" i="6"/>
  <c r="BJ34" i="6"/>
  <c r="BK34" i="6"/>
  <c r="BM34" i="6"/>
  <c r="BP34" i="6"/>
  <c r="BQ34" i="6"/>
  <c r="BR34" i="6"/>
  <c r="BW34" i="6"/>
  <c r="BX34" i="6"/>
  <c r="BY34" i="6"/>
  <c r="CD34" i="6"/>
  <c r="CE34" i="6"/>
  <c r="CF34" i="6"/>
  <c r="CK34" i="6"/>
  <c r="CL34" i="6"/>
  <c r="CM34" i="6"/>
  <c r="CN34" i="6"/>
  <c r="CO34" i="6"/>
  <c r="CP34" i="6"/>
  <c r="CQ34" i="6"/>
  <c r="A35" i="6"/>
  <c r="B35" i="6"/>
  <c r="H35" i="6"/>
  <c r="L35" i="6"/>
  <c r="M35" i="6"/>
  <c r="N35" i="6"/>
  <c r="S35" i="6"/>
  <c r="T35" i="6"/>
  <c r="U35" i="6"/>
  <c r="Z35" i="6"/>
  <c r="AA35" i="6"/>
  <c r="AB35" i="6"/>
  <c r="AG35" i="6"/>
  <c r="AH35" i="6"/>
  <c r="AI35" i="6"/>
  <c r="AN35" i="6"/>
  <c r="AO35" i="6"/>
  <c r="AP35" i="6"/>
  <c r="AU35" i="6"/>
  <c r="AV35" i="6"/>
  <c r="AW35" i="6"/>
  <c r="BB35" i="6"/>
  <c r="BC35" i="6"/>
  <c r="BD35" i="6"/>
  <c r="BI35" i="6"/>
  <c r="BJ35" i="6"/>
  <c r="BK35" i="6"/>
  <c r="BP35" i="6"/>
  <c r="BQ35" i="6"/>
  <c r="BR35" i="6"/>
  <c r="BW35" i="6"/>
  <c r="BX35" i="6"/>
  <c r="BY35" i="6"/>
  <c r="CD35" i="6"/>
  <c r="CE35" i="6"/>
  <c r="CF35" i="6"/>
  <c r="CK35" i="6"/>
  <c r="CL35" i="6"/>
  <c r="CM35" i="6"/>
  <c r="CN35" i="6"/>
  <c r="CO35" i="6"/>
  <c r="CP35" i="6"/>
  <c r="CQ35" i="6"/>
  <c r="A36" i="6"/>
  <c r="B36" i="6"/>
  <c r="D36" i="6"/>
  <c r="H36" i="6"/>
  <c r="L36" i="6"/>
  <c r="M36" i="6"/>
  <c r="N36" i="6"/>
  <c r="O36" i="6"/>
  <c r="S36" i="6"/>
  <c r="T36" i="6"/>
  <c r="U36" i="6"/>
  <c r="Z36" i="6"/>
  <c r="AA36" i="6"/>
  <c r="AB36" i="6"/>
  <c r="AG36" i="6"/>
  <c r="AH36" i="6"/>
  <c r="AI36" i="6"/>
  <c r="AN36" i="6"/>
  <c r="AO36" i="6"/>
  <c r="AP36" i="6"/>
  <c r="AU36" i="6"/>
  <c r="AV36" i="6"/>
  <c r="AW36" i="6"/>
  <c r="BB36" i="6"/>
  <c r="BC36" i="6"/>
  <c r="BD36" i="6"/>
  <c r="BI36" i="6"/>
  <c r="BJ36" i="6"/>
  <c r="BK36" i="6"/>
  <c r="BP36" i="6"/>
  <c r="BQ36" i="6"/>
  <c r="BR36" i="6"/>
  <c r="BW36" i="6"/>
  <c r="BX36" i="6"/>
  <c r="BY36" i="6"/>
  <c r="CD36" i="6"/>
  <c r="CE36" i="6"/>
  <c r="CF36" i="6"/>
  <c r="CK36" i="6"/>
  <c r="CL36" i="6"/>
  <c r="CM36" i="6"/>
  <c r="CN36" i="6"/>
  <c r="CO36" i="6"/>
  <c r="CP36" i="6"/>
  <c r="CQ36" i="6"/>
  <c r="C37" i="6"/>
  <c r="D37" i="6"/>
  <c r="E37" i="6"/>
  <c r="F37" i="6"/>
  <c r="G37" i="6"/>
  <c r="H37" i="6"/>
  <c r="I37" i="6"/>
  <c r="J37" i="6"/>
  <c r="K37" i="6"/>
  <c r="L37" i="6"/>
  <c r="M37" i="6"/>
  <c r="O37" i="6"/>
  <c r="P37" i="6"/>
  <c r="Q37" i="6"/>
  <c r="R37" i="6"/>
  <c r="S37" i="6"/>
  <c r="T37" i="6"/>
  <c r="V37" i="6"/>
  <c r="W37" i="6"/>
  <c r="X37" i="6"/>
  <c r="Y37" i="6"/>
  <c r="Z37" i="6"/>
  <c r="AA37" i="6"/>
  <c r="AC37" i="6"/>
  <c r="AD37" i="6"/>
  <c r="AE37" i="6"/>
  <c r="AF37" i="6"/>
  <c r="AG37" i="6"/>
  <c r="AH37" i="6"/>
  <c r="AJ37" i="6"/>
  <c r="AL37" i="6"/>
  <c r="AM37" i="6"/>
  <c r="AN37" i="6"/>
  <c r="AO37" i="6"/>
  <c r="AQ37" i="6"/>
  <c r="AR37" i="6"/>
  <c r="AS37" i="6"/>
  <c r="AT37" i="6"/>
  <c r="AU37" i="6"/>
  <c r="AV37" i="6"/>
  <c r="AX37" i="6"/>
  <c r="AY37" i="6"/>
  <c r="AZ37" i="6"/>
  <c r="BA37" i="6"/>
  <c r="BB37" i="6"/>
  <c r="BC37" i="6"/>
  <c r="BE37" i="6"/>
  <c r="BF37" i="6"/>
  <c r="BG37" i="6"/>
  <c r="BH37" i="6"/>
  <c r="BI37" i="6"/>
  <c r="BJ37" i="6"/>
  <c r="BL37" i="6"/>
  <c r="BM37" i="6"/>
  <c r="BN37" i="6"/>
  <c r="BO37" i="6"/>
  <c r="BP37" i="6"/>
  <c r="BQ37" i="6"/>
  <c r="BS37" i="6"/>
  <c r="BT37" i="6"/>
  <c r="BU37" i="6"/>
  <c r="BV37" i="6"/>
  <c r="BW37" i="6"/>
  <c r="BX37" i="6"/>
  <c r="BZ37" i="6"/>
  <c r="CA37" i="6"/>
  <c r="CB37" i="6"/>
  <c r="CC37" i="6"/>
  <c r="CD37" i="6"/>
  <c r="CE37" i="6"/>
  <c r="CG37" i="6"/>
  <c r="CH37" i="6"/>
  <c r="CI37" i="6"/>
  <c r="CJ37" i="6"/>
  <c r="CK37" i="6"/>
  <c r="CL37" i="6"/>
  <c r="CN37" i="6"/>
  <c r="CO37" i="6"/>
  <c r="CP37" i="6"/>
  <c r="D100" i="6"/>
  <c r="E100" i="6"/>
  <c r="F100" i="6"/>
  <c r="G100" i="6"/>
  <c r="I100" i="6"/>
  <c r="J100" i="6"/>
  <c r="K100" i="6"/>
  <c r="P100" i="6"/>
  <c r="Q100" i="6"/>
  <c r="R100" i="6"/>
  <c r="W100" i="6"/>
  <c r="X100" i="6"/>
  <c r="Y100" i="6"/>
  <c r="D101" i="6"/>
  <c r="E101" i="6"/>
  <c r="F101" i="6"/>
  <c r="G101" i="6"/>
  <c r="I101" i="6"/>
  <c r="J101" i="6"/>
  <c r="K101" i="6"/>
  <c r="P101" i="6"/>
  <c r="Q101" i="6"/>
  <c r="R101" i="6"/>
  <c r="W101" i="6"/>
  <c r="X101" i="6"/>
  <c r="Y101" i="6"/>
  <c r="D102" i="6"/>
  <c r="E102" i="6"/>
  <c r="F102" i="6"/>
  <c r="G102" i="6"/>
  <c r="I102" i="6"/>
  <c r="J102" i="6"/>
  <c r="K102" i="6"/>
  <c r="P102" i="6"/>
  <c r="Q102" i="6"/>
  <c r="R102" i="6"/>
  <c r="W102" i="6"/>
  <c r="X102" i="6"/>
  <c r="Y102" i="6"/>
  <c r="D103" i="6"/>
  <c r="E103" i="6"/>
  <c r="F103" i="6"/>
  <c r="G103" i="6"/>
  <c r="I103" i="6"/>
  <c r="J103" i="6"/>
  <c r="K103" i="6"/>
  <c r="P103" i="6"/>
  <c r="Q103" i="6"/>
  <c r="R103" i="6"/>
  <c r="W103" i="6"/>
  <c r="X103" i="6"/>
  <c r="Y103" i="6"/>
  <c r="C105" i="6"/>
  <c r="D105" i="6"/>
  <c r="E105" i="6"/>
  <c r="F105" i="6"/>
  <c r="G105" i="6"/>
  <c r="I105" i="6"/>
  <c r="J105" i="6"/>
  <c r="K105" i="6"/>
  <c r="P105" i="6"/>
  <c r="Q105" i="6"/>
  <c r="R105" i="6"/>
  <c r="W105" i="6"/>
  <c r="X105" i="6"/>
  <c r="Y105" i="6"/>
  <c r="A2" i="13"/>
  <c r="A6" i="13"/>
  <c r="C6" i="13"/>
  <c r="D6" i="13"/>
  <c r="E6" i="13"/>
  <c r="F6" i="13"/>
  <c r="G6" i="13"/>
  <c r="A7" i="13"/>
  <c r="C7" i="13"/>
  <c r="D7" i="13"/>
  <c r="E7" i="13"/>
  <c r="F7" i="13"/>
  <c r="G7" i="13"/>
  <c r="A8" i="13"/>
  <c r="C8" i="13"/>
  <c r="D8" i="13"/>
  <c r="E8" i="13"/>
  <c r="F8" i="13"/>
  <c r="G8" i="13"/>
  <c r="A9" i="13"/>
  <c r="C9" i="13"/>
  <c r="D9" i="13"/>
  <c r="E9" i="13"/>
  <c r="F9" i="13"/>
  <c r="G9" i="13"/>
  <c r="A10" i="13"/>
  <c r="C10" i="13"/>
  <c r="D10" i="13"/>
  <c r="E10" i="13"/>
  <c r="F10" i="13"/>
  <c r="G10" i="13"/>
  <c r="A11" i="13"/>
  <c r="C11" i="13"/>
  <c r="D11" i="13"/>
  <c r="E11" i="13"/>
  <c r="F11" i="13"/>
  <c r="G11" i="13"/>
  <c r="A12" i="13"/>
  <c r="C12" i="13"/>
  <c r="D12" i="13"/>
  <c r="E12" i="13"/>
  <c r="F12" i="13"/>
  <c r="G12" i="13"/>
  <c r="A13" i="13"/>
  <c r="C13" i="13"/>
  <c r="D13" i="13"/>
  <c r="E13" i="13"/>
  <c r="F13" i="13"/>
  <c r="G13" i="13"/>
  <c r="A14" i="13"/>
  <c r="C14" i="13"/>
  <c r="D14" i="13"/>
  <c r="E14" i="13"/>
  <c r="F14" i="13"/>
  <c r="G14" i="13"/>
  <c r="A15" i="13"/>
  <c r="C15" i="13"/>
  <c r="D15" i="13"/>
  <c r="E15" i="13"/>
  <c r="F15" i="13"/>
  <c r="G15" i="13"/>
  <c r="A16" i="13"/>
  <c r="C16" i="13"/>
  <c r="D16" i="13"/>
  <c r="E16" i="13"/>
  <c r="F16" i="13"/>
  <c r="G16" i="13"/>
  <c r="A17" i="13"/>
  <c r="C17" i="13"/>
  <c r="D17" i="13"/>
  <c r="E17" i="13"/>
  <c r="F17" i="13"/>
  <c r="G17" i="13"/>
  <c r="A18" i="13"/>
  <c r="C18" i="13"/>
  <c r="D18" i="13"/>
  <c r="E18" i="13"/>
  <c r="F18" i="13"/>
  <c r="G18" i="13"/>
  <c r="A19" i="13"/>
  <c r="C19" i="13"/>
  <c r="D19" i="13"/>
  <c r="E19" i="13"/>
  <c r="F19" i="13"/>
  <c r="G19" i="13"/>
  <c r="A20" i="13"/>
  <c r="C20" i="13"/>
  <c r="D20" i="13"/>
  <c r="E20" i="13"/>
  <c r="F20" i="13"/>
  <c r="G20" i="13"/>
  <c r="A21" i="13"/>
  <c r="C21" i="13"/>
  <c r="D21" i="13"/>
  <c r="E21" i="13"/>
  <c r="F21" i="13"/>
  <c r="G21" i="13"/>
  <c r="A22" i="13"/>
  <c r="C22" i="13"/>
  <c r="D22" i="13"/>
  <c r="E22" i="13"/>
  <c r="F22" i="13"/>
  <c r="G22" i="13"/>
  <c r="A23" i="13"/>
  <c r="C23" i="13"/>
  <c r="D23" i="13"/>
  <c r="E23" i="13"/>
  <c r="F23" i="13"/>
  <c r="G23" i="13"/>
  <c r="A24" i="13"/>
  <c r="C24" i="13"/>
  <c r="D24" i="13"/>
  <c r="E24" i="13"/>
  <c r="F24" i="13"/>
  <c r="G24" i="13"/>
  <c r="A25" i="13"/>
  <c r="C25" i="13"/>
  <c r="D25" i="13"/>
  <c r="E25" i="13"/>
  <c r="F25" i="13"/>
  <c r="G25" i="13"/>
  <c r="A26" i="13"/>
  <c r="C26" i="13"/>
  <c r="D26" i="13"/>
  <c r="E26" i="13"/>
  <c r="F26" i="13"/>
  <c r="G26" i="13"/>
  <c r="A27" i="13"/>
  <c r="C27" i="13"/>
  <c r="D27" i="13"/>
  <c r="E27" i="13"/>
  <c r="F27" i="13"/>
  <c r="G27" i="13"/>
  <c r="A28" i="13"/>
  <c r="C28" i="13"/>
  <c r="D28" i="13"/>
  <c r="E28" i="13"/>
  <c r="F28" i="13"/>
  <c r="G28" i="13"/>
  <c r="A29" i="13"/>
  <c r="C29" i="13"/>
  <c r="D29" i="13"/>
  <c r="E29" i="13"/>
  <c r="F29" i="13"/>
  <c r="G29" i="13"/>
  <c r="A30" i="13"/>
  <c r="C30" i="13"/>
  <c r="D30" i="13"/>
  <c r="E30" i="13"/>
  <c r="F30" i="13"/>
  <c r="G30" i="13"/>
  <c r="A31" i="13"/>
  <c r="C31" i="13"/>
  <c r="D31" i="13"/>
  <c r="E31" i="13"/>
  <c r="F31" i="13"/>
  <c r="G31" i="13"/>
  <c r="A32" i="13"/>
  <c r="C32" i="13"/>
  <c r="D32" i="13"/>
  <c r="E32" i="13"/>
  <c r="F32" i="13"/>
  <c r="G32" i="13"/>
  <c r="A33" i="13"/>
  <c r="C33" i="13"/>
  <c r="D33" i="13"/>
  <c r="E33" i="13"/>
  <c r="F33" i="13"/>
  <c r="G33" i="13"/>
  <c r="A34" i="13"/>
  <c r="C34" i="13"/>
  <c r="D34" i="13"/>
  <c r="E34" i="13"/>
  <c r="F34" i="13"/>
  <c r="G34" i="13"/>
  <c r="A35" i="13"/>
  <c r="C35" i="13"/>
  <c r="D35" i="13"/>
  <c r="E35" i="13"/>
  <c r="F35" i="13"/>
  <c r="G35" i="13"/>
  <c r="A36" i="13"/>
  <c r="C36" i="13"/>
  <c r="D36" i="13"/>
  <c r="E36" i="13"/>
  <c r="F36" i="13"/>
  <c r="G36" i="13"/>
  <c r="A37" i="13"/>
  <c r="B37" i="13"/>
  <c r="C37" i="13"/>
  <c r="D37" i="13"/>
  <c r="C1" i="14"/>
  <c r="A3" i="14"/>
  <c r="B3" i="14"/>
  <c r="F3" i="14"/>
  <c r="I3" i="14"/>
  <c r="M3" i="14"/>
  <c r="P3" i="14"/>
  <c r="T3" i="14"/>
  <c r="W3" i="14"/>
  <c r="AA3" i="14"/>
  <c r="AD3" i="14"/>
  <c r="AH3" i="14"/>
  <c r="A4" i="14"/>
  <c r="B4" i="14"/>
  <c r="C4" i="14"/>
  <c r="F4" i="14"/>
  <c r="G4" i="14"/>
  <c r="H4" i="14"/>
  <c r="I4" i="14"/>
  <c r="J4" i="14"/>
  <c r="K4" i="14"/>
  <c r="M4" i="14"/>
  <c r="N4" i="14"/>
  <c r="O4" i="14"/>
  <c r="P4" i="14"/>
  <c r="Q4" i="14"/>
  <c r="T4" i="14"/>
  <c r="U4" i="14"/>
  <c r="V4" i="14"/>
  <c r="W4" i="14"/>
  <c r="AA4" i="14"/>
  <c r="AB4" i="14"/>
  <c r="AC4" i="14"/>
  <c r="AD4" i="14"/>
  <c r="AH4" i="14"/>
  <c r="AI4" i="14"/>
  <c r="AJ4" i="14"/>
  <c r="A5" i="14"/>
  <c r="B5" i="14"/>
  <c r="C5" i="14"/>
  <c r="D5" i="14"/>
  <c r="E5" i="14"/>
  <c r="F5" i="14"/>
  <c r="G5" i="14"/>
  <c r="H5" i="14"/>
  <c r="I5" i="14"/>
  <c r="J5" i="14"/>
  <c r="K5" i="14"/>
  <c r="M5" i="14"/>
  <c r="N5" i="14"/>
  <c r="O5" i="14"/>
  <c r="P5" i="14"/>
  <c r="Q5" i="14"/>
  <c r="R5" i="14"/>
  <c r="T5" i="14"/>
  <c r="U5" i="14"/>
  <c r="V5" i="14"/>
  <c r="W5" i="14"/>
  <c r="X5" i="14"/>
  <c r="AA5" i="14"/>
  <c r="AB5" i="14"/>
  <c r="AC5" i="14"/>
  <c r="AD5" i="14"/>
  <c r="AE5" i="14"/>
  <c r="AH5" i="14"/>
  <c r="AI5" i="14"/>
  <c r="AJ5" i="14"/>
  <c r="A6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L6" i="14"/>
  <c r="AM6" i="14"/>
  <c r="AN6" i="14"/>
  <c r="AO6" i="14"/>
  <c r="A7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L7" i="14"/>
  <c r="AM7" i="14"/>
  <c r="AN7" i="14"/>
  <c r="AO7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L8" i="14"/>
  <c r="AM8" i="14"/>
  <c r="AN8" i="14"/>
  <c r="AO8" i="14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L9" i="14"/>
  <c r="AM9" i="14"/>
  <c r="AN9" i="14"/>
  <c r="AO9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L10" i="14"/>
  <c r="AM10" i="14"/>
  <c r="AN10" i="14"/>
  <c r="AO10" i="14"/>
  <c r="A11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L11" i="14"/>
  <c r="AM11" i="14"/>
  <c r="AN11" i="14"/>
  <c r="AO11" i="14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L12" i="14"/>
  <c r="AM12" i="14"/>
  <c r="AN12" i="14"/>
  <c r="AO12" i="14"/>
  <c r="A13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L13" i="14"/>
  <c r="AM13" i="14"/>
  <c r="AN13" i="14"/>
  <c r="AO13" i="14"/>
  <c r="A14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L14" i="14"/>
  <c r="AM14" i="14"/>
  <c r="AN14" i="14"/>
  <c r="AO14" i="14"/>
  <c r="A15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M15" i="14"/>
  <c r="AN15" i="14"/>
  <c r="AO15" i="14"/>
  <c r="A16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L16" i="14"/>
  <c r="AM16" i="14"/>
  <c r="AN16" i="14"/>
  <c r="AO16" i="14"/>
  <c r="A17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L17" i="14"/>
  <c r="AM17" i="14"/>
  <c r="AN17" i="14"/>
  <c r="AO17" i="14"/>
  <c r="A18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L18" i="14"/>
  <c r="AM18" i="14"/>
  <c r="AN18" i="14"/>
  <c r="AO18" i="14"/>
  <c r="A19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L19" i="14"/>
  <c r="AM19" i="14"/>
  <c r="AN19" i="14"/>
  <c r="AO19" i="14"/>
  <c r="A20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L20" i="14"/>
  <c r="AM20" i="14"/>
  <c r="AN20" i="14"/>
  <c r="AO20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L21" i="14"/>
  <c r="AM21" i="14"/>
  <c r="AN21" i="14"/>
  <c r="AO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L22" i="14"/>
  <c r="AM22" i="14"/>
  <c r="AN22" i="14"/>
  <c r="AO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L23" i="14"/>
  <c r="AM23" i="14"/>
  <c r="AN23" i="14"/>
  <c r="AO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L24" i="14"/>
  <c r="AM24" i="14"/>
  <c r="AN24" i="14"/>
  <c r="AO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L25" i="14"/>
  <c r="AM25" i="14"/>
  <c r="AN25" i="14"/>
  <c r="AO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L26" i="14"/>
  <c r="AM26" i="14"/>
  <c r="AN26" i="14"/>
  <c r="AO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L27" i="14"/>
  <c r="AM27" i="14"/>
  <c r="AN27" i="14"/>
  <c r="AO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L28" i="14"/>
  <c r="AM28" i="14"/>
  <c r="AN28" i="14"/>
  <c r="AO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L29" i="14"/>
  <c r="AM29" i="14"/>
  <c r="AN29" i="14"/>
  <c r="AO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L30" i="14"/>
  <c r="AM30" i="14"/>
  <c r="AN30" i="14"/>
  <c r="AO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L31" i="14"/>
  <c r="AM31" i="14"/>
  <c r="AN31" i="14"/>
  <c r="AO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L32" i="14"/>
  <c r="AM32" i="14"/>
  <c r="AN32" i="14"/>
  <c r="AO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L33" i="14"/>
  <c r="AM33" i="14"/>
  <c r="AN33" i="14"/>
  <c r="AO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L34" i="14"/>
  <c r="AM34" i="14"/>
  <c r="AN34" i="14"/>
  <c r="AO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L35" i="14"/>
  <c r="AM35" i="14"/>
  <c r="AN35" i="14"/>
  <c r="AO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L36" i="14"/>
  <c r="AM36" i="14"/>
  <c r="AN36" i="14"/>
  <c r="AO36" i="14"/>
  <c r="P37" i="14"/>
  <c r="Q37" i="14"/>
  <c r="R37" i="14"/>
  <c r="S37" i="14"/>
  <c r="T37" i="14"/>
  <c r="U37" i="14"/>
  <c r="V37" i="14"/>
  <c r="B38" i="14"/>
  <c r="C38" i="14"/>
  <c r="D38" i="14"/>
  <c r="E38" i="14"/>
  <c r="F38" i="14"/>
  <c r="G38" i="14"/>
  <c r="I38" i="14"/>
  <c r="J38" i="14"/>
  <c r="K38" i="14"/>
  <c r="L38" i="14"/>
  <c r="M38" i="14"/>
  <c r="N38" i="14"/>
  <c r="P38" i="14"/>
  <c r="Q38" i="14"/>
  <c r="R38" i="14"/>
  <c r="S38" i="14"/>
  <c r="T38" i="14"/>
  <c r="U38" i="14"/>
  <c r="W38" i="14"/>
  <c r="X38" i="14"/>
  <c r="Y38" i="14"/>
  <c r="Z38" i="14"/>
  <c r="AA38" i="14"/>
  <c r="AB38" i="14"/>
  <c r="AD38" i="14"/>
  <c r="AE38" i="14"/>
  <c r="AF38" i="14"/>
  <c r="AG38" i="14"/>
  <c r="AH38" i="14"/>
  <c r="AI38" i="14"/>
  <c r="AL38" i="14"/>
  <c r="AM38" i="14"/>
  <c r="AN38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C1" i="9"/>
  <c r="A5" i="9"/>
  <c r="B5" i="9"/>
  <c r="F5" i="9"/>
  <c r="H5" i="9"/>
  <c r="J5" i="9"/>
  <c r="A6" i="9"/>
  <c r="B6" i="9"/>
  <c r="F6" i="9"/>
  <c r="H6" i="9"/>
  <c r="J6" i="9"/>
  <c r="A7" i="9"/>
  <c r="B7" i="9"/>
  <c r="F7" i="9"/>
  <c r="H7" i="9"/>
  <c r="J7" i="9"/>
  <c r="O7" i="9"/>
  <c r="B8" i="9"/>
  <c r="F8" i="9"/>
  <c r="H8" i="9"/>
  <c r="J8" i="9"/>
  <c r="B9" i="9"/>
  <c r="F9" i="9"/>
  <c r="H9" i="9"/>
  <c r="J9" i="9"/>
  <c r="N9" i="9"/>
  <c r="R9" i="9"/>
  <c r="N10" i="9"/>
  <c r="R10" i="9"/>
  <c r="N11" i="9"/>
  <c r="R11" i="9"/>
  <c r="L13" i="9"/>
  <c r="M13" i="9"/>
  <c r="N13" i="9"/>
  <c r="O14" i="9"/>
  <c r="O15" i="9"/>
  <c r="N17" i="9"/>
  <c r="R17" i="9"/>
  <c r="N18" i="9"/>
  <c r="R18" i="9"/>
  <c r="N19" i="9"/>
  <c r="R19" i="9"/>
  <c r="B21" i="9"/>
  <c r="H21" i="9"/>
  <c r="J21" i="9"/>
  <c r="L21" i="9"/>
  <c r="M21" i="9"/>
  <c r="N21" i="9"/>
  <c r="B22" i="9"/>
  <c r="D22" i="9"/>
  <c r="O22" i="9"/>
  <c r="O23" i="9"/>
  <c r="B24" i="9"/>
  <c r="H24" i="9"/>
  <c r="J24" i="9"/>
  <c r="N25" i="9"/>
  <c r="R25" i="9"/>
  <c r="N26" i="9"/>
  <c r="R26" i="9"/>
  <c r="N27" i="9"/>
  <c r="R27" i="9"/>
  <c r="L29" i="9"/>
  <c r="M29" i="9"/>
  <c r="N29" i="9"/>
  <c r="O30" i="9"/>
  <c r="O31" i="9"/>
  <c r="B32" i="9"/>
  <c r="D32" i="9"/>
  <c r="B33" i="9"/>
  <c r="F33" i="9"/>
  <c r="H33" i="9"/>
  <c r="J33" i="9"/>
  <c r="N33" i="9"/>
  <c r="R33" i="9"/>
  <c r="N34" i="9"/>
  <c r="R34" i="9"/>
  <c r="N35" i="9"/>
  <c r="R35" i="9"/>
  <c r="L37" i="9"/>
  <c r="M37" i="9"/>
  <c r="N37" i="9"/>
  <c r="B38" i="9"/>
  <c r="O38" i="9"/>
  <c r="O39" i="9"/>
  <c r="N41" i="9"/>
  <c r="R41" i="9"/>
  <c r="N42" i="9"/>
  <c r="R42" i="9"/>
  <c r="B43" i="9"/>
  <c r="N43" i="9"/>
  <c r="R43" i="9"/>
  <c r="L45" i="9"/>
  <c r="M45" i="9"/>
  <c r="N45" i="9"/>
  <c r="B46" i="9"/>
  <c r="O46" i="9"/>
  <c r="O47" i="9"/>
  <c r="B48" i="9"/>
  <c r="N49" i="9"/>
  <c r="R49" i="9"/>
  <c r="N50" i="9"/>
  <c r="R50" i="9"/>
  <c r="B51" i="9"/>
  <c r="N51" i="9"/>
  <c r="R51" i="9"/>
  <c r="L53" i="9"/>
  <c r="M53" i="9"/>
  <c r="N53" i="9"/>
  <c r="O54" i="9"/>
  <c r="O55" i="9"/>
  <c r="N57" i="9"/>
  <c r="R57" i="9"/>
  <c r="N58" i="9"/>
  <c r="R58" i="9"/>
  <c r="B59" i="9"/>
  <c r="F59" i="9"/>
  <c r="H59" i="9"/>
  <c r="N59" i="9"/>
  <c r="R59" i="9"/>
  <c r="B60" i="9"/>
  <c r="D60" i="9"/>
  <c r="L61" i="9"/>
  <c r="M61" i="9"/>
  <c r="N61" i="9"/>
  <c r="O62" i="9"/>
  <c r="B63" i="9"/>
  <c r="F63" i="9"/>
  <c r="H63" i="9"/>
  <c r="O63" i="9"/>
  <c r="N65" i="9"/>
  <c r="R65" i="9"/>
  <c r="N66" i="9"/>
  <c r="R66" i="9"/>
  <c r="N67" i="9"/>
  <c r="R67" i="9"/>
  <c r="B72" i="9"/>
  <c r="D72" i="9"/>
  <c r="F72" i="9"/>
  <c r="H72" i="9"/>
  <c r="B73" i="9"/>
  <c r="L74" i="9"/>
  <c r="B75" i="9"/>
  <c r="L75" i="9"/>
  <c r="L76" i="9"/>
  <c r="L77" i="9"/>
  <c r="B78" i="9"/>
  <c r="D78" i="9"/>
  <c r="L78" i="9"/>
  <c r="D79" i="9"/>
  <c r="L79" i="9"/>
  <c r="B80" i="9"/>
  <c r="D80" i="9"/>
  <c r="L80" i="9"/>
  <c r="D81" i="9"/>
  <c r="L81" i="9"/>
  <c r="L82" i="9"/>
  <c r="B84" i="9"/>
  <c r="D84" i="9"/>
  <c r="F84" i="9"/>
  <c r="B85" i="9"/>
  <c r="B86" i="9"/>
  <c r="L86" i="9"/>
  <c r="L88" i="9"/>
  <c r="L90" i="9"/>
  <c r="B91" i="9"/>
  <c r="D91" i="9"/>
  <c r="F91" i="9"/>
  <c r="F93" i="9"/>
  <c r="P93" i="9"/>
  <c r="F94" i="9"/>
  <c r="P94" i="9"/>
  <c r="F95" i="9"/>
  <c r="P95" i="9"/>
  <c r="P96" i="9"/>
  <c r="F97" i="9"/>
  <c r="P97" i="9"/>
  <c r="F98" i="9"/>
  <c r="P98" i="9"/>
  <c r="F99" i="9"/>
  <c r="P99" i="9"/>
  <c r="P100" i="9"/>
  <c r="F101" i="9"/>
  <c r="P101" i="9"/>
  <c r="F102" i="9"/>
  <c r="P102" i="9"/>
  <c r="F103" i="9"/>
  <c r="P103" i="9"/>
  <c r="L104" i="9"/>
  <c r="N104" i="9"/>
  <c r="M105" i="9"/>
  <c r="M106" i="9"/>
  <c r="F107" i="9"/>
  <c r="M107" i="9"/>
  <c r="F108" i="9"/>
  <c r="M109" i="9"/>
  <c r="C1" i="1"/>
  <c r="A6" i="1"/>
  <c r="C6" i="1"/>
  <c r="U6" i="1"/>
  <c r="BG6" i="1"/>
  <c r="BH6" i="1"/>
  <c r="A7" i="1"/>
  <c r="C7" i="1"/>
  <c r="U7" i="1"/>
  <c r="BG7" i="1"/>
  <c r="BH7" i="1"/>
  <c r="A8" i="1"/>
  <c r="C8" i="1"/>
  <c r="U8" i="1"/>
  <c r="BG8" i="1"/>
  <c r="BH8" i="1"/>
  <c r="A9" i="1"/>
  <c r="C9" i="1"/>
  <c r="U9" i="1"/>
  <c r="X9" i="1"/>
  <c r="AF9" i="1"/>
  <c r="BG9" i="1"/>
  <c r="BH9" i="1"/>
  <c r="A10" i="1"/>
  <c r="C10" i="1"/>
  <c r="U10" i="1"/>
  <c r="X10" i="1"/>
  <c r="BG10" i="1"/>
  <c r="BH10" i="1"/>
  <c r="A11" i="1"/>
  <c r="C11" i="1"/>
  <c r="U11" i="1"/>
  <c r="W11" i="1"/>
  <c r="BG11" i="1"/>
  <c r="BH11" i="1"/>
  <c r="A12" i="1"/>
  <c r="C12" i="1"/>
  <c r="U12" i="1"/>
  <c r="W12" i="1"/>
  <c r="BG12" i="1"/>
  <c r="BH12" i="1"/>
  <c r="A13" i="1"/>
  <c r="U13" i="1"/>
  <c r="W13" i="1"/>
  <c r="BG13" i="1"/>
  <c r="BH13" i="1"/>
  <c r="A14" i="1"/>
  <c r="U14" i="1"/>
  <c r="W14" i="1"/>
  <c r="BG14" i="1"/>
  <c r="BH14" i="1"/>
  <c r="A15" i="1"/>
  <c r="U15" i="1"/>
  <c r="W15" i="1"/>
  <c r="BG15" i="1"/>
  <c r="BH15" i="1"/>
  <c r="A16" i="1"/>
  <c r="C16" i="1"/>
  <c r="U16" i="1"/>
  <c r="W16" i="1"/>
  <c r="BG16" i="1"/>
  <c r="BH16" i="1"/>
  <c r="A17" i="1"/>
  <c r="U17" i="1"/>
  <c r="W17" i="1"/>
  <c r="BG17" i="1"/>
  <c r="BH17" i="1"/>
  <c r="A18" i="1"/>
  <c r="U18" i="1"/>
  <c r="W18" i="1"/>
  <c r="BG18" i="1"/>
  <c r="BH18" i="1"/>
  <c r="A19" i="1"/>
  <c r="U19" i="1"/>
  <c r="W19" i="1"/>
  <c r="BG19" i="1"/>
  <c r="BH19" i="1"/>
  <c r="A20" i="1"/>
  <c r="U20" i="1"/>
  <c r="W20" i="1"/>
  <c r="X20" i="1"/>
  <c r="BG20" i="1"/>
  <c r="BH20" i="1"/>
  <c r="A21" i="1"/>
  <c r="U21" i="1"/>
  <c r="W21" i="1"/>
  <c r="X21" i="1"/>
  <c r="BG21" i="1"/>
  <c r="BH21" i="1"/>
  <c r="A22" i="1"/>
  <c r="U22" i="1"/>
  <c r="W22" i="1"/>
  <c r="X22" i="1"/>
  <c r="BG22" i="1"/>
  <c r="BH22" i="1"/>
  <c r="A23" i="1"/>
  <c r="U23" i="1"/>
  <c r="BG23" i="1"/>
  <c r="BH23" i="1"/>
  <c r="A24" i="1"/>
  <c r="M24" i="1"/>
  <c r="U24" i="1"/>
  <c r="BG24" i="1"/>
  <c r="BH24" i="1"/>
  <c r="A25" i="1"/>
  <c r="U25" i="1"/>
  <c r="BG25" i="1"/>
  <c r="BH25" i="1"/>
  <c r="A26" i="1"/>
  <c r="U26" i="1"/>
  <c r="BG26" i="1"/>
  <c r="BH26" i="1"/>
  <c r="A27" i="1"/>
  <c r="BG27" i="1"/>
  <c r="BH27" i="1"/>
  <c r="A28" i="1"/>
  <c r="BG28" i="1"/>
  <c r="BH28" i="1"/>
  <c r="A29" i="1"/>
  <c r="I29" i="1"/>
  <c r="BG29" i="1"/>
  <c r="BH29" i="1"/>
  <c r="A30" i="1"/>
  <c r="I30" i="1"/>
  <c r="U30" i="1"/>
  <c r="BG30" i="1"/>
  <c r="BH30" i="1"/>
  <c r="A31" i="1"/>
  <c r="U31" i="1"/>
  <c r="AB31" i="1"/>
  <c r="BG31" i="1"/>
  <c r="BH31" i="1"/>
  <c r="A32" i="1"/>
  <c r="U32" i="1"/>
  <c r="BG32" i="1"/>
  <c r="BH32" i="1"/>
  <c r="A33" i="1"/>
  <c r="BG33" i="1"/>
  <c r="BH33" i="1"/>
  <c r="A34" i="1"/>
  <c r="BG34" i="1"/>
  <c r="BH34" i="1"/>
  <c r="A35" i="1"/>
  <c r="BG35" i="1"/>
  <c r="BH35" i="1"/>
  <c r="A36" i="1"/>
  <c r="BG36" i="1"/>
  <c r="BH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E37" i="1"/>
  <c r="BF37" i="1"/>
  <c r="BG37" i="1"/>
  <c r="B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1" i="4"/>
  <c r="A6" i="4"/>
  <c r="B6" i="4"/>
  <c r="E6" i="4"/>
  <c r="H6" i="4"/>
  <c r="K6" i="4"/>
  <c r="L6" i="4"/>
  <c r="M6" i="4"/>
  <c r="N6" i="4"/>
  <c r="P6" i="4"/>
  <c r="Q6" i="4"/>
  <c r="T6" i="4"/>
  <c r="W6" i="4"/>
  <c r="Z6" i="4"/>
  <c r="AC6" i="4"/>
  <c r="AF6" i="4"/>
  <c r="AI6" i="4"/>
  <c r="AL6" i="4"/>
  <c r="AO6" i="4"/>
  <c r="AR6" i="4"/>
  <c r="AU6" i="4"/>
  <c r="AX6" i="4"/>
  <c r="BA6" i="4"/>
  <c r="BD6" i="4"/>
  <c r="BG6" i="4"/>
  <c r="BJ6" i="4"/>
  <c r="BM6" i="4"/>
  <c r="BP6" i="4"/>
  <c r="BS6" i="4"/>
  <c r="BV6" i="4"/>
  <c r="BY6" i="4"/>
  <c r="CB6" i="4"/>
  <c r="CE6" i="4"/>
  <c r="CH6" i="4"/>
  <c r="CK6" i="4"/>
  <c r="CN6" i="4"/>
  <c r="CQ6" i="4"/>
  <c r="CT6" i="4"/>
  <c r="CW6" i="4"/>
  <c r="CZ6" i="4"/>
  <c r="DC6" i="4"/>
  <c r="DF6" i="4"/>
  <c r="DI6" i="4"/>
  <c r="DL6" i="4"/>
  <c r="DO6" i="4"/>
  <c r="DR6" i="4"/>
  <c r="DS6" i="4"/>
  <c r="DT6" i="4"/>
  <c r="DU6" i="4"/>
  <c r="A7" i="4"/>
  <c r="B7" i="4"/>
  <c r="E7" i="4"/>
  <c r="H7" i="4"/>
  <c r="K7" i="4"/>
  <c r="L7" i="4"/>
  <c r="M7" i="4"/>
  <c r="N7" i="4"/>
  <c r="P7" i="4"/>
  <c r="Q7" i="4"/>
  <c r="T7" i="4"/>
  <c r="W7" i="4"/>
  <c r="Z7" i="4"/>
  <c r="AC7" i="4"/>
  <c r="AF7" i="4"/>
  <c r="AI7" i="4"/>
  <c r="AL7" i="4"/>
  <c r="AO7" i="4"/>
  <c r="AR7" i="4"/>
  <c r="AU7" i="4"/>
  <c r="AX7" i="4"/>
  <c r="BA7" i="4"/>
  <c r="BD7" i="4"/>
  <c r="BG7" i="4"/>
  <c r="BJ7" i="4"/>
  <c r="BM7" i="4"/>
  <c r="BP7" i="4"/>
  <c r="BS7" i="4"/>
  <c r="BV7" i="4"/>
  <c r="BY7" i="4"/>
  <c r="CB7" i="4"/>
  <c r="CE7" i="4"/>
  <c r="CH7" i="4"/>
  <c r="CK7" i="4"/>
  <c r="CN7" i="4"/>
  <c r="CQ7" i="4"/>
  <c r="CT7" i="4"/>
  <c r="CW7" i="4"/>
  <c r="CZ7" i="4"/>
  <c r="DC7" i="4"/>
  <c r="DF7" i="4"/>
  <c r="DI7" i="4"/>
  <c r="DL7" i="4"/>
  <c r="DO7" i="4"/>
  <c r="DR7" i="4"/>
  <c r="DS7" i="4"/>
  <c r="DT7" i="4"/>
  <c r="DU7" i="4"/>
  <c r="A8" i="4"/>
  <c r="B8" i="4"/>
  <c r="E8" i="4"/>
  <c r="H8" i="4"/>
  <c r="K8" i="4"/>
  <c r="L8" i="4"/>
  <c r="M8" i="4"/>
  <c r="N8" i="4"/>
  <c r="P8" i="4"/>
  <c r="Q8" i="4"/>
  <c r="T8" i="4"/>
  <c r="W8" i="4"/>
  <c r="Z8" i="4"/>
  <c r="AC8" i="4"/>
  <c r="AF8" i="4"/>
  <c r="AI8" i="4"/>
  <c r="AL8" i="4"/>
  <c r="AO8" i="4"/>
  <c r="AR8" i="4"/>
  <c r="AU8" i="4"/>
  <c r="AX8" i="4"/>
  <c r="BA8" i="4"/>
  <c r="BD8" i="4"/>
  <c r="BG8" i="4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DI8" i="4"/>
  <c r="DL8" i="4"/>
  <c r="DO8" i="4"/>
  <c r="DR8" i="4"/>
  <c r="DS8" i="4"/>
  <c r="DT8" i="4"/>
  <c r="DU8" i="4"/>
  <c r="A9" i="4"/>
  <c r="B9" i="4"/>
  <c r="C9" i="4"/>
  <c r="E9" i="4"/>
  <c r="H9" i="4"/>
  <c r="K9" i="4"/>
  <c r="L9" i="4"/>
  <c r="M9" i="4"/>
  <c r="N9" i="4"/>
  <c r="O9" i="4"/>
  <c r="P9" i="4"/>
  <c r="Q9" i="4"/>
  <c r="T9" i="4"/>
  <c r="W9" i="4"/>
  <c r="Z9" i="4"/>
  <c r="AC9" i="4"/>
  <c r="AF9" i="4"/>
  <c r="AI9" i="4"/>
  <c r="AL9" i="4"/>
  <c r="AO9" i="4"/>
  <c r="AR9" i="4"/>
  <c r="AU9" i="4"/>
  <c r="AX9" i="4"/>
  <c r="BA9" i="4"/>
  <c r="BD9" i="4"/>
  <c r="BG9" i="4"/>
  <c r="BJ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DI9" i="4"/>
  <c r="DL9" i="4"/>
  <c r="DO9" i="4"/>
  <c r="DR9" i="4"/>
  <c r="DS9" i="4"/>
  <c r="DT9" i="4"/>
  <c r="DU9" i="4"/>
  <c r="A10" i="4"/>
  <c r="B10" i="4"/>
  <c r="D10" i="4"/>
  <c r="E10" i="4"/>
  <c r="H10" i="4"/>
  <c r="K10" i="4"/>
  <c r="L10" i="4"/>
  <c r="M10" i="4"/>
  <c r="N10" i="4"/>
  <c r="P10" i="4"/>
  <c r="Q10" i="4"/>
  <c r="T10" i="4"/>
  <c r="W10" i="4"/>
  <c r="Z10" i="4"/>
  <c r="AC10" i="4"/>
  <c r="AF10" i="4"/>
  <c r="AI10" i="4"/>
  <c r="AL10" i="4"/>
  <c r="AO10" i="4"/>
  <c r="AR10" i="4"/>
  <c r="AU10" i="4"/>
  <c r="AX10" i="4"/>
  <c r="BA10" i="4"/>
  <c r="BD10" i="4"/>
  <c r="BG10" i="4"/>
  <c r="BJ10" i="4"/>
  <c r="BM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DI10" i="4"/>
  <c r="DL10" i="4"/>
  <c r="DO10" i="4"/>
  <c r="DR10" i="4"/>
  <c r="DS10" i="4"/>
  <c r="DT10" i="4"/>
  <c r="DU10" i="4"/>
  <c r="A11" i="4"/>
  <c r="B11" i="4"/>
  <c r="E11" i="4"/>
  <c r="H11" i="4"/>
  <c r="K11" i="4"/>
  <c r="N11" i="4"/>
  <c r="O11" i="4"/>
  <c r="P11" i="4"/>
  <c r="Q11" i="4"/>
  <c r="T11" i="4"/>
  <c r="W11" i="4"/>
  <c r="Z11" i="4"/>
  <c r="AC11" i="4"/>
  <c r="AF11" i="4"/>
  <c r="AI11" i="4"/>
  <c r="AL11" i="4"/>
  <c r="AO11" i="4"/>
  <c r="AR11" i="4"/>
  <c r="AU11" i="4"/>
  <c r="AX11" i="4"/>
  <c r="BA11" i="4"/>
  <c r="BD11" i="4"/>
  <c r="BG11" i="4"/>
  <c r="BJ11" i="4"/>
  <c r="BM11" i="4"/>
  <c r="BP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DI11" i="4"/>
  <c r="DL11" i="4"/>
  <c r="DO11" i="4"/>
  <c r="DR11" i="4"/>
  <c r="DS11" i="4"/>
  <c r="DT11" i="4"/>
  <c r="DU11" i="4"/>
  <c r="A12" i="4"/>
  <c r="B12" i="4"/>
  <c r="E12" i="4"/>
  <c r="H12" i="4"/>
  <c r="K12" i="4"/>
  <c r="N12" i="4"/>
  <c r="O12" i="4"/>
  <c r="P12" i="4"/>
  <c r="Q12" i="4"/>
  <c r="T12" i="4"/>
  <c r="W12" i="4"/>
  <c r="Z12" i="4"/>
  <c r="AC12" i="4"/>
  <c r="AF12" i="4"/>
  <c r="AI12" i="4"/>
  <c r="AL12" i="4"/>
  <c r="AO12" i="4"/>
  <c r="AR12" i="4"/>
  <c r="AU12" i="4"/>
  <c r="AX12" i="4"/>
  <c r="BA12" i="4"/>
  <c r="BD12" i="4"/>
  <c r="BG12" i="4"/>
  <c r="BJ12" i="4"/>
  <c r="BM12" i="4"/>
  <c r="BP12" i="4"/>
  <c r="BS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DI12" i="4"/>
  <c r="DL12" i="4"/>
  <c r="DO12" i="4"/>
  <c r="DR12" i="4"/>
  <c r="DS12" i="4"/>
  <c r="DT12" i="4"/>
  <c r="DU12" i="4"/>
  <c r="A13" i="4"/>
  <c r="B13" i="4"/>
  <c r="E13" i="4"/>
  <c r="H13" i="4"/>
  <c r="K13" i="4"/>
  <c r="N13" i="4"/>
  <c r="O13" i="4"/>
  <c r="P13" i="4"/>
  <c r="Q13" i="4"/>
  <c r="T13" i="4"/>
  <c r="W13" i="4"/>
  <c r="Z13" i="4"/>
  <c r="AC13" i="4"/>
  <c r="AF13" i="4"/>
  <c r="AI13" i="4"/>
  <c r="AL13" i="4"/>
  <c r="AO13" i="4"/>
  <c r="AR13" i="4"/>
  <c r="AU13" i="4"/>
  <c r="AX13" i="4"/>
  <c r="BA13" i="4"/>
  <c r="BD13" i="4"/>
  <c r="BG13" i="4"/>
  <c r="BJ13" i="4"/>
  <c r="BM13" i="4"/>
  <c r="BP13" i="4"/>
  <c r="BS13" i="4"/>
  <c r="BV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DI13" i="4"/>
  <c r="DL13" i="4"/>
  <c r="DO13" i="4"/>
  <c r="DR13" i="4"/>
  <c r="DS13" i="4"/>
  <c r="DT13" i="4"/>
  <c r="DU13" i="4"/>
  <c r="A14" i="4"/>
  <c r="B14" i="4"/>
  <c r="E14" i="4"/>
  <c r="H14" i="4"/>
  <c r="K14" i="4"/>
  <c r="N14" i="4"/>
  <c r="O14" i="4"/>
  <c r="P14" i="4"/>
  <c r="Q14" i="4"/>
  <c r="T14" i="4"/>
  <c r="W14" i="4"/>
  <c r="Z14" i="4"/>
  <c r="AC14" i="4"/>
  <c r="AF14" i="4"/>
  <c r="AI14" i="4"/>
  <c r="AL14" i="4"/>
  <c r="AO14" i="4"/>
  <c r="AR14" i="4"/>
  <c r="AU14" i="4"/>
  <c r="AX14" i="4"/>
  <c r="BA14" i="4"/>
  <c r="BD14" i="4"/>
  <c r="BG14" i="4"/>
  <c r="BJ14" i="4"/>
  <c r="BM14" i="4"/>
  <c r="BP14" i="4"/>
  <c r="BS14" i="4"/>
  <c r="BV14" i="4"/>
  <c r="BY14" i="4"/>
  <c r="CB14" i="4"/>
  <c r="CE14" i="4"/>
  <c r="CH14" i="4"/>
  <c r="CK14" i="4"/>
  <c r="CN14" i="4"/>
  <c r="CQ14" i="4"/>
  <c r="CT14" i="4"/>
  <c r="CW14" i="4"/>
  <c r="CZ14" i="4"/>
  <c r="DC14" i="4"/>
  <c r="DF14" i="4"/>
  <c r="DI14" i="4"/>
  <c r="DL14" i="4"/>
  <c r="DO14" i="4"/>
  <c r="DR14" i="4"/>
  <c r="DS14" i="4"/>
  <c r="DT14" i="4"/>
  <c r="DU14" i="4"/>
  <c r="A15" i="4"/>
  <c r="B15" i="4"/>
  <c r="E15" i="4"/>
  <c r="H15" i="4"/>
  <c r="K15" i="4"/>
  <c r="N15" i="4"/>
  <c r="O15" i="4"/>
  <c r="P15" i="4"/>
  <c r="Q15" i="4"/>
  <c r="T15" i="4"/>
  <c r="W15" i="4"/>
  <c r="Z15" i="4"/>
  <c r="AC15" i="4"/>
  <c r="AF15" i="4"/>
  <c r="AI15" i="4"/>
  <c r="AL15" i="4"/>
  <c r="AO15" i="4"/>
  <c r="AR15" i="4"/>
  <c r="AU15" i="4"/>
  <c r="AX15" i="4"/>
  <c r="BA15" i="4"/>
  <c r="BD15" i="4"/>
  <c r="BG15" i="4"/>
  <c r="BJ15" i="4"/>
  <c r="BM15" i="4"/>
  <c r="BP15" i="4"/>
  <c r="BS15" i="4"/>
  <c r="BV15" i="4"/>
  <c r="BY15" i="4"/>
  <c r="CB15" i="4"/>
  <c r="CE15" i="4"/>
  <c r="CH15" i="4"/>
  <c r="CK15" i="4"/>
  <c r="CN15" i="4"/>
  <c r="CQ15" i="4"/>
  <c r="CT15" i="4"/>
  <c r="CW15" i="4"/>
  <c r="CZ15" i="4"/>
  <c r="DC15" i="4"/>
  <c r="DF15" i="4"/>
  <c r="DI15" i="4"/>
  <c r="DL15" i="4"/>
  <c r="DO15" i="4"/>
  <c r="DR15" i="4"/>
  <c r="DS15" i="4"/>
  <c r="DT15" i="4"/>
  <c r="DU15" i="4"/>
  <c r="A16" i="4"/>
  <c r="B16" i="4"/>
  <c r="E16" i="4"/>
  <c r="H16" i="4"/>
  <c r="K16" i="4"/>
  <c r="N16" i="4"/>
  <c r="O16" i="4"/>
  <c r="P16" i="4"/>
  <c r="Q16" i="4"/>
  <c r="T16" i="4"/>
  <c r="W16" i="4"/>
  <c r="Z16" i="4"/>
  <c r="AC16" i="4"/>
  <c r="AF16" i="4"/>
  <c r="AI16" i="4"/>
  <c r="AL16" i="4"/>
  <c r="AO16" i="4"/>
  <c r="AR16" i="4"/>
  <c r="AU16" i="4"/>
  <c r="AX16" i="4"/>
  <c r="BA16" i="4"/>
  <c r="BD16" i="4"/>
  <c r="BG16" i="4"/>
  <c r="BJ16" i="4"/>
  <c r="BM16" i="4"/>
  <c r="BP16" i="4"/>
  <c r="BS16" i="4"/>
  <c r="BV16" i="4"/>
  <c r="BY16" i="4"/>
  <c r="CB16" i="4"/>
  <c r="CE16" i="4"/>
  <c r="CH16" i="4"/>
  <c r="CK16" i="4"/>
  <c r="CN16" i="4"/>
  <c r="CQ16" i="4"/>
  <c r="CT16" i="4"/>
  <c r="CW16" i="4"/>
  <c r="CZ16" i="4"/>
  <c r="DC16" i="4"/>
  <c r="DF16" i="4"/>
  <c r="DI16" i="4"/>
  <c r="DL16" i="4"/>
  <c r="DO16" i="4"/>
  <c r="DR16" i="4"/>
  <c r="DS16" i="4"/>
  <c r="DT16" i="4"/>
  <c r="DU16" i="4"/>
  <c r="A17" i="4"/>
  <c r="B17" i="4"/>
  <c r="E17" i="4"/>
  <c r="H17" i="4"/>
  <c r="K17" i="4"/>
  <c r="N17" i="4"/>
  <c r="O17" i="4"/>
  <c r="Q17" i="4"/>
  <c r="T17" i="4"/>
  <c r="W17" i="4"/>
  <c r="Z17" i="4"/>
  <c r="AC17" i="4"/>
  <c r="AF17" i="4"/>
  <c r="AI17" i="4"/>
  <c r="AL17" i="4"/>
  <c r="AO17" i="4"/>
  <c r="AR17" i="4"/>
  <c r="AU17" i="4"/>
  <c r="AX17" i="4"/>
  <c r="BA17" i="4"/>
  <c r="BD17" i="4"/>
  <c r="BG17" i="4"/>
  <c r="BJ17" i="4"/>
  <c r="BM17" i="4"/>
  <c r="BP17" i="4"/>
  <c r="BS17" i="4"/>
  <c r="BV17" i="4"/>
  <c r="BY17" i="4"/>
  <c r="CB17" i="4"/>
  <c r="CE17" i="4"/>
  <c r="CH17" i="4"/>
  <c r="CK17" i="4"/>
  <c r="CN17" i="4"/>
  <c r="CQ17" i="4"/>
  <c r="CT17" i="4"/>
  <c r="CW17" i="4"/>
  <c r="CZ17" i="4"/>
  <c r="DC17" i="4"/>
  <c r="DF17" i="4"/>
  <c r="DI17" i="4"/>
  <c r="DL17" i="4"/>
  <c r="DO17" i="4"/>
  <c r="DR17" i="4"/>
  <c r="DS17" i="4"/>
  <c r="DT17" i="4"/>
  <c r="DU17" i="4"/>
  <c r="A18" i="4"/>
  <c r="B18" i="4"/>
  <c r="E18" i="4"/>
  <c r="H18" i="4"/>
  <c r="K18" i="4"/>
  <c r="N18" i="4"/>
  <c r="Q18" i="4"/>
  <c r="T18" i="4"/>
  <c r="W18" i="4"/>
  <c r="Z18" i="4"/>
  <c r="AC18" i="4"/>
  <c r="AF18" i="4"/>
  <c r="AI18" i="4"/>
  <c r="AL18" i="4"/>
  <c r="AO18" i="4"/>
  <c r="AR18" i="4"/>
  <c r="AU18" i="4"/>
  <c r="AX18" i="4"/>
  <c r="BA18" i="4"/>
  <c r="BD18" i="4"/>
  <c r="BG18" i="4"/>
  <c r="BJ18" i="4"/>
  <c r="BM18" i="4"/>
  <c r="BP18" i="4"/>
  <c r="BS18" i="4"/>
  <c r="BV18" i="4"/>
  <c r="BY18" i="4"/>
  <c r="CB18" i="4"/>
  <c r="CE18" i="4"/>
  <c r="CH18" i="4"/>
  <c r="CK18" i="4"/>
  <c r="CN18" i="4"/>
  <c r="CQ18" i="4"/>
  <c r="CT18" i="4"/>
  <c r="CW18" i="4"/>
  <c r="CZ18" i="4"/>
  <c r="DC18" i="4"/>
  <c r="DF18" i="4"/>
  <c r="DI18" i="4"/>
  <c r="DL18" i="4"/>
  <c r="DO18" i="4"/>
  <c r="DR18" i="4"/>
  <c r="DS18" i="4"/>
  <c r="DT18" i="4"/>
  <c r="DU18" i="4"/>
  <c r="A19" i="4"/>
  <c r="B19" i="4"/>
  <c r="E19" i="4"/>
  <c r="H19" i="4"/>
  <c r="K19" i="4"/>
  <c r="N19" i="4"/>
  <c r="Q19" i="4"/>
  <c r="T19" i="4"/>
  <c r="W19" i="4"/>
  <c r="Z19" i="4"/>
  <c r="AC19" i="4"/>
  <c r="AF19" i="4"/>
  <c r="AI19" i="4"/>
  <c r="AL19" i="4"/>
  <c r="AO19" i="4"/>
  <c r="AR19" i="4"/>
  <c r="AU19" i="4"/>
  <c r="AX19" i="4"/>
  <c r="BA19" i="4"/>
  <c r="BD19" i="4"/>
  <c r="BG19" i="4"/>
  <c r="BJ19" i="4"/>
  <c r="BM19" i="4"/>
  <c r="BP19" i="4"/>
  <c r="BS19" i="4"/>
  <c r="BV19" i="4"/>
  <c r="BY19" i="4"/>
  <c r="CB19" i="4"/>
  <c r="CE19" i="4"/>
  <c r="CH19" i="4"/>
  <c r="CK19" i="4"/>
  <c r="CN19" i="4"/>
  <c r="CQ19" i="4"/>
  <c r="CT19" i="4"/>
  <c r="CW19" i="4"/>
  <c r="CZ19" i="4"/>
  <c r="DC19" i="4"/>
  <c r="DF19" i="4"/>
  <c r="DI19" i="4"/>
  <c r="DL19" i="4"/>
  <c r="DO19" i="4"/>
  <c r="DR19" i="4"/>
  <c r="DS19" i="4"/>
  <c r="DT19" i="4"/>
  <c r="DU19" i="4"/>
  <c r="A20" i="4"/>
  <c r="B20" i="4"/>
  <c r="E20" i="4"/>
  <c r="H20" i="4"/>
  <c r="K20" i="4"/>
  <c r="N20" i="4"/>
  <c r="P20" i="4"/>
  <c r="Q20" i="4"/>
  <c r="T20" i="4"/>
  <c r="W20" i="4"/>
  <c r="Z20" i="4"/>
  <c r="AC20" i="4"/>
  <c r="AF20" i="4"/>
  <c r="AI20" i="4"/>
  <c r="AL20" i="4"/>
  <c r="AO20" i="4"/>
  <c r="AR20" i="4"/>
  <c r="AU20" i="4"/>
  <c r="AX20" i="4"/>
  <c r="BA20" i="4"/>
  <c r="BD20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Q20" i="4"/>
  <c r="CT20" i="4"/>
  <c r="CW20" i="4"/>
  <c r="CZ20" i="4"/>
  <c r="DC20" i="4"/>
  <c r="DF20" i="4"/>
  <c r="DI20" i="4"/>
  <c r="DL20" i="4"/>
  <c r="DO20" i="4"/>
  <c r="DR20" i="4"/>
  <c r="DS20" i="4"/>
  <c r="DT20" i="4"/>
  <c r="DU20" i="4"/>
  <c r="A21" i="4"/>
  <c r="B21" i="4"/>
  <c r="E21" i="4"/>
  <c r="H21" i="4"/>
  <c r="K21" i="4"/>
  <c r="N21" i="4"/>
  <c r="Q21" i="4"/>
  <c r="T21" i="4"/>
  <c r="W21" i="4"/>
  <c r="Z21" i="4"/>
  <c r="AC21" i="4"/>
  <c r="AF21" i="4"/>
  <c r="AI21" i="4"/>
  <c r="AL21" i="4"/>
  <c r="AO21" i="4"/>
  <c r="AR21" i="4"/>
  <c r="AU21" i="4"/>
  <c r="AX21" i="4"/>
  <c r="BA21" i="4"/>
  <c r="BD21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T21" i="4"/>
  <c r="CW21" i="4"/>
  <c r="CZ21" i="4"/>
  <c r="DC21" i="4"/>
  <c r="DF21" i="4"/>
  <c r="DI21" i="4"/>
  <c r="DL21" i="4"/>
  <c r="DO21" i="4"/>
  <c r="DR21" i="4"/>
  <c r="DS21" i="4"/>
  <c r="DT21" i="4"/>
  <c r="DU21" i="4"/>
  <c r="A22" i="4"/>
  <c r="B22" i="4"/>
  <c r="E22" i="4"/>
  <c r="H22" i="4"/>
  <c r="K22" i="4"/>
  <c r="N22" i="4"/>
  <c r="O22" i="4"/>
  <c r="Q22" i="4"/>
  <c r="T22" i="4"/>
  <c r="W22" i="4"/>
  <c r="Z22" i="4"/>
  <c r="AC22" i="4"/>
  <c r="AF22" i="4"/>
  <c r="AI22" i="4"/>
  <c r="AL22" i="4"/>
  <c r="AO22" i="4"/>
  <c r="AR22" i="4"/>
  <c r="AU22" i="4"/>
  <c r="AX22" i="4"/>
  <c r="BA22" i="4"/>
  <c r="BD22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W22" i="4"/>
  <c r="CZ22" i="4"/>
  <c r="DC22" i="4"/>
  <c r="DF22" i="4"/>
  <c r="DI22" i="4"/>
  <c r="DL22" i="4"/>
  <c r="DO22" i="4"/>
  <c r="DR22" i="4"/>
  <c r="DS22" i="4"/>
  <c r="DT22" i="4"/>
  <c r="DU22" i="4"/>
  <c r="A23" i="4"/>
  <c r="B23" i="4"/>
  <c r="E23" i="4"/>
  <c r="H23" i="4"/>
  <c r="K23" i="4"/>
  <c r="N23" i="4"/>
  <c r="Q23" i="4"/>
  <c r="T23" i="4"/>
  <c r="W23" i="4"/>
  <c r="Z23" i="4"/>
  <c r="AC23" i="4"/>
  <c r="AF23" i="4"/>
  <c r="AI23" i="4"/>
  <c r="AL23" i="4"/>
  <c r="AO23" i="4"/>
  <c r="AR23" i="4"/>
  <c r="AU23" i="4"/>
  <c r="AX23" i="4"/>
  <c r="BA23" i="4"/>
  <c r="BD23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CZ23" i="4"/>
  <c r="DC23" i="4"/>
  <c r="DF23" i="4"/>
  <c r="DI23" i="4"/>
  <c r="DL23" i="4"/>
  <c r="DO23" i="4"/>
  <c r="DR23" i="4"/>
  <c r="DS23" i="4"/>
  <c r="DT23" i="4"/>
  <c r="DU23" i="4"/>
  <c r="A24" i="4"/>
  <c r="B24" i="4"/>
  <c r="E24" i="4"/>
  <c r="H24" i="4"/>
  <c r="K24" i="4"/>
  <c r="N24" i="4"/>
  <c r="Q24" i="4"/>
  <c r="T24" i="4"/>
  <c r="W24" i="4"/>
  <c r="Z24" i="4"/>
  <c r="AC24" i="4"/>
  <c r="AF24" i="4"/>
  <c r="AI24" i="4"/>
  <c r="AL24" i="4"/>
  <c r="AO24" i="4"/>
  <c r="AR24" i="4"/>
  <c r="AU24" i="4"/>
  <c r="AX24" i="4"/>
  <c r="BA24" i="4"/>
  <c r="BD24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C24" i="4"/>
  <c r="DF24" i="4"/>
  <c r="DI24" i="4"/>
  <c r="DL24" i="4"/>
  <c r="DO24" i="4"/>
  <c r="DR24" i="4"/>
  <c r="DS24" i="4"/>
  <c r="DT24" i="4"/>
  <c r="DU24" i="4"/>
  <c r="A25" i="4"/>
  <c r="B25" i="4"/>
  <c r="E25" i="4"/>
  <c r="H25" i="4"/>
  <c r="K25" i="4"/>
  <c r="N25" i="4"/>
  <c r="Q25" i="4"/>
  <c r="T25" i="4"/>
  <c r="W25" i="4"/>
  <c r="Z25" i="4"/>
  <c r="AC25" i="4"/>
  <c r="AF25" i="4"/>
  <c r="AI25" i="4"/>
  <c r="AL25" i="4"/>
  <c r="AO25" i="4"/>
  <c r="AR25" i="4"/>
  <c r="AU25" i="4"/>
  <c r="AX25" i="4"/>
  <c r="BA25" i="4"/>
  <c r="BD25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DF25" i="4"/>
  <c r="DI25" i="4"/>
  <c r="DL25" i="4"/>
  <c r="DO25" i="4"/>
  <c r="DR25" i="4"/>
  <c r="DS25" i="4"/>
  <c r="DT25" i="4"/>
  <c r="DU25" i="4"/>
  <c r="A26" i="4"/>
  <c r="B26" i="4"/>
  <c r="E26" i="4"/>
  <c r="H26" i="4"/>
  <c r="K26" i="4"/>
  <c r="N26" i="4"/>
  <c r="Q26" i="4"/>
  <c r="T26" i="4"/>
  <c r="W26" i="4"/>
  <c r="Z26" i="4"/>
  <c r="AC26" i="4"/>
  <c r="AF26" i="4"/>
  <c r="AI26" i="4"/>
  <c r="AL26" i="4"/>
  <c r="AO26" i="4"/>
  <c r="AR26" i="4"/>
  <c r="AU26" i="4"/>
  <c r="AX26" i="4"/>
  <c r="BA26" i="4"/>
  <c r="BD26" i="4"/>
  <c r="BG26" i="4"/>
  <c r="BJ26" i="4"/>
  <c r="BM26" i="4"/>
  <c r="BP26" i="4"/>
  <c r="BS26" i="4"/>
  <c r="BV26" i="4"/>
  <c r="BY26" i="4"/>
  <c r="CB26" i="4"/>
  <c r="CE26" i="4"/>
  <c r="CH26" i="4"/>
  <c r="CK26" i="4"/>
  <c r="CN26" i="4"/>
  <c r="CQ26" i="4"/>
  <c r="CT26" i="4"/>
  <c r="CW26" i="4"/>
  <c r="CZ26" i="4"/>
  <c r="DC26" i="4"/>
  <c r="DF26" i="4"/>
  <c r="DI26" i="4"/>
  <c r="DL26" i="4"/>
  <c r="DO26" i="4"/>
  <c r="DR26" i="4"/>
  <c r="DS26" i="4"/>
  <c r="DT26" i="4"/>
  <c r="DU26" i="4"/>
  <c r="A27" i="4"/>
  <c r="B27" i="4"/>
  <c r="E27" i="4"/>
  <c r="H27" i="4"/>
  <c r="K27" i="4"/>
  <c r="N27" i="4"/>
  <c r="Q27" i="4"/>
  <c r="T27" i="4"/>
  <c r="W27" i="4"/>
  <c r="Z27" i="4"/>
  <c r="AC27" i="4"/>
  <c r="AF27" i="4"/>
  <c r="AI27" i="4"/>
  <c r="AL27" i="4"/>
  <c r="AO27" i="4"/>
  <c r="AR27" i="4"/>
  <c r="AU27" i="4"/>
  <c r="AX27" i="4"/>
  <c r="BA27" i="4"/>
  <c r="BD27" i="4"/>
  <c r="BG27" i="4"/>
  <c r="BJ27" i="4"/>
  <c r="BM27" i="4"/>
  <c r="BP27" i="4"/>
  <c r="BS27" i="4"/>
  <c r="BV27" i="4"/>
  <c r="BY27" i="4"/>
  <c r="CB27" i="4"/>
  <c r="CE27" i="4"/>
  <c r="CH27" i="4"/>
  <c r="CK27" i="4"/>
  <c r="CN27" i="4"/>
  <c r="CQ27" i="4"/>
  <c r="CT27" i="4"/>
  <c r="CW27" i="4"/>
  <c r="CZ27" i="4"/>
  <c r="DC27" i="4"/>
  <c r="DF27" i="4"/>
  <c r="DI27" i="4"/>
  <c r="DL27" i="4"/>
  <c r="DO27" i="4"/>
  <c r="DR27" i="4"/>
  <c r="DS27" i="4"/>
  <c r="DT27" i="4"/>
  <c r="DU27" i="4"/>
  <c r="A28" i="4"/>
  <c r="B28" i="4"/>
  <c r="E28" i="4"/>
  <c r="H28" i="4"/>
  <c r="K28" i="4"/>
  <c r="N28" i="4"/>
  <c r="Q28" i="4"/>
  <c r="T28" i="4"/>
  <c r="W28" i="4"/>
  <c r="Z28" i="4"/>
  <c r="AC28" i="4"/>
  <c r="AF28" i="4"/>
  <c r="AI28" i="4"/>
  <c r="AL28" i="4"/>
  <c r="AO28" i="4"/>
  <c r="AR28" i="4"/>
  <c r="AU28" i="4"/>
  <c r="AX28" i="4"/>
  <c r="BA28" i="4"/>
  <c r="BD28" i="4"/>
  <c r="BG28" i="4"/>
  <c r="BJ28" i="4"/>
  <c r="BM28" i="4"/>
  <c r="BP28" i="4"/>
  <c r="BS28" i="4"/>
  <c r="BV28" i="4"/>
  <c r="BY28" i="4"/>
  <c r="CB28" i="4"/>
  <c r="CE28" i="4"/>
  <c r="CH28" i="4"/>
  <c r="CK28" i="4"/>
  <c r="CN28" i="4"/>
  <c r="CQ28" i="4"/>
  <c r="CT28" i="4"/>
  <c r="CW28" i="4"/>
  <c r="CZ28" i="4"/>
  <c r="DC28" i="4"/>
  <c r="DF28" i="4"/>
  <c r="DI28" i="4"/>
  <c r="DL28" i="4"/>
  <c r="DO28" i="4"/>
  <c r="DR28" i="4"/>
  <c r="DS28" i="4"/>
  <c r="DT28" i="4"/>
  <c r="DU28" i="4"/>
  <c r="A29" i="4"/>
  <c r="B29" i="4"/>
  <c r="E29" i="4"/>
  <c r="H29" i="4"/>
  <c r="K29" i="4"/>
  <c r="N29" i="4"/>
  <c r="Q29" i="4"/>
  <c r="T29" i="4"/>
  <c r="W29" i="4"/>
  <c r="Z29" i="4"/>
  <c r="AC29" i="4"/>
  <c r="AF29" i="4"/>
  <c r="AI29" i="4"/>
  <c r="AL29" i="4"/>
  <c r="AO29" i="4"/>
  <c r="AR29" i="4"/>
  <c r="AU29" i="4"/>
  <c r="AX29" i="4"/>
  <c r="BA29" i="4"/>
  <c r="BD29" i="4"/>
  <c r="BG29" i="4"/>
  <c r="BJ29" i="4"/>
  <c r="BM29" i="4"/>
  <c r="BP29" i="4"/>
  <c r="BS29" i="4"/>
  <c r="BV29" i="4"/>
  <c r="BY29" i="4"/>
  <c r="CB29" i="4"/>
  <c r="CE29" i="4"/>
  <c r="CH29" i="4"/>
  <c r="CK29" i="4"/>
  <c r="CN29" i="4"/>
  <c r="CQ29" i="4"/>
  <c r="CT29" i="4"/>
  <c r="CW29" i="4"/>
  <c r="CZ29" i="4"/>
  <c r="DC29" i="4"/>
  <c r="DF29" i="4"/>
  <c r="DI29" i="4"/>
  <c r="DL29" i="4"/>
  <c r="DO29" i="4"/>
  <c r="DR29" i="4"/>
  <c r="DS29" i="4"/>
  <c r="DT29" i="4"/>
  <c r="DU29" i="4"/>
  <c r="A30" i="4"/>
  <c r="B30" i="4"/>
  <c r="E30" i="4"/>
  <c r="H30" i="4"/>
  <c r="K30" i="4"/>
  <c r="N30" i="4"/>
  <c r="Q30" i="4"/>
  <c r="T30" i="4"/>
  <c r="W30" i="4"/>
  <c r="Z30" i="4"/>
  <c r="AC30" i="4"/>
  <c r="AF30" i="4"/>
  <c r="AI30" i="4"/>
  <c r="AL30" i="4"/>
  <c r="AO30" i="4"/>
  <c r="AR30" i="4"/>
  <c r="AU30" i="4"/>
  <c r="AX30" i="4"/>
  <c r="BA30" i="4"/>
  <c r="BD30" i="4"/>
  <c r="BG30" i="4"/>
  <c r="BJ30" i="4"/>
  <c r="BM30" i="4"/>
  <c r="BP30" i="4"/>
  <c r="BS30" i="4"/>
  <c r="BV30" i="4"/>
  <c r="BY30" i="4"/>
  <c r="CB30" i="4"/>
  <c r="CE30" i="4"/>
  <c r="CH30" i="4"/>
  <c r="CK30" i="4"/>
  <c r="CN30" i="4"/>
  <c r="CQ30" i="4"/>
  <c r="CT30" i="4"/>
  <c r="CW30" i="4"/>
  <c r="CZ30" i="4"/>
  <c r="DC30" i="4"/>
  <c r="DF30" i="4"/>
  <c r="DI30" i="4"/>
  <c r="DL30" i="4"/>
  <c r="DO30" i="4"/>
  <c r="DR30" i="4"/>
  <c r="DS30" i="4"/>
  <c r="DT30" i="4"/>
  <c r="DU30" i="4"/>
  <c r="A31" i="4"/>
  <c r="B31" i="4"/>
  <c r="E31" i="4"/>
  <c r="H31" i="4"/>
  <c r="K31" i="4"/>
  <c r="N31" i="4"/>
  <c r="O31" i="4"/>
  <c r="Q31" i="4"/>
  <c r="T31" i="4"/>
  <c r="W31" i="4"/>
  <c r="Z31" i="4"/>
  <c r="AC31" i="4"/>
  <c r="AF31" i="4"/>
  <c r="AI31" i="4"/>
  <c r="AL31" i="4"/>
  <c r="AO31" i="4"/>
  <c r="AR31" i="4"/>
  <c r="AU31" i="4"/>
  <c r="AX31" i="4"/>
  <c r="BA31" i="4"/>
  <c r="BD31" i="4"/>
  <c r="BG31" i="4"/>
  <c r="BJ31" i="4"/>
  <c r="BM31" i="4"/>
  <c r="BP31" i="4"/>
  <c r="BS31" i="4"/>
  <c r="BV31" i="4"/>
  <c r="BY31" i="4"/>
  <c r="CB31" i="4"/>
  <c r="CE31" i="4"/>
  <c r="CH31" i="4"/>
  <c r="CK31" i="4"/>
  <c r="CN31" i="4"/>
  <c r="CQ31" i="4"/>
  <c r="CT31" i="4"/>
  <c r="CW31" i="4"/>
  <c r="CZ31" i="4"/>
  <c r="DC31" i="4"/>
  <c r="DF31" i="4"/>
  <c r="DI31" i="4"/>
  <c r="DL31" i="4"/>
  <c r="DO31" i="4"/>
  <c r="DR31" i="4"/>
  <c r="DS31" i="4"/>
  <c r="DT31" i="4"/>
  <c r="DU31" i="4"/>
  <c r="A32" i="4"/>
  <c r="B32" i="4"/>
  <c r="E32" i="4"/>
  <c r="H32" i="4"/>
  <c r="K32" i="4"/>
  <c r="N32" i="4"/>
  <c r="Q32" i="4"/>
  <c r="T32" i="4"/>
  <c r="W32" i="4"/>
  <c r="Z32" i="4"/>
  <c r="AC32" i="4"/>
  <c r="AF32" i="4"/>
  <c r="AI32" i="4"/>
  <c r="AL32" i="4"/>
  <c r="AO32" i="4"/>
  <c r="AR32" i="4"/>
  <c r="AU32" i="4"/>
  <c r="AX32" i="4"/>
  <c r="BA32" i="4"/>
  <c r="BD32" i="4"/>
  <c r="BG32" i="4"/>
  <c r="BJ32" i="4"/>
  <c r="BM32" i="4"/>
  <c r="BP32" i="4"/>
  <c r="BS32" i="4"/>
  <c r="BV32" i="4"/>
  <c r="BY32" i="4"/>
  <c r="CB32" i="4"/>
  <c r="CE32" i="4"/>
  <c r="CH32" i="4"/>
  <c r="CK32" i="4"/>
  <c r="CN32" i="4"/>
  <c r="CQ32" i="4"/>
  <c r="CT32" i="4"/>
  <c r="CW32" i="4"/>
  <c r="CZ32" i="4"/>
  <c r="DC32" i="4"/>
  <c r="DF32" i="4"/>
  <c r="DI32" i="4"/>
  <c r="DL32" i="4"/>
  <c r="DO32" i="4"/>
  <c r="DR32" i="4"/>
  <c r="DS32" i="4"/>
  <c r="DT32" i="4"/>
  <c r="DU32" i="4"/>
  <c r="A33" i="4"/>
  <c r="B33" i="4"/>
  <c r="E33" i="4"/>
  <c r="H33" i="4"/>
  <c r="K33" i="4"/>
  <c r="N33" i="4"/>
  <c r="Q33" i="4"/>
  <c r="T33" i="4"/>
  <c r="W33" i="4"/>
  <c r="Z33" i="4"/>
  <c r="AC33" i="4"/>
  <c r="AF33" i="4"/>
  <c r="AI33" i="4"/>
  <c r="AL33" i="4"/>
  <c r="AO33" i="4"/>
  <c r="AR33" i="4"/>
  <c r="AU33" i="4"/>
  <c r="AX33" i="4"/>
  <c r="BA33" i="4"/>
  <c r="BD33" i="4"/>
  <c r="BG33" i="4"/>
  <c r="BJ33" i="4"/>
  <c r="BM33" i="4"/>
  <c r="BP33" i="4"/>
  <c r="BS33" i="4"/>
  <c r="BV33" i="4"/>
  <c r="BY33" i="4"/>
  <c r="CB33" i="4"/>
  <c r="CE33" i="4"/>
  <c r="CH33" i="4"/>
  <c r="CK33" i="4"/>
  <c r="CN33" i="4"/>
  <c r="CQ33" i="4"/>
  <c r="CT33" i="4"/>
  <c r="CW33" i="4"/>
  <c r="CZ33" i="4"/>
  <c r="DC33" i="4"/>
  <c r="DF33" i="4"/>
  <c r="DI33" i="4"/>
  <c r="DL33" i="4"/>
  <c r="DO33" i="4"/>
  <c r="DR33" i="4"/>
  <c r="DS33" i="4"/>
  <c r="DT33" i="4"/>
  <c r="DU33" i="4"/>
  <c r="A34" i="4"/>
  <c r="B34" i="4"/>
  <c r="E34" i="4"/>
  <c r="H34" i="4"/>
  <c r="K34" i="4"/>
  <c r="N34" i="4"/>
  <c r="Q34" i="4"/>
  <c r="T34" i="4"/>
  <c r="W34" i="4"/>
  <c r="Z34" i="4"/>
  <c r="AC34" i="4"/>
  <c r="AF34" i="4"/>
  <c r="AI34" i="4"/>
  <c r="AL34" i="4"/>
  <c r="AO34" i="4"/>
  <c r="AR34" i="4"/>
  <c r="AU34" i="4"/>
  <c r="AX34" i="4"/>
  <c r="BA34" i="4"/>
  <c r="BD34" i="4"/>
  <c r="BG34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DI34" i="4"/>
  <c r="DL34" i="4"/>
  <c r="DO34" i="4"/>
  <c r="DR34" i="4"/>
  <c r="DS34" i="4"/>
  <c r="DT34" i="4"/>
  <c r="DU34" i="4"/>
  <c r="A35" i="4"/>
  <c r="B35" i="4"/>
  <c r="E35" i="4"/>
  <c r="H35" i="4"/>
  <c r="K35" i="4"/>
  <c r="N35" i="4"/>
  <c r="Q35" i="4"/>
  <c r="T35" i="4"/>
  <c r="W35" i="4"/>
  <c r="Z35" i="4"/>
  <c r="AC35" i="4"/>
  <c r="AF35" i="4"/>
  <c r="AI35" i="4"/>
  <c r="AL35" i="4"/>
  <c r="AO35" i="4"/>
  <c r="AR35" i="4"/>
  <c r="AU35" i="4"/>
  <c r="AX35" i="4"/>
  <c r="BA35" i="4"/>
  <c r="BD35" i="4"/>
  <c r="BG35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DI35" i="4"/>
  <c r="DL35" i="4"/>
  <c r="DO35" i="4"/>
  <c r="DR35" i="4"/>
  <c r="DS35" i="4"/>
  <c r="DT35" i="4"/>
  <c r="DU35" i="4"/>
  <c r="A36" i="4"/>
  <c r="B36" i="4"/>
  <c r="E36" i="4"/>
  <c r="H36" i="4"/>
  <c r="K36" i="4"/>
  <c r="N36" i="4"/>
  <c r="Q36" i="4"/>
  <c r="T36" i="4"/>
  <c r="W36" i="4"/>
  <c r="Z36" i="4"/>
  <c r="AC36" i="4"/>
  <c r="AF36" i="4"/>
  <c r="AI36" i="4"/>
  <c r="AL36" i="4"/>
  <c r="AO36" i="4"/>
  <c r="AR36" i="4"/>
  <c r="AU36" i="4"/>
  <c r="AX36" i="4"/>
  <c r="BA36" i="4"/>
  <c r="BD36" i="4"/>
  <c r="BG36" i="4"/>
  <c r="BJ36" i="4"/>
  <c r="BM36" i="4"/>
  <c r="BP36" i="4"/>
  <c r="BS36" i="4"/>
  <c r="BV36" i="4"/>
  <c r="BY36" i="4"/>
  <c r="CB36" i="4"/>
  <c r="CE36" i="4"/>
  <c r="CH36" i="4"/>
  <c r="CK36" i="4"/>
  <c r="CN36" i="4"/>
  <c r="CQ36" i="4"/>
  <c r="CT36" i="4"/>
  <c r="CW36" i="4"/>
  <c r="CZ36" i="4"/>
  <c r="DC36" i="4"/>
  <c r="DF36" i="4"/>
  <c r="DI36" i="4"/>
  <c r="DL36" i="4"/>
  <c r="DO36" i="4"/>
  <c r="DR36" i="4"/>
  <c r="DS36" i="4"/>
  <c r="DT36" i="4"/>
  <c r="DU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</calcChain>
</file>

<file path=xl/comments1.xml><?xml version="1.0" encoding="utf-8"?>
<comments xmlns="http://schemas.openxmlformats.org/spreadsheetml/2006/main">
  <authors>
    <author>msharif</author>
  </authors>
  <commentList>
    <comment ref="D31" authorId="0" shapeId="0">
      <text>
        <r>
          <rPr>
            <b/>
            <sz val="8"/>
            <color indexed="81"/>
            <rFont val="Tahoma"/>
          </rPr>
          <t>msharif:</t>
        </r>
        <r>
          <rPr>
            <sz val="8"/>
            <color indexed="81"/>
            <rFont val="Tahoma"/>
          </rPr>
          <t xml:space="preserve">
9KUB delivered for EES to K# D12
</t>
        </r>
      </text>
    </comment>
  </commentList>
</comments>
</file>

<file path=xl/sharedStrings.xml><?xml version="1.0" encoding="utf-8"?>
<sst xmlns="http://schemas.openxmlformats.org/spreadsheetml/2006/main" count="1408" uniqueCount="305">
  <si>
    <t>Supplies</t>
  </si>
  <si>
    <t>Border Avg +.06</t>
  </si>
  <si>
    <t>Border Avg +.0025</t>
  </si>
  <si>
    <t>Border Avg +.01</t>
  </si>
  <si>
    <t>Border Avg +.02</t>
  </si>
  <si>
    <t>Border Avg +.015</t>
  </si>
  <si>
    <t>Socal Index</t>
  </si>
  <si>
    <t>Counterparty</t>
  </si>
  <si>
    <t>Oxy</t>
  </si>
  <si>
    <t>Texaco</t>
  </si>
  <si>
    <t>Western</t>
  </si>
  <si>
    <t>CA HUB</t>
  </si>
  <si>
    <t>Aquila</t>
  </si>
  <si>
    <t>Coral</t>
  </si>
  <si>
    <t>EPME</t>
  </si>
  <si>
    <t>Oneok</t>
  </si>
  <si>
    <t>Vintage Gas</t>
  </si>
  <si>
    <t>Cook</t>
  </si>
  <si>
    <t>Burlington</t>
  </si>
  <si>
    <t>Dynegy</t>
  </si>
  <si>
    <t>Agave</t>
  </si>
  <si>
    <t>TransCan</t>
  </si>
  <si>
    <t>SCEM</t>
  </si>
  <si>
    <t>Barrett</t>
  </si>
  <si>
    <t>Nevada Power</t>
  </si>
  <si>
    <t>Altrade(Southern)</t>
  </si>
  <si>
    <t>PG&amp;E</t>
  </si>
  <si>
    <t>Williams</t>
  </si>
  <si>
    <t>CA Hub</t>
  </si>
  <si>
    <t xml:space="preserve"> </t>
  </si>
  <si>
    <t>Contract #</t>
  </si>
  <si>
    <t>KS0202DD</t>
  </si>
  <si>
    <t>P2702</t>
  </si>
  <si>
    <t>Swing</t>
  </si>
  <si>
    <t>Make-up</t>
  </si>
  <si>
    <t>Deal #</t>
  </si>
  <si>
    <t>319556/326042</t>
  </si>
  <si>
    <t>319597/326081</t>
  </si>
  <si>
    <t>322974/324573</t>
  </si>
  <si>
    <t>328113,6&amp;8</t>
  </si>
  <si>
    <t>Total</t>
  </si>
  <si>
    <t>Pipeline</t>
  </si>
  <si>
    <t>KRS</t>
  </si>
  <si>
    <t>CA Prod</t>
  </si>
  <si>
    <t>Topock</t>
  </si>
  <si>
    <t>Ehrenberg</t>
  </si>
  <si>
    <t>Storage</t>
  </si>
  <si>
    <t>TW</t>
  </si>
  <si>
    <t>Ehren</t>
  </si>
  <si>
    <t>SOCWR</t>
  </si>
  <si>
    <t>TW/STG</t>
  </si>
  <si>
    <t>Ehr</t>
  </si>
  <si>
    <t>Kern</t>
  </si>
  <si>
    <t>TW 8255</t>
  </si>
  <si>
    <t>Ehren 97YW</t>
  </si>
  <si>
    <t>Stor</t>
  </si>
  <si>
    <t>Totals</t>
  </si>
  <si>
    <t>Short Position:</t>
  </si>
  <si>
    <t>Markets</t>
  </si>
  <si>
    <t>Border Avg + .025</t>
  </si>
  <si>
    <t>314573/314634</t>
  </si>
  <si>
    <t>EOL</t>
  </si>
  <si>
    <t>Daily</t>
  </si>
  <si>
    <t>Cumulative</t>
  </si>
  <si>
    <t>Baseload</t>
  </si>
  <si>
    <t>CounterParty</t>
  </si>
  <si>
    <t>Day Of</t>
  </si>
  <si>
    <t>MTD</t>
  </si>
  <si>
    <t>Week</t>
  </si>
  <si>
    <t>Long/(Short)</t>
  </si>
  <si>
    <t>Delivered</t>
  </si>
  <si>
    <t>Nom</t>
  </si>
  <si>
    <t>Sched</t>
  </si>
  <si>
    <t>Long/Short</t>
  </si>
  <si>
    <t>Border Avg +.03</t>
  </si>
  <si>
    <t>Border Avg+.02</t>
  </si>
  <si>
    <t>Border Avg +.0275</t>
  </si>
  <si>
    <t>OCC</t>
  </si>
  <si>
    <t>Duke</t>
  </si>
  <si>
    <t>SDG&amp;E</t>
  </si>
  <si>
    <t>JC Energy</t>
  </si>
  <si>
    <t>Tractebel</t>
  </si>
  <si>
    <t>Glendale</t>
  </si>
  <si>
    <t>Socal</t>
  </si>
  <si>
    <t>Net to 131490</t>
  </si>
  <si>
    <t>Sat</t>
  </si>
  <si>
    <t>Sun</t>
  </si>
  <si>
    <t>Mon</t>
  </si>
  <si>
    <t>Tues</t>
  </si>
  <si>
    <t>Wed</t>
  </si>
  <si>
    <t>Thu</t>
  </si>
  <si>
    <t>Fri</t>
  </si>
  <si>
    <t>SOCAL.SWGEU.GDP.DA</t>
  </si>
  <si>
    <t>318964/320533</t>
  </si>
  <si>
    <t>Reliant</t>
  </si>
  <si>
    <t>SoCal</t>
  </si>
  <si>
    <t>Needles</t>
  </si>
  <si>
    <t>TW/Top/CA Prod</t>
  </si>
  <si>
    <t>Top</t>
  </si>
  <si>
    <t>Border Avg +.04</t>
  </si>
  <si>
    <t>Border Avg +.025</t>
  </si>
  <si>
    <t>Border Avg +.0175</t>
  </si>
  <si>
    <t>Border Avg +.0225</t>
  </si>
  <si>
    <t>Southern</t>
  </si>
  <si>
    <t>77350/303938</t>
  </si>
  <si>
    <t>C09</t>
  </si>
  <si>
    <t>3rd Party</t>
  </si>
  <si>
    <t>F08</t>
  </si>
  <si>
    <t>3rd party/</t>
  </si>
  <si>
    <t>C219</t>
  </si>
  <si>
    <t>S18</t>
  </si>
  <si>
    <t>C01</t>
  </si>
  <si>
    <t>S07</t>
  </si>
  <si>
    <t>S19</t>
  </si>
  <si>
    <t>S88</t>
  </si>
  <si>
    <t>E57</t>
  </si>
  <si>
    <t>TOTAL</t>
  </si>
  <si>
    <t>Pasadena</t>
  </si>
  <si>
    <t>9KUB/9KUC</t>
  </si>
  <si>
    <t>Akzo/Filtrol</t>
  </si>
  <si>
    <t>Wheeler</t>
  </si>
  <si>
    <t>Filtrol</t>
  </si>
  <si>
    <t>CanFibre</t>
  </si>
  <si>
    <t>Smurfit</t>
  </si>
  <si>
    <t>9KUB</t>
  </si>
  <si>
    <t>Harbor Cogen</t>
  </si>
  <si>
    <t>Demand</t>
  </si>
  <si>
    <t>Top/Ehr</t>
  </si>
  <si>
    <t>50% Length</t>
  </si>
  <si>
    <t>Scheduled</t>
  </si>
  <si>
    <t>Imbalance</t>
  </si>
  <si>
    <t>TOP</t>
  </si>
  <si>
    <t>CA PROD</t>
  </si>
  <si>
    <t>07/07 K# 97YE</t>
  </si>
  <si>
    <t>07/06 P2702</t>
  </si>
  <si>
    <t>07/05 k# 97YG &amp; 97YW</t>
  </si>
  <si>
    <t>07/05 EPME 9LCG Coral Stg</t>
  </si>
  <si>
    <t>07/11 EPME 9LCG Coral Stg</t>
  </si>
  <si>
    <t>ACCESS DEMAND SPLIT</t>
  </si>
  <si>
    <t>El Paso</t>
  </si>
  <si>
    <t>Altrade/Sout</t>
  </si>
  <si>
    <t>Amoco</t>
  </si>
  <si>
    <t>Deal #:</t>
  </si>
  <si>
    <t>Stor/</t>
  </si>
  <si>
    <t>152174/322688</t>
  </si>
  <si>
    <t>319215/319163/319024/324308/324414</t>
  </si>
  <si>
    <t>Z99</t>
  </si>
  <si>
    <t>97YW</t>
  </si>
  <si>
    <t>9KZR</t>
  </si>
  <si>
    <t>97YH</t>
  </si>
  <si>
    <t>ACCESS</t>
  </si>
  <si>
    <t>Non-ECT</t>
  </si>
  <si>
    <t>Date</t>
  </si>
  <si>
    <t>EPNG</t>
  </si>
  <si>
    <t>9KUB/9L4W Top</t>
  </si>
  <si>
    <t>9KUC-Ehr</t>
  </si>
  <si>
    <t>KS0202DD/KRS</t>
  </si>
  <si>
    <t>8255/TW</t>
  </si>
  <si>
    <t>426J/Mojave</t>
  </si>
  <si>
    <t>26816/26884/27270 TW</t>
  </si>
  <si>
    <t>Stg</t>
  </si>
  <si>
    <t>DEMAND</t>
  </si>
  <si>
    <t>DIFFERENCE</t>
  </si>
  <si>
    <t>Socal Border Demand and Projections:</t>
  </si>
  <si>
    <t>MARKETS</t>
  </si>
  <si>
    <t>SUPPLIES</t>
  </si>
  <si>
    <t>EES BORDER DEMAND</t>
  </si>
  <si>
    <t>PHYSICAL STORAGE INJECTIONS</t>
  </si>
  <si>
    <t>NEGATIVE CARRYOVER</t>
  </si>
  <si>
    <t>TOLERANCE (10%)</t>
  </si>
  <si>
    <t>IMBALANCE SALES</t>
  </si>
  <si>
    <t>CUSTOMER DEMAND</t>
  </si>
  <si>
    <t>TOTAL BORDER DEMAND</t>
  </si>
  <si>
    <t xml:space="preserve">    STORAGE WITHDRAWAL</t>
  </si>
  <si>
    <t>POSITIVE CARRYOVER</t>
  </si>
  <si>
    <t xml:space="preserve">    EL PASO/TW    TO       SOCAL</t>
  </si>
  <si>
    <t>KERN, PG&amp;E, MOJAVE, &amp; T.W. TO BORDER</t>
  </si>
  <si>
    <t>IMBALANCE PURCHASES</t>
  </si>
  <si>
    <t>TOTAL BORDER SUPPLY</t>
  </si>
  <si>
    <t>ACTUALS THRU</t>
  </si>
  <si>
    <t>TOTAL     DAILY BALANCE LONG/(SHORT)</t>
  </si>
  <si>
    <t xml:space="preserve">MTD BALANCE LONG/(SHORT) </t>
  </si>
  <si>
    <t>DATE:</t>
  </si>
  <si>
    <t>Socal Imbalance Summary</t>
  </si>
  <si>
    <t>Monthly Projected</t>
  </si>
  <si>
    <t>Current Fow Date</t>
  </si>
  <si>
    <t>Month-to-Date</t>
  </si>
  <si>
    <t>Baseload Border Markets:</t>
  </si>
  <si>
    <t>Mkt. Positions</t>
  </si>
  <si>
    <t>Occidental Purchase Deal No. 107872</t>
  </si>
  <si>
    <t>Obligation Per Day:</t>
  </si>
  <si>
    <t>Total Monthly Obligation:</t>
  </si>
  <si>
    <t>Smurfit Stone Container</t>
  </si>
  <si>
    <t>Daily Obligation:</t>
  </si>
  <si>
    <t>Month-to-Date Obligation:</t>
  </si>
  <si>
    <t>City Of Glendale (Match Amoco)</t>
  </si>
  <si>
    <t>Daily Scheduled:</t>
  </si>
  <si>
    <t>Month-to-Date Scheduled:</t>
  </si>
  <si>
    <t>Daily Over/(Under):</t>
  </si>
  <si>
    <t>Month-to-Date Over/(Under):</t>
  </si>
  <si>
    <t>EOL Markets Baseload</t>
  </si>
  <si>
    <t>Total Baseload Mkts</t>
  </si>
  <si>
    <t>Non-EOL</t>
  </si>
  <si>
    <t>Swing Border Markets:</t>
  </si>
  <si>
    <t>EOL Markets Swing</t>
  </si>
  <si>
    <t>Total Swing Markets</t>
  </si>
  <si>
    <t>Total Markets</t>
  </si>
  <si>
    <t xml:space="preserve">     Plus:  EES Demand</t>
  </si>
  <si>
    <t xml:space="preserve">     Non-Core</t>
  </si>
  <si>
    <t>Firm Border Supplies:</t>
  </si>
  <si>
    <t>CA Hub (Also See Varying Deal Below)</t>
  </si>
  <si>
    <t>Coral (Match To City of Glendale)</t>
  </si>
  <si>
    <t>Vintage</t>
  </si>
  <si>
    <t>Weekdays Only</t>
  </si>
  <si>
    <t>EOL Supplies Baseload</t>
  </si>
  <si>
    <t>Total Baseload Supplies</t>
  </si>
  <si>
    <t>Swing Border Supplies:</t>
  </si>
  <si>
    <t>EOL Supplies Swing</t>
  </si>
  <si>
    <t>Total Swing Supplies</t>
  </si>
  <si>
    <t>Total Supplies</t>
  </si>
  <si>
    <t>Daily Position Break-out</t>
  </si>
  <si>
    <t>Beginning Balance</t>
  </si>
  <si>
    <t>Net Demand for Transport</t>
  </si>
  <si>
    <t>Baseload Supply --  Non-EOL</t>
  </si>
  <si>
    <t>Baseload Supply --  EOL</t>
  </si>
  <si>
    <t>EES</t>
  </si>
  <si>
    <t>Total Transport</t>
  </si>
  <si>
    <t>EOL Swing Supply</t>
  </si>
  <si>
    <t>Non-EOL Swing Supply</t>
  </si>
  <si>
    <t>Baseload Market -- Non-EOL</t>
  </si>
  <si>
    <t>Baseload Market -- EOL</t>
  </si>
  <si>
    <t>Non-EOL Swing Market</t>
  </si>
  <si>
    <t>EOL Swing Market</t>
  </si>
  <si>
    <t>California Prod.</t>
  </si>
  <si>
    <t>Oxy Call over 20,000</t>
  </si>
  <si>
    <t>Transport to EES</t>
  </si>
  <si>
    <t>Extra KRS</t>
  </si>
  <si>
    <t xml:space="preserve">     Plus:  Swing Supplies</t>
  </si>
  <si>
    <t>Extra EPNG</t>
  </si>
  <si>
    <t>Total to EES</t>
  </si>
  <si>
    <t>El Paso cuts</t>
  </si>
  <si>
    <t>TW Cuts</t>
  </si>
  <si>
    <t>Ending Balance</t>
  </si>
  <si>
    <t>Next Day --</t>
  </si>
  <si>
    <t>Total Daily Balance:</t>
  </si>
  <si>
    <t>Assumptions</t>
  </si>
  <si>
    <t>Our Transport</t>
  </si>
  <si>
    <t>Border Purchases</t>
  </si>
  <si>
    <t>Daily ECT Imbalance:</t>
  </si>
  <si>
    <t>Jul Beg. Position</t>
  </si>
  <si>
    <t>Daily EES Imbalance:</t>
  </si>
  <si>
    <t>Purchases</t>
  </si>
  <si>
    <t>Total ECT/EES Daily Imbalance:</t>
  </si>
  <si>
    <t>=</t>
  </si>
  <si>
    <t>Wheeler Ridge</t>
  </si>
  <si>
    <t>Month-to-Date Imbalance   ECT:</t>
  </si>
  <si>
    <t xml:space="preserve">     Topock - 98UY</t>
  </si>
  <si>
    <t>Month-to-Date Imbalance   EES:</t>
  </si>
  <si>
    <t>Total Month-to-Date Imbalance:</t>
  </si>
  <si>
    <t>ECT Imbalance Projected at Month-End:</t>
  </si>
  <si>
    <t>Kern-Must sell</t>
  </si>
  <si>
    <t>EES Imbalance Projected at Month-End:</t>
  </si>
  <si>
    <t>Total Imbalance Projected at Month-End:</t>
  </si>
  <si>
    <t xml:space="preserve">TW </t>
  </si>
  <si>
    <t>Available to Sell</t>
  </si>
  <si>
    <t xml:space="preserve">    Less Market short</t>
  </si>
  <si>
    <t>(assumes no OFO's on weekends)</t>
  </si>
  <si>
    <t xml:space="preserve">     Less Pasadena, Can Fibre,Filtrol, Harbor,Smurfit</t>
  </si>
  <si>
    <t>assumes</t>
  </si>
  <si>
    <t>to ECT over 07/01 - 07/31</t>
  </si>
  <si>
    <t xml:space="preserve">     Less EES</t>
  </si>
  <si>
    <t>to EES over 07/01 - 07/31</t>
  </si>
  <si>
    <t xml:space="preserve">     less  mid month basloads</t>
  </si>
  <si>
    <t>accounts for the Oxy Plan to fulfill the 620000 total obligation</t>
  </si>
  <si>
    <t>5 Day Balancing</t>
  </si>
  <si>
    <t>Non-Core</t>
  </si>
  <si>
    <t xml:space="preserve">Total </t>
  </si>
  <si>
    <t>5 Day</t>
  </si>
  <si>
    <t>Access</t>
  </si>
  <si>
    <t>Total 5</t>
  </si>
  <si>
    <t>Usage</t>
  </si>
  <si>
    <t>Balance</t>
  </si>
  <si>
    <t>50% Demand</t>
  </si>
  <si>
    <t>Day Balance</t>
  </si>
  <si>
    <t>Hub Deals</t>
  </si>
  <si>
    <t>Deal No.:</t>
  </si>
  <si>
    <t>Daily Lend Deal</t>
  </si>
  <si>
    <t>Daily Sched</t>
  </si>
  <si>
    <t>Variance</t>
  </si>
  <si>
    <t>Obligation</t>
  </si>
  <si>
    <t>Daily Park Deal</t>
  </si>
  <si>
    <t>Occidental</t>
  </si>
  <si>
    <t>Deal No.</t>
  </si>
  <si>
    <t>Obligated Take</t>
  </si>
  <si>
    <t>Per Day</t>
  </si>
  <si>
    <t>Smurfit Accounts</t>
  </si>
  <si>
    <t>Request</t>
  </si>
  <si>
    <t>MidMonth Base</t>
  </si>
  <si>
    <t>GDA</t>
  </si>
  <si>
    <t>USGT</t>
  </si>
  <si>
    <t>Astra</t>
  </si>
  <si>
    <t>CONAGRA</t>
  </si>
  <si>
    <t>BOOKOUT</t>
  </si>
  <si>
    <t>COOK</t>
  </si>
  <si>
    <t>PGE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</si>
</sst>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8" formatCode="_(* #,##0_);_(* \(#,##0\);_(* &quot;-&quot;??_);_(@_)"/>
    <numFmt numFmtId="173" formatCode="dd\-mmm\-yy"/>
    <numFmt numFmtId="174" formatCode="mmmm\-yy"/>
    <numFmt numFmtId="175" formatCode="0.0000"/>
    <numFmt numFmtId="176" formatCode="mmmm\-yyyy"/>
    <numFmt numFmtId="185" formatCode="&quot;$&quot;#,##0.000000"/>
  </numFmts>
  <fonts count="42" x14ac:knownFonts="1">
    <font>
      <sz val="10"/>
      <name val="Times New Roman"/>
    </font>
    <font>
      <sz val="10"/>
      <name val="Times New Roman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56"/>
      <name val="Arial"/>
      <family val="2"/>
    </font>
    <font>
      <b/>
      <sz val="10"/>
      <color indexed="16"/>
      <name val="Arial"/>
      <family val="2"/>
    </font>
    <font>
      <sz val="10"/>
      <color indexed="18"/>
      <name val="Arial"/>
      <family val="2"/>
    </font>
    <font>
      <sz val="10"/>
      <color indexed="12"/>
      <name val="Arial"/>
      <family val="2"/>
    </font>
    <font>
      <b/>
      <u/>
      <sz val="14"/>
      <color indexed="8"/>
      <name val="Arial"/>
      <family val="2"/>
    </font>
    <font>
      <b/>
      <u/>
      <sz val="24"/>
      <color indexed="8"/>
      <name val="Arial"/>
      <family val="2"/>
    </font>
    <font>
      <sz val="24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indexed="8"/>
      <name val="Arial"/>
      <family val="2"/>
    </font>
    <font>
      <b/>
      <sz val="7.5"/>
      <color indexed="8"/>
      <name val="Arial"/>
      <family val="2"/>
    </font>
    <font>
      <b/>
      <sz val="10"/>
      <color indexed="3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8"/>
      <name val="Arial"/>
      <family val="2"/>
    </font>
    <font>
      <i/>
      <sz val="11"/>
      <name val="Arial"/>
      <family val="2"/>
    </font>
    <font>
      <b/>
      <sz val="11"/>
      <color indexed="16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1"/>
      <color indexed="12"/>
      <name val="Arial"/>
      <family val="2"/>
    </font>
    <font>
      <b/>
      <sz val="11"/>
      <color indexed="14"/>
      <name val="Arial"/>
      <family val="2"/>
    </font>
    <font>
      <sz val="9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11"/>
      <color indexed="16"/>
      <name val="Arial"/>
      <family val="2"/>
    </font>
    <font>
      <b/>
      <sz val="11"/>
      <color indexed="8"/>
      <name val="Arial"/>
      <family val="2"/>
    </font>
    <font>
      <b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7">
    <xf numFmtId="0" fontId="0" fillId="0" borderId="0" xfId="0"/>
    <xf numFmtId="185" fontId="2" fillId="0" borderId="0" xfId="0" applyNumberFormat="1" applyFont="1" applyFill="1"/>
    <xf numFmtId="185" fontId="3" fillId="0" borderId="0" xfId="0" applyNumberFormat="1" applyFont="1" applyFill="1"/>
    <xf numFmtId="174" fontId="4" fillId="0" borderId="0" xfId="0" applyNumberFormat="1" applyFont="1" applyAlignment="1">
      <alignment horizontal="center"/>
    </xf>
    <xf numFmtId="185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1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8" fontId="5" fillId="0" borderId="0" xfId="1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38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left"/>
    </xf>
    <xf numFmtId="38" fontId="7" fillId="0" borderId="0" xfId="0" applyNumberFormat="1" applyFont="1" applyFill="1"/>
    <xf numFmtId="3" fontId="7" fillId="0" borderId="0" xfId="0" applyNumberFormat="1" applyFont="1" applyFill="1"/>
    <xf numFmtId="0" fontId="7" fillId="0" borderId="0" xfId="0" applyFont="1" applyFill="1"/>
    <xf numFmtId="0" fontId="2" fillId="0" borderId="4" xfId="0" applyFont="1" applyFill="1" applyBorder="1" applyAlignment="1">
      <alignment horizontal="center"/>
    </xf>
    <xf numFmtId="38" fontId="2" fillId="0" borderId="5" xfId="0" applyNumberFormat="1" applyFont="1" applyFill="1" applyBorder="1" applyAlignment="1">
      <alignment horizontal="center"/>
    </xf>
    <xf numFmtId="0" fontId="6" fillId="0" borderId="0" xfId="0" applyFont="1"/>
    <xf numFmtId="43" fontId="7" fillId="0" borderId="0" xfId="1" applyFont="1" applyFill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38" fontId="2" fillId="0" borderId="0" xfId="0" applyNumberFormat="1" applyFont="1" applyFill="1"/>
    <xf numFmtId="38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left"/>
    </xf>
    <xf numFmtId="1" fontId="7" fillId="0" borderId="0" xfId="0" applyNumberFormat="1" applyFont="1" applyFill="1" applyBorder="1"/>
    <xf numFmtId="38" fontId="2" fillId="0" borderId="0" xfId="0" applyNumberFormat="1" applyFont="1" applyFill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43" fontId="7" fillId="0" borderId="0" xfId="1" applyFont="1" applyFill="1"/>
    <xf numFmtId="185" fontId="2" fillId="0" borderId="0" xfId="0" applyNumberFormat="1" applyFont="1" applyFill="1" applyBorder="1" applyAlignment="1">
      <alignment horizontal="center"/>
    </xf>
    <xf numFmtId="174" fontId="2" fillId="0" borderId="0" xfId="0" applyNumberFormat="1" applyFont="1" applyFill="1" applyBorder="1" applyAlignment="1">
      <alignment horizontal="center"/>
    </xf>
    <xf numFmtId="185" fontId="7" fillId="0" borderId="0" xfId="0" applyNumberFormat="1" applyFont="1" applyFill="1" applyAlignment="1">
      <alignment horizontal="center"/>
    </xf>
    <xf numFmtId="185" fontId="2" fillId="2" borderId="0" xfId="0" applyNumberFormat="1" applyFont="1" applyFill="1"/>
    <xf numFmtId="185" fontId="7" fillId="2" borderId="0" xfId="0" applyNumberFormat="1" applyFont="1" applyFill="1" applyAlignment="1">
      <alignment horizontal="center"/>
    </xf>
    <xf numFmtId="185" fontId="7" fillId="0" borderId="0" xfId="0" applyNumberFormat="1" applyFont="1" applyFill="1" applyBorder="1" applyAlignment="1">
      <alignment horizontal="center"/>
    </xf>
    <xf numFmtId="185" fontId="7" fillId="0" borderId="7" xfId="0" applyNumberFormat="1" applyFont="1" applyFill="1" applyBorder="1" applyAlignment="1">
      <alignment horizontal="center"/>
    </xf>
    <xf numFmtId="185" fontId="7" fillId="0" borderId="0" xfId="0" applyNumberFormat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 applyFill="1"/>
    <xf numFmtId="0" fontId="5" fillId="2" borderId="0" xfId="1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2" borderId="0" xfId="1" applyNumberFormat="1" applyFont="1" applyFill="1" applyAlignment="1">
      <alignment horizontal="center"/>
    </xf>
    <xf numFmtId="43" fontId="2" fillId="2" borderId="3" xfId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0" borderId="3" xfId="0" applyNumberFormat="1" applyFont="1" applyFill="1" applyBorder="1"/>
    <xf numFmtId="0" fontId="2" fillId="0" borderId="3" xfId="0" applyNumberFormat="1" applyFont="1" applyFill="1" applyBorder="1"/>
    <xf numFmtId="49" fontId="2" fillId="0" borderId="3" xfId="0" applyNumberFormat="1" applyFont="1" applyFill="1" applyBorder="1"/>
    <xf numFmtId="0" fontId="2" fillId="0" borderId="3" xfId="0" applyFont="1" applyFill="1" applyBorder="1"/>
    <xf numFmtId="16" fontId="2" fillId="0" borderId="0" xfId="0" applyNumberFormat="1" applyFont="1" applyFill="1" applyBorder="1" applyAlignment="1">
      <alignment horizontal="center"/>
    </xf>
    <xf numFmtId="38" fontId="7" fillId="0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38" fontId="7" fillId="2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49" fontId="7" fillId="0" borderId="0" xfId="0" applyNumberFormat="1" applyFont="1" applyFill="1" applyBorder="1"/>
    <xf numFmtId="0" fontId="7" fillId="0" borderId="0" xfId="0" applyFont="1" applyFill="1" applyBorder="1"/>
    <xf numFmtId="38" fontId="7" fillId="0" borderId="0" xfId="0" applyNumberFormat="1" applyFont="1" applyFill="1" applyAlignment="1">
      <alignment horizontal="center"/>
    </xf>
    <xf numFmtId="1" fontId="7" fillId="0" borderId="0" xfId="0" applyNumberFormat="1" applyFont="1" applyFill="1"/>
    <xf numFmtId="0" fontId="7" fillId="0" borderId="0" xfId="0" applyNumberFormat="1" applyFont="1" applyFill="1"/>
    <xf numFmtId="49" fontId="7" fillId="0" borderId="0" xfId="0" applyNumberFormat="1" applyFont="1" applyFill="1"/>
    <xf numFmtId="14" fontId="2" fillId="0" borderId="8" xfId="0" applyNumberFormat="1" applyFont="1" applyFill="1" applyBorder="1" applyAlignment="1">
      <alignment horizontal="center"/>
    </xf>
    <xf numFmtId="14" fontId="7" fillId="0" borderId="0" xfId="0" applyNumberFormat="1" applyFont="1" applyFill="1" applyBorder="1"/>
    <xf numFmtId="38" fontId="2" fillId="0" borderId="4" xfId="0" applyNumberFormat="1" applyFont="1" applyFill="1" applyBorder="1" applyAlignment="1">
      <alignment horizontal="center"/>
    </xf>
    <xf numFmtId="38" fontId="2" fillId="2" borderId="5" xfId="0" applyNumberFormat="1" applyFont="1" applyFill="1" applyBorder="1" applyAlignment="1">
      <alignment horizontal="center"/>
    </xf>
    <xf numFmtId="38" fontId="2" fillId="0" borderId="9" xfId="0" applyNumberFormat="1" applyFont="1" applyFill="1" applyBorder="1" applyAlignment="1">
      <alignment horizontal="center"/>
    </xf>
    <xf numFmtId="38" fontId="2" fillId="0" borderId="10" xfId="0" applyNumberFormat="1" applyFont="1" applyFill="1" applyBorder="1" applyAlignment="1">
      <alignment horizontal="center"/>
    </xf>
    <xf numFmtId="1" fontId="2" fillId="0" borderId="5" xfId="0" applyNumberFormat="1" applyFont="1" applyFill="1" applyBorder="1"/>
    <xf numFmtId="0" fontId="2" fillId="0" borderId="5" xfId="0" applyNumberFormat="1" applyFont="1" applyFill="1" applyBorder="1"/>
    <xf numFmtId="49" fontId="2" fillId="0" borderId="5" xfId="0" applyNumberFormat="1" applyFont="1" applyFill="1" applyBorder="1"/>
    <xf numFmtId="0" fontId="2" fillId="0" borderId="5" xfId="0" applyFont="1" applyFill="1" applyBorder="1"/>
    <xf numFmtId="14" fontId="7" fillId="0" borderId="6" xfId="0" applyNumberFormat="1" applyFont="1" applyFill="1" applyBorder="1"/>
    <xf numFmtId="0" fontId="7" fillId="2" borderId="0" xfId="0" applyFont="1" applyFill="1"/>
    <xf numFmtId="1" fontId="7" fillId="2" borderId="6" xfId="0" applyNumberFormat="1" applyFont="1" applyFill="1" applyBorder="1" applyAlignment="1">
      <alignment horizontal="center"/>
    </xf>
    <xf numFmtId="1" fontId="7" fillId="0" borderId="11" xfId="0" applyNumberFormat="1" applyFont="1" applyFill="1" applyBorder="1" applyAlignment="1">
      <alignment horizontal="center"/>
    </xf>
    <xf numFmtId="1" fontId="7" fillId="0" borderId="6" xfId="0" applyNumberFormat="1" applyFont="1" applyFill="1" applyBorder="1"/>
    <xf numFmtId="0" fontId="7" fillId="0" borderId="6" xfId="0" applyNumberFormat="1" applyFont="1" applyFill="1" applyBorder="1"/>
    <xf numFmtId="49" fontId="7" fillId="0" borderId="6" xfId="0" applyNumberFormat="1" applyFont="1" applyFill="1" applyBorder="1"/>
    <xf numFmtId="0" fontId="7" fillId="0" borderId="6" xfId="0" applyFont="1" applyFill="1" applyBorder="1"/>
    <xf numFmtId="1" fontId="7" fillId="0" borderId="1" xfId="0" applyNumberFormat="1" applyFont="1" applyFill="1" applyBorder="1" applyAlignment="1">
      <alignment horizontal="center"/>
    </xf>
    <xf numFmtId="1" fontId="7" fillId="2" borderId="0" xfId="0" applyNumberFormat="1" applyFont="1" applyFill="1" applyBorder="1"/>
    <xf numFmtId="1" fontId="7" fillId="2" borderId="0" xfId="0" applyNumberFormat="1" applyFont="1" applyFill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0" fillId="2" borderId="0" xfId="0" applyFill="1"/>
    <xf numFmtId="14" fontId="7" fillId="0" borderId="12" xfId="0" applyNumberFormat="1" applyFont="1" applyFill="1" applyBorder="1"/>
    <xf numFmtId="185" fontId="2" fillId="0" borderId="7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38" fontId="7" fillId="0" borderId="7" xfId="0" applyNumberFormat="1" applyFont="1" applyFill="1" applyBorder="1" applyAlignment="1">
      <alignment horizontal="center"/>
    </xf>
    <xf numFmtId="185" fontId="2" fillId="0" borderId="0" xfId="0" applyNumberFormat="1" applyFont="1" applyFill="1" applyAlignment="1">
      <alignment horizontal="left"/>
    </xf>
    <xf numFmtId="1" fontId="9" fillId="0" borderId="0" xfId="0" applyNumberFormat="1" applyFont="1" applyFill="1" applyAlignment="1">
      <alignment horizontal="center"/>
    </xf>
    <xf numFmtId="185" fontId="2" fillId="2" borderId="0" xfId="0" applyNumberFormat="1" applyFont="1" applyFill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1" fontId="5" fillId="0" borderId="0" xfId="0" applyNumberFormat="1" applyFont="1" applyFill="1"/>
    <xf numFmtId="0" fontId="5" fillId="0" borderId="0" xfId="0" applyNumberFormat="1" applyFont="1" applyFill="1"/>
    <xf numFmtId="49" fontId="5" fillId="0" borderId="0" xfId="0" applyNumberFormat="1" applyFont="1" applyFill="1"/>
    <xf numFmtId="38" fontId="7" fillId="2" borderId="1" xfId="0" applyNumberFormat="1" applyFont="1" applyFill="1" applyBorder="1" applyAlignment="1">
      <alignment horizontal="center"/>
    </xf>
    <xf numFmtId="38" fontId="2" fillId="2" borderId="4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left"/>
    </xf>
    <xf numFmtId="176" fontId="3" fillId="0" borderId="0" xfId="0" applyNumberFormat="1" applyFont="1" applyAlignment="1">
      <alignment horizontal="center"/>
    </xf>
    <xf numFmtId="14" fontId="7" fillId="3" borderId="0" xfId="0" applyNumberFormat="1" applyFont="1" applyFill="1" applyBorder="1"/>
    <xf numFmtId="14" fontId="7" fillId="4" borderId="0" xfId="0" applyNumberFormat="1" applyFont="1" applyFill="1" applyBorder="1"/>
    <xf numFmtId="1" fontId="7" fillId="4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6" fillId="5" borderId="0" xfId="0" applyFont="1" applyFill="1"/>
    <xf numFmtId="1" fontId="7" fillId="6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" fontId="5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center"/>
    </xf>
    <xf numFmtId="38" fontId="7" fillId="3" borderId="0" xfId="0" applyNumberFormat="1" applyFont="1" applyFill="1" applyBorder="1" applyAlignment="1">
      <alignment horizontal="center"/>
    </xf>
    <xf numFmtId="38" fontId="7" fillId="4" borderId="0" xfId="0" applyNumberFormat="1" applyFont="1" applyFill="1" applyBorder="1" applyAlignment="1">
      <alignment horizontal="center"/>
    </xf>
    <xf numFmtId="38" fontId="7" fillId="4" borderId="1" xfId="0" applyNumberFormat="1" applyFont="1" applyFill="1" applyBorder="1" applyAlignment="1">
      <alignment horizontal="center"/>
    </xf>
    <xf numFmtId="38" fontId="10" fillId="3" borderId="0" xfId="0" applyNumberFormat="1" applyFont="1" applyFill="1" applyBorder="1" applyAlignment="1">
      <alignment horizontal="center"/>
    </xf>
    <xf numFmtId="38" fontId="7" fillId="3" borderId="1" xfId="0" applyNumberFormat="1" applyFont="1" applyFill="1" applyBorder="1" applyAlignment="1">
      <alignment horizontal="center"/>
    </xf>
    <xf numFmtId="38" fontId="7" fillId="5" borderId="0" xfId="0" applyNumberFormat="1" applyFont="1" applyFill="1" applyBorder="1"/>
    <xf numFmtId="38" fontId="11" fillId="6" borderId="0" xfId="0" applyNumberFormat="1" applyFont="1" applyFill="1" applyBorder="1" applyAlignment="1">
      <alignment horizontal="center"/>
    </xf>
    <xf numFmtId="38" fontId="7" fillId="6" borderId="0" xfId="0" applyNumberFormat="1" applyFont="1" applyFill="1" applyBorder="1" applyAlignment="1">
      <alignment horizontal="center"/>
    </xf>
    <xf numFmtId="38" fontId="7" fillId="6" borderId="1" xfId="0" applyNumberFormat="1" applyFont="1" applyFill="1" applyBorder="1" applyAlignment="1">
      <alignment horizontal="center"/>
    </xf>
    <xf numFmtId="38" fontId="11" fillId="0" borderId="0" xfId="0" applyNumberFormat="1" applyFont="1" applyFill="1" applyBorder="1" applyAlignment="1">
      <alignment horizontal="center"/>
    </xf>
    <xf numFmtId="38" fontId="7" fillId="0" borderId="0" xfId="0" applyNumberFormat="1" applyFont="1" applyFill="1" applyBorder="1"/>
    <xf numFmtId="38" fontId="10" fillId="6" borderId="0" xfId="0" applyNumberFormat="1" applyFont="1" applyFill="1" applyBorder="1" applyAlignment="1">
      <alignment horizontal="center"/>
    </xf>
    <xf numFmtId="38" fontId="2" fillId="3" borderId="5" xfId="0" applyNumberFormat="1" applyFont="1" applyFill="1" applyBorder="1" applyAlignment="1">
      <alignment horizontal="center"/>
    </xf>
    <xf numFmtId="38" fontId="2" fillId="4" borderId="5" xfId="0" applyNumberFormat="1" applyFont="1" applyFill="1" applyBorder="1" applyAlignment="1">
      <alignment horizontal="center"/>
    </xf>
    <xf numFmtId="38" fontId="2" fillId="3" borderId="4" xfId="0" applyNumberFormat="1" applyFont="1" applyFill="1" applyBorder="1" applyAlignment="1">
      <alignment horizontal="center"/>
    </xf>
    <xf numFmtId="0" fontId="2" fillId="5" borderId="5" xfId="0" applyFont="1" applyFill="1" applyBorder="1"/>
    <xf numFmtId="38" fontId="2" fillId="6" borderId="5" xfId="0" applyNumberFormat="1" applyFont="1" applyFill="1" applyBorder="1" applyAlignment="1">
      <alignment horizontal="center"/>
    </xf>
    <xf numFmtId="38" fontId="2" fillId="6" borderId="4" xfId="0" applyNumberFormat="1" applyFont="1" applyFill="1" applyBorder="1" applyAlignment="1">
      <alignment horizontal="center"/>
    </xf>
    <xf numFmtId="14" fontId="2" fillId="0" borderId="6" xfId="0" applyNumberFormat="1" applyFont="1" applyFill="1" applyBorder="1"/>
    <xf numFmtId="14" fontId="7" fillId="3" borderId="6" xfId="0" applyNumberFormat="1" applyFont="1" applyFill="1" applyBorder="1"/>
    <xf numFmtId="14" fontId="7" fillId="4" borderId="6" xfId="0" applyNumberFormat="1" applyFont="1" applyFill="1" applyBorder="1"/>
    <xf numFmtId="1" fontId="7" fillId="4" borderId="6" xfId="0" applyNumberFormat="1" applyFont="1" applyFill="1" applyBorder="1" applyAlignment="1">
      <alignment horizontal="center"/>
    </xf>
    <xf numFmtId="1" fontId="7" fillId="3" borderId="6" xfId="0" applyNumberFormat="1" applyFont="1" applyFill="1" applyBorder="1" applyAlignment="1">
      <alignment horizontal="center"/>
    </xf>
    <xf numFmtId="1" fontId="2" fillId="3" borderId="0" xfId="0" applyNumberFormat="1" applyFont="1" applyFill="1" applyAlignment="1">
      <alignment horizontal="left"/>
    </xf>
    <xf numFmtId="0" fontId="7" fillId="5" borderId="6" xfId="0" applyFont="1" applyFill="1" applyBorder="1"/>
    <xf numFmtId="1" fontId="7" fillId="6" borderId="6" xfId="0" applyNumberFormat="1" applyFont="1" applyFill="1" applyBorder="1" applyAlignment="1">
      <alignment horizontal="center"/>
    </xf>
    <xf numFmtId="1" fontId="2" fillId="6" borderId="0" xfId="0" applyNumberFormat="1" applyFont="1" applyFill="1" applyAlignment="1">
      <alignment horizontal="left"/>
    </xf>
    <xf numFmtId="175" fontId="7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2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2" fillId="0" borderId="0" xfId="0" applyFont="1"/>
    <xf numFmtId="38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43" fontId="2" fillId="0" borderId="3" xfId="1" applyFont="1" applyFill="1" applyBorder="1" applyAlignment="1">
      <alignment horizontal="left"/>
    </xf>
    <xf numFmtId="0" fontId="2" fillId="0" borderId="3" xfId="0" applyFont="1" applyBorder="1"/>
    <xf numFmtId="0" fontId="2" fillId="0" borderId="0" xfId="0" applyFont="1" applyBorder="1"/>
    <xf numFmtId="16" fontId="2" fillId="0" borderId="0" xfId="0" applyNumberFormat="1" applyFont="1"/>
    <xf numFmtId="38" fontId="7" fillId="0" borderId="1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7" fillId="3" borderId="0" xfId="0" applyNumberFormat="1" applyFont="1" applyFill="1" applyBorder="1"/>
    <xf numFmtId="37" fontId="7" fillId="0" borderId="0" xfId="0" applyNumberFormat="1" applyFont="1" applyAlignment="1">
      <alignment horizontal="center"/>
    </xf>
    <xf numFmtId="37" fontId="7" fillId="0" borderId="0" xfId="0" applyNumberFormat="1" applyFont="1"/>
    <xf numFmtId="0" fontId="7" fillId="0" borderId="0" xfId="0" applyFont="1" applyBorder="1"/>
    <xf numFmtId="38" fontId="7" fillId="0" borderId="0" xfId="0" applyNumberFormat="1" applyFont="1" applyBorder="1"/>
    <xf numFmtId="3" fontId="7" fillId="0" borderId="0" xfId="0" applyNumberFormat="1" applyFont="1" applyBorder="1"/>
    <xf numFmtId="0" fontId="7" fillId="0" borderId="0" xfId="0" applyFont="1"/>
    <xf numFmtId="3" fontId="7" fillId="0" borderId="0" xfId="0" applyNumberFormat="1" applyFont="1"/>
    <xf numFmtId="16" fontId="2" fillId="0" borderId="0" xfId="0" applyNumberFormat="1" applyFont="1" applyFill="1"/>
    <xf numFmtId="37" fontId="7" fillId="0" borderId="0" xfId="0" applyNumberFormat="1" applyFont="1" applyFill="1" applyAlignment="1">
      <alignment horizontal="center"/>
    </xf>
    <xf numFmtId="37" fontId="7" fillId="0" borderId="0" xfId="0" applyNumberFormat="1" applyFont="1" applyFill="1"/>
    <xf numFmtId="3" fontId="7" fillId="0" borderId="0" xfId="0" applyNumberFormat="1" applyFont="1" applyFill="1" applyBorder="1"/>
    <xf numFmtId="38" fontId="2" fillId="0" borderId="5" xfId="0" applyNumberFormat="1" applyFont="1" applyBorder="1" applyAlignment="1">
      <alignment horizontal="centerContinuous"/>
    </xf>
    <xf numFmtId="38" fontId="2" fillId="0" borderId="4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0" xfId="0" applyNumberFormat="1" applyFont="1" applyBorder="1"/>
    <xf numFmtId="38" fontId="2" fillId="0" borderId="5" xfId="0" applyNumberFormat="1" applyFont="1" applyBorder="1"/>
    <xf numFmtId="0" fontId="7" fillId="0" borderId="0" xfId="0" applyFont="1" applyAlignment="1">
      <alignment horizontal="center"/>
    </xf>
    <xf numFmtId="37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3" fillId="5" borderId="0" xfId="0" applyFont="1" applyFill="1" applyAlignment="1"/>
    <xf numFmtId="0" fontId="14" fillId="0" borderId="0" xfId="0" applyFont="1" applyAlignment="1"/>
    <xf numFmtId="3" fontId="14" fillId="5" borderId="0" xfId="0" applyNumberFormat="1" applyFont="1" applyFill="1" applyAlignment="1"/>
    <xf numFmtId="0" fontId="14" fillId="5" borderId="0" xfId="0" applyFont="1" applyFill="1" applyAlignment="1"/>
    <xf numFmtId="0" fontId="7" fillId="0" borderId="0" xfId="0" applyFont="1" applyFill="1" applyBorder="1" applyAlignment="1"/>
    <xf numFmtId="3" fontId="15" fillId="5" borderId="0" xfId="0" applyNumberFormat="1" applyFont="1" applyFill="1" applyAlignment="1"/>
    <xf numFmtId="0" fontId="15" fillId="5" borderId="0" xfId="0" applyFont="1" applyFill="1" applyBorder="1" applyAlignment="1"/>
    <xf numFmtId="37" fontId="16" fillId="5" borderId="0" xfId="0" applyNumberFormat="1" applyFont="1" applyFill="1" applyBorder="1" applyAlignment="1"/>
    <xf numFmtId="37" fontId="15" fillId="5" borderId="0" xfId="0" applyNumberFormat="1" applyFont="1" applyFill="1" applyAlignment="1"/>
    <xf numFmtId="38" fontId="15" fillId="5" borderId="0" xfId="0" applyNumberFormat="1" applyFont="1" applyFill="1" applyAlignment="1"/>
    <xf numFmtId="37" fontId="14" fillId="5" borderId="0" xfId="0" applyNumberFormat="1" applyFont="1" applyFill="1" applyAlignment="1"/>
    <xf numFmtId="22" fontId="17" fillId="5" borderId="0" xfId="0" applyNumberFormat="1" applyFont="1" applyFill="1" applyAlignment="1"/>
    <xf numFmtId="0" fontId="17" fillId="5" borderId="0" xfId="0" applyFont="1" applyFill="1" applyAlignment="1"/>
    <xf numFmtId="0" fontId="18" fillId="5" borderId="0" xfId="0" applyFont="1" applyFill="1" applyAlignment="1"/>
    <xf numFmtId="3" fontId="18" fillId="5" borderId="0" xfId="0" applyNumberFormat="1" applyFont="1" applyFill="1" applyAlignment="1"/>
    <xf numFmtId="0" fontId="18" fillId="5" borderId="0" xfId="0" applyFont="1" applyFill="1" applyBorder="1" applyAlignment="1"/>
    <xf numFmtId="0" fontId="17" fillId="0" borderId="0" xfId="0" applyFont="1" applyFill="1" applyBorder="1" applyAlignment="1"/>
    <xf numFmtId="0" fontId="18" fillId="0" borderId="0" xfId="0" applyFont="1" applyAlignment="1"/>
    <xf numFmtId="0" fontId="19" fillId="5" borderId="0" xfId="0" applyFont="1" applyFill="1" applyAlignment="1"/>
    <xf numFmtId="37" fontId="18" fillId="5" borderId="0" xfId="0" applyNumberFormat="1" applyFont="1" applyFill="1" applyAlignment="1"/>
    <xf numFmtId="37" fontId="17" fillId="5" borderId="0" xfId="0" applyNumberFormat="1" applyFont="1" applyFill="1" applyBorder="1" applyAlignment="1"/>
    <xf numFmtId="0" fontId="17" fillId="0" borderId="14" xfId="0" applyFont="1" applyBorder="1" applyAlignment="1">
      <alignment horizontal="center" wrapText="1"/>
    </xf>
    <xf numFmtId="3" fontId="17" fillId="0" borderId="14" xfId="0" applyNumberFormat="1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8" fillId="5" borderId="0" xfId="0" applyFont="1" applyFill="1" applyBorder="1" applyAlignment="1">
      <alignment horizontal="center" wrapText="1"/>
    </xf>
    <xf numFmtId="37" fontId="17" fillId="0" borderId="14" xfId="0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" fontId="2" fillId="0" borderId="0" xfId="0" applyNumberFormat="1" applyFont="1" applyAlignment="1">
      <alignment horizontal="center"/>
    </xf>
    <xf numFmtId="38" fontId="7" fillId="0" borderId="15" xfId="0" applyNumberFormat="1" applyFont="1" applyBorder="1"/>
    <xf numFmtId="0" fontId="7" fillId="0" borderId="15" xfId="1" applyNumberFormat="1" applyFont="1" applyBorder="1"/>
    <xf numFmtId="3" fontId="7" fillId="0" borderId="15" xfId="0" applyNumberFormat="1" applyFont="1" applyBorder="1"/>
    <xf numFmtId="38" fontId="7" fillId="0" borderId="12" xfId="0" applyNumberFormat="1" applyFont="1" applyBorder="1"/>
    <xf numFmtId="38" fontId="7" fillId="0" borderId="15" xfId="0" applyNumberFormat="1" applyFont="1" applyFill="1" applyBorder="1"/>
    <xf numFmtId="16" fontId="21" fillId="0" borderId="14" xfId="0" applyNumberFormat="1" applyFont="1" applyFill="1" applyBorder="1" applyAlignment="1">
      <alignment horizontal="center"/>
    </xf>
    <xf numFmtId="38" fontId="7" fillId="0" borderId="14" xfId="0" applyNumberFormat="1" applyFont="1" applyBorder="1"/>
    <xf numFmtId="16" fontId="21" fillId="0" borderId="16" xfId="0" applyNumberFormat="1" applyFont="1" applyBorder="1"/>
    <xf numFmtId="38" fontId="7" fillId="0" borderId="0" xfId="0" applyNumberFormat="1" applyFont="1"/>
    <xf numFmtId="38" fontId="7" fillId="0" borderId="14" xfId="0" applyNumberFormat="1" applyFont="1" applyFill="1" applyBorder="1"/>
    <xf numFmtId="3" fontId="7" fillId="5" borderId="15" xfId="0" applyNumberFormat="1" applyFont="1" applyFill="1" applyBorder="1"/>
    <xf numFmtId="16" fontId="2" fillId="0" borderId="17" xfId="0" applyNumberFormat="1" applyFont="1" applyBorder="1" applyAlignment="1">
      <alignment horizontal="center"/>
    </xf>
    <xf numFmtId="38" fontId="2" fillId="0" borderId="18" xfId="0" applyNumberFormat="1" applyFont="1" applyBorder="1"/>
    <xf numFmtId="38" fontId="2" fillId="0" borderId="19" xfId="0" applyNumberFormat="1" applyFont="1" applyBorder="1"/>
    <xf numFmtId="3" fontId="2" fillId="0" borderId="19" xfId="0" applyNumberFormat="1" applyFont="1" applyBorder="1"/>
    <xf numFmtId="38" fontId="2" fillId="0" borderId="20" xfId="0" applyNumberFormat="1" applyFont="1" applyBorder="1"/>
    <xf numFmtId="38" fontId="2" fillId="0" borderId="21" xfId="0" applyNumberFormat="1" applyFont="1" applyBorder="1"/>
    <xf numFmtId="3" fontId="2" fillId="0" borderId="18" xfId="0" applyNumberFormat="1" applyFont="1" applyBorder="1"/>
    <xf numFmtId="3" fontId="2" fillId="0" borderId="20" xfId="0" applyNumberFormat="1" applyFont="1" applyBorder="1" applyAlignment="1">
      <alignment horizontal="center"/>
    </xf>
    <xf numFmtId="38" fontId="2" fillId="0" borderId="14" xfId="0" applyNumberFormat="1" applyFont="1" applyBorder="1"/>
    <xf numFmtId="38" fontId="7" fillId="0" borderId="1" xfId="0" applyNumberFormat="1" applyFont="1" applyBorder="1"/>
    <xf numFmtId="3" fontId="7" fillId="0" borderId="0" xfId="0" applyNumberFormat="1" applyFont="1" applyAlignment="1">
      <alignment horizontal="right"/>
    </xf>
    <xf numFmtId="38" fontId="7" fillId="0" borderId="7" xfId="0" applyNumberFormat="1" applyFont="1" applyBorder="1"/>
    <xf numFmtId="3" fontId="7" fillId="0" borderId="0" xfId="0" applyNumberFormat="1" applyFont="1" applyAlignment="1">
      <alignment horizontal="center"/>
    </xf>
    <xf numFmtId="0" fontId="7" fillId="0" borderId="1" xfId="0" applyFont="1" applyBorder="1"/>
    <xf numFmtId="0" fontId="7" fillId="5" borderId="0" xfId="0" applyFont="1" applyFill="1" applyBorder="1"/>
    <xf numFmtId="37" fontId="7" fillId="0" borderId="7" xfId="0" applyNumberFormat="1" applyFont="1" applyBorder="1"/>
    <xf numFmtId="37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Continuous"/>
    </xf>
    <xf numFmtId="37" fontId="23" fillId="0" borderId="0" xfId="0" applyNumberFormat="1" applyFont="1" applyAlignment="1">
      <alignment horizontal="left"/>
    </xf>
    <xf numFmtId="37" fontId="23" fillId="0" borderId="0" xfId="0" applyNumberFormat="1" applyFont="1" applyFill="1" applyAlignment="1">
      <alignment horizontal="left"/>
    </xf>
    <xf numFmtId="37" fontId="24" fillId="0" borderId="0" xfId="0" applyNumberFormat="1" applyFont="1"/>
    <xf numFmtId="37" fontId="23" fillId="0" borderId="0" xfId="0" applyNumberFormat="1" applyFont="1"/>
    <xf numFmtId="37" fontId="24" fillId="0" borderId="0" xfId="0" applyNumberFormat="1" applyFont="1" applyAlignment="1">
      <alignment horizontal="left"/>
    </xf>
    <xf numFmtId="37" fontId="24" fillId="0" borderId="0" xfId="0" applyNumberFormat="1" applyFont="1" applyAlignment="1">
      <alignment horizontal="center"/>
    </xf>
    <xf numFmtId="15" fontId="24" fillId="0" borderId="0" xfId="0" applyNumberFormat="1" applyFont="1" applyAlignment="1">
      <alignment horizontal="centerContinuous"/>
    </xf>
    <xf numFmtId="37" fontId="23" fillId="0" borderId="0" xfId="0" applyNumberFormat="1" applyFont="1" applyAlignment="1">
      <alignment horizontal="centerContinuous"/>
    </xf>
    <xf numFmtId="38" fontId="23" fillId="0" borderId="0" xfId="0" applyNumberFormat="1" applyFont="1"/>
    <xf numFmtId="0" fontId="23" fillId="0" borderId="0" xfId="0" applyFont="1"/>
    <xf numFmtId="37" fontId="24" fillId="0" borderId="0" xfId="0" applyNumberFormat="1" applyFont="1" applyBorder="1" applyAlignment="1">
      <alignment horizontal="left"/>
    </xf>
    <xf numFmtId="0" fontId="24" fillId="0" borderId="0" xfId="0" applyFont="1" applyAlignment="1">
      <alignment horizontal="center"/>
    </xf>
    <xf numFmtId="37" fontId="24" fillId="0" borderId="0" xfId="0" applyNumberFormat="1" applyFont="1" applyBorder="1" applyAlignment="1">
      <alignment horizontal="center"/>
    </xf>
    <xf numFmtId="37" fontId="25" fillId="0" borderId="0" xfId="0" applyNumberFormat="1" applyFont="1" applyAlignment="1">
      <alignment horizontal="left"/>
    </xf>
    <xf numFmtId="37" fontId="23" fillId="0" borderId="0" xfId="0" applyNumberFormat="1" applyFont="1" applyAlignment="1">
      <alignment horizontal="center"/>
    </xf>
    <xf numFmtId="37" fontId="24" fillId="0" borderId="22" xfId="0" applyNumberFormat="1" applyFont="1" applyBorder="1" applyAlignment="1">
      <alignment horizontal="center"/>
    </xf>
    <xf numFmtId="38" fontId="23" fillId="0" borderId="0" xfId="0" applyNumberFormat="1" applyFont="1" applyBorder="1" applyAlignment="1">
      <alignment horizontal="center"/>
    </xf>
    <xf numFmtId="0" fontId="24" fillId="7" borderId="0" xfId="0" applyNumberFormat="1" applyFont="1" applyFill="1" applyAlignment="1">
      <alignment horizontal="left"/>
    </xf>
    <xf numFmtId="37" fontId="23" fillId="7" borderId="0" xfId="0" applyNumberFormat="1" applyFont="1" applyFill="1"/>
    <xf numFmtId="37" fontId="26" fillId="0" borderId="0" xfId="0" applyNumberFormat="1" applyFont="1" applyAlignment="1">
      <alignment horizontal="left"/>
    </xf>
    <xf numFmtId="38" fontId="23" fillId="7" borderId="0" xfId="0" applyNumberFormat="1" applyFont="1" applyFill="1" applyBorder="1" applyAlignment="1">
      <alignment horizontal="center"/>
    </xf>
    <xf numFmtId="15" fontId="23" fillId="7" borderId="0" xfId="0" applyNumberFormat="1" applyFont="1" applyFill="1" applyAlignment="1">
      <alignment horizontal="center"/>
    </xf>
    <xf numFmtId="1" fontId="24" fillId="7" borderId="0" xfId="0" applyNumberFormat="1" applyFont="1" applyFill="1" applyAlignment="1">
      <alignment horizontal="left"/>
    </xf>
    <xf numFmtId="38" fontId="23" fillId="8" borderId="0" xfId="0" applyNumberFormat="1" applyFont="1" applyFill="1"/>
    <xf numFmtId="0" fontId="23" fillId="8" borderId="0" xfId="0" applyFont="1" applyFill="1"/>
    <xf numFmtId="0" fontId="24" fillId="8" borderId="0" xfId="0" applyFont="1" applyFill="1" applyAlignment="1">
      <alignment horizontal="right"/>
    </xf>
    <xf numFmtId="3" fontId="23" fillId="8" borderId="0" xfId="0" applyNumberFormat="1" applyFont="1" applyFill="1" applyAlignment="1">
      <alignment horizontal="center"/>
    </xf>
    <xf numFmtId="0" fontId="24" fillId="8" borderId="0" xfId="0" applyFont="1" applyFill="1" applyAlignment="1">
      <alignment horizontal="center"/>
    </xf>
    <xf numFmtId="37" fontId="23" fillId="7" borderId="0" xfId="0" applyNumberFormat="1" applyFont="1" applyFill="1" applyAlignment="1">
      <alignment horizontal="center"/>
    </xf>
    <xf numFmtId="38" fontId="23" fillId="7" borderId="0" xfId="0" applyNumberFormat="1" applyFont="1" applyFill="1" applyAlignment="1">
      <alignment horizontal="center"/>
    </xf>
    <xf numFmtId="38" fontId="23" fillId="0" borderId="0" xfId="0" applyNumberFormat="1" applyFont="1" applyAlignment="1">
      <alignment horizontal="center"/>
    </xf>
    <xf numFmtId="37" fontId="23" fillId="8" borderId="0" xfId="0" applyNumberFormat="1" applyFont="1" applyFill="1"/>
    <xf numFmtId="37" fontId="24" fillId="8" borderId="0" xfId="0" applyNumberFormat="1" applyFont="1" applyFill="1"/>
    <xf numFmtId="37" fontId="24" fillId="8" borderId="0" xfId="0" applyNumberFormat="1" applyFont="1" applyFill="1" applyAlignment="1">
      <alignment horizontal="right"/>
    </xf>
    <xf numFmtId="37" fontId="23" fillId="8" borderId="0" xfId="0" applyNumberFormat="1" applyFont="1" applyFill="1" applyAlignment="1">
      <alignment horizontal="center"/>
    </xf>
    <xf numFmtId="38" fontId="23" fillId="8" borderId="0" xfId="0" applyNumberFormat="1" applyFont="1" applyFill="1" applyBorder="1" applyAlignment="1">
      <alignment horizontal="center"/>
    </xf>
    <xf numFmtId="38" fontId="23" fillId="0" borderId="0" xfId="0" applyNumberFormat="1" applyFont="1" applyFill="1" applyBorder="1" applyAlignment="1">
      <alignment horizontal="right"/>
    </xf>
    <xf numFmtId="1" fontId="28" fillId="0" borderId="0" xfId="0" applyNumberFormat="1" applyFont="1" applyAlignment="1">
      <alignment horizontal="left"/>
    </xf>
    <xf numFmtId="38" fontId="23" fillId="8" borderId="23" xfId="0" applyNumberFormat="1" applyFont="1" applyFill="1" applyBorder="1" applyAlignment="1">
      <alignment horizontal="center"/>
    </xf>
    <xf numFmtId="3" fontId="24" fillId="8" borderId="0" xfId="0" applyNumberFormat="1" applyFont="1" applyFill="1" applyAlignment="1">
      <alignment horizontal="right"/>
    </xf>
    <xf numFmtId="0" fontId="29" fillId="8" borderId="0" xfId="0" applyFont="1" applyFill="1" applyAlignment="1">
      <alignment horizontal="right"/>
    </xf>
    <xf numFmtId="38" fontId="23" fillId="7" borderId="0" xfId="0" applyNumberFormat="1" applyFont="1" applyFill="1" applyBorder="1" applyAlignment="1">
      <alignment horizontal="right"/>
    </xf>
    <xf numFmtId="43" fontId="29" fillId="8" borderId="0" xfId="0" applyNumberFormat="1" applyFont="1" applyFill="1" applyAlignment="1">
      <alignment horizontal="right"/>
    </xf>
    <xf numFmtId="0" fontId="24" fillId="0" borderId="0" xfId="0" applyNumberFormat="1" applyFont="1" applyAlignment="1">
      <alignment horizontal="left"/>
    </xf>
    <xf numFmtId="37" fontId="23" fillId="0" borderId="23" xfId="0" applyNumberFormat="1" applyFont="1" applyBorder="1"/>
    <xf numFmtId="37" fontId="30" fillId="0" borderId="0" xfId="0" applyNumberFormat="1" applyFont="1"/>
    <xf numFmtId="38" fontId="23" fillId="0" borderId="24" xfId="0" applyNumberFormat="1" applyFont="1" applyBorder="1" applyAlignment="1">
      <alignment horizontal="right"/>
    </xf>
    <xf numFmtId="0" fontId="25" fillId="0" borderId="0" xfId="0" applyFont="1" applyAlignment="1">
      <alignment horizontal="left"/>
    </xf>
    <xf numFmtId="37" fontId="23" fillId="0" borderId="0" xfId="0" applyNumberFormat="1" applyFont="1" applyFill="1"/>
    <xf numFmtId="0" fontId="24" fillId="0" borderId="0" xfId="0" applyFont="1" applyAlignment="1">
      <alignment horizontal="left"/>
    </xf>
    <xf numFmtId="0" fontId="30" fillId="0" borderId="0" xfId="0" applyFont="1"/>
    <xf numFmtId="38" fontId="23" fillId="0" borderId="3" xfId="0" applyNumberFormat="1" applyFont="1" applyBorder="1" applyAlignment="1">
      <alignment horizontal="center"/>
    </xf>
    <xf numFmtId="37" fontId="31" fillId="0" borderId="25" xfId="0" applyNumberFormat="1" applyFont="1" applyBorder="1"/>
    <xf numFmtId="0" fontId="23" fillId="0" borderId="3" xfId="0" applyFont="1" applyBorder="1" applyAlignment="1">
      <alignment horizontal="center"/>
    </xf>
    <xf numFmtId="38" fontId="23" fillId="0" borderId="0" xfId="0" applyNumberFormat="1" applyFont="1" applyAlignment="1">
      <alignment horizontal="centerContinuous"/>
    </xf>
    <xf numFmtId="38" fontId="23" fillId="0" borderId="0" xfId="0" applyNumberFormat="1" applyFont="1" applyFill="1"/>
    <xf numFmtId="37" fontId="31" fillId="0" borderId="0" xfId="0" applyNumberFormat="1" applyFont="1"/>
    <xf numFmtId="38" fontId="23" fillId="0" borderId="0" xfId="0" applyNumberFormat="1" applyFont="1" applyAlignment="1">
      <alignment horizontal="right"/>
    </xf>
    <xf numFmtId="37" fontId="30" fillId="0" borderId="0" xfId="0" applyNumberFormat="1" applyFont="1" applyBorder="1"/>
    <xf numFmtId="37" fontId="30" fillId="0" borderId="3" xfId="0" applyNumberFormat="1" applyFont="1" applyBorder="1"/>
    <xf numFmtId="1" fontId="29" fillId="8" borderId="0" xfId="0" applyNumberFormat="1" applyFont="1" applyFill="1" applyAlignment="1">
      <alignment horizontal="right"/>
    </xf>
    <xf numFmtId="37" fontId="30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center"/>
    </xf>
    <xf numFmtId="37" fontId="32" fillId="0" borderId="0" xfId="0" applyNumberFormat="1" applyFont="1" applyAlignment="1">
      <alignment horizontal="left"/>
    </xf>
    <xf numFmtId="37" fontId="32" fillId="0" borderId="0" xfId="0" applyNumberFormat="1" applyFont="1"/>
    <xf numFmtId="37" fontId="24" fillId="0" borderId="0" xfId="0" applyNumberFormat="1" applyFont="1" applyAlignment="1">
      <alignment horizontal="left" wrapText="1"/>
    </xf>
    <xf numFmtId="38" fontId="33" fillId="0" borderId="0" xfId="0" applyNumberFormat="1" applyFont="1" applyBorder="1" applyAlignment="1">
      <alignment horizontal="center"/>
    </xf>
    <xf numFmtId="37" fontId="34" fillId="0" borderId="0" xfId="0" applyNumberFormat="1" applyFont="1" applyAlignment="1">
      <alignment horizontal="left"/>
    </xf>
    <xf numFmtId="38" fontId="35" fillId="0" borderId="0" xfId="0" applyNumberFormat="1" applyFont="1" applyBorder="1" applyAlignment="1">
      <alignment horizontal="right"/>
    </xf>
    <xf numFmtId="0" fontId="29" fillId="8" borderId="0" xfId="0" applyFont="1" applyFill="1" applyAlignment="1">
      <alignment horizontal="left"/>
    </xf>
    <xf numFmtId="37" fontId="27" fillId="0" borderId="0" xfId="0" applyNumberFormat="1" applyFont="1" applyAlignment="1">
      <alignment horizontal="left"/>
    </xf>
    <xf numFmtId="37" fontId="36" fillId="0" borderId="0" xfId="0" applyNumberFormat="1" applyFont="1"/>
    <xf numFmtId="37" fontId="23" fillId="0" borderId="0" xfId="0" applyNumberFormat="1" applyFont="1" applyBorder="1"/>
    <xf numFmtId="37" fontId="23" fillId="0" borderId="26" xfId="0" applyNumberFormat="1" applyFont="1" applyBorder="1" applyAlignment="1">
      <alignment horizontal="right"/>
    </xf>
    <xf numFmtId="38" fontId="35" fillId="0" borderId="0" xfId="0" applyNumberFormat="1" applyFont="1" applyAlignment="1">
      <alignment horizontal="center"/>
    </xf>
    <xf numFmtId="0" fontId="24" fillId="8" borderId="0" xfId="0" applyFont="1" applyFill="1" applyAlignment="1">
      <alignment horizontal="centerContinuous"/>
    </xf>
    <xf numFmtId="38" fontId="24" fillId="8" borderId="0" xfId="0" quotePrefix="1" applyNumberFormat="1" applyFont="1" applyFill="1" applyAlignment="1">
      <alignment horizontal="centerContinuous"/>
    </xf>
    <xf numFmtId="37" fontId="24" fillId="8" borderId="0" xfId="0" applyNumberFormat="1" applyFont="1" applyFill="1" applyAlignment="1">
      <alignment horizontal="center"/>
    </xf>
    <xf numFmtId="37" fontId="24" fillId="0" borderId="0" xfId="0" applyNumberFormat="1" applyFont="1" applyBorder="1" applyAlignment="1">
      <alignment horizontal="right"/>
    </xf>
    <xf numFmtId="38" fontId="23" fillId="8" borderId="0" xfId="0" applyNumberFormat="1" applyFont="1" applyFill="1" applyAlignment="1">
      <alignment horizontal="center"/>
    </xf>
    <xf numFmtId="38" fontId="24" fillId="0" borderId="24" xfId="0" applyNumberFormat="1" applyFont="1" applyBorder="1" applyAlignment="1">
      <alignment horizontal="right"/>
    </xf>
    <xf numFmtId="37" fontId="24" fillId="0" borderId="3" xfId="0" applyNumberFormat="1" applyFont="1" applyBorder="1" applyAlignment="1">
      <alignment horizontal="center"/>
    </xf>
    <xf numFmtId="37" fontId="37" fillId="0" borderId="3" xfId="0" applyNumberFormat="1" applyFont="1" applyBorder="1" applyAlignment="1">
      <alignment horizontal="center"/>
    </xf>
    <xf numFmtId="38" fontId="23" fillId="7" borderId="0" xfId="0" applyNumberFormat="1" applyFont="1" applyFill="1" applyAlignment="1">
      <alignment horizontal="right"/>
    </xf>
    <xf numFmtId="37" fontId="23" fillId="0" borderId="0" xfId="0" applyNumberFormat="1" applyFont="1" applyAlignment="1">
      <alignment horizontal="right"/>
    </xf>
    <xf numFmtId="37" fontId="35" fillId="0" borderId="0" xfId="0" applyNumberFormat="1" applyFont="1" applyAlignment="1">
      <alignment horizontal="right"/>
    </xf>
    <xf numFmtId="0" fontId="23" fillId="0" borderId="0" xfId="0" applyFont="1" applyBorder="1"/>
    <xf numFmtId="37" fontId="23" fillId="0" borderId="3" xfId="0" applyNumberFormat="1" applyFont="1" applyBorder="1" applyAlignment="1">
      <alignment horizontal="right"/>
    </xf>
    <xf numFmtId="37" fontId="35" fillId="0" borderId="3" xfId="0" applyNumberFormat="1" applyFont="1" applyBorder="1" applyAlignment="1">
      <alignment horizontal="right"/>
    </xf>
    <xf numFmtId="0" fontId="34" fillId="8" borderId="0" xfId="0" applyFont="1" applyFill="1"/>
    <xf numFmtId="38" fontId="23" fillId="0" borderId="0" xfId="0" applyNumberFormat="1" applyFont="1" applyBorder="1" applyAlignment="1">
      <alignment horizontal="right"/>
    </xf>
    <xf numFmtId="37" fontId="31" fillId="0" borderId="0" xfId="0" applyNumberFormat="1" applyFont="1" applyAlignment="1">
      <alignment horizontal="right"/>
    </xf>
    <xf numFmtId="37" fontId="23" fillId="0" borderId="0" xfId="0" applyNumberFormat="1" applyFont="1" applyBorder="1" applyAlignment="1">
      <alignment horizontal="center"/>
    </xf>
    <xf numFmtId="37" fontId="23" fillId="0" borderId="0" xfId="0" applyNumberFormat="1" applyFont="1" applyBorder="1" applyAlignment="1">
      <alignment horizontal="right"/>
    </xf>
    <xf numFmtId="37" fontId="35" fillId="0" borderId="0" xfId="0" applyNumberFormat="1" applyFont="1" applyAlignment="1">
      <alignment horizontal="center"/>
    </xf>
    <xf numFmtId="0" fontId="6" fillId="8" borderId="0" xfId="0" applyFont="1" applyFill="1"/>
    <xf numFmtId="38" fontId="30" fillId="0" borderId="24" xfId="0" applyNumberFormat="1" applyFont="1" applyBorder="1" applyAlignment="1">
      <alignment horizontal="right"/>
    </xf>
    <xf numFmtId="38" fontId="23" fillId="8" borderId="24" xfId="0" applyNumberFormat="1" applyFont="1" applyFill="1" applyBorder="1" applyAlignment="1">
      <alignment horizontal="center"/>
    </xf>
    <xf numFmtId="37" fontId="30" fillId="0" borderId="0" xfId="0" applyNumberFormat="1" applyFont="1" applyBorder="1" applyAlignment="1">
      <alignment horizontal="right"/>
    </xf>
    <xf numFmtId="37" fontId="23" fillId="0" borderId="0" xfId="0" applyNumberFormat="1" applyFont="1" applyFill="1" applyAlignment="1">
      <alignment horizontal="center"/>
    </xf>
    <xf numFmtId="37" fontId="6" fillId="0" borderId="0" xfId="0" applyNumberFormat="1" applyFont="1"/>
    <xf numFmtId="37" fontId="28" fillId="0" borderId="0" xfId="0" applyNumberFormat="1" applyFont="1"/>
    <xf numFmtId="173" fontId="28" fillId="0" borderId="0" xfId="0" applyNumberFormat="1" applyFont="1"/>
    <xf numFmtId="38" fontId="23" fillId="0" borderId="9" xfId="0" applyNumberFormat="1" applyFont="1" applyBorder="1" applyAlignment="1">
      <alignment horizontal="center"/>
    </xf>
    <xf numFmtId="37" fontId="23" fillId="0" borderId="0" xfId="0" applyNumberFormat="1" applyFont="1" applyBorder="1" applyAlignment="1"/>
    <xf numFmtId="0" fontId="23" fillId="8" borderId="0" xfId="0" applyFont="1" applyFill="1" applyAlignment="1">
      <alignment horizontal="centerContinuous"/>
    </xf>
    <xf numFmtId="37" fontId="24" fillId="8" borderId="0" xfId="0" applyNumberFormat="1" applyFont="1" applyFill="1" applyAlignment="1">
      <alignment horizontal="centerContinuous"/>
    </xf>
    <xf numFmtId="37" fontId="23" fillId="8" borderId="0" xfId="0" applyNumberFormat="1" applyFont="1" applyFill="1" applyAlignment="1">
      <alignment horizontal="centerContinuous"/>
    </xf>
    <xf numFmtId="37" fontId="33" fillId="0" borderId="0" xfId="0" applyNumberFormat="1" applyFont="1" applyAlignment="1">
      <alignment horizontal="center"/>
    </xf>
    <xf numFmtId="37" fontId="37" fillId="8" borderId="0" xfId="0" applyNumberFormat="1" applyFont="1" applyFill="1" applyAlignment="1">
      <alignment horizontal="center"/>
    </xf>
    <xf numFmtId="37" fontId="24" fillId="8" borderId="0" xfId="0" quotePrefix="1" applyNumberFormat="1" applyFont="1" applyFill="1" applyAlignment="1">
      <alignment horizontal="center"/>
    </xf>
    <xf numFmtId="37" fontId="37" fillId="8" borderId="0" xfId="0" applyNumberFormat="1" applyFont="1" applyFill="1" applyAlignment="1">
      <alignment horizontal="left"/>
    </xf>
    <xf numFmtId="38" fontId="24" fillId="8" borderId="0" xfId="0" applyNumberFormat="1" applyFont="1" applyFill="1" applyBorder="1" applyAlignment="1">
      <alignment horizontal="center"/>
    </xf>
    <xf numFmtId="38" fontId="24" fillId="8" borderId="0" xfId="0" applyNumberFormat="1" applyFont="1" applyFill="1" applyAlignment="1">
      <alignment horizontal="center"/>
    </xf>
    <xf numFmtId="0" fontId="24" fillId="8" borderId="0" xfId="0" applyFont="1" applyFill="1"/>
    <xf numFmtId="0" fontId="24" fillId="8" borderId="0" xfId="0" quotePrefix="1" applyFont="1" applyFill="1" applyAlignment="1">
      <alignment horizontal="center"/>
    </xf>
    <xf numFmtId="38" fontId="24" fillId="8" borderId="0" xfId="0" applyNumberFormat="1" applyFont="1" applyFill="1" applyBorder="1" applyAlignment="1">
      <alignment horizontal="centerContinuous"/>
    </xf>
    <xf numFmtId="0" fontId="23" fillId="8" borderId="0" xfId="0" quotePrefix="1" applyFont="1" applyFill="1"/>
    <xf numFmtId="3" fontId="24" fillId="8" borderId="0" xfId="0" applyNumberFormat="1" applyFont="1" applyFill="1" applyAlignment="1">
      <alignment horizontal="center"/>
    </xf>
    <xf numFmtId="0" fontId="24" fillId="0" borderId="0" xfId="0" applyFont="1"/>
    <xf numFmtId="37" fontId="16" fillId="8" borderId="0" xfId="0" applyNumberFormat="1" applyFont="1" applyFill="1" applyAlignment="1">
      <alignment horizontal="left"/>
    </xf>
    <xf numFmtId="37" fontId="24" fillId="8" borderId="0" xfId="0" applyNumberFormat="1" applyFont="1" applyFill="1" applyAlignment="1">
      <alignment horizontal="left"/>
    </xf>
    <xf numFmtId="37" fontId="24" fillId="8" borderId="0" xfId="0" quotePrefix="1" applyNumberFormat="1" applyFont="1" applyFill="1" applyBorder="1" applyAlignment="1">
      <alignment horizontal="center"/>
    </xf>
    <xf numFmtId="37" fontId="24" fillId="8" borderId="0" xfId="0" applyNumberFormat="1" applyFont="1" applyFill="1" applyBorder="1" applyAlignment="1"/>
    <xf numFmtId="38" fontId="24" fillId="8" borderId="3" xfId="0" applyNumberFormat="1" applyFont="1" applyFill="1" applyBorder="1" applyAlignment="1">
      <alignment horizontal="center"/>
    </xf>
    <xf numFmtId="37" fontId="24" fillId="8" borderId="3" xfId="0" applyNumberFormat="1" applyFont="1" applyFill="1" applyBorder="1" applyAlignment="1">
      <alignment horizontal="center"/>
    </xf>
    <xf numFmtId="37" fontId="24" fillId="8" borderId="0" xfId="0" applyNumberFormat="1" applyFont="1" applyFill="1" applyBorder="1" applyAlignment="1">
      <alignment horizontal="center"/>
    </xf>
    <xf numFmtId="0" fontId="28" fillId="8" borderId="0" xfId="0" applyFont="1" applyFill="1"/>
    <xf numFmtId="37" fontId="24" fillId="8" borderId="0" xfId="0" applyNumberFormat="1" applyFont="1" applyFill="1" applyBorder="1" applyAlignment="1">
      <alignment horizontal="centerContinuous"/>
    </xf>
    <xf numFmtId="0" fontId="38" fillId="8" borderId="0" xfId="0" applyFont="1" applyFill="1" applyAlignment="1">
      <alignment horizontal="left"/>
    </xf>
    <xf numFmtId="37" fontId="37" fillId="0" borderId="0" xfId="0" applyNumberFormat="1" applyFont="1" applyAlignment="1">
      <alignment horizontal="left"/>
    </xf>
    <xf numFmtId="37" fontId="35" fillId="0" borderId="0" xfId="0" applyNumberFormat="1" applyFont="1" applyAlignment="1">
      <alignment horizontal="left"/>
    </xf>
    <xf numFmtId="38" fontId="24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37" fontId="28" fillId="8" borderId="0" xfId="0" applyNumberFormat="1" applyFont="1" applyFill="1"/>
    <xf numFmtId="38" fontId="24" fillId="0" borderId="0" xfId="0" applyNumberFormat="1" applyFont="1" applyBorder="1" applyAlignment="1">
      <alignment horizontal="right"/>
    </xf>
    <xf numFmtId="38" fontId="24" fillId="8" borderId="3" xfId="0" applyNumberFormat="1" applyFont="1" applyFill="1" applyBorder="1" applyAlignment="1">
      <alignment horizontal="centerContinuous"/>
    </xf>
    <xf numFmtId="37" fontId="29" fillId="8" borderId="3" xfId="0" applyNumberFormat="1" applyFont="1" applyFill="1" applyBorder="1" applyAlignment="1">
      <alignment horizontal="center"/>
    </xf>
    <xf numFmtId="37" fontId="24" fillId="8" borderId="3" xfId="0" applyNumberFormat="1" applyFont="1" applyFill="1" applyBorder="1" applyAlignment="1">
      <alignment horizontal="centerContinuous"/>
    </xf>
    <xf numFmtId="0" fontId="24" fillId="8" borderId="0" xfId="0" applyFont="1" applyFill="1" applyBorder="1" applyAlignment="1">
      <alignment horizontal="centerContinuous"/>
    </xf>
    <xf numFmtId="37" fontId="2" fillId="0" borderId="0" xfId="0" applyNumberFormat="1" applyFont="1" applyAlignment="1">
      <alignment horizontal="left"/>
    </xf>
    <xf numFmtId="37" fontId="7" fillId="0" borderId="0" xfId="0" applyNumberFormat="1" applyFont="1" applyAlignment="1">
      <alignment horizontal="left"/>
    </xf>
    <xf numFmtId="38" fontId="28" fillId="0" borderId="0" xfId="0" applyNumberFormat="1" applyFont="1" applyBorder="1" applyAlignment="1">
      <alignment horizontal="right"/>
    </xf>
    <xf numFmtId="37" fontId="6" fillId="0" borderId="0" xfId="0" applyNumberFormat="1" applyFont="1" applyAlignment="1">
      <alignment horizontal="center"/>
    </xf>
    <xf numFmtId="38" fontId="24" fillId="8" borderId="26" xfId="0" applyNumberFormat="1" applyFont="1" applyFill="1" applyBorder="1" applyAlignment="1">
      <alignment horizontal="centerContinuous"/>
    </xf>
    <xf numFmtId="38" fontId="24" fillId="8" borderId="26" xfId="0" applyNumberFormat="1" applyFont="1" applyFill="1" applyBorder="1" applyAlignment="1">
      <alignment horizontal="center"/>
    </xf>
    <xf numFmtId="0" fontId="24" fillId="8" borderId="26" xfId="0" applyFont="1" applyFill="1" applyBorder="1" applyAlignment="1">
      <alignment horizontal="centerContinuous"/>
    </xf>
    <xf numFmtId="37" fontId="28" fillId="0" borderId="0" xfId="0" applyNumberFormat="1" applyFont="1" applyAlignment="1">
      <alignment horizontal="left"/>
    </xf>
    <xf numFmtId="37" fontId="6" fillId="0" borderId="0" xfId="0" applyNumberFormat="1" applyFont="1" applyAlignment="1">
      <alignment horizontal="left"/>
    </xf>
    <xf numFmtId="37" fontId="6" fillId="0" borderId="0" xfId="0" applyNumberFormat="1" applyFont="1" applyBorder="1" applyAlignment="1"/>
    <xf numFmtId="37" fontId="6" fillId="0" borderId="0" xfId="0" applyNumberFormat="1" applyFont="1" applyBorder="1" applyAlignment="1">
      <alignment horizontal="right"/>
    </xf>
    <xf numFmtId="38" fontId="6" fillId="0" borderId="0" xfId="0" applyNumberFormat="1" applyFont="1" applyBorder="1" applyAlignment="1">
      <alignment horizontal="right"/>
    </xf>
    <xf numFmtId="0" fontId="23" fillId="0" borderId="0" xfId="0" applyFont="1" applyAlignment="1">
      <alignment horizontal="center"/>
    </xf>
    <xf numFmtId="0" fontId="28" fillId="0" borderId="0" xfId="0" applyFont="1"/>
    <xf numFmtId="174" fontId="2" fillId="0" borderId="0" xfId="0" applyNumberFormat="1" applyFont="1" applyAlignment="1">
      <alignment horizontal="center"/>
    </xf>
    <xf numFmtId="38" fontId="6" fillId="0" borderId="0" xfId="0" applyNumberFormat="1" applyFont="1"/>
    <xf numFmtId="0" fontId="28" fillId="0" borderId="0" xfId="0" applyFont="1" applyAlignment="1">
      <alignment horizontal="right"/>
    </xf>
    <xf numFmtId="38" fontId="28" fillId="6" borderId="0" xfId="0" applyNumberFormat="1" applyFont="1" applyFill="1" applyAlignment="1">
      <alignment horizontal="center"/>
    </xf>
    <xf numFmtId="49" fontId="28" fillId="6" borderId="0" xfId="1" applyNumberFormat="1" applyFont="1" applyFill="1" applyAlignment="1">
      <alignment horizontal="center"/>
    </xf>
    <xf numFmtId="1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" fontId="6" fillId="0" borderId="0" xfId="0" applyNumberFormat="1" applyFont="1"/>
    <xf numFmtId="38" fontId="6" fillId="6" borderId="0" xfId="0" applyNumberFormat="1" applyFont="1" applyFill="1"/>
    <xf numFmtId="38" fontId="28" fillId="6" borderId="23" xfId="0" applyNumberFormat="1" applyFont="1" applyFill="1" applyBorder="1"/>
    <xf numFmtId="38" fontId="6" fillId="0" borderId="0" xfId="0" applyNumberFormat="1" applyFont="1" applyAlignment="1">
      <alignment horizontal="center"/>
    </xf>
    <xf numFmtId="38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38" fontId="5" fillId="0" borderId="0" xfId="0" applyNumberFormat="1" applyFont="1" applyAlignment="1">
      <alignment horizontal="center"/>
    </xf>
    <xf numFmtId="9" fontId="28" fillId="0" borderId="0" xfId="0" applyNumberFormat="1" applyFont="1" applyAlignment="1">
      <alignment horizontal="center"/>
    </xf>
    <xf numFmtId="0" fontId="28" fillId="0" borderId="3" xfId="0" applyFont="1" applyBorder="1" applyAlignment="1">
      <alignment horizontal="center"/>
    </xf>
    <xf numFmtId="38" fontId="28" fillId="0" borderId="3" xfId="0" applyNumberFormat="1" applyFont="1" applyBorder="1" applyAlignment="1">
      <alignment horizontal="center"/>
    </xf>
    <xf numFmtId="38" fontId="28" fillId="0" borderId="0" xfId="0" applyNumberFormat="1" applyFont="1" applyBorder="1" applyAlignment="1">
      <alignment horizontal="center"/>
    </xf>
    <xf numFmtId="14" fontId="28" fillId="0" borderId="0" xfId="0" applyNumberFormat="1" applyFont="1"/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28" fillId="0" borderId="1" xfId="0" applyNumberFormat="1" applyFont="1" applyBorder="1" applyAlignment="1">
      <alignment horizontal="center"/>
    </xf>
    <xf numFmtId="3" fontId="28" fillId="0" borderId="23" xfId="0" applyNumberFormat="1" applyFont="1" applyBorder="1" applyAlignment="1">
      <alignment horizontal="center"/>
    </xf>
    <xf numFmtId="38" fontId="28" fillId="0" borderId="23" xfId="0" applyNumberFormat="1" applyFont="1" applyBorder="1" applyAlignment="1">
      <alignment horizontal="center"/>
    </xf>
    <xf numFmtId="0" fontId="6" fillId="2" borderId="0" xfId="0" applyFont="1" applyFill="1"/>
    <xf numFmtId="0" fontId="28" fillId="2" borderId="0" xfId="0" applyFont="1" applyFill="1" applyAlignment="1">
      <alignment horizontal="center"/>
    </xf>
    <xf numFmtId="1" fontId="28" fillId="0" borderId="0" xfId="0" applyNumberFormat="1" applyFont="1"/>
    <xf numFmtId="43" fontId="2" fillId="0" borderId="0" xfId="0" applyNumberFormat="1" applyFont="1" applyFill="1" applyAlignment="1">
      <alignment horizontal="center"/>
    </xf>
    <xf numFmtId="16" fontId="28" fillId="0" borderId="0" xfId="0" applyNumberFormat="1" applyFont="1"/>
    <xf numFmtId="38" fontId="28" fillId="0" borderId="23" xfId="0" applyNumberFormat="1" applyFont="1" applyBorder="1"/>
    <xf numFmtId="38" fontId="0" fillId="0" borderId="0" xfId="0" applyNumberFormat="1"/>
    <xf numFmtId="1" fontId="7" fillId="0" borderId="0" xfId="1" applyNumberFormat="1" applyFont="1" applyFill="1" applyAlignment="1">
      <alignment horizontal="center"/>
    </xf>
    <xf numFmtId="1" fontId="7" fillId="2" borderId="0" xfId="1" applyNumberFormat="1" applyFont="1" applyFill="1" applyAlignment="1">
      <alignment horizontal="center"/>
    </xf>
    <xf numFmtId="43" fontId="7" fillId="2" borderId="0" xfId="1" applyFont="1" applyFill="1" applyAlignment="1">
      <alignment horizontal="center"/>
    </xf>
    <xf numFmtId="38" fontId="28" fillId="0" borderId="0" xfId="0" applyNumberFormat="1" applyFont="1"/>
    <xf numFmtId="38" fontId="28" fillId="3" borderId="0" xfId="0" applyNumberFormat="1" applyFont="1" applyFill="1" applyAlignment="1">
      <alignment horizontal="center"/>
    </xf>
    <xf numFmtId="38" fontId="28" fillId="9" borderId="0" xfId="0" applyNumberFormat="1" applyFont="1" applyFill="1" applyAlignment="1">
      <alignment horizontal="center"/>
    </xf>
    <xf numFmtId="38" fontId="28" fillId="10" borderId="0" xfId="0" applyNumberFormat="1" applyFont="1" applyFill="1" applyAlignment="1">
      <alignment horizontal="center"/>
    </xf>
    <xf numFmtId="38" fontId="28" fillId="4" borderId="0" xfId="0" applyNumberFormat="1" applyFont="1" applyFill="1" applyAlignment="1">
      <alignment horizontal="center"/>
    </xf>
    <xf numFmtId="38" fontId="6" fillId="3" borderId="0" xfId="0" applyNumberFormat="1" applyFont="1" applyFill="1"/>
    <xf numFmtId="38" fontId="6" fillId="10" borderId="0" xfId="0" applyNumberFormat="1" applyFont="1" applyFill="1"/>
    <xf numFmtId="38" fontId="6" fillId="4" borderId="0" xfId="0" applyNumberFormat="1" applyFont="1" applyFill="1"/>
    <xf numFmtId="38" fontId="28" fillId="3" borderId="23" xfId="0" applyNumberFormat="1" applyFont="1" applyFill="1" applyBorder="1"/>
    <xf numFmtId="38" fontId="28" fillId="9" borderId="23" xfId="0" applyNumberFormat="1" applyFont="1" applyFill="1" applyBorder="1"/>
    <xf numFmtId="38" fontId="6" fillId="9" borderId="0" xfId="0" applyNumberFormat="1" applyFont="1" applyFill="1"/>
    <xf numFmtId="38" fontId="28" fillId="10" borderId="23" xfId="0" applyNumberFormat="1" applyFont="1" applyFill="1" applyBorder="1"/>
    <xf numFmtId="38" fontId="28" fillId="4" borderId="23" xfId="0" applyNumberFormat="1" applyFont="1" applyFill="1" applyBorder="1"/>
    <xf numFmtId="38" fontId="11" fillId="3" borderId="0" xfId="0" applyNumberFormat="1" applyFont="1" applyFill="1" applyBorder="1" applyAlignment="1">
      <alignment horizontal="center"/>
    </xf>
    <xf numFmtId="38" fontId="41" fillId="0" borderId="0" xfId="0" applyNumberFormat="1" applyFont="1" applyAlignment="1">
      <alignment horizontal="center"/>
    </xf>
    <xf numFmtId="173" fontId="4" fillId="0" borderId="0" xfId="0" applyNumberFormat="1" applyFont="1" applyAlignment="1">
      <alignment horizontal="center"/>
    </xf>
    <xf numFmtId="0" fontId="27" fillId="8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35</xdr:row>
      <xdr:rowOff>38100</xdr:rowOff>
    </xdr:from>
    <xdr:to>
      <xdr:col>17</xdr:col>
      <xdr:colOff>514350</xdr:colOff>
      <xdr:row>36</xdr:row>
      <xdr:rowOff>95250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C7D68351-84DE-8EC3-40A6-EA82C0D5BA72}"/>
            </a:ext>
          </a:extLst>
        </xdr:cNvPr>
        <xdr:cNvSpPr>
          <a:spLocks noChangeShapeType="1"/>
        </xdr:cNvSpPr>
      </xdr:nvSpPr>
      <xdr:spPr bwMode="auto">
        <a:xfrm flipV="1">
          <a:off x="12420600" y="6762750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50"/>
  <sheetViews>
    <sheetView zoomScale="90" workbookViewId="0">
      <pane xSplit="1" ySplit="5" topLeftCell="O16" activePane="bottomRight" state="frozen"/>
      <selection activeCell="AT19" sqref="AT19"/>
      <selection pane="topRight" activeCell="AT19" sqref="AT19"/>
      <selection pane="bottomLeft" activeCell="AT19" sqref="AT19"/>
      <selection pane="bottomRight" activeCell="V36" sqref="V36"/>
    </sheetView>
  </sheetViews>
  <sheetFormatPr defaultRowHeight="12.75" x14ac:dyDescent="0.2"/>
  <cols>
    <col min="1" max="1" width="16" style="28" customWidth="1"/>
    <col min="2" max="2" width="12.83203125" style="28" customWidth="1"/>
    <col min="3" max="3" width="22.1640625" style="44" customWidth="1"/>
    <col min="4" max="4" width="17.6640625" style="44" customWidth="1"/>
    <col min="5" max="5" width="20" style="44" customWidth="1"/>
    <col min="6" max="7" width="19.5" style="44" customWidth="1"/>
    <col min="8" max="9" width="16.1640625" style="44" customWidth="1"/>
    <col min="10" max="10" width="19.6640625" style="44" customWidth="1"/>
    <col min="11" max="13" width="19.1640625" style="44" customWidth="1"/>
    <col min="14" max="15" width="20.6640625" style="44" customWidth="1"/>
    <col min="16" max="16" width="18.1640625" style="44" customWidth="1"/>
    <col min="17" max="17" width="16.1640625" style="44" customWidth="1"/>
    <col min="18" max="18" width="17.83203125" style="44" customWidth="1"/>
    <col min="19" max="21" width="16.1640625" style="44" customWidth="1"/>
    <col min="22" max="23" width="17.83203125" style="44" customWidth="1"/>
    <col min="24" max="24" width="16.1640625" style="44" customWidth="1"/>
    <col min="25" max="27" width="18.83203125" style="44" customWidth="1"/>
    <col min="28" max="45" width="16.1640625" style="44" customWidth="1"/>
    <col min="46" max="46" width="15.1640625" style="43" customWidth="1"/>
    <col min="47" max="47" width="21" style="28" customWidth="1"/>
    <col min="48" max="58" width="16.1640625" style="44" customWidth="1"/>
    <col min="59" max="59" width="12.83203125" style="28" customWidth="1"/>
    <col min="60" max="60" width="12.83203125" style="16" customWidth="1"/>
    <col min="61" max="64" width="12.83203125" style="28" customWidth="1"/>
    <col min="65" max="16384" width="9.33203125" style="28"/>
  </cols>
  <sheetData>
    <row r="1" spans="1:66" s="2" customFormat="1" ht="18" x14ac:dyDescent="0.25">
      <c r="A1" s="1" t="s">
        <v>0</v>
      </c>
      <c r="C1" s="3">
        <f>+BaseloadMarkets!B1</f>
        <v>36708</v>
      </c>
      <c r="D1" s="4" t="s">
        <v>1</v>
      </c>
      <c r="E1" s="4" t="s">
        <v>2</v>
      </c>
      <c r="F1" s="4" t="s">
        <v>3</v>
      </c>
      <c r="G1" s="4" t="s">
        <v>4</v>
      </c>
      <c r="H1" s="4"/>
      <c r="I1" s="4"/>
      <c r="J1" s="4"/>
      <c r="K1" s="4"/>
      <c r="L1" s="4"/>
      <c r="M1" s="4"/>
      <c r="N1" s="4"/>
      <c r="O1" s="4">
        <v>5</v>
      </c>
      <c r="P1" s="4" t="s">
        <v>5</v>
      </c>
      <c r="Q1" s="4">
        <v>4.8600000000000003</v>
      </c>
      <c r="R1" s="4" t="s">
        <v>4</v>
      </c>
      <c r="S1" s="4">
        <v>5.04</v>
      </c>
      <c r="T1" s="4">
        <v>5.0599999999999996</v>
      </c>
      <c r="U1" s="4">
        <v>4.9000000000000004</v>
      </c>
      <c r="V1" s="4">
        <v>4.91</v>
      </c>
      <c r="W1" s="4">
        <v>5.04</v>
      </c>
      <c r="X1" s="4">
        <v>4.99</v>
      </c>
      <c r="Y1" s="4">
        <v>5.04</v>
      </c>
      <c r="Z1" s="4">
        <v>4.6399999999999997</v>
      </c>
      <c r="AA1" s="4"/>
      <c r="AB1" s="1">
        <v>4.71</v>
      </c>
      <c r="AC1" s="4">
        <v>4.83</v>
      </c>
      <c r="AD1" s="4">
        <v>4.8600000000000003</v>
      </c>
      <c r="AE1" s="4" t="s">
        <v>6</v>
      </c>
      <c r="AF1" s="4">
        <v>4.88</v>
      </c>
      <c r="AG1" s="4">
        <v>4.6500000000000004</v>
      </c>
      <c r="AH1" s="4">
        <v>4.83</v>
      </c>
      <c r="AI1" s="4">
        <v>4.79</v>
      </c>
      <c r="AJ1" s="4">
        <v>4.8600000000000003</v>
      </c>
      <c r="AK1" s="4">
        <v>4.54</v>
      </c>
      <c r="AL1" s="4">
        <v>4.75</v>
      </c>
      <c r="AM1" s="4"/>
      <c r="AN1" s="4"/>
      <c r="AO1" s="4"/>
      <c r="AP1" s="4"/>
      <c r="AQ1" s="4"/>
      <c r="AR1" s="4"/>
      <c r="AS1" s="4"/>
      <c r="AT1" s="4"/>
      <c r="AU1" s="4"/>
      <c r="AV1" s="4" t="s">
        <v>298</v>
      </c>
      <c r="AW1" s="4">
        <v>4.5999999999999996</v>
      </c>
      <c r="AX1" s="4">
        <v>4.67</v>
      </c>
      <c r="AY1" s="4">
        <v>4.51</v>
      </c>
      <c r="AZ1" s="4">
        <v>4.51</v>
      </c>
      <c r="BA1" s="4"/>
      <c r="BB1" s="4"/>
      <c r="BC1" s="4"/>
      <c r="BD1" s="4"/>
      <c r="BE1" s="4"/>
      <c r="BF1" s="4"/>
    </row>
    <row r="2" spans="1:66" s="7" customFormat="1" x14ac:dyDescent="0.2">
      <c r="A2" s="5" t="s">
        <v>7</v>
      </c>
      <c r="B2" s="6"/>
      <c r="D2" s="7" t="s">
        <v>8</v>
      </c>
      <c r="E2" s="7" t="s">
        <v>9</v>
      </c>
      <c r="F2" s="7" t="s">
        <v>9</v>
      </c>
      <c r="G2" s="7" t="s">
        <v>10</v>
      </c>
      <c r="H2" s="7" t="s">
        <v>11</v>
      </c>
      <c r="I2" s="7" t="s">
        <v>11</v>
      </c>
      <c r="J2" s="7" t="s">
        <v>11</v>
      </c>
      <c r="K2" s="7" t="s">
        <v>11</v>
      </c>
      <c r="L2" s="7" t="s">
        <v>11</v>
      </c>
      <c r="M2" s="7" t="s">
        <v>11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14</v>
      </c>
      <c r="S2" s="7" t="s">
        <v>14</v>
      </c>
      <c r="T2" s="7" t="s">
        <v>14</v>
      </c>
      <c r="U2" s="7" t="s">
        <v>14</v>
      </c>
      <c r="V2" s="7" t="s">
        <v>14</v>
      </c>
      <c r="W2" s="7" t="s">
        <v>15</v>
      </c>
      <c r="X2" s="7" t="s">
        <v>15</v>
      </c>
      <c r="Y2" s="7" t="s">
        <v>16</v>
      </c>
      <c r="Z2" s="7" t="s">
        <v>17</v>
      </c>
      <c r="AA2" s="7" t="s">
        <v>11</v>
      </c>
      <c r="AB2" s="8" t="s">
        <v>18</v>
      </c>
      <c r="AC2" s="7" t="s">
        <v>8</v>
      </c>
      <c r="AD2" s="7" t="s">
        <v>8</v>
      </c>
      <c r="AE2" s="7" t="s">
        <v>19</v>
      </c>
      <c r="AF2" s="7" t="s">
        <v>17</v>
      </c>
      <c r="AG2" s="7" t="s">
        <v>18</v>
      </c>
      <c r="AH2" s="7" t="s">
        <v>8</v>
      </c>
      <c r="AI2" s="7" t="s">
        <v>20</v>
      </c>
      <c r="AJ2" s="7" t="s">
        <v>21</v>
      </c>
      <c r="AK2" s="7" t="s">
        <v>22</v>
      </c>
      <c r="AL2" s="7" t="s">
        <v>18</v>
      </c>
      <c r="AM2" s="7" t="s">
        <v>14</v>
      </c>
      <c r="AN2" s="7" t="s">
        <v>23</v>
      </c>
      <c r="AO2" s="7" t="s">
        <v>24</v>
      </c>
      <c r="AP2" s="7" t="s">
        <v>9</v>
      </c>
      <c r="AQ2" s="7" t="s">
        <v>25</v>
      </c>
      <c r="AR2" s="7" t="s">
        <v>26</v>
      </c>
      <c r="AS2" s="7" t="s">
        <v>20</v>
      </c>
      <c r="AT2" s="9" t="s">
        <v>27</v>
      </c>
      <c r="AU2" s="9" t="s">
        <v>28</v>
      </c>
      <c r="AV2" s="9" t="s">
        <v>17</v>
      </c>
      <c r="AW2" s="7" t="s">
        <v>299</v>
      </c>
      <c r="AX2" s="9" t="s">
        <v>79</v>
      </c>
      <c r="AY2" s="9" t="s">
        <v>78</v>
      </c>
      <c r="AZ2" s="9" t="s">
        <v>13</v>
      </c>
      <c r="BA2" s="9"/>
      <c r="BB2" s="9"/>
      <c r="BC2" s="9"/>
      <c r="BD2" s="9"/>
      <c r="BE2" s="9"/>
      <c r="BG2" s="10"/>
      <c r="BH2" s="7" t="s">
        <v>29</v>
      </c>
      <c r="BI2" s="7" t="s">
        <v>29</v>
      </c>
      <c r="BJ2" s="7" t="s">
        <v>29</v>
      </c>
      <c r="BK2" s="7" t="s">
        <v>29</v>
      </c>
      <c r="BL2" s="7" t="s">
        <v>29</v>
      </c>
      <c r="BM2" s="7" t="s">
        <v>29</v>
      </c>
      <c r="BN2" s="7" t="s">
        <v>29</v>
      </c>
    </row>
    <row r="3" spans="1:66" s="13" customFormat="1" x14ac:dyDescent="0.2">
      <c r="A3" s="5" t="s">
        <v>30</v>
      </c>
      <c r="B3" s="11" t="s">
        <v>31</v>
      </c>
      <c r="C3" s="12" t="s">
        <v>31</v>
      </c>
      <c r="D3" s="13" t="s">
        <v>32</v>
      </c>
      <c r="AB3" s="12" t="s">
        <v>33</v>
      </c>
      <c r="AC3" s="13" t="s">
        <v>33</v>
      </c>
      <c r="AD3" s="13" t="s">
        <v>33</v>
      </c>
      <c r="AE3" s="13" t="s">
        <v>33</v>
      </c>
      <c r="AF3" s="13" t="s">
        <v>33</v>
      </c>
      <c r="AG3" s="13" t="s">
        <v>33</v>
      </c>
      <c r="AH3" s="13" t="s">
        <v>33</v>
      </c>
      <c r="AI3" s="13" t="s">
        <v>33</v>
      </c>
      <c r="AJ3" s="13" t="s">
        <v>33</v>
      </c>
      <c r="AK3" s="13" t="s">
        <v>33</v>
      </c>
      <c r="AL3" s="13" t="s">
        <v>33</v>
      </c>
      <c r="AM3" s="13" t="s">
        <v>33</v>
      </c>
      <c r="AN3" s="13" t="s">
        <v>33</v>
      </c>
      <c r="AO3" s="13" t="s">
        <v>33</v>
      </c>
      <c r="AP3" s="14" t="s">
        <v>33</v>
      </c>
      <c r="AQ3" s="14" t="s">
        <v>33</v>
      </c>
      <c r="AR3" s="14" t="s">
        <v>33</v>
      </c>
      <c r="AS3" s="14" t="s">
        <v>33</v>
      </c>
      <c r="AT3" s="15" t="s">
        <v>34</v>
      </c>
      <c r="AU3" s="14" t="s">
        <v>33</v>
      </c>
      <c r="AV3" s="15" t="s">
        <v>297</v>
      </c>
      <c r="AW3" s="13" t="s">
        <v>33</v>
      </c>
      <c r="AX3" s="15" t="s">
        <v>33</v>
      </c>
      <c r="AY3" s="15" t="s">
        <v>33</v>
      </c>
      <c r="AZ3" s="15" t="s">
        <v>33</v>
      </c>
      <c r="BA3" s="15"/>
      <c r="BB3" s="15"/>
      <c r="BC3" s="15"/>
      <c r="BD3" s="15"/>
      <c r="BE3" s="15"/>
    </row>
    <row r="4" spans="1:66" s="16" customFormat="1" x14ac:dyDescent="0.2">
      <c r="A4" s="5" t="s">
        <v>35</v>
      </c>
      <c r="B4" s="6"/>
      <c r="C4" s="8"/>
      <c r="D4" s="7">
        <v>107872</v>
      </c>
      <c r="E4" s="7">
        <v>213194</v>
      </c>
      <c r="F4" s="7">
        <v>292034</v>
      </c>
      <c r="G4" s="7">
        <v>291896</v>
      </c>
      <c r="H4" s="7">
        <v>131490</v>
      </c>
      <c r="I4" s="7">
        <v>168003</v>
      </c>
      <c r="J4" s="7">
        <v>168093</v>
      </c>
      <c r="K4" s="7">
        <v>245352</v>
      </c>
      <c r="L4" s="7">
        <v>301942</v>
      </c>
      <c r="M4" s="7"/>
      <c r="N4" s="7">
        <v>152174</v>
      </c>
      <c r="O4" s="7">
        <v>314835</v>
      </c>
      <c r="P4" s="7">
        <v>314616</v>
      </c>
      <c r="Q4" s="7">
        <v>312318</v>
      </c>
      <c r="R4" s="7">
        <v>305735</v>
      </c>
      <c r="S4" s="7">
        <v>314194</v>
      </c>
      <c r="T4" s="7">
        <v>314482</v>
      </c>
      <c r="U4" s="7">
        <v>316516</v>
      </c>
      <c r="V4" s="7">
        <v>316584</v>
      </c>
      <c r="W4" s="7">
        <v>314511</v>
      </c>
      <c r="X4" s="7">
        <v>314599</v>
      </c>
      <c r="Y4" s="7">
        <v>314321</v>
      </c>
      <c r="Z4" s="7">
        <v>321982</v>
      </c>
      <c r="AA4" s="7"/>
      <c r="AB4" s="8">
        <v>319402</v>
      </c>
      <c r="AC4" s="7">
        <v>319609</v>
      </c>
      <c r="AD4" s="7">
        <v>319627</v>
      </c>
      <c r="AE4" s="7" t="s">
        <v>36</v>
      </c>
      <c r="AF4" s="7" t="s">
        <v>37</v>
      </c>
      <c r="AG4" s="7">
        <v>319335</v>
      </c>
      <c r="AH4" s="7">
        <v>319696</v>
      </c>
      <c r="AI4" s="7">
        <v>320959</v>
      </c>
      <c r="AJ4" s="7">
        <v>320868</v>
      </c>
      <c r="AK4" s="7" t="s">
        <v>38</v>
      </c>
      <c r="AL4" s="7">
        <v>320686</v>
      </c>
      <c r="AM4" s="7">
        <v>326159</v>
      </c>
      <c r="AN4" s="7">
        <v>326269</v>
      </c>
      <c r="AO4" s="7">
        <v>326049</v>
      </c>
      <c r="AP4" s="7">
        <v>326482</v>
      </c>
      <c r="AQ4" s="7">
        <v>327402</v>
      </c>
      <c r="AR4" s="7">
        <v>327472</v>
      </c>
      <c r="AS4" s="7">
        <v>328307</v>
      </c>
      <c r="AT4" s="9" t="s">
        <v>39</v>
      </c>
      <c r="AU4" s="9">
        <v>330614</v>
      </c>
      <c r="AV4" s="9">
        <v>335791</v>
      </c>
      <c r="AW4" s="7">
        <v>340887</v>
      </c>
      <c r="AX4" s="9">
        <v>341242</v>
      </c>
      <c r="AY4" s="9">
        <v>344253</v>
      </c>
      <c r="AZ4" s="9">
        <v>344172</v>
      </c>
      <c r="BA4" s="9"/>
      <c r="BB4" s="9"/>
      <c r="BC4" s="9"/>
      <c r="BD4" s="9"/>
      <c r="BE4" s="9"/>
      <c r="BF4" s="7"/>
      <c r="BG4" s="7" t="s">
        <v>40</v>
      </c>
    </row>
    <row r="5" spans="1:66" s="18" customFormat="1" x14ac:dyDescent="0.2">
      <c r="A5" s="17" t="s">
        <v>41</v>
      </c>
      <c r="B5" s="18" t="s">
        <v>26</v>
      </c>
      <c r="C5" s="19" t="s">
        <v>42</v>
      </c>
      <c r="D5" s="19" t="s">
        <v>43</v>
      </c>
      <c r="E5" s="19" t="s">
        <v>44</v>
      </c>
      <c r="F5" s="19" t="s">
        <v>45</v>
      </c>
      <c r="G5" s="19" t="s">
        <v>46</v>
      </c>
      <c r="H5" s="19" t="s">
        <v>47</v>
      </c>
      <c r="I5" s="19" t="s">
        <v>47</v>
      </c>
      <c r="J5" s="19" t="s">
        <v>47</v>
      </c>
      <c r="K5" s="19" t="s">
        <v>47</v>
      </c>
      <c r="L5" s="19" t="s">
        <v>47</v>
      </c>
      <c r="M5" s="19" t="s">
        <v>47</v>
      </c>
      <c r="N5" s="19" t="s">
        <v>47</v>
      </c>
      <c r="O5" s="19" t="s">
        <v>44</v>
      </c>
      <c r="P5" s="19" t="s">
        <v>44</v>
      </c>
      <c r="Q5" s="19" t="s">
        <v>44</v>
      </c>
      <c r="R5" s="19" t="s">
        <v>44</v>
      </c>
      <c r="S5" s="19" t="s">
        <v>44</v>
      </c>
      <c r="T5" s="19" t="s">
        <v>44</v>
      </c>
      <c r="U5" s="19" t="s">
        <v>48</v>
      </c>
      <c r="V5" s="19" t="s">
        <v>44</v>
      </c>
      <c r="W5" s="19" t="s">
        <v>44</v>
      </c>
      <c r="X5" s="19" t="s">
        <v>44</v>
      </c>
      <c r="Y5" s="19" t="s">
        <v>43</v>
      </c>
      <c r="Z5" s="19" t="s">
        <v>48</v>
      </c>
      <c r="AA5" s="19" t="s">
        <v>46</v>
      </c>
      <c r="AB5" s="19" t="s">
        <v>44</v>
      </c>
      <c r="AC5" s="19" t="s">
        <v>49</v>
      </c>
      <c r="AD5" s="19" t="s">
        <v>43</v>
      </c>
      <c r="AE5" s="19" t="s">
        <v>50</v>
      </c>
      <c r="AF5" s="19" t="s">
        <v>50</v>
      </c>
      <c r="AG5" s="19" t="s">
        <v>44</v>
      </c>
      <c r="AH5" s="19" t="s">
        <v>43</v>
      </c>
      <c r="AI5" s="19" t="s">
        <v>47</v>
      </c>
      <c r="AJ5" s="19" t="s">
        <v>48</v>
      </c>
      <c r="AK5" s="19" t="s">
        <v>47</v>
      </c>
      <c r="AL5" s="19" t="s">
        <v>51</v>
      </c>
      <c r="AM5" s="19" t="s">
        <v>51</v>
      </c>
      <c r="AN5" s="19" t="s">
        <v>52</v>
      </c>
      <c r="AO5" s="19" t="s">
        <v>52</v>
      </c>
      <c r="AP5" s="19" t="s">
        <v>53</v>
      </c>
      <c r="AQ5" s="19" t="s">
        <v>54</v>
      </c>
      <c r="AR5" s="19" t="s">
        <v>47</v>
      </c>
      <c r="AS5" s="19" t="s">
        <v>47</v>
      </c>
      <c r="AT5" s="20" t="s">
        <v>44</v>
      </c>
      <c r="AU5" s="20" t="s">
        <v>55</v>
      </c>
      <c r="AV5" s="20" t="s">
        <v>55</v>
      </c>
      <c r="AW5" s="19" t="s">
        <v>55</v>
      </c>
      <c r="AX5" s="20" t="s">
        <v>98</v>
      </c>
      <c r="AY5" s="20"/>
      <c r="AZ5" s="20"/>
      <c r="BA5" s="20"/>
      <c r="BB5" s="20"/>
      <c r="BC5" s="20"/>
      <c r="BD5" s="20"/>
      <c r="BE5" s="20"/>
      <c r="BF5" s="19"/>
      <c r="BG5" s="18" t="s">
        <v>0</v>
      </c>
    </row>
    <row r="6" spans="1:66" x14ac:dyDescent="0.2">
      <c r="A6" s="21">
        <f>+BaseloadMarkets!A6</f>
        <v>36708</v>
      </c>
      <c r="B6" s="22">
        <v>3980</v>
      </c>
      <c r="C6" s="22">
        <f>14926-3980</f>
        <v>10946</v>
      </c>
      <c r="D6" s="22">
        <v>30000</v>
      </c>
      <c r="E6" s="22">
        <v>10000</v>
      </c>
      <c r="F6" s="22">
        <v>10000</v>
      </c>
      <c r="G6" s="22">
        <v>5000</v>
      </c>
      <c r="H6" s="22">
        <v>5000</v>
      </c>
      <c r="I6" s="22">
        <v>968</v>
      </c>
      <c r="J6" s="22">
        <v>4193</v>
      </c>
      <c r="K6" s="22">
        <v>4000</v>
      </c>
      <c r="L6" s="22">
        <v>10000</v>
      </c>
      <c r="M6" s="22"/>
      <c r="N6" s="22">
        <v>0</v>
      </c>
      <c r="O6" s="22">
        <v>5000</v>
      </c>
      <c r="P6" s="22">
        <v>4178</v>
      </c>
      <c r="Q6" s="22">
        <v>10000</v>
      </c>
      <c r="R6" s="22">
        <v>10000</v>
      </c>
      <c r="S6" s="22">
        <v>10000</v>
      </c>
      <c r="T6" s="22">
        <v>10000</v>
      </c>
      <c r="U6" s="22">
        <f>3400+5165+2489</f>
        <v>11054</v>
      </c>
      <c r="V6" s="22">
        <v>18056</v>
      </c>
      <c r="W6" s="22">
        <v>8094</v>
      </c>
      <c r="X6" s="22">
        <v>9420</v>
      </c>
      <c r="Y6" s="22">
        <v>3000</v>
      </c>
      <c r="Z6" s="22"/>
      <c r="AA6" s="22"/>
      <c r="AB6" s="22">
        <v>4942</v>
      </c>
      <c r="AC6" s="22">
        <v>14000</v>
      </c>
      <c r="AD6" s="22">
        <v>16000</v>
      </c>
      <c r="AE6" s="22">
        <v>20000</v>
      </c>
      <c r="AF6" s="22">
        <v>12310</v>
      </c>
      <c r="AG6" s="22">
        <v>9890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3"/>
      <c r="AU6" s="23"/>
      <c r="AV6" s="23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4">
        <f t="shared" ref="BG6:BG36" si="0">SUM(B6:BF6)</f>
        <v>270031</v>
      </c>
      <c r="BH6" s="25">
        <f>A6</f>
        <v>36708</v>
      </c>
      <c r="BI6" s="26"/>
      <c r="BJ6" s="26"/>
      <c r="BK6" s="27"/>
      <c r="BL6" s="27"/>
    </row>
    <row r="7" spans="1:66" x14ac:dyDescent="0.2">
      <c r="A7" s="21">
        <f>+BaseloadMarkets!A7</f>
        <v>36709</v>
      </c>
      <c r="B7" s="22">
        <v>3980</v>
      </c>
      <c r="C7" s="22">
        <f>17964-3980</f>
        <v>13984</v>
      </c>
      <c r="D7" s="22">
        <v>0</v>
      </c>
      <c r="E7" s="22">
        <v>10000</v>
      </c>
      <c r="F7" s="22">
        <v>10000</v>
      </c>
      <c r="G7" s="22">
        <v>5000</v>
      </c>
      <c r="H7" s="22">
        <v>5000</v>
      </c>
      <c r="I7" s="22">
        <v>968</v>
      </c>
      <c r="J7" s="22">
        <v>4193</v>
      </c>
      <c r="K7" s="22">
        <v>4000</v>
      </c>
      <c r="L7" s="22">
        <v>10000</v>
      </c>
      <c r="M7" s="22"/>
      <c r="N7" s="22">
        <v>0</v>
      </c>
      <c r="O7" s="22">
        <v>5000</v>
      </c>
      <c r="P7" s="22">
        <v>4178</v>
      </c>
      <c r="Q7" s="22">
        <v>10000</v>
      </c>
      <c r="R7" s="22">
        <v>10000</v>
      </c>
      <c r="S7" s="22">
        <v>10000</v>
      </c>
      <c r="T7" s="22">
        <v>10000</v>
      </c>
      <c r="U7" s="22">
        <f>2310+2316+4807</f>
        <v>9433</v>
      </c>
      <c r="V7" s="22">
        <v>16215</v>
      </c>
      <c r="W7" s="22">
        <v>6788</v>
      </c>
      <c r="X7" s="22">
        <v>8705</v>
      </c>
      <c r="Y7" s="22">
        <v>3000</v>
      </c>
      <c r="Z7" s="22"/>
      <c r="AA7" s="22"/>
      <c r="AB7" s="22">
        <v>5746</v>
      </c>
      <c r="AC7" s="22">
        <v>14000</v>
      </c>
      <c r="AD7" s="22">
        <v>16000</v>
      </c>
      <c r="AE7" s="22">
        <v>20000</v>
      </c>
      <c r="AF7" s="22">
        <v>11892</v>
      </c>
      <c r="AG7" s="22">
        <v>11492</v>
      </c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3"/>
      <c r="AU7" s="23"/>
      <c r="AV7" s="23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4">
        <f t="shared" si="0"/>
        <v>239574</v>
      </c>
      <c r="BH7" s="25">
        <f t="shared" ref="BH7:BH36" si="1">BH6+1</f>
        <v>36709</v>
      </c>
      <c r="BI7" s="26"/>
      <c r="BJ7" s="26"/>
      <c r="BK7" s="27"/>
      <c r="BL7" s="27"/>
    </row>
    <row r="8" spans="1:66" x14ac:dyDescent="0.2">
      <c r="A8" s="21">
        <f>+BaseloadMarkets!A8</f>
        <v>36710</v>
      </c>
      <c r="B8" s="22">
        <v>3980</v>
      </c>
      <c r="C8" s="22">
        <f>16607-3980</f>
        <v>12627</v>
      </c>
      <c r="D8" s="22">
        <v>10000</v>
      </c>
      <c r="E8" s="22">
        <v>10000</v>
      </c>
      <c r="F8" s="22">
        <v>10000</v>
      </c>
      <c r="G8" s="22">
        <v>5000</v>
      </c>
      <c r="H8" s="22">
        <v>5000</v>
      </c>
      <c r="I8" s="22">
        <v>965</v>
      </c>
      <c r="J8" s="22">
        <v>4182</v>
      </c>
      <c r="K8" s="22">
        <v>4000</v>
      </c>
      <c r="L8" s="22">
        <v>10000</v>
      </c>
      <c r="M8" s="22"/>
      <c r="N8" s="22">
        <v>2491</v>
      </c>
      <c r="O8" s="22">
        <v>5000</v>
      </c>
      <c r="P8" s="22">
        <v>4178</v>
      </c>
      <c r="Q8" s="22">
        <v>10000</v>
      </c>
      <c r="R8" s="22">
        <v>10000</v>
      </c>
      <c r="S8" s="22">
        <v>10000</v>
      </c>
      <c r="T8" s="22">
        <v>10000</v>
      </c>
      <c r="U8" s="22">
        <f>5039+3061+1852</f>
        <v>9952</v>
      </c>
      <c r="V8" s="22">
        <v>17080</v>
      </c>
      <c r="W8" s="22">
        <v>7556</v>
      </c>
      <c r="X8" s="22">
        <v>9125</v>
      </c>
      <c r="Y8" s="22">
        <v>3000</v>
      </c>
      <c r="Z8" s="22"/>
      <c r="AA8" s="22"/>
      <c r="AB8" s="22">
        <v>5752</v>
      </c>
      <c r="AC8" s="22">
        <v>14000</v>
      </c>
      <c r="AD8" s="22">
        <v>16000</v>
      </c>
      <c r="AE8" s="22">
        <v>20000</v>
      </c>
      <c r="AF8" s="22">
        <v>11457</v>
      </c>
      <c r="AG8" s="22">
        <v>11505</v>
      </c>
      <c r="AH8" s="22">
        <v>15000</v>
      </c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3"/>
      <c r="AU8" s="23"/>
      <c r="AV8" s="23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4">
        <f t="shared" si="0"/>
        <v>267850</v>
      </c>
      <c r="BH8" s="25">
        <f t="shared" si="1"/>
        <v>36710</v>
      </c>
      <c r="BI8" s="26"/>
      <c r="BJ8" s="26"/>
      <c r="BK8" s="27"/>
      <c r="BL8" s="27"/>
    </row>
    <row r="9" spans="1:66" x14ac:dyDescent="0.2">
      <c r="A9" s="21">
        <f>+BaseloadMarkets!A9</f>
        <v>36711</v>
      </c>
      <c r="B9" s="22">
        <v>3980</v>
      </c>
      <c r="C9" s="22">
        <f>13677-3980</f>
        <v>9697</v>
      </c>
      <c r="D9" s="22">
        <v>0</v>
      </c>
      <c r="E9" s="22">
        <v>10000</v>
      </c>
      <c r="F9" s="22">
        <v>10000</v>
      </c>
      <c r="G9" s="22">
        <v>5000</v>
      </c>
      <c r="H9" s="22">
        <v>5000</v>
      </c>
      <c r="I9" s="22">
        <v>968</v>
      </c>
      <c r="J9" s="22">
        <v>4193</v>
      </c>
      <c r="K9" s="22">
        <v>4000</v>
      </c>
      <c r="L9" s="22">
        <v>10000</v>
      </c>
      <c r="M9" s="22"/>
      <c r="N9" s="22">
        <v>0</v>
      </c>
      <c r="O9" s="22">
        <v>5000</v>
      </c>
      <c r="P9" s="22">
        <v>4178</v>
      </c>
      <c r="Q9" s="22">
        <v>10000</v>
      </c>
      <c r="R9" s="22">
        <v>10000</v>
      </c>
      <c r="S9" s="22">
        <v>10000</v>
      </c>
      <c r="T9" s="22">
        <v>10000</v>
      </c>
      <c r="U9" s="22">
        <f>2497+8326+3703</f>
        <v>14526</v>
      </c>
      <c r="V9" s="22">
        <v>16349</v>
      </c>
      <c r="W9" s="22">
        <v>6506</v>
      </c>
      <c r="X9" s="22">
        <f>5000+3552</f>
        <v>8552</v>
      </c>
      <c r="Y9" s="22">
        <v>3000</v>
      </c>
      <c r="Z9" s="22"/>
      <c r="AA9" s="22"/>
      <c r="AB9" s="22">
        <v>5818</v>
      </c>
      <c r="AC9" s="22">
        <v>14000</v>
      </c>
      <c r="AD9" s="22">
        <v>16000</v>
      </c>
      <c r="AE9" s="22">
        <v>20000</v>
      </c>
      <c r="AF9" s="22">
        <f>4000+4222+631+2585</f>
        <v>11438</v>
      </c>
      <c r="AG9" s="22">
        <v>11638</v>
      </c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3"/>
      <c r="AU9" s="23"/>
      <c r="AV9" s="23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4">
        <f t="shared" si="0"/>
        <v>239843</v>
      </c>
      <c r="BH9" s="25">
        <f t="shared" si="1"/>
        <v>36711</v>
      </c>
      <c r="BI9" s="26"/>
      <c r="BJ9" s="26"/>
      <c r="BK9" s="27"/>
      <c r="BL9" s="27"/>
    </row>
    <row r="10" spans="1:66" x14ac:dyDescent="0.2">
      <c r="A10" s="21">
        <f>+BaseloadMarkets!A10</f>
        <v>36712</v>
      </c>
      <c r="B10" s="22">
        <v>3980</v>
      </c>
      <c r="C10" s="22">
        <f>27378-3980</f>
        <v>23398</v>
      </c>
      <c r="D10" s="22">
        <v>30000</v>
      </c>
      <c r="E10" s="22">
        <v>10000</v>
      </c>
      <c r="F10" s="22">
        <v>10000</v>
      </c>
      <c r="G10" s="22">
        <v>5000</v>
      </c>
      <c r="H10" s="22">
        <v>5000</v>
      </c>
      <c r="I10" s="22">
        <v>968</v>
      </c>
      <c r="J10" s="22">
        <v>4193</v>
      </c>
      <c r="K10" s="22">
        <v>4000</v>
      </c>
      <c r="L10" s="22">
        <v>10000</v>
      </c>
      <c r="M10" s="22"/>
      <c r="N10" s="22">
        <v>2500</v>
      </c>
      <c r="O10" s="22">
        <v>5000</v>
      </c>
      <c r="P10" s="22">
        <v>4178</v>
      </c>
      <c r="Q10" s="22">
        <v>10000</v>
      </c>
      <c r="R10" s="22">
        <v>10000</v>
      </c>
      <c r="S10" s="22">
        <v>10000</v>
      </c>
      <c r="T10" s="22">
        <v>10000</v>
      </c>
      <c r="U10" s="22">
        <f>2604+2430+5611</f>
        <v>10645</v>
      </c>
      <c r="V10" s="22">
        <v>20000</v>
      </c>
      <c r="W10" s="22">
        <v>5948</v>
      </c>
      <c r="X10" s="22">
        <f>5000+3240</f>
        <v>8240</v>
      </c>
      <c r="Y10" s="22">
        <v>3000</v>
      </c>
      <c r="Z10" s="22"/>
      <c r="AA10" s="22"/>
      <c r="AB10" s="22">
        <v>5774</v>
      </c>
      <c r="AC10" s="22"/>
      <c r="AD10" s="22">
        <v>16000</v>
      </c>
      <c r="AE10" s="22">
        <v>20000</v>
      </c>
      <c r="AF10" s="22">
        <v>11381</v>
      </c>
      <c r="AG10" s="22">
        <v>11551</v>
      </c>
      <c r="AH10" s="22"/>
      <c r="AI10" s="22"/>
      <c r="AJ10" s="22"/>
      <c r="AK10" s="22"/>
      <c r="AL10" s="22">
        <v>17044</v>
      </c>
      <c r="AM10" s="22"/>
      <c r="AN10" s="22"/>
      <c r="AO10" s="22"/>
      <c r="AP10" s="22"/>
      <c r="AQ10" s="22"/>
      <c r="AR10" s="22"/>
      <c r="AS10" s="22"/>
      <c r="AT10" s="23"/>
      <c r="AU10" s="23"/>
      <c r="AV10" s="23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4">
        <f t="shared" si="0"/>
        <v>287800</v>
      </c>
      <c r="BH10" s="25">
        <f t="shared" si="1"/>
        <v>36712</v>
      </c>
      <c r="BI10" s="26"/>
      <c r="BJ10" s="26"/>
      <c r="BK10" s="27"/>
      <c r="BL10" s="27"/>
    </row>
    <row r="11" spans="1:66" x14ac:dyDescent="0.2">
      <c r="A11" s="21">
        <f>+BaseloadMarkets!A11</f>
        <v>36713</v>
      </c>
      <c r="B11" s="22">
        <v>3981</v>
      </c>
      <c r="C11" s="22">
        <f>4890-1</f>
        <v>4889</v>
      </c>
      <c r="D11" s="22">
        <v>30000</v>
      </c>
      <c r="E11" s="22">
        <v>10000</v>
      </c>
      <c r="F11" s="22">
        <v>10000</v>
      </c>
      <c r="G11" s="22">
        <v>5000</v>
      </c>
      <c r="H11" s="22">
        <v>5000</v>
      </c>
      <c r="I11" s="22">
        <v>887</v>
      </c>
      <c r="J11" s="22">
        <v>3926</v>
      </c>
      <c r="K11" s="22">
        <v>4000</v>
      </c>
      <c r="L11" s="22">
        <v>10000</v>
      </c>
      <c r="M11" s="22"/>
      <c r="N11" s="22">
        <v>2290</v>
      </c>
      <c r="O11" s="22">
        <v>5000</v>
      </c>
      <c r="P11" s="22">
        <v>4178</v>
      </c>
      <c r="Q11" s="22">
        <v>6091</v>
      </c>
      <c r="R11" s="22">
        <v>6091</v>
      </c>
      <c r="S11" s="22">
        <v>6091</v>
      </c>
      <c r="T11" s="22">
        <v>6091</v>
      </c>
      <c r="U11" s="22">
        <f>5936+2861+2720</f>
        <v>11517</v>
      </c>
      <c r="V11" s="22">
        <v>12179</v>
      </c>
      <c r="W11" s="22">
        <f>3055+3055</f>
        <v>6110</v>
      </c>
      <c r="X11" s="22">
        <v>6350</v>
      </c>
      <c r="Y11" s="22">
        <v>3000</v>
      </c>
      <c r="Z11" s="22"/>
      <c r="AA11" s="22"/>
      <c r="AB11" s="22"/>
      <c r="AC11" s="22"/>
      <c r="AD11" s="22"/>
      <c r="AE11" s="22"/>
      <c r="AF11" s="22"/>
      <c r="AG11" s="22">
        <v>5946</v>
      </c>
      <c r="AH11" s="22"/>
      <c r="AI11" s="22">
        <v>20000</v>
      </c>
      <c r="AJ11" s="22">
        <v>10000</v>
      </c>
      <c r="AK11" s="22"/>
      <c r="AL11" s="22"/>
      <c r="AM11" s="22"/>
      <c r="AN11" s="22"/>
      <c r="AO11" s="22"/>
      <c r="AP11" s="22"/>
      <c r="AQ11" s="22"/>
      <c r="AR11" s="22"/>
      <c r="AS11" s="22"/>
      <c r="AT11" s="23"/>
      <c r="AU11" s="23"/>
      <c r="AV11" s="23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4">
        <f t="shared" si="0"/>
        <v>198617</v>
      </c>
      <c r="BH11" s="25">
        <f t="shared" si="1"/>
        <v>36713</v>
      </c>
      <c r="BI11" s="26"/>
      <c r="BJ11" s="26"/>
      <c r="BK11" s="27"/>
      <c r="BL11" s="27"/>
    </row>
    <row r="12" spans="1:66" x14ac:dyDescent="0.2">
      <c r="A12" s="21">
        <f>+BaseloadMarkets!A12</f>
        <v>36714</v>
      </c>
      <c r="B12" s="22">
        <v>3981</v>
      </c>
      <c r="C12" s="22">
        <f>21980-3981</f>
        <v>17999</v>
      </c>
      <c r="D12" s="22">
        <v>30000</v>
      </c>
      <c r="E12" s="22">
        <v>10000</v>
      </c>
      <c r="F12" s="22">
        <v>10000</v>
      </c>
      <c r="G12" s="22">
        <v>5000</v>
      </c>
      <c r="H12" s="22">
        <v>5000</v>
      </c>
      <c r="I12" s="22">
        <v>968</v>
      </c>
      <c r="J12" s="22">
        <v>4189</v>
      </c>
      <c r="K12" s="22">
        <v>4000</v>
      </c>
      <c r="L12" s="22">
        <v>10000</v>
      </c>
      <c r="M12" s="22">
        <v>6777</v>
      </c>
      <c r="N12" s="22">
        <v>2497</v>
      </c>
      <c r="O12" s="22">
        <v>5000</v>
      </c>
      <c r="P12" s="22">
        <v>4178</v>
      </c>
      <c r="Q12" s="22">
        <v>10000</v>
      </c>
      <c r="R12" s="22">
        <v>10000</v>
      </c>
      <c r="S12" s="22">
        <v>10000</v>
      </c>
      <c r="T12" s="22">
        <v>10000</v>
      </c>
      <c r="U12" s="22">
        <f>6572+3130+2895</f>
        <v>12597</v>
      </c>
      <c r="V12" s="22">
        <v>20000</v>
      </c>
      <c r="W12" s="22">
        <f>3369+3369</f>
        <v>6738</v>
      </c>
      <c r="X12" s="22">
        <v>2922</v>
      </c>
      <c r="Y12" s="22">
        <v>3000</v>
      </c>
      <c r="Z12" s="22">
        <v>2000</v>
      </c>
      <c r="AA12" s="22"/>
      <c r="AB12" s="22">
        <v>20000</v>
      </c>
      <c r="AC12" s="22"/>
      <c r="AD12" s="22"/>
      <c r="AE12" s="22"/>
      <c r="AF12" s="22"/>
      <c r="AG12" s="22"/>
      <c r="AH12" s="22"/>
      <c r="AI12" s="22"/>
      <c r="AJ12" s="22"/>
      <c r="AK12" s="22">
        <v>2955</v>
      </c>
      <c r="AL12" s="22"/>
      <c r="AM12" s="22"/>
      <c r="AN12" s="22"/>
      <c r="AO12" s="22"/>
      <c r="AP12" s="22"/>
      <c r="AQ12" s="22"/>
      <c r="AR12" s="22"/>
      <c r="AS12" s="22"/>
      <c r="AT12" s="23"/>
      <c r="AU12" s="23"/>
      <c r="AV12" s="23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4">
        <f t="shared" si="0"/>
        <v>229801</v>
      </c>
      <c r="BH12" s="25">
        <f t="shared" si="1"/>
        <v>36714</v>
      </c>
      <c r="BI12" s="26"/>
      <c r="BJ12" s="26"/>
      <c r="BK12" s="27"/>
      <c r="BL12" s="27"/>
    </row>
    <row r="13" spans="1:66" x14ac:dyDescent="0.2">
      <c r="A13" s="21">
        <f>+BaseloadMarkets!A13</f>
        <v>36715</v>
      </c>
      <c r="B13" s="22">
        <v>3980</v>
      </c>
      <c r="C13" s="22"/>
      <c r="D13" s="22">
        <v>0</v>
      </c>
      <c r="E13" s="22">
        <v>10000</v>
      </c>
      <c r="F13" s="22">
        <v>10000</v>
      </c>
      <c r="G13" s="22">
        <v>5000</v>
      </c>
      <c r="H13" s="22">
        <v>5000</v>
      </c>
      <c r="I13" s="22">
        <v>876</v>
      </c>
      <c r="J13" s="22">
        <v>3890</v>
      </c>
      <c r="K13" s="22">
        <v>4000</v>
      </c>
      <c r="L13" s="22">
        <v>10000</v>
      </c>
      <c r="M13" s="22">
        <v>6141</v>
      </c>
      <c r="N13" s="22">
        <v>0</v>
      </c>
      <c r="O13" s="22">
        <v>5000</v>
      </c>
      <c r="P13" s="22">
        <v>4178</v>
      </c>
      <c r="Q13" s="22">
        <v>10000</v>
      </c>
      <c r="R13" s="22">
        <v>10000</v>
      </c>
      <c r="S13" s="22">
        <v>10000</v>
      </c>
      <c r="T13" s="22">
        <v>10000</v>
      </c>
      <c r="U13" s="22">
        <f>6820+3168+2931</f>
        <v>12919</v>
      </c>
      <c r="V13" s="22">
        <v>20000</v>
      </c>
      <c r="W13" s="22">
        <f>2976+2976</f>
        <v>5952</v>
      </c>
      <c r="X13" s="22">
        <v>6229</v>
      </c>
      <c r="Y13" s="22">
        <v>3000</v>
      </c>
      <c r="Z13" s="22">
        <v>2000</v>
      </c>
      <c r="AA13" s="22"/>
      <c r="AB13" s="22">
        <v>20000</v>
      </c>
      <c r="AC13" s="22"/>
      <c r="AD13" s="22"/>
      <c r="AE13" s="22"/>
      <c r="AF13" s="22"/>
      <c r="AG13" s="22"/>
      <c r="AH13" s="22"/>
      <c r="AI13" s="22"/>
      <c r="AJ13" s="22"/>
      <c r="AK13" s="22">
        <v>2675</v>
      </c>
      <c r="AL13" s="22"/>
      <c r="AM13" s="22"/>
      <c r="AN13" s="22"/>
      <c r="AO13" s="22"/>
      <c r="AP13" s="22"/>
      <c r="AQ13" s="22"/>
      <c r="AR13" s="22"/>
      <c r="AS13" s="22"/>
      <c r="AT13" s="23"/>
      <c r="AU13" s="23"/>
      <c r="AV13" s="23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4">
        <f t="shared" si="0"/>
        <v>180840</v>
      </c>
      <c r="BH13" s="25">
        <f t="shared" si="1"/>
        <v>36715</v>
      </c>
      <c r="BI13" s="26"/>
      <c r="BJ13" s="26"/>
      <c r="BK13" s="27"/>
      <c r="BL13" s="27"/>
    </row>
    <row r="14" spans="1:66" x14ac:dyDescent="0.2">
      <c r="A14" s="21">
        <f>+BaseloadMarkets!A14</f>
        <v>36716</v>
      </c>
      <c r="B14" s="22">
        <v>3980</v>
      </c>
      <c r="C14" s="22"/>
      <c r="D14" s="22">
        <v>0</v>
      </c>
      <c r="E14" s="22">
        <v>10000</v>
      </c>
      <c r="F14" s="22">
        <v>10000</v>
      </c>
      <c r="G14" s="22">
        <v>5000</v>
      </c>
      <c r="H14" s="22">
        <v>5000</v>
      </c>
      <c r="I14" s="22">
        <v>968</v>
      </c>
      <c r="J14" s="22">
        <v>4193</v>
      </c>
      <c r="K14" s="22">
        <v>4000</v>
      </c>
      <c r="L14" s="22">
        <v>10000</v>
      </c>
      <c r="M14" s="22">
        <v>6785</v>
      </c>
      <c r="N14" s="22">
        <v>0</v>
      </c>
      <c r="O14" s="22">
        <v>5000</v>
      </c>
      <c r="P14" s="22">
        <v>4178</v>
      </c>
      <c r="Q14" s="22">
        <v>10000</v>
      </c>
      <c r="R14" s="22">
        <v>10000</v>
      </c>
      <c r="S14" s="22">
        <v>10000</v>
      </c>
      <c r="T14" s="22">
        <v>10000</v>
      </c>
      <c r="U14" s="22">
        <f>4757+2292+2119</f>
        <v>9168</v>
      </c>
      <c r="V14" s="22">
        <v>20000</v>
      </c>
      <c r="W14" s="22">
        <f>3114+3114</f>
        <v>6228</v>
      </c>
      <c r="X14" s="22">
        <v>6515</v>
      </c>
      <c r="Y14" s="22">
        <v>3000</v>
      </c>
      <c r="Z14" s="22">
        <v>2000</v>
      </c>
      <c r="AA14" s="22"/>
      <c r="AB14" s="22">
        <v>20000</v>
      </c>
      <c r="AC14" s="22"/>
      <c r="AD14" s="22"/>
      <c r="AE14" s="22"/>
      <c r="AF14" s="22"/>
      <c r="AG14" s="22"/>
      <c r="AH14" s="22"/>
      <c r="AI14" s="22"/>
      <c r="AJ14" s="22"/>
      <c r="AK14" s="22">
        <v>2955</v>
      </c>
      <c r="AL14" s="22"/>
      <c r="AM14" s="22"/>
      <c r="AN14" s="22"/>
      <c r="AO14" s="22"/>
      <c r="AP14" s="22"/>
      <c r="AQ14" s="22"/>
      <c r="AR14" s="22"/>
      <c r="AS14" s="22"/>
      <c r="AT14" s="23"/>
      <c r="AU14" s="23"/>
      <c r="AV14" s="23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4">
        <f t="shared" si="0"/>
        <v>178970</v>
      </c>
      <c r="BH14" s="25">
        <f t="shared" si="1"/>
        <v>36716</v>
      </c>
      <c r="BI14" s="26"/>
      <c r="BJ14" s="26"/>
      <c r="BK14" s="27"/>
      <c r="BL14" s="27"/>
    </row>
    <row r="15" spans="1:66" x14ac:dyDescent="0.2">
      <c r="A15" s="21">
        <f>+BaseloadMarkets!A15</f>
        <v>36717</v>
      </c>
      <c r="B15" s="22">
        <v>3980</v>
      </c>
      <c r="C15" s="22"/>
      <c r="D15" s="22">
        <v>30000</v>
      </c>
      <c r="E15" s="22">
        <v>10000</v>
      </c>
      <c r="F15" s="22">
        <v>10000</v>
      </c>
      <c r="G15" s="22">
        <v>5000</v>
      </c>
      <c r="H15" s="22">
        <v>5000</v>
      </c>
      <c r="I15" s="22">
        <v>968</v>
      </c>
      <c r="J15" s="22">
        <v>4193</v>
      </c>
      <c r="K15" s="22">
        <v>4000</v>
      </c>
      <c r="L15" s="22">
        <v>10000</v>
      </c>
      <c r="M15" s="22">
        <v>6785</v>
      </c>
      <c r="N15" s="22">
        <v>2500</v>
      </c>
      <c r="O15" s="22">
        <v>5000</v>
      </c>
      <c r="P15" s="22">
        <v>4178</v>
      </c>
      <c r="Q15" s="22">
        <v>10000</v>
      </c>
      <c r="R15" s="22">
        <v>10000</v>
      </c>
      <c r="S15" s="22">
        <v>10000</v>
      </c>
      <c r="T15" s="22">
        <v>10000</v>
      </c>
      <c r="U15" s="22">
        <f>2489+2301+5165</f>
        <v>9955</v>
      </c>
      <c r="V15" s="22">
        <v>20000</v>
      </c>
      <c r="W15" s="22">
        <f>2670+2670</f>
        <v>5340</v>
      </c>
      <c r="X15" s="22">
        <v>4668</v>
      </c>
      <c r="Y15" s="22">
        <v>3000</v>
      </c>
      <c r="Z15" s="22">
        <v>2000</v>
      </c>
      <c r="AA15" s="22"/>
      <c r="AB15" s="22">
        <v>20000</v>
      </c>
      <c r="AC15" s="22"/>
      <c r="AD15" s="22"/>
      <c r="AE15" s="22"/>
      <c r="AF15" s="22"/>
      <c r="AG15" s="22"/>
      <c r="AH15" s="22"/>
      <c r="AI15" s="22"/>
      <c r="AJ15" s="22"/>
      <c r="AK15" s="22">
        <v>2955</v>
      </c>
      <c r="AL15" s="22"/>
      <c r="AM15" s="22"/>
      <c r="AN15" s="22"/>
      <c r="AO15" s="22"/>
      <c r="AP15" s="22"/>
      <c r="AQ15" s="22"/>
      <c r="AR15" s="22"/>
      <c r="AS15" s="22"/>
      <c r="AT15" s="23"/>
      <c r="AU15" s="23"/>
      <c r="AV15" s="23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4">
        <f t="shared" si="0"/>
        <v>209522</v>
      </c>
      <c r="BH15" s="25">
        <f t="shared" si="1"/>
        <v>36717</v>
      </c>
      <c r="BI15" s="26"/>
      <c r="BJ15" s="26"/>
      <c r="BK15" s="27"/>
      <c r="BL15" s="27"/>
    </row>
    <row r="16" spans="1:66" x14ac:dyDescent="0.2">
      <c r="A16" s="21">
        <f>+BaseloadMarkets!A16</f>
        <v>36718</v>
      </c>
      <c r="B16" s="22">
        <v>3980</v>
      </c>
      <c r="C16" s="22">
        <f>19802-3980</f>
        <v>15822</v>
      </c>
      <c r="D16" s="22">
        <v>30000</v>
      </c>
      <c r="E16" s="22">
        <v>10000</v>
      </c>
      <c r="F16" s="22">
        <v>10000</v>
      </c>
      <c r="G16" s="22">
        <v>5000</v>
      </c>
      <c r="H16" s="22">
        <v>5000</v>
      </c>
      <c r="I16" s="22">
        <v>968</v>
      </c>
      <c r="J16" s="22">
        <v>4193</v>
      </c>
      <c r="K16" s="22">
        <v>4000</v>
      </c>
      <c r="L16" s="22">
        <v>10000</v>
      </c>
      <c r="M16" s="22">
        <v>6785</v>
      </c>
      <c r="N16" s="22">
        <v>2500</v>
      </c>
      <c r="O16" s="22">
        <v>5000</v>
      </c>
      <c r="P16" s="22">
        <v>4178</v>
      </c>
      <c r="Q16" s="22">
        <v>10000</v>
      </c>
      <c r="R16" s="22">
        <v>10000</v>
      </c>
      <c r="S16" s="22">
        <v>10000</v>
      </c>
      <c r="T16" s="22">
        <v>10000</v>
      </c>
      <c r="U16" s="22">
        <f>5760+2633+2476</f>
        <v>10869</v>
      </c>
      <c r="V16" s="22">
        <v>20000</v>
      </c>
      <c r="W16" s="22">
        <f>2907+2907</f>
        <v>5814</v>
      </c>
      <c r="X16" s="22">
        <v>5859</v>
      </c>
      <c r="Y16" s="22">
        <v>3000</v>
      </c>
      <c r="Z16" s="22">
        <v>2000</v>
      </c>
      <c r="AA16" s="22"/>
      <c r="AB16" s="22"/>
      <c r="AC16" s="22"/>
      <c r="AD16" s="22"/>
      <c r="AE16" s="22">
        <v>10000</v>
      </c>
      <c r="AF16" s="22">
        <v>20000</v>
      </c>
      <c r="AG16" s="22"/>
      <c r="AH16" s="22"/>
      <c r="AI16" s="22"/>
      <c r="AJ16" s="22"/>
      <c r="AK16" s="22">
        <v>0</v>
      </c>
      <c r="AL16" s="22"/>
      <c r="AM16" s="22">
        <v>10000</v>
      </c>
      <c r="AN16" s="22">
        <v>0</v>
      </c>
      <c r="AO16" s="22">
        <v>10000</v>
      </c>
      <c r="AP16" s="22">
        <v>18000</v>
      </c>
      <c r="AQ16" s="22"/>
      <c r="AR16" s="22"/>
      <c r="AS16" s="22"/>
      <c r="AT16" s="23"/>
      <c r="AU16" s="23"/>
      <c r="AV16" s="23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4">
        <f t="shared" si="0"/>
        <v>272968</v>
      </c>
      <c r="BH16" s="25">
        <f t="shared" si="1"/>
        <v>36718</v>
      </c>
      <c r="BI16" s="26"/>
      <c r="BJ16" s="26"/>
      <c r="BK16" s="27"/>
      <c r="BL16" s="27"/>
    </row>
    <row r="17" spans="1:64" x14ac:dyDescent="0.2">
      <c r="A17" s="21">
        <f>+BaseloadMarkets!A17</f>
        <v>36719</v>
      </c>
      <c r="B17" s="22">
        <v>3980</v>
      </c>
      <c r="C17" s="22">
        <v>0</v>
      </c>
      <c r="D17" s="22">
        <v>30000</v>
      </c>
      <c r="E17" s="22">
        <v>10000</v>
      </c>
      <c r="F17" s="22">
        <v>10000</v>
      </c>
      <c r="G17" s="22">
        <v>5000</v>
      </c>
      <c r="H17" s="22">
        <v>5000</v>
      </c>
      <c r="I17" s="22">
        <v>968</v>
      </c>
      <c r="J17" s="22">
        <v>4193</v>
      </c>
      <c r="K17" s="22">
        <v>4000</v>
      </c>
      <c r="L17" s="22">
        <v>10000</v>
      </c>
      <c r="M17" s="22">
        <v>6785</v>
      </c>
      <c r="N17" s="22">
        <v>2500</v>
      </c>
      <c r="O17" s="22">
        <v>5000</v>
      </c>
      <c r="P17" s="22">
        <v>4178</v>
      </c>
      <c r="Q17" s="22">
        <v>10000</v>
      </c>
      <c r="R17" s="22">
        <v>10000</v>
      </c>
      <c r="S17" s="22">
        <v>10000</v>
      </c>
      <c r="T17" s="22">
        <v>10000</v>
      </c>
      <c r="U17" s="22">
        <f>6285+2846+2793</f>
        <v>11924</v>
      </c>
      <c r="V17" s="22">
        <v>20000</v>
      </c>
      <c r="W17" s="22">
        <f>2409+2409</f>
        <v>4818</v>
      </c>
      <c r="X17" s="22">
        <v>4730</v>
      </c>
      <c r="Y17" s="22">
        <v>3000</v>
      </c>
      <c r="Z17" s="22">
        <v>1204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>
        <v>2955</v>
      </c>
      <c r="AL17" s="22"/>
      <c r="AM17" s="22"/>
      <c r="AN17" s="22"/>
      <c r="AO17" s="22"/>
      <c r="AP17" s="22"/>
      <c r="AQ17" s="22">
        <v>3033</v>
      </c>
      <c r="AR17" s="22"/>
      <c r="AS17" s="22"/>
      <c r="AT17" s="23"/>
      <c r="AU17" s="23"/>
      <c r="AV17" s="23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4">
        <f t="shared" si="0"/>
        <v>193268</v>
      </c>
      <c r="BH17" s="25">
        <f t="shared" si="1"/>
        <v>36719</v>
      </c>
      <c r="BI17" s="26"/>
      <c r="BJ17" s="26"/>
      <c r="BK17" s="27"/>
      <c r="BL17" s="27"/>
    </row>
    <row r="18" spans="1:64" x14ac:dyDescent="0.2">
      <c r="A18" s="21">
        <f>+BaseloadMarkets!A18</f>
        <v>36720</v>
      </c>
      <c r="B18" s="22">
        <v>3980</v>
      </c>
      <c r="C18" s="22">
        <v>4646</v>
      </c>
      <c r="D18" s="22">
        <v>30000</v>
      </c>
      <c r="E18" s="22">
        <v>10000</v>
      </c>
      <c r="F18" s="22">
        <v>10000</v>
      </c>
      <c r="G18" s="22">
        <v>5000</v>
      </c>
      <c r="H18" s="22">
        <v>5000</v>
      </c>
      <c r="I18" s="22">
        <v>968</v>
      </c>
      <c r="J18" s="22">
        <v>4193</v>
      </c>
      <c r="K18" s="22">
        <v>4000</v>
      </c>
      <c r="L18" s="22">
        <v>10000</v>
      </c>
      <c r="M18" s="22">
        <v>6785</v>
      </c>
      <c r="N18" s="22">
        <v>2500</v>
      </c>
      <c r="O18" s="22">
        <v>5000</v>
      </c>
      <c r="P18" s="22">
        <v>4178</v>
      </c>
      <c r="Q18" s="22">
        <v>10000</v>
      </c>
      <c r="R18" s="22">
        <v>10000</v>
      </c>
      <c r="S18" s="22">
        <v>10000</v>
      </c>
      <c r="T18" s="22">
        <v>10000</v>
      </c>
      <c r="U18" s="22">
        <f>6858+3059+2942</f>
        <v>12859</v>
      </c>
      <c r="V18" s="22">
        <v>20000</v>
      </c>
      <c r="W18" s="22">
        <f>2814+2814</f>
        <v>5628</v>
      </c>
      <c r="X18" s="22">
        <v>5822</v>
      </c>
      <c r="Y18" s="22">
        <v>3000</v>
      </c>
      <c r="Z18" s="22">
        <v>1158</v>
      </c>
      <c r="AA18" s="22"/>
      <c r="AB18" s="22">
        <v>9796</v>
      </c>
      <c r="AC18" s="22"/>
      <c r="AD18" s="22"/>
      <c r="AE18" s="22"/>
      <c r="AF18" s="22">
        <v>15000</v>
      </c>
      <c r="AG18" s="22"/>
      <c r="AH18" s="22"/>
      <c r="AI18" s="22"/>
      <c r="AJ18" s="22"/>
      <c r="AK18" s="22">
        <v>2955</v>
      </c>
      <c r="AL18" s="22"/>
      <c r="AM18" s="22"/>
      <c r="AN18" s="22">
        <v>5461</v>
      </c>
      <c r="AO18" s="22"/>
      <c r="AP18" s="22"/>
      <c r="AQ18" s="22"/>
      <c r="AR18" s="22">
        <v>10000</v>
      </c>
      <c r="AS18" s="22">
        <v>20000</v>
      </c>
      <c r="AT18" s="23">
        <v>30000</v>
      </c>
      <c r="AU18" s="23"/>
      <c r="AV18" s="23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4">
        <f t="shared" si="0"/>
        <v>287929</v>
      </c>
      <c r="BH18" s="25">
        <f t="shared" si="1"/>
        <v>36720</v>
      </c>
      <c r="BI18" s="26"/>
      <c r="BJ18" s="26"/>
      <c r="BK18" s="27"/>
      <c r="BL18" s="27"/>
    </row>
    <row r="19" spans="1:64" s="16" customFormat="1" x14ac:dyDescent="0.2">
      <c r="A19" s="21">
        <f>+BaseloadMarkets!A19</f>
        <v>36721</v>
      </c>
      <c r="B19" s="22">
        <v>3980</v>
      </c>
      <c r="C19" s="22">
        <v>18508</v>
      </c>
      <c r="D19" s="22">
        <v>30000</v>
      </c>
      <c r="E19" s="22">
        <v>10000</v>
      </c>
      <c r="F19" s="22">
        <v>10000</v>
      </c>
      <c r="G19" s="22">
        <v>5000</v>
      </c>
      <c r="H19" s="22">
        <v>5000</v>
      </c>
      <c r="I19" s="22">
        <v>968</v>
      </c>
      <c r="J19" s="22">
        <v>4193</v>
      </c>
      <c r="K19" s="22">
        <v>4000</v>
      </c>
      <c r="L19" s="22">
        <v>10000</v>
      </c>
      <c r="M19" s="22">
        <v>6785</v>
      </c>
      <c r="N19" s="22">
        <v>2500</v>
      </c>
      <c r="O19" s="22">
        <v>5000</v>
      </c>
      <c r="P19" s="22">
        <v>4178</v>
      </c>
      <c r="Q19" s="22">
        <v>10000</v>
      </c>
      <c r="R19" s="22">
        <v>10000</v>
      </c>
      <c r="S19" s="22">
        <v>10000</v>
      </c>
      <c r="T19" s="22">
        <v>10000</v>
      </c>
      <c r="U19" s="22">
        <f>5747+2737+2561</f>
        <v>11045</v>
      </c>
      <c r="V19" s="22">
        <v>20000</v>
      </c>
      <c r="W19" s="22">
        <f>3273+3273</f>
        <v>6546</v>
      </c>
      <c r="X19" s="22">
        <v>6582</v>
      </c>
      <c r="Y19" s="22">
        <v>3000</v>
      </c>
      <c r="Z19" s="22">
        <v>1196</v>
      </c>
      <c r="AA19" s="22"/>
      <c r="AB19" s="22"/>
      <c r="AC19" s="22"/>
      <c r="AD19" s="22"/>
      <c r="AE19" s="22">
        <v>0</v>
      </c>
      <c r="AF19" s="22"/>
      <c r="AG19" s="22"/>
      <c r="AH19" s="22"/>
      <c r="AI19" s="22"/>
      <c r="AJ19" s="22"/>
      <c r="AK19" s="22"/>
      <c r="AL19" s="22"/>
      <c r="AM19" s="22"/>
      <c r="AN19" s="22">
        <v>5461</v>
      </c>
      <c r="AO19" s="22"/>
      <c r="AP19" s="22">
        <v>0</v>
      </c>
      <c r="AQ19" s="22"/>
      <c r="AR19" s="22"/>
      <c r="AS19" s="22"/>
      <c r="AT19" s="23"/>
      <c r="AU19" s="22">
        <v>31000</v>
      </c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4">
        <f t="shared" si="0"/>
        <v>244942</v>
      </c>
      <c r="BH19" s="25">
        <f t="shared" si="1"/>
        <v>36721</v>
      </c>
      <c r="BI19" s="26"/>
      <c r="BJ19" s="26"/>
      <c r="BK19" s="27"/>
      <c r="BL19" s="27"/>
    </row>
    <row r="20" spans="1:64" x14ac:dyDescent="0.2">
      <c r="A20" s="21">
        <f>+BaseloadMarkets!A20</f>
        <v>36722</v>
      </c>
      <c r="B20" s="22">
        <v>3980</v>
      </c>
      <c r="C20" s="22"/>
      <c r="D20" s="22">
        <v>0</v>
      </c>
      <c r="E20" s="22">
        <v>10000</v>
      </c>
      <c r="F20" s="22">
        <v>10000</v>
      </c>
      <c r="G20" s="22">
        <v>5000</v>
      </c>
      <c r="H20" s="22">
        <v>5000</v>
      </c>
      <c r="I20" s="22">
        <v>968</v>
      </c>
      <c r="J20" s="22">
        <v>4193</v>
      </c>
      <c r="K20" s="22">
        <v>4000</v>
      </c>
      <c r="L20" s="22">
        <v>10000</v>
      </c>
      <c r="M20" s="22">
        <v>6785</v>
      </c>
      <c r="N20" s="22">
        <v>0</v>
      </c>
      <c r="O20" s="22">
        <v>5000</v>
      </c>
      <c r="P20" s="22">
        <v>4178</v>
      </c>
      <c r="Q20" s="22">
        <v>10000</v>
      </c>
      <c r="R20" s="22">
        <v>10000</v>
      </c>
      <c r="S20" s="22">
        <v>10000</v>
      </c>
      <c r="T20" s="22">
        <v>10000</v>
      </c>
      <c r="U20" s="22">
        <f>5960+2860+2658</f>
        <v>11478</v>
      </c>
      <c r="V20" s="22">
        <v>20000</v>
      </c>
      <c r="W20" s="22">
        <f>3251+3251</f>
        <v>6502</v>
      </c>
      <c r="X20" s="22">
        <f>5000+3551</f>
        <v>8551</v>
      </c>
      <c r="Y20" s="22">
        <v>3000</v>
      </c>
      <c r="Z20" s="22">
        <v>1254</v>
      </c>
      <c r="AA20" s="22"/>
      <c r="AB20" s="22"/>
      <c r="AC20" s="22"/>
      <c r="AD20" s="22"/>
      <c r="AE20" s="22">
        <v>10000</v>
      </c>
      <c r="AF20" s="22"/>
      <c r="AG20" s="22"/>
      <c r="AH20" s="22"/>
      <c r="AI20" s="22"/>
      <c r="AJ20" s="22"/>
      <c r="AK20" s="22">
        <v>2955</v>
      </c>
      <c r="AL20" s="22"/>
      <c r="AM20" s="22"/>
      <c r="AN20" s="22"/>
      <c r="AO20" s="22"/>
      <c r="AP20" s="22"/>
      <c r="AQ20" s="22"/>
      <c r="AR20" s="22"/>
      <c r="AS20" s="22"/>
      <c r="AT20" s="23"/>
      <c r="AU20" s="23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4">
        <f t="shared" si="0"/>
        <v>172844</v>
      </c>
      <c r="BH20" s="25">
        <f t="shared" si="1"/>
        <v>36722</v>
      </c>
      <c r="BI20" s="26"/>
      <c r="BJ20" s="26"/>
      <c r="BK20" s="27"/>
      <c r="BL20" s="27"/>
    </row>
    <row r="21" spans="1:64" x14ac:dyDescent="0.2">
      <c r="A21" s="21">
        <f>+BaseloadMarkets!A21</f>
        <v>36723</v>
      </c>
      <c r="B21" s="22">
        <v>3980</v>
      </c>
      <c r="C21" s="22"/>
      <c r="D21" s="22">
        <v>0</v>
      </c>
      <c r="E21" s="22">
        <v>10000</v>
      </c>
      <c r="F21" s="22">
        <v>10000</v>
      </c>
      <c r="G21" s="22">
        <v>5000</v>
      </c>
      <c r="H21" s="22">
        <v>5000</v>
      </c>
      <c r="I21" s="22">
        <v>968</v>
      </c>
      <c r="J21" s="22">
        <v>4193</v>
      </c>
      <c r="K21" s="22">
        <v>4000</v>
      </c>
      <c r="L21" s="22">
        <v>10000</v>
      </c>
      <c r="M21" s="22">
        <v>6785</v>
      </c>
      <c r="N21" s="22">
        <v>0</v>
      </c>
      <c r="O21" s="22">
        <v>5000</v>
      </c>
      <c r="P21" s="22">
        <v>4178</v>
      </c>
      <c r="Q21" s="22">
        <v>10000</v>
      </c>
      <c r="R21" s="22">
        <v>10000</v>
      </c>
      <c r="S21" s="22">
        <v>10000</v>
      </c>
      <c r="T21" s="22">
        <v>10000</v>
      </c>
      <c r="U21" s="22">
        <f>7102+2668+2527</f>
        <v>12297</v>
      </c>
      <c r="V21" s="22">
        <v>20000</v>
      </c>
      <c r="W21" s="22">
        <f>3218+3217</f>
        <v>6435</v>
      </c>
      <c r="X21" s="22">
        <f>5000+3376</f>
        <v>8376</v>
      </c>
      <c r="Y21" s="22">
        <v>3000</v>
      </c>
      <c r="Z21" s="22">
        <v>1291</v>
      </c>
      <c r="AA21" s="22"/>
      <c r="AB21" s="22"/>
      <c r="AC21" s="22"/>
      <c r="AD21" s="22"/>
      <c r="AE21" s="22">
        <v>10000</v>
      </c>
      <c r="AF21" s="22"/>
      <c r="AG21" s="22"/>
      <c r="AH21" s="22"/>
      <c r="AI21" s="22"/>
      <c r="AJ21" s="22"/>
      <c r="AK21" s="22">
        <v>2955</v>
      </c>
      <c r="AL21" s="22"/>
      <c r="AM21" s="22"/>
      <c r="AN21" s="22"/>
      <c r="AO21" s="22"/>
      <c r="AP21" s="22"/>
      <c r="AQ21" s="22"/>
      <c r="AR21" s="22"/>
      <c r="AS21" s="22"/>
      <c r="AT21" s="23"/>
      <c r="AU21" s="23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4">
        <f t="shared" si="0"/>
        <v>173458</v>
      </c>
      <c r="BH21" s="25">
        <f t="shared" si="1"/>
        <v>36723</v>
      </c>
      <c r="BI21" s="26"/>
      <c r="BJ21" s="26"/>
      <c r="BK21" s="27"/>
      <c r="BL21" s="27"/>
    </row>
    <row r="22" spans="1:64" x14ac:dyDescent="0.2">
      <c r="A22" s="21">
        <f>+BaseloadMarkets!A22</f>
        <v>36724</v>
      </c>
      <c r="B22" s="22">
        <v>3980</v>
      </c>
      <c r="C22" s="22"/>
      <c r="D22" s="22">
        <v>30000</v>
      </c>
      <c r="E22" s="22">
        <v>10000</v>
      </c>
      <c r="F22" s="22">
        <v>10000</v>
      </c>
      <c r="G22" s="22">
        <v>5000</v>
      </c>
      <c r="H22" s="22">
        <v>5000</v>
      </c>
      <c r="I22" s="22">
        <v>968</v>
      </c>
      <c r="J22" s="22">
        <v>4193</v>
      </c>
      <c r="K22" s="22">
        <v>4000</v>
      </c>
      <c r="L22" s="22">
        <v>10000</v>
      </c>
      <c r="M22" s="22">
        <v>6785</v>
      </c>
      <c r="N22" s="22">
        <v>0</v>
      </c>
      <c r="O22" s="22">
        <v>5000</v>
      </c>
      <c r="P22" s="22">
        <v>4178</v>
      </c>
      <c r="Q22" s="22">
        <v>10000</v>
      </c>
      <c r="R22" s="22">
        <v>10000</v>
      </c>
      <c r="S22" s="22">
        <v>10000</v>
      </c>
      <c r="T22" s="22">
        <v>10000</v>
      </c>
      <c r="U22" s="22">
        <f>5884+2620+2623</f>
        <v>11127</v>
      </c>
      <c r="V22" s="22">
        <v>20000</v>
      </c>
      <c r="W22" s="22">
        <f>3090+3090</f>
        <v>6180</v>
      </c>
      <c r="X22" s="22">
        <f>5000+3332</f>
        <v>8332</v>
      </c>
      <c r="Y22" s="22">
        <v>3000</v>
      </c>
      <c r="Z22" s="22">
        <v>1210</v>
      </c>
      <c r="AA22" s="22">
        <v>14000</v>
      </c>
      <c r="AB22" s="22"/>
      <c r="AC22" s="22"/>
      <c r="AD22" s="22"/>
      <c r="AE22" s="22">
        <v>10000</v>
      </c>
      <c r="AF22" s="22"/>
      <c r="AG22" s="22"/>
      <c r="AH22" s="22"/>
      <c r="AI22" s="22"/>
      <c r="AJ22" s="22"/>
      <c r="AK22" s="22">
        <v>2955</v>
      </c>
      <c r="AL22" s="22"/>
      <c r="AM22" s="22"/>
      <c r="AN22" s="22"/>
      <c r="AO22" s="22"/>
      <c r="AP22" s="22"/>
      <c r="AQ22" s="22"/>
      <c r="AR22" s="22"/>
      <c r="AS22" s="22"/>
      <c r="AT22" s="23"/>
      <c r="AU22" s="23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4">
        <f t="shared" si="0"/>
        <v>215908</v>
      </c>
      <c r="BH22" s="25">
        <f t="shared" si="1"/>
        <v>36724</v>
      </c>
      <c r="BI22" s="26"/>
      <c r="BJ22" s="26"/>
      <c r="BK22" s="27"/>
      <c r="BL22" s="27"/>
    </row>
    <row r="23" spans="1:64" x14ac:dyDescent="0.2">
      <c r="A23" s="21">
        <f>+BaseloadMarkets!A23</f>
        <v>36725</v>
      </c>
      <c r="B23" s="22">
        <v>3980</v>
      </c>
      <c r="C23" s="22">
        <v>14644</v>
      </c>
      <c r="D23" s="22">
        <v>30000</v>
      </c>
      <c r="E23" s="22">
        <v>10000</v>
      </c>
      <c r="F23" s="22">
        <v>10000</v>
      </c>
      <c r="G23" s="22">
        <v>5000</v>
      </c>
      <c r="H23" s="22">
        <v>5000</v>
      </c>
      <c r="I23" s="22">
        <v>968</v>
      </c>
      <c r="J23" s="22">
        <v>4193</v>
      </c>
      <c r="K23" s="22">
        <v>4000</v>
      </c>
      <c r="L23" s="22">
        <v>10000</v>
      </c>
      <c r="M23" s="22">
        <v>14715</v>
      </c>
      <c r="N23" s="22">
        <v>2500</v>
      </c>
      <c r="O23" s="22">
        <v>5000</v>
      </c>
      <c r="P23" s="22">
        <v>4178</v>
      </c>
      <c r="Q23" s="22">
        <v>10000</v>
      </c>
      <c r="R23" s="22">
        <v>10000</v>
      </c>
      <c r="S23" s="22">
        <v>10000</v>
      </c>
      <c r="T23" s="22">
        <v>10000</v>
      </c>
      <c r="U23" s="22">
        <f>6499+2602+2408</f>
        <v>11509</v>
      </c>
      <c r="V23" s="22">
        <v>20000</v>
      </c>
      <c r="W23" s="22">
        <v>10000</v>
      </c>
      <c r="X23" s="22">
        <v>4252</v>
      </c>
      <c r="Y23" s="22">
        <v>3000</v>
      </c>
      <c r="Z23" s="22">
        <v>1167</v>
      </c>
      <c r="AA23" s="22">
        <v>14000</v>
      </c>
      <c r="AB23" s="22"/>
      <c r="AC23" s="22"/>
      <c r="AD23" s="22"/>
      <c r="AE23" s="22"/>
      <c r="AF23" s="22"/>
      <c r="AG23" s="22">
        <v>12860</v>
      </c>
      <c r="AH23" s="22"/>
      <c r="AI23" s="22"/>
      <c r="AJ23" s="22"/>
      <c r="AK23" s="22"/>
      <c r="AL23" s="22"/>
      <c r="AM23" s="22"/>
      <c r="AN23" s="22"/>
      <c r="AO23" s="22"/>
      <c r="AP23" s="22">
        <v>900</v>
      </c>
      <c r="AQ23" s="22"/>
      <c r="AR23" s="22"/>
      <c r="AS23" s="22"/>
      <c r="AT23" s="23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4">
        <f t="shared" si="0"/>
        <v>241866</v>
      </c>
      <c r="BH23" s="25">
        <f t="shared" si="1"/>
        <v>36725</v>
      </c>
      <c r="BI23" s="26"/>
      <c r="BJ23" s="26"/>
      <c r="BK23" s="27"/>
      <c r="BL23" s="27"/>
    </row>
    <row r="24" spans="1:64" x14ac:dyDescent="0.2">
      <c r="A24" s="21">
        <f>+BaseloadMarkets!A24</f>
        <v>36726</v>
      </c>
      <c r="B24" s="22">
        <v>3980</v>
      </c>
      <c r="C24" s="22">
        <v>0</v>
      </c>
      <c r="D24" s="22">
        <v>30000</v>
      </c>
      <c r="E24" s="22">
        <v>10000</v>
      </c>
      <c r="F24" s="22">
        <v>10000</v>
      </c>
      <c r="G24" s="22">
        <v>5000</v>
      </c>
      <c r="H24" s="22">
        <v>5000</v>
      </c>
      <c r="I24" s="22">
        <v>968</v>
      </c>
      <c r="J24" s="22">
        <v>4193</v>
      </c>
      <c r="K24" s="22">
        <v>4000</v>
      </c>
      <c r="L24" s="22">
        <v>10000</v>
      </c>
      <c r="M24" s="22">
        <f>14715</f>
        <v>14715</v>
      </c>
      <c r="N24" s="22">
        <v>2500</v>
      </c>
      <c r="O24" s="22">
        <v>5000</v>
      </c>
      <c r="P24" s="22">
        <v>4178</v>
      </c>
      <c r="Q24" s="22">
        <v>10000</v>
      </c>
      <c r="R24" s="22">
        <v>10000</v>
      </c>
      <c r="S24" s="22">
        <v>10000</v>
      </c>
      <c r="T24" s="22">
        <v>10000</v>
      </c>
      <c r="U24" s="22">
        <f>6103+2940+2261</f>
        <v>11304</v>
      </c>
      <c r="V24" s="22">
        <v>20000</v>
      </c>
      <c r="W24" s="22">
        <v>10000</v>
      </c>
      <c r="X24" s="22">
        <v>6260</v>
      </c>
      <c r="Y24" s="22">
        <v>3000</v>
      </c>
      <c r="Z24" s="22">
        <v>1150</v>
      </c>
      <c r="AA24" s="22">
        <v>14000</v>
      </c>
      <c r="AB24" s="22"/>
      <c r="AC24" s="22"/>
      <c r="AD24" s="22"/>
      <c r="AE24" s="22"/>
      <c r="AF24" s="22"/>
      <c r="AG24" s="22"/>
      <c r="AH24" s="22"/>
      <c r="AI24" s="22">
        <v>60000</v>
      </c>
      <c r="AJ24" s="22"/>
      <c r="AK24" s="22"/>
      <c r="AL24" s="22"/>
      <c r="AM24" s="22"/>
      <c r="AN24" s="22"/>
      <c r="AO24" s="22"/>
      <c r="AP24" s="22">
        <v>1646</v>
      </c>
      <c r="AQ24" s="22">
        <v>4975</v>
      </c>
      <c r="AR24" s="22"/>
      <c r="AS24" s="22"/>
      <c r="AT24" s="23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4">
        <f t="shared" si="0"/>
        <v>281869</v>
      </c>
      <c r="BH24" s="25">
        <f t="shared" si="1"/>
        <v>36726</v>
      </c>
      <c r="BI24" s="26"/>
      <c r="BJ24" s="26"/>
      <c r="BK24" s="27"/>
      <c r="BL24" s="27"/>
    </row>
    <row r="25" spans="1:64" x14ac:dyDescent="0.2">
      <c r="A25" s="21">
        <f>+BaseloadMarkets!A25</f>
        <v>36727</v>
      </c>
      <c r="B25" s="22">
        <v>3980</v>
      </c>
      <c r="C25" s="22">
        <v>0</v>
      </c>
      <c r="D25" s="22">
        <v>30000</v>
      </c>
      <c r="E25" s="22">
        <v>10000</v>
      </c>
      <c r="F25" s="22">
        <v>10000</v>
      </c>
      <c r="G25" s="22">
        <v>5000</v>
      </c>
      <c r="H25" s="22">
        <v>5000</v>
      </c>
      <c r="I25" s="22">
        <v>968</v>
      </c>
      <c r="J25" s="22">
        <v>4193</v>
      </c>
      <c r="K25" s="22">
        <v>4000</v>
      </c>
      <c r="L25" s="22">
        <v>10000</v>
      </c>
      <c r="M25" s="22">
        <v>14715</v>
      </c>
      <c r="N25" s="22">
        <v>2500</v>
      </c>
      <c r="O25" s="22">
        <v>5000</v>
      </c>
      <c r="P25" s="22">
        <v>4178</v>
      </c>
      <c r="Q25" s="22">
        <v>10000</v>
      </c>
      <c r="R25" s="22">
        <v>10000</v>
      </c>
      <c r="S25" s="22">
        <v>10000</v>
      </c>
      <c r="T25" s="22">
        <v>10000</v>
      </c>
      <c r="U25" s="22">
        <f>20000-4625+2806</f>
        <v>18181</v>
      </c>
      <c r="V25" s="22">
        <v>20000</v>
      </c>
      <c r="W25" s="22">
        <v>10000</v>
      </c>
      <c r="X25" s="22">
        <v>6851</v>
      </c>
      <c r="Y25" s="22">
        <v>3000</v>
      </c>
      <c r="Z25" s="22">
        <v>1177</v>
      </c>
      <c r="AA25" s="22">
        <v>14000</v>
      </c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>
        <v>10000</v>
      </c>
      <c r="AS25" s="22"/>
      <c r="AT25" s="23"/>
      <c r="AU25" s="22"/>
      <c r="AV25" s="22">
        <v>5000</v>
      </c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4">
        <f t="shared" si="0"/>
        <v>237743</v>
      </c>
      <c r="BH25" s="25">
        <f t="shared" si="1"/>
        <v>36727</v>
      </c>
      <c r="BI25" s="26"/>
      <c r="BJ25" s="26"/>
      <c r="BK25" s="27"/>
      <c r="BL25" s="27"/>
    </row>
    <row r="26" spans="1:64" x14ac:dyDescent="0.2">
      <c r="A26" s="21">
        <f>+BaseloadMarkets!A26</f>
        <v>36728</v>
      </c>
      <c r="B26" s="22">
        <v>3980</v>
      </c>
      <c r="C26" s="22"/>
      <c r="D26" s="22">
        <v>30000</v>
      </c>
      <c r="E26" s="22">
        <v>10000</v>
      </c>
      <c r="F26" s="22">
        <v>10000</v>
      </c>
      <c r="G26" s="22">
        <v>5000</v>
      </c>
      <c r="H26" s="22">
        <v>5000</v>
      </c>
      <c r="I26" s="22">
        <v>968</v>
      </c>
      <c r="J26" s="22">
        <v>4193</v>
      </c>
      <c r="K26" s="22">
        <v>4000</v>
      </c>
      <c r="L26" s="22">
        <v>10000</v>
      </c>
      <c r="M26" s="22">
        <v>14715</v>
      </c>
      <c r="N26" s="22">
        <v>2500</v>
      </c>
      <c r="O26" s="22">
        <v>5000</v>
      </c>
      <c r="P26" s="22">
        <v>4178</v>
      </c>
      <c r="Q26" s="22">
        <v>10000</v>
      </c>
      <c r="R26" s="22">
        <v>10000</v>
      </c>
      <c r="S26" s="22">
        <v>10000</v>
      </c>
      <c r="T26" s="22">
        <v>10000</v>
      </c>
      <c r="U26" s="22">
        <f>20000-4625+2970</f>
        <v>18345</v>
      </c>
      <c r="V26" s="22">
        <v>20000</v>
      </c>
      <c r="W26" s="22">
        <v>10000</v>
      </c>
      <c r="X26" s="22">
        <v>6920</v>
      </c>
      <c r="Y26" s="22">
        <v>3000</v>
      </c>
      <c r="Z26" s="22">
        <v>1177</v>
      </c>
      <c r="AA26" s="22">
        <v>14000</v>
      </c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3"/>
      <c r="AU26" s="22"/>
      <c r="AV26" s="22">
        <v>5000</v>
      </c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4">
        <f t="shared" si="0"/>
        <v>227976</v>
      </c>
      <c r="BH26" s="25">
        <f t="shared" si="1"/>
        <v>36728</v>
      </c>
      <c r="BI26" s="26"/>
      <c r="BJ26" s="26"/>
      <c r="BK26" s="27"/>
      <c r="BL26" s="27"/>
    </row>
    <row r="27" spans="1:64" x14ac:dyDescent="0.2">
      <c r="A27" s="21">
        <f>+BaseloadMarkets!A27</f>
        <v>36729</v>
      </c>
      <c r="B27" s="22">
        <v>3980</v>
      </c>
      <c r="C27" s="22">
        <v>15696</v>
      </c>
      <c r="D27" s="22">
        <v>0</v>
      </c>
      <c r="E27" s="22">
        <v>10000</v>
      </c>
      <c r="F27" s="22">
        <v>10000</v>
      </c>
      <c r="G27" s="22">
        <v>5000</v>
      </c>
      <c r="H27" s="22">
        <v>5000</v>
      </c>
      <c r="I27" s="22">
        <v>968</v>
      </c>
      <c r="J27" s="22">
        <v>4193</v>
      </c>
      <c r="K27" s="22">
        <v>4000</v>
      </c>
      <c r="L27" s="22">
        <v>10000</v>
      </c>
      <c r="M27" s="22">
        <v>14715</v>
      </c>
      <c r="N27" s="22">
        <v>0</v>
      </c>
      <c r="O27" s="22">
        <v>5000</v>
      </c>
      <c r="P27" s="22">
        <v>4178</v>
      </c>
      <c r="Q27" s="22">
        <v>10000</v>
      </c>
      <c r="R27" s="22">
        <v>10000</v>
      </c>
      <c r="S27" s="22">
        <v>10000</v>
      </c>
      <c r="T27" s="22">
        <v>10000</v>
      </c>
      <c r="U27" s="22">
        <v>20000</v>
      </c>
      <c r="V27" s="22">
        <v>20000</v>
      </c>
      <c r="W27" s="22">
        <v>10000</v>
      </c>
      <c r="X27" s="22">
        <v>10460</v>
      </c>
      <c r="Y27" s="22">
        <v>3000</v>
      </c>
      <c r="Z27" s="22">
        <v>993</v>
      </c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>
        <v>10000</v>
      </c>
      <c r="AS27" s="22"/>
      <c r="AT27" s="23"/>
      <c r="AU27" s="22"/>
      <c r="AV27" s="22">
        <v>5000</v>
      </c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4">
        <f t="shared" si="0"/>
        <v>212183</v>
      </c>
      <c r="BH27" s="25">
        <f t="shared" si="1"/>
        <v>36729</v>
      </c>
      <c r="BI27" s="26"/>
      <c r="BJ27" s="26"/>
      <c r="BK27" s="27"/>
      <c r="BL27" s="27"/>
    </row>
    <row r="28" spans="1:64" x14ac:dyDescent="0.2">
      <c r="A28" s="21">
        <f>+BaseloadMarkets!A28</f>
        <v>36730</v>
      </c>
      <c r="B28" s="22">
        <v>3980</v>
      </c>
      <c r="C28" s="22">
        <v>22945</v>
      </c>
      <c r="D28" s="22">
        <v>0</v>
      </c>
      <c r="E28" s="22">
        <v>10000</v>
      </c>
      <c r="F28" s="22">
        <v>10000</v>
      </c>
      <c r="G28" s="22">
        <v>5000</v>
      </c>
      <c r="H28" s="22">
        <v>5000</v>
      </c>
      <c r="I28" s="22">
        <v>968</v>
      </c>
      <c r="J28" s="22">
        <v>4193</v>
      </c>
      <c r="K28" s="22">
        <v>4000</v>
      </c>
      <c r="L28" s="22">
        <v>10000</v>
      </c>
      <c r="M28" s="22">
        <v>14715</v>
      </c>
      <c r="N28" s="22">
        <v>0</v>
      </c>
      <c r="O28" s="22">
        <v>5000</v>
      </c>
      <c r="P28" s="22">
        <v>4178</v>
      </c>
      <c r="Q28" s="22">
        <v>10000</v>
      </c>
      <c r="R28" s="22">
        <v>10000</v>
      </c>
      <c r="S28" s="22">
        <v>10000</v>
      </c>
      <c r="T28" s="22">
        <v>10000</v>
      </c>
      <c r="U28" s="22">
        <v>20000</v>
      </c>
      <c r="V28" s="22">
        <v>20000</v>
      </c>
      <c r="W28" s="22">
        <v>10000</v>
      </c>
      <c r="X28" s="22">
        <v>10460</v>
      </c>
      <c r="Y28" s="22">
        <v>3000</v>
      </c>
      <c r="Z28" s="22">
        <v>383</v>
      </c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>
        <v>10000</v>
      </c>
      <c r="AS28" s="22"/>
      <c r="AT28" s="23"/>
      <c r="AU28" s="22"/>
      <c r="AV28" s="22">
        <v>5000</v>
      </c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4">
        <f t="shared" si="0"/>
        <v>218822</v>
      </c>
      <c r="BH28" s="25">
        <f t="shared" si="1"/>
        <v>36730</v>
      </c>
      <c r="BI28" s="26"/>
      <c r="BJ28" s="26"/>
      <c r="BK28" s="27"/>
      <c r="BL28" s="27"/>
    </row>
    <row r="29" spans="1:64" x14ac:dyDescent="0.2">
      <c r="A29" s="21">
        <f>+BaseloadMarkets!A29</f>
        <v>36731</v>
      </c>
      <c r="B29" s="22">
        <v>3980</v>
      </c>
      <c r="C29" s="22">
        <v>17052</v>
      </c>
      <c r="D29" s="22">
        <v>30000</v>
      </c>
      <c r="E29" s="22">
        <v>10000</v>
      </c>
      <c r="F29" s="22">
        <v>10000</v>
      </c>
      <c r="G29" s="22">
        <v>5000</v>
      </c>
      <c r="H29" s="22">
        <v>5000</v>
      </c>
      <c r="I29" s="22">
        <f>968-45</f>
        <v>923</v>
      </c>
      <c r="J29" s="22">
        <v>4193</v>
      </c>
      <c r="K29" s="22">
        <v>4000</v>
      </c>
      <c r="L29" s="22">
        <v>10000</v>
      </c>
      <c r="M29" s="22">
        <v>14715</v>
      </c>
      <c r="N29" s="22">
        <v>2500</v>
      </c>
      <c r="O29" s="22">
        <v>5000</v>
      </c>
      <c r="P29" s="22">
        <v>4178</v>
      </c>
      <c r="Q29" s="22">
        <v>10000</v>
      </c>
      <c r="R29" s="22">
        <v>10000</v>
      </c>
      <c r="S29" s="22">
        <v>10000</v>
      </c>
      <c r="T29" s="22">
        <v>10000</v>
      </c>
      <c r="U29" s="22">
        <v>20000</v>
      </c>
      <c r="V29" s="22">
        <v>20000</v>
      </c>
      <c r="W29" s="22">
        <v>10000</v>
      </c>
      <c r="X29" s="22">
        <v>10460</v>
      </c>
      <c r="Y29" s="22">
        <v>3000</v>
      </c>
      <c r="Z29" s="22">
        <v>1015</v>
      </c>
      <c r="AA29" s="22">
        <v>14000</v>
      </c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>
        <v>20000</v>
      </c>
      <c r="AS29" s="22"/>
      <c r="AT29" s="23"/>
      <c r="AU29" s="22"/>
      <c r="AV29" s="22">
        <v>5000</v>
      </c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4">
        <f t="shared" si="0"/>
        <v>270016</v>
      </c>
      <c r="BH29" s="25">
        <f t="shared" si="1"/>
        <v>36731</v>
      </c>
      <c r="BI29" s="26"/>
      <c r="BJ29" s="26"/>
      <c r="BK29" s="27"/>
      <c r="BL29" s="27"/>
    </row>
    <row r="30" spans="1:64" x14ac:dyDescent="0.2">
      <c r="A30" s="21">
        <f>+BaseloadMarkets!A30</f>
        <v>36732</v>
      </c>
      <c r="B30" s="22">
        <v>3980</v>
      </c>
      <c r="C30" s="22">
        <v>5340</v>
      </c>
      <c r="D30" s="22">
        <v>30000</v>
      </c>
      <c r="E30" s="22">
        <v>10000</v>
      </c>
      <c r="F30" s="22">
        <v>10000</v>
      </c>
      <c r="G30" s="22">
        <v>5000</v>
      </c>
      <c r="H30" s="22">
        <v>5000</v>
      </c>
      <c r="I30" s="22">
        <f>968</f>
        <v>968</v>
      </c>
      <c r="J30" s="22">
        <v>4193</v>
      </c>
      <c r="K30" s="22">
        <v>4000</v>
      </c>
      <c r="L30" s="22">
        <v>10000</v>
      </c>
      <c r="M30" s="22">
        <v>14715</v>
      </c>
      <c r="N30" s="22">
        <v>2500</v>
      </c>
      <c r="O30" s="22">
        <v>5000</v>
      </c>
      <c r="P30" s="22">
        <v>4178</v>
      </c>
      <c r="Q30" s="22">
        <v>10000</v>
      </c>
      <c r="R30" s="22">
        <v>10000</v>
      </c>
      <c r="S30" s="22">
        <v>10000</v>
      </c>
      <c r="T30" s="22">
        <v>10000</v>
      </c>
      <c r="U30" s="22">
        <f>20000-4625+2984</f>
        <v>18359</v>
      </c>
      <c r="V30" s="22">
        <v>20000</v>
      </c>
      <c r="W30" s="22">
        <v>10000</v>
      </c>
      <c r="X30" s="22">
        <v>4992</v>
      </c>
      <c r="Y30" s="22">
        <v>3000</v>
      </c>
      <c r="Z30" s="22">
        <v>1182</v>
      </c>
      <c r="AA30" s="22">
        <v>14000</v>
      </c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>
        <v>2000</v>
      </c>
      <c r="AQ30" s="22"/>
      <c r="AR30" s="22"/>
      <c r="AS30" s="22"/>
      <c r="AT30" s="23"/>
      <c r="AU30" s="22"/>
      <c r="AV30" s="22">
        <v>5000</v>
      </c>
      <c r="AW30" s="22">
        <v>5000</v>
      </c>
      <c r="AX30" s="22">
        <v>24000</v>
      </c>
      <c r="AY30" s="22"/>
      <c r="AZ30" s="22"/>
      <c r="BA30" s="22"/>
      <c r="BB30" s="22"/>
      <c r="BC30" s="22"/>
      <c r="BD30" s="22"/>
      <c r="BE30" s="22"/>
      <c r="BF30" s="22"/>
      <c r="BG30" s="24">
        <f t="shared" si="0"/>
        <v>262407</v>
      </c>
      <c r="BH30" s="25">
        <f t="shared" si="1"/>
        <v>36732</v>
      </c>
      <c r="BI30" s="26"/>
      <c r="BJ30" s="26"/>
      <c r="BK30" s="27"/>
      <c r="BL30" s="27"/>
    </row>
    <row r="31" spans="1:64" x14ac:dyDescent="0.2">
      <c r="A31" s="21">
        <f>+BaseloadMarkets!A31</f>
        <v>36733</v>
      </c>
      <c r="B31" s="22">
        <v>3980</v>
      </c>
      <c r="C31" s="22"/>
      <c r="D31" s="22">
        <v>30000</v>
      </c>
      <c r="E31" s="22">
        <v>10000</v>
      </c>
      <c r="F31" s="22">
        <v>10000</v>
      </c>
      <c r="G31" s="22">
        <v>5000</v>
      </c>
      <c r="H31" s="22">
        <v>5000</v>
      </c>
      <c r="I31" s="22">
        <v>968</v>
      </c>
      <c r="J31" s="22">
        <v>4193</v>
      </c>
      <c r="K31" s="22">
        <v>4000</v>
      </c>
      <c r="L31" s="22">
        <v>10000</v>
      </c>
      <c r="M31" s="22">
        <v>14715</v>
      </c>
      <c r="N31" s="22">
        <v>2500</v>
      </c>
      <c r="O31" s="22">
        <v>5000</v>
      </c>
      <c r="P31" s="22">
        <v>4178</v>
      </c>
      <c r="Q31" s="22">
        <v>10000</v>
      </c>
      <c r="R31" s="22">
        <v>10000</v>
      </c>
      <c r="S31" s="22">
        <v>5443</v>
      </c>
      <c r="T31" s="22">
        <v>10000</v>
      </c>
      <c r="U31" s="22">
        <f>20000-4625+2654</f>
        <v>18029</v>
      </c>
      <c r="V31" s="22">
        <v>20000</v>
      </c>
      <c r="W31" s="22">
        <v>10000</v>
      </c>
      <c r="X31" s="22">
        <v>5695</v>
      </c>
      <c r="Y31" s="22">
        <v>3000</v>
      </c>
      <c r="Z31" s="22">
        <v>1226</v>
      </c>
      <c r="AA31" s="22">
        <v>14000</v>
      </c>
      <c r="AB31" s="22">
        <f>5434+10868</f>
        <v>16302</v>
      </c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3"/>
      <c r="AU31" s="22"/>
      <c r="AV31" s="22">
        <v>5000</v>
      </c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4">
        <f t="shared" si="0"/>
        <v>238229</v>
      </c>
      <c r="BH31" s="25">
        <f t="shared" si="1"/>
        <v>36733</v>
      </c>
      <c r="BI31" s="26"/>
      <c r="BJ31" s="26"/>
      <c r="BK31" s="27"/>
      <c r="BL31" s="27"/>
    </row>
    <row r="32" spans="1:64" x14ac:dyDescent="0.2">
      <c r="A32" s="21">
        <f>+BaseloadMarkets!A32</f>
        <v>36734</v>
      </c>
      <c r="B32" s="22">
        <v>3980</v>
      </c>
      <c r="C32" s="22">
        <v>2713</v>
      </c>
      <c r="D32" s="22">
        <v>30000</v>
      </c>
      <c r="E32" s="22">
        <v>10000</v>
      </c>
      <c r="F32" s="22">
        <v>10000</v>
      </c>
      <c r="G32" s="22">
        <v>5000</v>
      </c>
      <c r="H32" s="22">
        <v>5000</v>
      </c>
      <c r="I32" s="22">
        <v>950</v>
      </c>
      <c r="J32" s="22">
        <v>4193</v>
      </c>
      <c r="K32" s="22">
        <v>4000</v>
      </c>
      <c r="L32" s="22">
        <v>10000</v>
      </c>
      <c r="M32" s="22">
        <v>14715</v>
      </c>
      <c r="N32" s="22">
        <v>2500</v>
      </c>
      <c r="O32" s="22">
        <v>5000</v>
      </c>
      <c r="P32" s="22">
        <v>4178</v>
      </c>
      <c r="Q32" s="22">
        <v>10000</v>
      </c>
      <c r="R32" s="22">
        <v>10000</v>
      </c>
      <c r="S32" s="22">
        <v>10000</v>
      </c>
      <c r="T32" s="22">
        <v>10000</v>
      </c>
      <c r="U32" s="22">
        <f>20000-4625+2655</f>
        <v>18030</v>
      </c>
      <c r="V32" s="22">
        <v>20000</v>
      </c>
      <c r="W32" s="22">
        <v>10000</v>
      </c>
      <c r="X32" s="22">
        <v>6092</v>
      </c>
      <c r="Y32" s="22">
        <v>3000</v>
      </c>
      <c r="Z32" s="22">
        <v>1130</v>
      </c>
      <c r="AA32" s="22">
        <v>14000</v>
      </c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>
        <v>12000</v>
      </c>
      <c r="AQ32" s="22"/>
      <c r="AR32" s="22"/>
      <c r="AS32" s="22"/>
      <c r="AT32" s="23"/>
      <c r="AU32" s="22"/>
      <c r="AV32" s="22">
        <v>2816</v>
      </c>
      <c r="AW32" s="22"/>
      <c r="AX32" s="22"/>
      <c r="AY32" s="22">
        <v>10000</v>
      </c>
      <c r="AZ32" s="22">
        <v>25000</v>
      </c>
      <c r="BA32" s="22"/>
      <c r="BB32" s="22"/>
      <c r="BC32" s="22"/>
      <c r="BD32" s="22"/>
      <c r="BE32" s="22"/>
      <c r="BF32" s="22"/>
      <c r="BG32" s="24">
        <f t="shared" si="0"/>
        <v>274297</v>
      </c>
      <c r="BH32" s="25">
        <f t="shared" si="1"/>
        <v>36734</v>
      </c>
      <c r="BI32" s="26"/>
      <c r="BJ32" s="26"/>
      <c r="BK32" s="27"/>
      <c r="BL32" s="27"/>
    </row>
    <row r="33" spans="1:64" x14ac:dyDescent="0.2">
      <c r="A33" s="21">
        <f>+BaseloadMarkets!A33</f>
        <v>36735</v>
      </c>
      <c r="B33" s="22">
        <v>3980</v>
      </c>
      <c r="C33" s="22">
        <v>43947</v>
      </c>
      <c r="D33" s="22">
        <v>30000</v>
      </c>
      <c r="E33" s="22">
        <v>10000</v>
      </c>
      <c r="F33" s="22">
        <v>10000</v>
      </c>
      <c r="G33" s="22">
        <v>5000</v>
      </c>
      <c r="H33" s="22">
        <v>5000</v>
      </c>
      <c r="I33" s="22">
        <v>968</v>
      </c>
      <c r="J33" s="22">
        <v>4193</v>
      </c>
      <c r="K33" s="22">
        <v>4000</v>
      </c>
      <c r="L33" s="22">
        <v>10000</v>
      </c>
      <c r="M33" s="22">
        <v>14715</v>
      </c>
      <c r="N33" s="22">
        <v>2500</v>
      </c>
      <c r="O33" s="22">
        <v>608</v>
      </c>
      <c r="P33" s="22">
        <v>4178</v>
      </c>
      <c r="Q33" s="22">
        <v>10000</v>
      </c>
      <c r="R33" s="22">
        <v>10000</v>
      </c>
      <c r="S33" s="22">
        <v>8663</v>
      </c>
      <c r="T33" s="22">
        <v>10000</v>
      </c>
      <c r="U33" s="22">
        <v>18988</v>
      </c>
      <c r="V33" s="22">
        <v>20000</v>
      </c>
      <c r="W33" s="22">
        <v>10000</v>
      </c>
      <c r="X33" s="22">
        <v>8519</v>
      </c>
      <c r="Y33" s="22">
        <v>3000</v>
      </c>
      <c r="Z33" s="22">
        <v>2000</v>
      </c>
      <c r="AA33" s="22">
        <v>14000</v>
      </c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>
        <v>1158</v>
      </c>
      <c r="AQ33" s="22"/>
      <c r="AR33" s="22"/>
      <c r="AS33" s="22"/>
      <c r="AT33" s="23"/>
      <c r="AU33" s="22"/>
      <c r="AV33" s="22">
        <v>5000</v>
      </c>
      <c r="AW33" s="22"/>
      <c r="AX33" s="22"/>
      <c r="AY33" s="22">
        <v>20000</v>
      </c>
      <c r="AZ33" s="22"/>
      <c r="BA33" s="22"/>
      <c r="BB33" s="22"/>
      <c r="BC33" s="22"/>
      <c r="BD33" s="22"/>
      <c r="BE33" s="22"/>
      <c r="BF33" s="22"/>
      <c r="BG33" s="24">
        <f t="shared" si="0"/>
        <v>290417</v>
      </c>
      <c r="BH33" s="25">
        <f t="shared" si="1"/>
        <v>36735</v>
      </c>
      <c r="BI33" s="26"/>
      <c r="BJ33" s="26"/>
      <c r="BK33" s="27"/>
      <c r="BL33" s="27"/>
    </row>
    <row r="34" spans="1:64" x14ac:dyDescent="0.2">
      <c r="A34" s="21">
        <f>+BaseloadMarkets!A34</f>
        <v>36736</v>
      </c>
      <c r="B34" s="22">
        <v>3980</v>
      </c>
      <c r="C34" s="22">
        <v>10029</v>
      </c>
      <c r="D34" s="22">
        <v>5000</v>
      </c>
      <c r="E34" s="22">
        <v>10000</v>
      </c>
      <c r="F34" s="22">
        <v>10000</v>
      </c>
      <c r="G34" s="22">
        <v>5000</v>
      </c>
      <c r="H34" s="22">
        <v>5000</v>
      </c>
      <c r="I34" s="22">
        <v>968</v>
      </c>
      <c r="J34" s="22">
        <v>4193</v>
      </c>
      <c r="K34" s="22">
        <v>4000</v>
      </c>
      <c r="L34" s="22">
        <v>10000</v>
      </c>
      <c r="M34" s="22">
        <v>12963</v>
      </c>
      <c r="N34" s="22">
        <v>0</v>
      </c>
      <c r="O34" s="22">
        <v>3870</v>
      </c>
      <c r="P34" s="22">
        <v>4178</v>
      </c>
      <c r="Q34" s="22">
        <v>10000</v>
      </c>
      <c r="R34" s="22">
        <v>10000</v>
      </c>
      <c r="S34" s="22">
        <v>10000</v>
      </c>
      <c r="T34" s="22">
        <v>10000</v>
      </c>
      <c r="U34" s="22">
        <v>18196</v>
      </c>
      <c r="V34" s="22">
        <v>20000</v>
      </c>
      <c r="W34" s="22">
        <v>10000</v>
      </c>
      <c r="X34" s="22">
        <v>10372</v>
      </c>
      <c r="Y34" s="22">
        <v>3000</v>
      </c>
      <c r="Z34" s="22">
        <v>1175</v>
      </c>
      <c r="AA34" s="22"/>
      <c r="AB34" s="22"/>
      <c r="AC34" s="22"/>
      <c r="AD34" s="22"/>
      <c r="AE34" s="22"/>
      <c r="AF34" s="22">
        <v>1338</v>
      </c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>
        <v>24133</v>
      </c>
      <c r="AS34" s="22"/>
      <c r="AT34" s="23"/>
      <c r="AU34" s="22"/>
      <c r="AV34" s="22">
        <v>3043</v>
      </c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4">
        <f t="shared" si="0"/>
        <v>220438</v>
      </c>
      <c r="BH34" s="25">
        <f t="shared" si="1"/>
        <v>36736</v>
      </c>
      <c r="BI34" s="26"/>
      <c r="BJ34" s="26"/>
      <c r="BK34" s="27"/>
      <c r="BL34" s="27"/>
    </row>
    <row r="35" spans="1:64" x14ac:dyDescent="0.2">
      <c r="A35" s="21">
        <f>+BaseloadMarkets!A35</f>
        <v>36737</v>
      </c>
      <c r="B35" s="22">
        <v>3980</v>
      </c>
      <c r="C35" s="22">
        <v>25596</v>
      </c>
      <c r="D35" s="22">
        <v>5000</v>
      </c>
      <c r="E35" s="22">
        <v>10000</v>
      </c>
      <c r="F35" s="22">
        <v>10000</v>
      </c>
      <c r="G35" s="22">
        <v>5000</v>
      </c>
      <c r="H35" s="22">
        <v>5000</v>
      </c>
      <c r="I35" s="22">
        <v>968</v>
      </c>
      <c r="J35" s="22">
        <v>4193</v>
      </c>
      <c r="K35" s="22">
        <v>4000</v>
      </c>
      <c r="L35" s="22">
        <v>10000</v>
      </c>
      <c r="M35" s="22">
        <v>14715</v>
      </c>
      <c r="N35" s="22">
        <v>0</v>
      </c>
      <c r="O35" s="22">
        <v>3681</v>
      </c>
      <c r="P35" s="22">
        <v>4178</v>
      </c>
      <c r="Q35" s="22">
        <v>10000</v>
      </c>
      <c r="R35" s="22">
        <v>10000</v>
      </c>
      <c r="S35" s="22">
        <v>10000</v>
      </c>
      <c r="T35" s="22">
        <v>10000</v>
      </c>
      <c r="U35" s="22">
        <v>18133</v>
      </c>
      <c r="V35" s="22">
        <v>20000</v>
      </c>
      <c r="W35" s="22">
        <v>10000</v>
      </c>
      <c r="X35" s="22">
        <v>10323</v>
      </c>
      <c r="Y35" s="22">
        <v>3000</v>
      </c>
      <c r="Z35" s="22">
        <v>1183</v>
      </c>
      <c r="AA35" s="22"/>
      <c r="AB35" s="22"/>
      <c r="AC35" s="22"/>
      <c r="AD35" s="22"/>
      <c r="AE35" s="22"/>
      <c r="AF35" s="22">
        <v>1338</v>
      </c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>
        <v>23903</v>
      </c>
      <c r="AS35" s="22"/>
      <c r="AT35" s="23"/>
      <c r="AU35" s="22"/>
      <c r="AV35" s="22">
        <v>3010</v>
      </c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4">
        <f t="shared" si="0"/>
        <v>237201</v>
      </c>
      <c r="BH35" s="25">
        <f t="shared" si="1"/>
        <v>36737</v>
      </c>
      <c r="BI35" s="26"/>
      <c r="BJ35" s="26"/>
      <c r="BK35" s="27"/>
      <c r="BL35" s="27"/>
    </row>
    <row r="36" spans="1:64" x14ac:dyDescent="0.2">
      <c r="A36" s="21">
        <f>+BaseloadMarkets!A36</f>
        <v>36738</v>
      </c>
      <c r="B36" s="22">
        <v>3980</v>
      </c>
      <c r="C36" s="22">
        <v>28075</v>
      </c>
      <c r="D36" s="22">
        <v>30000</v>
      </c>
      <c r="E36" s="22">
        <v>10000</v>
      </c>
      <c r="F36" s="22">
        <v>10000</v>
      </c>
      <c r="G36" s="22">
        <v>5000</v>
      </c>
      <c r="H36" s="22">
        <v>5000</v>
      </c>
      <c r="I36" s="22">
        <v>968</v>
      </c>
      <c r="J36" s="22">
        <v>4193</v>
      </c>
      <c r="K36" s="22">
        <v>4000</v>
      </c>
      <c r="L36" s="22">
        <v>10000</v>
      </c>
      <c r="M36" s="22">
        <v>14281</v>
      </c>
      <c r="N36" s="22">
        <v>5000</v>
      </c>
      <c r="O36" s="22">
        <v>2805</v>
      </c>
      <c r="P36" s="22">
        <v>4178</v>
      </c>
      <c r="Q36" s="22">
        <v>10000</v>
      </c>
      <c r="R36" s="22">
        <v>10000</v>
      </c>
      <c r="S36" s="22">
        <v>10000</v>
      </c>
      <c r="T36" s="22">
        <v>10000</v>
      </c>
      <c r="U36" s="22">
        <v>17755</v>
      </c>
      <c r="V36" s="22">
        <v>20000</v>
      </c>
      <c r="W36" s="22">
        <v>10000</v>
      </c>
      <c r="X36" s="22">
        <v>10273</v>
      </c>
      <c r="Y36" s="22">
        <v>3000</v>
      </c>
      <c r="Z36" s="22">
        <v>1179</v>
      </c>
      <c r="AA36" s="22"/>
      <c r="AB36" s="22"/>
      <c r="AC36" s="22"/>
      <c r="AD36" s="22"/>
      <c r="AE36" s="22"/>
      <c r="AF36" s="22">
        <v>1338</v>
      </c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>
        <v>23948</v>
      </c>
      <c r="AS36" s="22"/>
      <c r="AT36" s="23"/>
      <c r="AU36" s="22"/>
      <c r="AV36" s="22">
        <v>2948</v>
      </c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4">
        <f t="shared" si="0"/>
        <v>267921</v>
      </c>
      <c r="BH36" s="25">
        <f t="shared" si="1"/>
        <v>36738</v>
      </c>
      <c r="BI36" s="26"/>
      <c r="BJ36" s="26"/>
      <c r="BK36" s="27"/>
      <c r="BL36" s="27"/>
    </row>
    <row r="37" spans="1:64" s="31" customFormat="1" x14ac:dyDescent="0.2">
      <c r="A37" s="29" t="s">
        <v>56</v>
      </c>
      <c r="B37" s="30">
        <f t="shared" ref="B37:AP37" si="2">SUM(B6:B36)</f>
        <v>123382</v>
      </c>
      <c r="C37" s="30">
        <f t="shared" si="2"/>
        <v>318553</v>
      </c>
      <c r="D37" s="30">
        <f t="shared" si="2"/>
        <v>620000</v>
      </c>
      <c r="E37" s="30">
        <f t="shared" si="2"/>
        <v>310000</v>
      </c>
      <c r="F37" s="30">
        <f t="shared" si="2"/>
        <v>310000</v>
      </c>
      <c r="G37" s="30">
        <f t="shared" si="2"/>
        <v>155000</v>
      </c>
      <c r="H37" s="30">
        <f t="shared" si="2"/>
        <v>155000</v>
      </c>
      <c r="I37" s="30">
        <f t="shared" si="2"/>
        <v>29769</v>
      </c>
      <c r="J37" s="30">
        <f t="shared" si="2"/>
        <v>129398</v>
      </c>
      <c r="K37" s="30">
        <f t="shared" si="2"/>
        <v>124000</v>
      </c>
      <c r="L37" s="30">
        <f t="shared" si="2"/>
        <v>310000</v>
      </c>
      <c r="M37" s="30">
        <f t="shared" si="2"/>
        <v>277807</v>
      </c>
      <c r="N37" s="30">
        <f t="shared" si="2"/>
        <v>49778</v>
      </c>
      <c r="O37" s="30">
        <f t="shared" si="2"/>
        <v>145964</v>
      </c>
      <c r="P37" s="30">
        <f t="shared" si="2"/>
        <v>129518</v>
      </c>
      <c r="Q37" s="30">
        <f t="shared" si="2"/>
        <v>306091</v>
      </c>
      <c r="R37" s="30">
        <f t="shared" si="2"/>
        <v>306091</v>
      </c>
      <c r="S37" s="30">
        <f t="shared" si="2"/>
        <v>300197</v>
      </c>
      <c r="T37" s="30">
        <f t="shared" si="2"/>
        <v>306091</v>
      </c>
      <c r="U37" s="30">
        <f t="shared" si="2"/>
        <v>440194</v>
      </c>
      <c r="V37" s="30">
        <f t="shared" si="2"/>
        <v>599879</v>
      </c>
      <c r="W37" s="30">
        <f t="shared" si="2"/>
        <v>247183</v>
      </c>
      <c r="X37" s="30">
        <f t="shared" si="2"/>
        <v>230907</v>
      </c>
      <c r="Y37" s="30">
        <f t="shared" si="2"/>
        <v>93000</v>
      </c>
      <c r="Z37" s="30">
        <f t="shared" si="2"/>
        <v>33450</v>
      </c>
      <c r="AA37" s="30">
        <f t="shared" si="2"/>
        <v>140000</v>
      </c>
      <c r="AB37" s="30">
        <f t="shared" si="2"/>
        <v>134130</v>
      </c>
      <c r="AC37" s="30">
        <f t="shared" si="2"/>
        <v>56000</v>
      </c>
      <c r="AD37" s="30">
        <f t="shared" si="2"/>
        <v>80000</v>
      </c>
      <c r="AE37" s="30">
        <f t="shared" si="2"/>
        <v>140000</v>
      </c>
      <c r="AF37" s="30">
        <f t="shared" si="2"/>
        <v>97492</v>
      </c>
      <c r="AG37" s="30">
        <f t="shared" si="2"/>
        <v>74882</v>
      </c>
      <c r="AH37" s="30">
        <f t="shared" si="2"/>
        <v>15000</v>
      </c>
      <c r="AI37" s="30">
        <f t="shared" si="2"/>
        <v>80000</v>
      </c>
      <c r="AJ37" s="30">
        <f t="shared" si="2"/>
        <v>10000</v>
      </c>
      <c r="AK37" s="30">
        <f t="shared" si="2"/>
        <v>26315</v>
      </c>
      <c r="AL37" s="30">
        <f t="shared" si="2"/>
        <v>17044</v>
      </c>
      <c r="AM37" s="30">
        <f t="shared" si="2"/>
        <v>10000</v>
      </c>
      <c r="AN37" s="30">
        <f t="shared" si="2"/>
        <v>10922</v>
      </c>
      <c r="AO37" s="30">
        <f t="shared" si="2"/>
        <v>10000</v>
      </c>
      <c r="AP37" s="30">
        <f t="shared" si="2"/>
        <v>35704</v>
      </c>
      <c r="AQ37" s="30">
        <f t="shared" ref="AQ37:BA37" si="3">SUM(AQ6:AQ36)</f>
        <v>8008</v>
      </c>
      <c r="AR37" s="30">
        <f t="shared" si="3"/>
        <v>131984</v>
      </c>
      <c r="AS37" s="30">
        <f t="shared" si="3"/>
        <v>20000</v>
      </c>
      <c r="AT37" s="30">
        <f t="shared" si="3"/>
        <v>30000</v>
      </c>
      <c r="AU37" s="30">
        <f t="shared" si="3"/>
        <v>31000</v>
      </c>
      <c r="AV37" s="30">
        <f t="shared" si="3"/>
        <v>51817</v>
      </c>
      <c r="AW37" s="30">
        <f t="shared" si="3"/>
        <v>5000</v>
      </c>
      <c r="AX37" s="30">
        <f t="shared" si="3"/>
        <v>24000</v>
      </c>
      <c r="AY37" s="30">
        <f t="shared" si="3"/>
        <v>30000</v>
      </c>
      <c r="AZ37" s="30">
        <f t="shared" si="3"/>
        <v>25000</v>
      </c>
      <c r="BA37" s="30">
        <f t="shared" si="3"/>
        <v>0</v>
      </c>
      <c r="BB37" s="30"/>
      <c r="BC37" s="30"/>
      <c r="BD37" s="30"/>
      <c r="BE37" s="30">
        <f>SUM(BE6:BE36)</f>
        <v>0</v>
      </c>
      <c r="BF37" s="30">
        <f>SUM(BF6:BF36)</f>
        <v>0</v>
      </c>
      <c r="BG37" s="30">
        <f>SUM(BG6:BG36)</f>
        <v>7345550</v>
      </c>
    </row>
    <row r="38" spans="1:64" x14ac:dyDescent="0.2"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4"/>
      <c r="BH38" s="35"/>
    </row>
    <row r="39" spans="1:64" s="36" customFormat="1" x14ac:dyDescent="0.2">
      <c r="A39" s="36" t="s">
        <v>57</v>
      </c>
      <c r="B39" s="37">
        <f>B37-(3980*31)</f>
        <v>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9"/>
      <c r="AU39" s="40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7"/>
      <c r="BH39" s="41"/>
    </row>
    <row r="40" spans="1:64" x14ac:dyDescent="0.2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9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4"/>
      <c r="BH40" s="35"/>
    </row>
    <row r="41" spans="1:64" x14ac:dyDescent="0.2">
      <c r="A41" s="28">
        <v>1</v>
      </c>
      <c r="B41" s="42">
        <f t="shared" ref="B41:BH41" si="4">+A41+1</f>
        <v>2</v>
      </c>
      <c r="C41" s="42">
        <f t="shared" si="4"/>
        <v>3</v>
      </c>
      <c r="D41" s="42">
        <f t="shared" si="4"/>
        <v>4</v>
      </c>
      <c r="E41" s="42">
        <f t="shared" si="4"/>
        <v>5</v>
      </c>
      <c r="F41" s="42">
        <f t="shared" si="4"/>
        <v>6</v>
      </c>
      <c r="G41" s="42">
        <f t="shared" si="4"/>
        <v>7</v>
      </c>
      <c r="H41" s="42">
        <f t="shared" si="4"/>
        <v>8</v>
      </c>
      <c r="I41" s="42">
        <f t="shared" si="4"/>
        <v>9</v>
      </c>
      <c r="J41" s="42">
        <f t="shared" si="4"/>
        <v>10</v>
      </c>
      <c r="K41" s="42">
        <f t="shared" si="4"/>
        <v>11</v>
      </c>
      <c r="L41" s="42">
        <f t="shared" si="4"/>
        <v>12</v>
      </c>
      <c r="M41" s="42">
        <f t="shared" si="4"/>
        <v>13</v>
      </c>
      <c r="N41" s="42">
        <f t="shared" si="4"/>
        <v>14</v>
      </c>
      <c r="O41" s="42">
        <f t="shared" si="4"/>
        <v>15</v>
      </c>
      <c r="P41" s="42">
        <f t="shared" si="4"/>
        <v>16</v>
      </c>
      <c r="Q41" s="42">
        <f t="shared" si="4"/>
        <v>17</v>
      </c>
      <c r="R41" s="42">
        <f t="shared" si="4"/>
        <v>18</v>
      </c>
      <c r="S41" s="42">
        <f t="shared" si="4"/>
        <v>19</v>
      </c>
      <c r="T41" s="42">
        <f t="shared" si="4"/>
        <v>20</v>
      </c>
      <c r="U41" s="42">
        <f t="shared" si="4"/>
        <v>21</v>
      </c>
      <c r="V41" s="42">
        <f t="shared" si="4"/>
        <v>22</v>
      </c>
      <c r="W41" s="42">
        <f t="shared" si="4"/>
        <v>23</v>
      </c>
      <c r="X41" s="42">
        <f t="shared" si="4"/>
        <v>24</v>
      </c>
      <c r="Y41" s="42">
        <f t="shared" si="4"/>
        <v>25</v>
      </c>
      <c r="Z41" s="42">
        <f t="shared" si="4"/>
        <v>26</v>
      </c>
      <c r="AA41" s="42">
        <f t="shared" si="4"/>
        <v>27</v>
      </c>
      <c r="AB41" s="42">
        <f t="shared" si="4"/>
        <v>28</v>
      </c>
      <c r="AC41" s="42">
        <f t="shared" si="4"/>
        <v>29</v>
      </c>
      <c r="AD41" s="42">
        <f t="shared" si="4"/>
        <v>30</v>
      </c>
      <c r="AE41" s="42">
        <f t="shared" si="4"/>
        <v>31</v>
      </c>
      <c r="AF41" s="42">
        <f t="shared" si="4"/>
        <v>32</v>
      </c>
      <c r="AG41" s="42">
        <f t="shared" si="4"/>
        <v>33</v>
      </c>
      <c r="AH41" s="42">
        <f t="shared" si="4"/>
        <v>34</v>
      </c>
      <c r="AI41" s="42">
        <f t="shared" si="4"/>
        <v>35</v>
      </c>
      <c r="AJ41" s="42">
        <f t="shared" si="4"/>
        <v>36</v>
      </c>
      <c r="AK41" s="42">
        <f t="shared" si="4"/>
        <v>37</v>
      </c>
      <c r="AL41" s="42">
        <f t="shared" si="4"/>
        <v>38</v>
      </c>
      <c r="AM41" s="42">
        <f t="shared" si="4"/>
        <v>39</v>
      </c>
      <c r="AN41" s="42">
        <f t="shared" si="4"/>
        <v>40</v>
      </c>
      <c r="AO41" s="42">
        <f t="shared" si="4"/>
        <v>41</v>
      </c>
      <c r="AP41" s="42">
        <f t="shared" si="4"/>
        <v>42</v>
      </c>
      <c r="AQ41" s="42">
        <f t="shared" si="4"/>
        <v>43</v>
      </c>
      <c r="AR41" s="42">
        <f t="shared" si="4"/>
        <v>44</v>
      </c>
      <c r="AS41" s="42">
        <f t="shared" si="4"/>
        <v>45</v>
      </c>
      <c r="AT41" s="42">
        <f t="shared" si="4"/>
        <v>46</v>
      </c>
      <c r="AU41" s="42">
        <f t="shared" si="4"/>
        <v>47</v>
      </c>
      <c r="AV41" s="42">
        <f t="shared" si="4"/>
        <v>48</v>
      </c>
      <c r="AW41" s="42">
        <f t="shared" si="4"/>
        <v>49</v>
      </c>
      <c r="AX41" s="42">
        <f t="shared" si="4"/>
        <v>50</v>
      </c>
      <c r="AY41" s="42">
        <f t="shared" si="4"/>
        <v>51</v>
      </c>
      <c r="AZ41" s="42">
        <f t="shared" si="4"/>
        <v>52</v>
      </c>
      <c r="BA41" s="42">
        <f t="shared" si="4"/>
        <v>53</v>
      </c>
      <c r="BB41" s="42">
        <f t="shared" si="4"/>
        <v>54</v>
      </c>
      <c r="BC41" s="42">
        <f t="shared" si="4"/>
        <v>55</v>
      </c>
      <c r="BD41" s="42">
        <f t="shared" si="4"/>
        <v>56</v>
      </c>
      <c r="BE41" s="42">
        <f t="shared" si="4"/>
        <v>57</v>
      </c>
      <c r="BF41" s="42">
        <f t="shared" si="4"/>
        <v>58</v>
      </c>
      <c r="BG41" s="42">
        <f t="shared" si="4"/>
        <v>59</v>
      </c>
      <c r="BH41" s="42">
        <f t="shared" si="4"/>
        <v>60</v>
      </c>
    </row>
    <row r="42" spans="1:64" x14ac:dyDescent="0.2"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9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4"/>
      <c r="BH42" s="35"/>
    </row>
    <row r="43" spans="1:64" x14ac:dyDescent="0.2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9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4"/>
      <c r="BH43" s="35"/>
    </row>
    <row r="44" spans="1:64" x14ac:dyDescent="0.2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4"/>
      <c r="BH44" s="35"/>
    </row>
    <row r="45" spans="1:64" x14ac:dyDescent="0.2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4"/>
      <c r="BH45" s="35"/>
    </row>
    <row r="46" spans="1:64" x14ac:dyDescent="0.2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4"/>
      <c r="BH46" s="35"/>
    </row>
    <row r="47" spans="1:64" x14ac:dyDescent="0.2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4"/>
      <c r="BH47" s="35"/>
    </row>
    <row r="48" spans="1:64" x14ac:dyDescent="0.2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4"/>
    </row>
    <row r="49" spans="3:59" x14ac:dyDescent="0.2"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4"/>
    </row>
    <row r="50" spans="3:59" x14ac:dyDescent="0.2"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4"/>
    </row>
  </sheetData>
  <printOptions horizontalCentered="1" verticalCentered="1" gridLines="1" gridLinesSet="0"/>
  <pageMargins left="0.25" right="0.25" top="0.25" bottom="0.25" header="0.25" footer="0.25"/>
  <pageSetup paperSize="5" scale="65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W40"/>
  <sheetViews>
    <sheetView workbookViewId="0">
      <pane xSplit="1" ySplit="5" topLeftCell="B24" activePane="bottomRight" state="frozen"/>
      <selection activeCell="AT19" sqref="AT19"/>
      <selection pane="topRight" activeCell="AT19" sqref="AT19"/>
      <selection pane="bottomLeft" activeCell="AT19" sqref="AT19"/>
      <selection pane="bottomRight" activeCell="C37" sqref="C37"/>
    </sheetView>
  </sheetViews>
  <sheetFormatPr defaultColWidth="12.83203125" defaultRowHeight="12.75" x14ac:dyDescent="0.2"/>
  <cols>
    <col min="1" max="1" width="12.83203125" style="31" customWidth="1"/>
    <col min="2" max="2" width="21.33203125" style="436" customWidth="1"/>
    <col min="3" max="3" width="21.6640625" style="436" customWidth="1"/>
    <col min="4" max="6" width="12.83203125" style="436" customWidth="1"/>
    <col min="7" max="16384" width="12.83203125" style="31"/>
  </cols>
  <sheetData>
    <row r="1" spans="1:49" x14ac:dyDescent="0.2">
      <c r="A1" s="434" t="s">
        <v>125</v>
      </c>
      <c r="B1" s="435">
        <f>+BaseloadMarkets!B1</f>
        <v>36708</v>
      </c>
    </row>
    <row r="3" spans="1:49" s="441" customFormat="1" x14ac:dyDescent="0.2">
      <c r="A3" s="437" t="str">
        <f>+OCCMarkets!A3</f>
        <v>OCC</v>
      </c>
      <c r="B3" s="438" t="str">
        <f>+OCCMarkets!BL3</f>
        <v>E57</v>
      </c>
      <c r="C3" s="439">
        <v>322113</v>
      </c>
      <c r="D3" s="438"/>
      <c r="E3" s="438"/>
      <c r="F3" s="438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0"/>
      <c r="S3" s="440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0"/>
      <c r="AI3" s="440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</row>
    <row r="4" spans="1:49" s="441" customFormat="1" x14ac:dyDescent="0.2">
      <c r="A4" s="437" t="str">
        <f>+OCCMarkets!A4</f>
        <v>CounterParty</v>
      </c>
      <c r="B4" s="438" t="str">
        <f>+OCCMarkets!BL4</f>
        <v>Harbor Cogen</v>
      </c>
      <c r="C4" s="438" t="s">
        <v>125</v>
      </c>
      <c r="D4" s="438"/>
      <c r="E4" s="438" t="str">
        <f>+OCCMarkets!AO4</f>
        <v>Daily</v>
      </c>
      <c r="F4" s="438" t="str">
        <f>+OCCMarkets!AP4</f>
        <v>Cumulative</v>
      </c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440"/>
      <c r="V4" s="440"/>
      <c r="W4" s="440"/>
      <c r="X4" s="440"/>
      <c r="Y4" s="440"/>
      <c r="Z4" s="440"/>
      <c r="AA4" s="440"/>
      <c r="AB4" s="440"/>
      <c r="AC4" s="440"/>
      <c r="AD4" s="440"/>
      <c r="AE4" s="440"/>
      <c r="AF4" s="440"/>
      <c r="AG4" s="440"/>
      <c r="AH4" s="440"/>
      <c r="AI4" s="440"/>
      <c r="AJ4" s="440"/>
      <c r="AK4" s="440"/>
      <c r="AL4" s="440"/>
      <c r="AM4" s="440"/>
      <c r="AN4" s="440"/>
      <c r="AO4" s="440"/>
      <c r="AP4" s="440"/>
      <c r="AQ4" s="440"/>
      <c r="AR4" s="440"/>
      <c r="AS4" s="440"/>
      <c r="AT4" s="440"/>
      <c r="AU4" s="440"/>
      <c r="AV4" s="440"/>
      <c r="AW4" s="440"/>
    </row>
    <row r="5" spans="1:49" s="441" customFormat="1" x14ac:dyDescent="0.2">
      <c r="A5" s="437" t="str">
        <f>+OCCMarkets!A5</f>
        <v>Pipeline</v>
      </c>
      <c r="B5" s="438" t="str">
        <f>+OCCMarkets!BL5</f>
        <v>Demand</v>
      </c>
      <c r="C5" s="438" t="s">
        <v>296</v>
      </c>
      <c r="D5" s="438"/>
      <c r="E5" s="438" t="str">
        <f>+OCCMarkets!AO5</f>
        <v>Long/(Short)</v>
      </c>
      <c r="F5" s="438" t="str">
        <f>+OCCMarkets!AP5</f>
        <v>Imbalance</v>
      </c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  <c r="Z5" s="440"/>
      <c r="AA5" s="440"/>
      <c r="AB5" s="440"/>
      <c r="AC5" s="440"/>
      <c r="AD5" s="440"/>
      <c r="AE5" s="440"/>
      <c r="AF5" s="440"/>
      <c r="AG5" s="440"/>
      <c r="AH5" s="440"/>
      <c r="AI5" s="440"/>
      <c r="AJ5" s="440"/>
      <c r="AK5" s="440"/>
      <c r="AL5" s="440"/>
      <c r="AM5" s="440"/>
      <c r="AN5" s="440"/>
      <c r="AO5" s="440"/>
      <c r="AP5" s="440"/>
      <c r="AQ5" s="440"/>
      <c r="AR5" s="440"/>
      <c r="AS5" s="440"/>
      <c r="AT5" s="440"/>
      <c r="AU5" s="440"/>
      <c r="AV5" s="440"/>
      <c r="AW5" s="440"/>
    </row>
    <row r="6" spans="1:49" x14ac:dyDescent="0.2">
      <c r="A6" s="383">
        <f>+BaseloadMarkets!A6</f>
        <v>36708</v>
      </c>
      <c r="B6" s="438">
        <f>+OCCMarkets!BL6</f>
        <v>0</v>
      </c>
      <c r="C6" s="438">
        <v>0</v>
      </c>
      <c r="D6" s="438"/>
      <c r="E6" s="438">
        <f t="shared" ref="E6:E36" si="0">-B6+C6</f>
        <v>0</v>
      </c>
      <c r="F6" s="438">
        <f>+E6</f>
        <v>0</v>
      </c>
      <c r="G6" s="442"/>
      <c r="H6" s="442"/>
      <c r="I6" s="442"/>
      <c r="J6" s="442"/>
      <c r="K6" s="442"/>
      <c r="L6" s="442"/>
      <c r="M6" s="442"/>
      <c r="N6" s="442"/>
      <c r="O6" s="442"/>
      <c r="P6" s="442"/>
      <c r="Q6" s="442"/>
      <c r="R6" s="442"/>
      <c r="S6" s="442"/>
      <c r="T6" s="442"/>
      <c r="U6" s="442"/>
      <c r="V6" s="442"/>
      <c r="W6" s="442"/>
      <c r="X6" s="442"/>
      <c r="Y6" s="442"/>
      <c r="Z6" s="442"/>
      <c r="AA6" s="442"/>
      <c r="AB6" s="442"/>
      <c r="AC6" s="442"/>
      <c r="AD6" s="442"/>
      <c r="AE6" s="442"/>
      <c r="AF6" s="442"/>
      <c r="AG6" s="442"/>
      <c r="AH6" s="442"/>
      <c r="AI6" s="442"/>
      <c r="AJ6" s="442"/>
      <c r="AK6" s="442"/>
      <c r="AL6" s="442"/>
      <c r="AM6" s="442"/>
      <c r="AN6" s="442"/>
      <c r="AO6" s="442"/>
      <c r="AP6" s="442"/>
      <c r="AQ6" s="442"/>
      <c r="AR6" s="442"/>
      <c r="AS6" s="442"/>
      <c r="AT6" s="442"/>
      <c r="AU6" s="442"/>
      <c r="AV6" s="442"/>
      <c r="AW6" s="442"/>
    </row>
    <row r="7" spans="1:49" x14ac:dyDescent="0.2">
      <c r="A7" s="383">
        <f>+BaseloadMarkets!A7</f>
        <v>36709</v>
      </c>
      <c r="B7" s="438">
        <f>+OCCMarkets!BL7</f>
        <v>2488</v>
      </c>
      <c r="C7" s="438">
        <v>0</v>
      </c>
      <c r="D7" s="438"/>
      <c r="E7" s="438">
        <f t="shared" si="0"/>
        <v>-2488</v>
      </c>
      <c r="F7" s="438">
        <f t="shared" ref="F7:F36" si="1">+F6+E7</f>
        <v>-2488</v>
      </c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  <c r="AA7" s="442"/>
      <c r="AB7" s="442"/>
      <c r="AC7" s="442"/>
      <c r="AD7" s="442"/>
      <c r="AE7" s="442"/>
      <c r="AF7" s="442"/>
      <c r="AG7" s="442"/>
      <c r="AH7" s="442"/>
      <c r="AI7" s="442"/>
      <c r="AJ7" s="442"/>
      <c r="AK7" s="442"/>
      <c r="AL7" s="442"/>
      <c r="AM7" s="442"/>
      <c r="AN7" s="442"/>
      <c r="AO7" s="442"/>
      <c r="AP7" s="442"/>
      <c r="AQ7" s="442"/>
      <c r="AR7" s="442"/>
      <c r="AS7" s="442"/>
      <c r="AT7" s="442"/>
      <c r="AU7" s="442"/>
      <c r="AV7" s="442"/>
      <c r="AW7" s="442"/>
    </row>
    <row r="8" spans="1:49" x14ac:dyDescent="0.2">
      <c r="A8" s="383">
        <f>+BaseloadMarkets!A8</f>
        <v>36710</v>
      </c>
      <c r="B8" s="438">
        <f>+OCCMarkets!BL8</f>
        <v>6024</v>
      </c>
      <c r="C8" s="438">
        <v>0</v>
      </c>
      <c r="D8" s="438"/>
      <c r="E8" s="438">
        <f t="shared" si="0"/>
        <v>-6024</v>
      </c>
      <c r="F8" s="438">
        <f t="shared" si="1"/>
        <v>-8512</v>
      </c>
      <c r="G8" s="442"/>
      <c r="H8" s="442"/>
      <c r="I8" s="442"/>
      <c r="J8" s="442"/>
      <c r="K8" s="442"/>
      <c r="L8" s="442"/>
      <c r="M8" s="442"/>
      <c r="N8" s="442"/>
      <c r="O8" s="442"/>
      <c r="P8" s="442"/>
      <c r="Q8" s="442"/>
      <c r="R8" s="442"/>
      <c r="S8" s="442"/>
      <c r="T8" s="442"/>
      <c r="U8" s="442"/>
      <c r="V8" s="442"/>
      <c r="W8" s="442"/>
      <c r="X8" s="442"/>
      <c r="Y8" s="442"/>
      <c r="Z8" s="442"/>
      <c r="AA8" s="442"/>
      <c r="AB8" s="442"/>
      <c r="AC8" s="442"/>
      <c r="AD8" s="442"/>
      <c r="AE8" s="442"/>
      <c r="AF8" s="442"/>
      <c r="AG8" s="442"/>
      <c r="AH8" s="442"/>
      <c r="AI8" s="442"/>
      <c r="AJ8" s="442"/>
      <c r="AK8" s="442"/>
      <c r="AL8" s="442"/>
      <c r="AM8" s="442"/>
      <c r="AN8" s="442"/>
      <c r="AO8" s="442"/>
      <c r="AP8" s="442"/>
      <c r="AQ8" s="442"/>
      <c r="AR8" s="442"/>
      <c r="AS8" s="442"/>
      <c r="AT8" s="442"/>
      <c r="AU8" s="442"/>
      <c r="AV8" s="442"/>
      <c r="AW8" s="442"/>
    </row>
    <row r="9" spans="1:49" x14ac:dyDescent="0.2">
      <c r="A9" s="383">
        <f>+BaseloadMarkets!A9</f>
        <v>36711</v>
      </c>
      <c r="B9" s="438">
        <v>0</v>
      </c>
      <c r="C9" s="438">
        <v>0</v>
      </c>
      <c r="D9" s="438"/>
      <c r="E9" s="438">
        <f t="shared" si="0"/>
        <v>0</v>
      </c>
      <c r="F9" s="438">
        <f t="shared" si="1"/>
        <v>-8512</v>
      </c>
      <c r="G9" s="442"/>
      <c r="H9" s="442"/>
      <c r="I9" s="442"/>
      <c r="J9" s="442"/>
      <c r="K9" s="442"/>
      <c r="L9" s="442"/>
      <c r="M9" s="442"/>
      <c r="N9" s="442"/>
      <c r="O9" s="442"/>
      <c r="P9" s="442"/>
      <c r="Q9" s="442"/>
      <c r="R9" s="442"/>
      <c r="S9" s="442"/>
      <c r="T9" s="442"/>
      <c r="U9" s="442"/>
      <c r="V9" s="442"/>
      <c r="W9" s="442"/>
      <c r="X9" s="442"/>
      <c r="Y9" s="442"/>
      <c r="Z9" s="442"/>
      <c r="AA9" s="442"/>
      <c r="AB9" s="442"/>
      <c r="AC9" s="442"/>
      <c r="AD9" s="442"/>
      <c r="AE9" s="442"/>
      <c r="AF9" s="442"/>
      <c r="AG9" s="442"/>
      <c r="AH9" s="442"/>
      <c r="AI9" s="442"/>
      <c r="AJ9" s="442"/>
      <c r="AK9" s="442"/>
      <c r="AL9" s="442"/>
      <c r="AM9" s="442"/>
      <c r="AN9" s="442"/>
      <c r="AO9" s="442"/>
      <c r="AP9" s="442"/>
      <c r="AQ9" s="442"/>
      <c r="AR9" s="442"/>
      <c r="AS9" s="442"/>
      <c r="AT9" s="442"/>
      <c r="AU9" s="442"/>
      <c r="AV9" s="442"/>
      <c r="AW9" s="442"/>
    </row>
    <row r="10" spans="1:49" x14ac:dyDescent="0.2">
      <c r="A10" s="383">
        <f>+BaseloadMarkets!A10</f>
        <v>36712</v>
      </c>
      <c r="B10" s="438">
        <v>1898</v>
      </c>
      <c r="C10" s="438">
        <v>0</v>
      </c>
      <c r="D10" s="438"/>
      <c r="E10" s="438">
        <f t="shared" si="0"/>
        <v>-1898</v>
      </c>
      <c r="F10" s="438">
        <f t="shared" si="1"/>
        <v>-10410</v>
      </c>
      <c r="G10" s="442"/>
      <c r="H10" s="442"/>
      <c r="I10" s="442"/>
      <c r="J10" s="442"/>
      <c r="K10" s="442"/>
      <c r="L10" s="442"/>
      <c r="M10" s="442"/>
      <c r="N10" s="442"/>
      <c r="O10" s="442"/>
      <c r="P10" s="442"/>
      <c r="Q10" s="442"/>
      <c r="R10" s="442"/>
      <c r="S10" s="442"/>
      <c r="T10" s="442"/>
      <c r="U10" s="442"/>
      <c r="V10" s="442"/>
      <c r="W10" s="442"/>
      <c r="X10" s="442"/>
      <c r="Y10" s="442"/>
      <c r="Z10" s="442"/>
      <c r="AA10" s="442"/>
      <c r="AB10" s="442"/>
      <c r="AC10" s="442"/>
      <c r="AD10" s="442"/>
      <c r="AE10" s="442"/>
      <c r="AF10" s="442"/>
      <c r="AG10" s="442"/>
      <c r="AH10" s="442"/>
      <c r="AI10" s="442"/>
      <c r="AJ10" s="442"/>
      <c r="AK10" s="442"/>
      <c r="AL10" s="442"/>
      <c r="AM10" s="442"/>
      <c r="AN10" s="442"/>
      <c r="AO10" s="442"/>
      <c r="AP10" s="442"/>
      <c r="AQ10" s="442"/>
      <c r="AR10" s="442"/>
      <c r="AS10" s="442"/>
      <c r="AT10" s="442"/>
      <c r="AU10" s="442"/>
      <c r="AV10" s="442"/>
      <c r="AW10" s="442"/>
    </row>
    <row r="11" spans="1:49" x14ac:dyDescent="0.2">
      <c r="A11" s="383">
        <f>+BaseloadMarkets!A11</f>
        <v>36713</v>
      </c>
      <c r="B11" s="438">
        <v>0</v>
      </c>
      <c r="C11" s="438">
        <v>20000</v>
      </c>
      <c r="D11" s="438"/>
      <c r="E11" s="438">
        <f t="shared" si="0"/>
        <v>20000</v>
      </c>
      <c r="F11" s="438">
        <f t="shared" si="1"/>
        <v>9590</v>
      </c>
      <c r="G11" s="442"/>
      <c r="H11" s="442"/>
      <c r="I11" s="442"/>
      <c r="J11" s="442"/>
      <c r="K11" s="442"/>
      <c r="L11" s="442"/>
      <c r="M11" s="442"/>
      <c r="N11" s="442"/>
      <c r="O11" s="442"/>
      <c r="P11" s="442"/>
      <c r="Q11" s="442"/>
      <c r="R11" s="442"/>
      <c r="S11" s="442"/>
      <c r="T11" s="442"/>
      <c r="U11" s="442"/>
      <c r="V11" s="442"/>
      <c r="W11" s="442"/>
      <c r="X11" s="442"/>
      <c r="Y11" s="442"/>
      <c r="Z11" s="442"/>
      <c r="AA11" s="442"/>
      <c r="AB11" s="442"/>
      <c r="AC11" s="442"/>
      <c r="AD11" s="442"/>
      <c r="AE11" s="442"/>
      <c r="AF11" s="442"/>
      <c r="AG11" s="442"/>
      <c r="AH11" s="442"/>
      <c r="AI11" s="442"/>
      <c r="AJ11" s="442"/>
      <c r="AK11" s="442"/>
      <c r="AL11" s="442"/>
      <c r="AM11" s="442"/>
      <c r="AN11" s="442"/>
      <c r="AO11" s="442"/>
      <c r="AP11" s="442"/>
      <c r="AQ11" s="442"/>
      <c r="AR11" s="442"/>
      <c r="AS11" s="442"/>
      <c r="AT11" s="442"/>
      <c r="AU11" s="442"/>
      <c r="AV11" s="442"/>
      <c r="AW11" s="442"/>
    </row>
    <row r="12" spans="1:49" x14ac:dyDescent="0.2">
      <c r="A12" s="383">
        <f>+BaseloadMarkets!A12</f>
        <v>36714</v>
      </c>
      <c r="B12" s="438">
        <f>+OCCMarkets!BL12</f>
        <v>2922</v>
      </c>
      <c r="C12" s="438">
        <v>0</v>
      </c>
      <c r="D12" s="438"/>
      <c r="E12" s="438">
        <f t="shared" si="0"/>
        <v>-2922</v>
      </c>
      <c r="F12" s="438">
        <f t="shared" si="1"/>
        <v>6668</v>
      </c>
      <c r="G12" s="442"/>
      <c r="H12" s="442"/>
      <c r="I12" s="442"/>
      <c r="J12" s="442"/>
      <c r="K12" s="442"/>
      <c r="L12" s="442"/>
      <c r="M12" s="442"/>
      <c r="N12" s="442"/>
      <c r="O12" s="442"/>
      <c r="P12" s="442"/>
      <c r="Q12" s="442"/>
      <c r="R12" s="442"/>
      <c r="S12" s="442"/>
      <c r="T12" s="442"/>
      <c r="U12" s="442"/>
      <c r="V12" s="442"/>
      <c r="W12" s="442"/>
      <c r="X12" s="442"/>
      <c r="Y12" s="442"/>
      <c r="Z12" s="442"/>
      <c r="AA12" s="442"/>
      <c r="AB12" s="442"/>
      <c r="AC12" s="442"/>
      <c r="AD12" s="442"/>
      <c r="AE12" s="442"/>
      <c r="AF12" s="442"/>
      <c r="AG12" s="442"/>
      <c r="AH12" s="442"/>
      <c r="AI12" s="442"/>
      <c r="AJ12" s="442"/>
      <c r="AK12" s="442"/>
      <c r="AL12" s="442"/>
      <c r="AM12" s="442"/>
      <c r="AN12" s="442"/>
      <c r="AO12" s="442"/>
      <c r="AP12" s="442"/>
      <c r="AQ12" s="442"/>
      <c r="AR12" s="442"/>
      <c r="AS12" s="442"/>
      <c r="AT12" s="442"/>
      <c r="AU12" s="442"/>
      <c r="AV12" s="442"/>
      <c r="AW12" s="442"/>
    </row>
    <row r="13" spans="1:49" x14ac:dyDescent="0.2">
      <c r="A13" s="383">
        <f>+BaseloadMarkets!A13</f>
        <v>36715</v>
      </c>
      <c r="B13" s="438">
        <f>+OCCMarkets!BL13</f>
        <v>2316</v>
      </c>
      <c r="C13" s="438">
        <v>0</v>
      </c>
      <c r="D13" s="438"/>
      <c r="E13" s="438">
        <f t="shared" si="0"/>
        <v>-2316</v>
      </c>
      <c r="F13" s="438">
        <f t="shared" si="1"/>
        <v>4352</v>
      </c>
      <c r="G13" s="442"/>
      <c r="H13" s="442"/>
      <c r="I13" s="442"/>
      <c r="J13" s="442"/>
      <c r="K13" s="442"/>
      <c r="L13" s="442"/>
      <c r="M13" s="442"/>
      <c r="N13" s="442"/>
      <c r="O13" s="442"/>
      <c r="P13" s="442"/>
      <c r="Q13" s="442"/>
      <c r="R13" s="442"/>
      <c r="S13" s="442"/>
      <c r="T13" s="442"/>
      <c r="U13" s="442"/>
      <c r="V13" s="442"/>
      <c r="W13" s="442"/>
      <c r="X13" s="442"/>
      <c r="Y13" s="442"/>
      <c r="Z13" s="442"/>
      <c r="AA13" s="442"/>
      <c r="AB13" s="442"/>
      <c r="AC13" s="442"/>
      <c r="AD13" s="442"/>
      <c r="AE13" s="442"/>
      <c r="AF13" s="442"/>
      <c r="AG13" s="442"/>
      <c r="AH13" s="442"/>
      <c r="AI13" s="442"/>
      <c r="AJ13" s="442"/>
      <c r="AK13" s="442"/>
      <c r="AL13" s="442"/>
      <c r="AM13" s="442"/>
      <c r="AN13" s="442"/>
      <c r="AO13" s="442"/>
      <c r="AP13" s="442"/>
      <c r="AQ13" s="442"/>
      <c r="AR13" s="442"/>
      <c r="AS13" s="442"/>
      <c r="AT13" s="442"/>
      <c r="AU13" s="442"/>
      <c r="AV13" s="442"/>
      <c r="AW13" s="442"/>
    </row>
    <row r="14" spans="1:49" x14ac:dyDescent="0.2">
      <c r="A14" s="383">
        <f>+BaseloadMarkets!A14</f>
        <v>36716</v>
      </c>
      <c r="B14" s="438">
        <f>+OCCMarkets!BL14</f>
        <v>8221</v>
      </c>
      <c r="C14" s="438">
        <v>0</v>
      </c>
      <c r="D14" s="438"/>
      <c r="E14" s="438">
        <f t="shared" si="0"/>
        <v>-8221</v>
      </c>
      <c r="F14" s="438">
        <f t="shared" si="1"/>
        <v>-3869</v>
      </c>
      <c r="G14" s="442"/>
      <c r="H14" s="442"/>
      <c r="I14" s="442"/>
      <c r="J14" s="442"/>
      <c r="K14" s="442"/>
      <c r="L14" s="442"/>
      <c r="M14" s="442"/>
      <c r="N14" s="442"/>
      <c r="O14" s="442"/>
      <c r="P14" s="442"/>
      <c r="Q14" s="442"/>
      <c r="R14" s="442"/>
      <c r="S14" s="442"/>
      <c r="T14" s="442"/>
      <c r="U14" s="442"/>
      <c r="V14" s="442"/>
      <c r="W14" s="442"/>
      <c r="X14" s="442"/>
      <c r="Y14" s="442"/>
      <c r="Z14" s="442"/>
      <c r="AA14" s="442"/>
      <c r="AB14" s="442"/>
      <c r="AC14" s="442"/>
      <c r="AD14" s="442"/>
      <c r="AE14" s="442"/>
      <c r="AF14" s="442"/>
      <c r="AG14" s="442"/>
      <c r="AH14" s="442"/>
      <c r="AI14" s="442"/>
      <c r="AJ14" s="442"/>
      <c r="AK14" s="442"/>
      <c r="AL14" s="442"/>
      <c r="AM14" s="442"/>
      <c r="AN14" s="442"/>
      <c r="AO14" s="442"/>
      <c r="AP14" s="442"/>
      <c r="AQ14" s="442"/>
      <c r="AR14" s="442"/>
      <c r="AS14" s="442"/>
      <c r="AT14" s="442"/>
      <c r="AU14" s="442"/>
      <c r="AV14" s="442"/>
      <c r="AW14" s="442"/>
    </row>
    <row r="15" spans="1:49" x14ac:dyDescent="0.2">
      <c r="A15" s="383">
        <f>+BaseloadMarkets!A15</f>
        <v>36717</v>
      </c>
      <c r="B15" s="438">
        <f>+OCCMarkets!BL15</f>
        <v>9923</v>
      </c>
      <c r="C15" s="438">
        <v>0</v>
      </c>
      <c r="D15" s="438"/>
      <c r="E15" s="438">
        <f t="shared" si="0"/>
        <v>-9923</v>
      </c>
      <c r="F15" s="438">
        <f t="shared" si="1"/>
        <v>-13792</v>
      </c>
      <c r="G15" s="442"/>
      <c r="H15" s="442"/>
      <c r="I15" s="442"/>
      <c r="J15" s="442"/>
      <c r="K15" s="442"/>
      <c r="L15" s="442"/>
      <c r="M15" s="442"/>
      <c r="N15" s="442"/>
      <c r="O15" s="442"/>
      <c r="P15" s="442"/>
      <c r="Q15" s="442"/>
      <c r="R15" s="442"/>
      <c r="S15" s="442"/>
      <c r="T15" s="442"/>
      <c r="U15" s="442"/>
      <c r="V15" s="442"/>
      <c r="W15" s="442"/>
      <c r="X15" s="442"/>
      <c r="Y15" s="442"/>
      <c r="Z15" s="442"/>
      <c r="AA15" s="442"/>
      <c r="AB15" s="442"/>
      <c r="AC15" s="442"/>
      <c r="AD15" s="442"/>
      <c r="AE15" s="442"/>
      <c r="AF15" s="442"/>
      <c r="AG15" s="442"/>
      <c r="AH15" s="442"/>
      <c r="AI15" s="442"/>
      <c r="AJ15" s="442"/>
      <c r="AK15" s="442"/>
      <c r="AL15" s="442"/>
      <c r="AM15" s="442"/>
      <c r="AN15" s="442"/>
      <c r="AO15" s="442"/>
      <c r="AP15" s="442"/>
      <c r="AQ15" s="442"/>
      <c r="AR15" s="442"/>
      <c r="AS15" s="442"/>
      <c r="AT15" s="442"/>
      <c r="AU15" s="442"/>
      <c r="AV15" s="442"/>
      <c r="AW15" s="442"/>
    </row>
    <row r="16" spans="1:49" x14ac:dyDescent="0.2">
      <c r="A16" s="383">
        <f>+BaseloadMarkets!A16</f>
        <v>36718</v>
      </c>
      <c r="B16" s="438">
        <f>+OCCMarkets!BL16</f>
        <v>3524</v>
      </c>
      <c r="C16" s="438">
        <v>10000</v>
      </c>
      <c r="D16" s="438"/>
      <c r="E16" s="438">
        <f t="shared" si="0"/>
        <v>6476</v>
      </c>
      <c r="F16" s="438">
        <f t="shared" si="1"/>
        <v>-7316</v>
      </c>
      <c r="G16" s="442"/>
      <c r="H16" s="442"/>
      <c r="I16" s="442"/>
      <c r="J16" s="442"/>
      <c r="K16" s="442"/>
      <c r="L16" s="442"/>
      <c r="M16" s="442"/>
      <c r="N16" s="442"/>
      <c r="O16" s="442"/>
      <c r="P16" s="442"/>
      <c r="Q16" s="442"/>
      <c r="R16" s="442"/>
      <c r="S16" s="442"/>
      <c r="T16" s="442"/>
      <c r="U16" s="442"/>
      <c r="V16" s="442"/>
      <c r="W16" s="442"/>
      <c r="X16" s="442"/>
      <c r="Y16" s="442"/>
      <c r="Z16" s="442"/>
      <c r="AA16" s="442"/>
      <c r="AB16" s="442"/>
      <c r="AC16" s="442"/>
      <c r="AD16" s="442"/>
      <c r="AE16" s="442"/>
      <c r="AF16" s="442"/>
      <c r="AG16" s="442"/>
      <c r="AH16" s="442"/>
      <c r="AI16" s="442"/>
      <c r="AJ16" s="442"/>
      <c r="AK16" s="442"/>
      <c r="AL16" s="442"/>
      <c r="AM16" s="442"/>
      <c r="AN16" s="442"/>
      <c r="AO16" s="442"/>
      <c r="AP16" s="442"/>
      <c r="AQ16" s="442"/>
      <c r="AR16" s="442"/>
      <c r="AS16" s="442"/>
      <c r="AT16" s="442"/>
      <c r="AU16" s="442"/>
      <c r="AV16" s="442"/>
      <c r="AW16" s="442"/>
    </row>
    <row r="17" spans="1:49" x14ac:dyDescent="0.2">
      <c r="A17" s="383">
        <f>+BaseloadMarkets!A17</f>
        <v>36719</v>
      </c>
      <c r="B17" s="438">
        <f>+OCCMarkets!BL17</f>
        <v>2043</v>
      </c>
      <c r="C17" s="438">
        <v>10000</v>
      </c>
      <c r="D17" s="438"/>
      <c r="E17" s="438">
        <f t="shared" si="0"/>
        <v>7957</v>
      </c>
      <c r="F17" s="438">
        <f t="shared" si="1"/>
        <v>641</v>
      </c>
      <c r="G17" s="442"/>
      <c r="H17" s="442"/>
      <c r="I17" s="442"/>
      <c r="J17" s="442"/>
      <c r="K17" s="442"/>
      <c r="L17" s="442"/>
      <c r="M17" s="442"/>
      <c r="N17" s="442"/>
      <c r="O17" s="442"/>
      <c r="P17" s="442"/>
      <c r="Q17" s="442"/>
      <c r="R17" s="442"/>
      <c r="S17" s="442"/>
      <c r="T17" s="442"/>
      <c r="U17" s="442"/>
      <c r="V17" s="442"/>
      <c r="W17" s="442"/>
      <c r="X17" s="442"/>
      <c r="Y17" s="442"/>
      <c r="Z17" s="442"/>
      <c r="AA17" s="442"/>
      <c r="AB17" s="442"/>
      <c r="AC17" s="442"/>
      <c r="AD17" s="442"/>
      <c r="AE17" s="442"/>
      <c r="AF17" s="442"/>
      <c r="AG17" s="442"/>
      <c r="AH17" s="442"/>
      <c r="AI17" s="442"/>
      <c r="AJ17" s="442"/>
      <c r="AK17" s="442"/>
      <c r="AL17" s="442"/>
      <c r="AM17" s="442"/>
      <c r="AN17" s="442"/>
      <c r="AO17" s="442"/>
      <c r="AP17" s="442"/>
      <c r="AQ17" s="442"/>
      <c r="AR17" s="442"/>
      <c r="AS17" s="442"/>
      <c r="AT17" s="442"/>
      <c r="AU17" s="442"/>
      <c r="AV17" s="442"/>
      <c r="AW17" s="442"/>
    </row>
    <row r="18" spans="1:49" x14ac:dyDescent="0.2">
      <c r="A18" s="383">
        <f>+BaseloadMarkets!A18</f>
        <v>36720</v>
      </c>
      <c r="B18" s="438">
        <f>+OCCMarkets!BL18</f>
        <v>10235</v>
      </c>
      <c r="C18" s="438">
        <v>10000</v>
      </c>
      <c r="D18" s="438"/>
      <c r="E18" s="438">
        <f t="shared" si="0"/>
        <v>-235</v>
      </c>
      <c r="F18" s="438">
        <f t="shared" si="1"/>
        <v>406</v>
      </c>
      <c r="G18" s="442"/>
      <c r="H18" s="442"/>
      <c r="I18" s="442"/>
      <c r="J18" s="442"/>
      <c r="K18" s="442"/>
      <c r="L18" s="442"/>
      <c r="M18" s="442"/>
      <c r="N18" s="442"/>
      <c r="O18" s="442"/>
      <c r="P18" s="442"/>
      <c r="Q18" s="442"/>
      <c r="R18" s="442"/>
      <c r="S18" s="442"/>
      <c r="T18" s="442"/>
      <c r="U18" s="442"/>
      <c r="V18" s="442"/>
      <c r="W18" s="442"/>
      <c r="X18" s="442"/>
      <c r="Y18" s="442"/>
      <c r="Z18" s="442"/>
      <c r="AA18" s="442"/>
      <c r="AB18" s="442"/>
      <c r="AC18" s="442"/>
      <c r="AD18" s="442"/>
      <c r="AE18" s="442"/>
      <c r="AF18" s="442"/>
      <c r="AG18" s="442"/>
      <c r="AH18" s="442"/>
      <c r="AI18" s="442"/>
      <c r="AJ18" s="442"/>
      <c r="AK18" s="442"/>
      <c r="AL18" s="442"/>
      <c r="AM18" s="442"/>
      <c r="AN18" s="442"/>
      <c r="AO18" s="442"/>
      <c r="AP18" s="442"/>
      <c r="AQ18" s="442"/>
      <c r="AR18" s="442"/>
      <c r="AS18" s="442"/>
      <c r="AT18" s="442"/>
      <c r="AU18" s="442"/>
      <c r="AV18" s="442"/>
      <c r="AW18" s="442"/>
    </row>
    <row r="19" spans="1:49" x14ac:dyDescent="0.2">
      <c r="A19" s="383">
        <f>+BaseloadMarkets!A19</f>
        <v>36721</v>
      </c>
      <c r="B19" s="438">
        <f>+OCCMarkets!BL19</f>
        <v>11983</v>
      </c>
      <c r="C19" s="438">
        <v>10000</v>
      </c>
      <c r="D19" s="438"/>
      <c r="E19" s="438">
        <f t="shared" si="0"/>
        <v>-1983</v>
      </c>
      <c r="F19" s="438">
        <f t="shared" si="1"/>
        <v>-1577</v>
      </c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42"/>
      <c r="AB19" s="442"/>
      <c r="AC19" s="442"/>
      <c r="AD19" s="442"/>
      <c r="AE19" s="442"/>
      <c r="AF19" s="442"/>
      <c r="AG19" s="442"/>
      <c r="AH19" s="442"/>
      <c r="AI19" s="442"/>
      <c r="AJ19" s="442"/>
      <c r="AK19" s="442"/>
      <c r="AL19" s="442"/>
      <c r="AM19" s="442"/>
      <c r="AN19" s="442"/>
      <c r="AO19" s="442"/>
      <c r="AP19" s="442"/>
      <c r="AQ19" s="442"/>
      <c r="AR19" s="442"/>
      <c r="AS19" s="442"/>
      <c r="AT19" s="442"/>
      <c r="AU19" s="442"/>
      <c r="AV19" s="442"/>
      <c r="AW19" s="442"/>
    </row>
    <row r="20" spans="1:49" x14ac:dyDescent="0.2">
      <c r="A20" s="383">
        <f>+BaseloadMarkets!A20</f>
        <v>36722</v>
      </c>
      <c r="B20" s="438">
        <f>+OCCMarkets!BL20</f>
        <v>13034</v>
      </c>
      <c r="C20" s="438">
        <v>0</v>
      </c>
      <c r="D20" s="438"/>
      <c r="E20" s="438">
        <f t="shared" si="0"/>
        <v>-13034</v>
      </c>
      <c r="F20" s="438">
        <f t="shared" si="1"/>
        <v>-14611</v>
      </c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2"/>
      <c r="S20" s="442"/>
      <c r="T20" s="442"/>
      <c r="U20" s="442"/>
      <c r="V20" s="442"/>
      <c r="W20" s="442"/>
      <c r="X20" s="442"/>
      <c r="Y20" s="442"/>
      <c r="Z20" s="442"/>
      <c r="AA20" s="442"/>
      <c r="AB20" s="442"/>
      <c r="AC20" s="442"/>
      <c r="AD20" s="442"/>
      <c r="AE20" s="442"/>
      <c r="AF20" s="442"/>
      <c r="AG20" s="442"/>
      <c r="AH20" s="442"/>
      <c r="AI20" s="442"/>
      <c r="AJ20" s="442"/>
      <c r="AK20" s="442"/>
      <c r="AL20" s="442"/>
      <c r="AM20" s="442"/>
      <c r="AN20" s="442"/>
      <c r="AO20" s="442"/>
      <c r="AP20" s="442"/>
      <c r="AQ20" s="442"/>
      <c r="AR20" s="442"/>
      <c r="AS20" s="442"/>
      <c r="AT20" s="442"/>
      <c r="AU20" s="442"/>
      <c r="AV20" s="442"/>
      <c r="AW20" s="442"/>
    </row>
    <row r="21" spans="1:49" x14ac:dyDescent="0.2">
      <c r="A21" s="383">
        <f>+BaseloadMarkets!A21</f>
        <v>36723</v>
      </c>
      <c r="B21" s="438">
        <f>+OCCMarkets!BL21</f>
        <v>4507</v>
      </c>
      <c r="C21" s="438">
        <v>0</v>
      </c>
      <c r="D21" s="438"/>
      <c r="E21" s="438">
        <f t="shared" si="0"/>
        <v>-4507</v>
      </c>
      <c r="F21" s="438">
        <f t="shared" si="1"/>
        <v>-19118</v>
      </c>
      <c r="G21" s="442"/>
      <c r="H21" s="442"/>
      <c r="I21" s="442"/>
      <c r="J21" s="442"/>
      <c r="K21" s="442"/>
      <c r="L21" s="442"/>
      <c r="M21" s="442"/>
      <c r="N21" s="442"/>
      <c r="O21" s="442"/>
      <c r="P21" s="442"/>
      <c r="Q21" s="442"/>
      <c r="R21" s="442"/>
      <c r="S21" s="442"/>
      <c r="T21" s="442"/>
      <c r="U21" s="442"/>
      <c r="V21" s="442"/>
      <c r="W21" s="442"/>
      <c r="X21" s="442"/>
      <c r="Y21" s="442"/>
      <c r="Z21" s="442"/>
      <c r="AA21" s="442"/>
      <c r="AB21" s="442"/>
      <c r="AC21" s="442"/>
      <c r="AD21" s="442"/>
      <c r="AE21" s="442"/>
      <c r="AF21" s="442"/>
      <c r="AG21" s="442"/>
      <c r="AH21" s="442"/>
      <c r="AI21" s="442"/>
      <c r="AJ21" s="442"/>
      <c r="AK21" s="442"/>
      <c r="AL21" s="442"/>
      <c r="AM21" s="442"/>
      <c r="AN21" s="442"/>
      <c r="AO21" s="442"/>
      <c r="AP21" s="442"/>
      <c r="AQ21" s="442"/>
      <c r="AR21" s="442"/>
      <c r="AS21" s="442"/>
      <c r="AT21" s="442"/>
      <c r="AU21" s="442"/>
      <c r="AV21" s="442"/>
      <c r="AW21" s="442"/>
    </row>
    <row r="22" spans="1:49" x14ac:dyDescent="0.2">
      <c r="A22" s="383">
        <f>+BaseloadMarkets!A22</f>
        <v>36724</v>
      </c>
      <c r="B22" s="438">
        <f>+OCCMarkets!BL22</f>
        <v>11383</v>
      </c>
      <c r="C22" s="438">
        <v>0</v>
      </c>
      <c r="D22" s="438"/>
      <c r="E22" s="438">
        <f t="shared" si="0"/>
        <v>-11383</v>
      </c>
      <c r="F22" s="438">
        <f t="shared" si="1"/>
        <v>-30501</v>
      </c>
      <c r="G22" s="442"/>
      <c r="H22" s="442"/>
      <c r="I22" s="442"/>
      <c r="J22" s="442"/>
      <c r="K22" s="442"/>
      <c r="L22" s="442"/>
      <c r="M22" s="442"/>
      <c r="N22" s="442"/>
      <c r="O22" s="442"/>
      <c r="P22" s="442"/>
      <c r="Q22" s="442"/>
      <c r="R22" s="442"/>
      <c r="S22" s="442"/>
      <c r="T22" s="442"/>
      <c r="U22" s="442"/>
      <c r="V22" s="442"/>
      <c r="W22" s="442"/>
      <c r="X22" s="442"/>
      <c r="Y22" s="442"/>
      <c r="Z22" s="442"/>
      <c r="AA22" s="442"/>
      <c r="AB22" s="442"/>
      <c r="AC22" s="442"/>
      <c r="AD22" s="442"/>
      <c r="AE22" s="442"/>
      <c r="AF22" s="442"/>
      <c r="AG22" s="442"/>
      <c r="AH22" s="442"/>
      <c r="AI22" s="442"/>
      <c r="AJ22" s="442"/>
      <c r="AK22" s="442"/>
      <c r="AL22" s="442"/>
      <c r="AM22" s="442"/>
      <c r="AN22" s="442"/>
      <c r="AO22" s="442"/>
      <c r="AP22" s="442"/>
      <c r="AQ22" s="442"/>
      <c r="AR22" s="442"/>
      <c r="AS22" s="442"/>
      <c r="AT22" s="442"/>
      <c r="AU22" s="442"/>
      <c r="AV22" s="442"/>
      <c r="AW22" s="442"/>
    </row>
    <row r="23" spans="1:49" x14ac:dyDescent="0.2">
      <c r="A23" s="383">
        <f>+BaseloadMarkets!A23</f>
        <v>36725</v>
      </c>
      <c r="B23" s="438">
        <f>+OCCMarkets!BL23</f>
        <v>17215</v>
      </c>
      <c r="C23" s="438">
        <v>20000</v>
      </c>
      <c r="D23" s="438"/>
      <c r="E23" s="438">
        <f t="shared" si="0"/>
        <v>2785</v>
      </c>
      <c r="F23" s="438">
        <f t="shared" si="1"/>
        <v>-27716</v>
      </c>
      <c r="G23" s="442"/>
      <c r="H23" s="442"/>
      <c r="I23" s="442"/>
      <c r="J23" s="442"/>
      <c r="K23" s="442"/>
      <c r="L23" s="442"/>
      <c r="M23" s="442"/>
      <c r="N23" s="442"/>
      <c r="O23" s="442"/>
      <c r="P23" s="442"/>
      <c r="Q23" s="442"/>
      <c r="R23" s="442"/>
      <c r="S23" s="442"/>
      <c r="T23" s="442"/>
      <c r="U23" s="442"/>
      <c r="V23" s="442"/>
      <c r="W23" s="442"/>
      <c r="X23" s="442"/>
      <c r="Y23" s="442"/>
      <c r="Z23" s="442"/>
      <c r="AA23" s="442"/>
      <c r="AB23" s="442"/>
      <c r="AC23" s="442"/>
      <c r="AD23" s="442"/>
      <c r="AE23" s="442"/>
      <c r="AF23" s="442"/>
      <c r="AG23" s="442"/>
      <c r="AH23" s="442"/>
      <c r="AI23" s="442"/>
      <c r="AJ23" s="442"/>
      <c r="AK23" s="442"/>
      <c r="AL23" s="442"/>
      <c r="AM23" s="442"/>
      <c r="AN23" s="442"/>
      <c r="AO23" s="442"/>
      <c r="AP23" s="442"/>
      <c r="AQ23" s="442"/>
      <c r="AR23" s="442"/>
      <c r="AS23" s="442"/>
      <c r="AT23" s="442"/>
      <c r="AU23" s="442"/>
      <c r="AV23" s="442"/>
      <c r="AW23" s="442"/>
    </row>
    <row r="24" spans="1:49" x14ac:dyDescent="0.2">
      <c r="A24" s="383">
        <f>+BaseloadMarkets!A24</f>
        <v>36726</v>
      </c>
      <c r="B24" s="438">
        <f>+OCCMarkets!BL24</f>
        <v>15830</v>
      </c>
      <c r="C24" s="438">
        <v>15000</v>
      </c>
      <c r="D24" s="438"/>
      <c r="E24" s="438">
        <f t="shared" si="0"/>
        <v>-830</v>
      </c>
      <c r="F24" s="438">
        <f t="shared" si="1"/>
        <v>-28546</v>
      </c>
      <c r="G24" s="442"/>
      <c r="H24" s="442"/>
      <c r="I24" s="442"/>
      <c r="J24" s="442"/>
      <c r="K24" s="442"/>
      <c r="L24" s="442"/>
      <c r="M24" s="442"/>
      <c r="N24" s="442"/>
      <c r="O24" s="442"/>
      <c r="P24" s="442"/>
      <c r="Q24" s="442"/>
      <c r="R24" s="442"/>
      <c r="S24" s="442"/>
      <c r="T24" s="442"/>
      <c r="U24" s="442"/>
      <c r="V24" s="442"/>
      <c r="W24" s="442"/>
      <c r="X24" s="442"/>
      <c r="Y24" s="442"/>
      <c r="Z24" s="442"/>
      <c r="AA24" s="442"/>
      <c r="AB24" s="442"/>
      <c r="AC24" s="442"/>
      <c r="AD24" s="442"/>
      <c r="AE24" s="442"/>
      <c r="AF24" s="442"/>
      <c r="AG24" s="442"/>
      <c r="AH24" s="442"/>
      <c r="AI24" s="442"/>
      <c r="AJ24" s="442"/>
      <c r="AK24" s="442"/>
      <c r="AL24" s="442"/>
      <c r="AM24" s="442"/>
      <c r="AN24" s="442"/>
      <c r="AO24" s="442"/>
      <c r="AP24" s="442"/>
      <c r="AQ24" s="442"/>
      <c r="AR24" s="442"/>
      <c r="AS24" s="442"/>
      <c r="AT24" s="442"/>
      <c r="AU24" s="442"/>
      <c r="AV24" s="442"/>
      <c r="AW24" s="442"/>
    </row>
    <row r="25" spans="1:49" x14ac:dyDescent="0.2">
      <c r="A25" s="383">
        <f>+BaseloadMarkets!A25</f>
        <v>36727</v>
      </c>
      <c r="B25" s="438">
        <f>+OCCMarkets!BL25</f>
        <v>11130</v>
      </c>
      <c r="C25" s="438">
        <v>20000</v>
      </c>
      <c r="D25" s="438"/>
      <c r="E25" s="438">
        <f t="shared" si="0"/>
        <v>8870</v>
      </c>
      <c r="F25" s="438">
        <f t="shared" si="1"/>
        <v>-19676</v>
      </c>
      <c r="G25" s="442"/>
      <c r="H25" s="442"/>
      <c r="I25" s="442"/>
      <c r="J25" s="442"/>
      <c r="K25" s="442"/>
      <c r="L25" s="442"/>
      <c r="M25" s="442"/>
      <c r="N25" s="442"/>
      <c r="O25" s="442"/>
      <c r="P25" s="442"/>
      <c r="Q25" s="442"/>
      <c r="R25" s="442"/>
      <c r="S25" s="442"/>
      <c r="T25" s="442"/>
      <c r="U25" s="442"/>
      <c r="V25" s="442"/>
      <c r="W25" s="442"/>
      <c r="X25" s="442"/>
      <c r="Y25" s="442"/>
      <c r="Z25" s="442"/>
      <c r="AA25" s="442"/>
      <c r="AB25" s="442"/>
      <c r="AC25" s="442"/>
      <c r="AD25" s="442"/>
      <c r="AE25" s="442"/>
      <c r="AF25" s="442"/>
      <c r="AG25" s="442"/>
      <c r="AH25" s="442"/>
      <c r="AI25" s="442"/>
      <c r="AJ25" s="442"/>
      <c r="AK25" s="442"/>
      <c r="AL25" s="442"/>
      <c r="AM25" s="442"/>
      <c r="AN25" s="442"/>
      <c r="AO25" s="442"/>
      <c r="AP25" s="442"/>
      <c r="AQ25" s="442"/>
      <c r="AR25" s="442"/>
      <c r="AS25" s="442"/>
      <c r="AT25" s="442"/>
      <c r="AU25" s="442"/>
      <c r="AV25" s="442"/>
      <c r="AW25" s="442"/>
    </row>
    <row r="26" spans="1:49" x14ac:dyDescent="0.2">
      <c r="A26" s="383">
        <f>+BaseloadMarkets!A26</f>
        <v>36728</v>
      </c>
      <c r="B26" s="438">
        <f>+OCCMarkets!BL26</f>
        <v>12062</v>
      </c>
      <c r="C26" s="438">
        <v>25000</v>
      </c>
      <c r="D26" s="438"/>
      <c r="E26" s="438">
        <f t="shared" si="0"/>
        <v>12938</v>
      </c>
      <c r="F26" s="438">
        <f t="shared" si="1"/>
        <v>-6738</v>
      </c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42"/>
      <c r="R26" s="442"/>
      <c r="S26" s="442"/>
      <c r="T26" s="442"/>
      <c r="U26" s="442"/>
      <c r="V26" s="442"/>
      <c r="W26" s="442"/>
      <c r="X26" s="442"/>
      <c r="Y26" s="442"/>
      <c r="Z26" s="442"/>
      <c r="AA26" s="442"/>
      <c r="AB26" s="442"/>
      <c r="AC26" s="442"/>
      <c r="AD26" s="442"/>
      <c r="AE26" s="442"/>
      <c r="AF26" s="442"/>
      <c r="AG26" s="442"/>
      <c r="AH26" s="442"/>
      <c r="AI26" s="442"/>
      <c r="AJ26" s="442"/>
      <c r="AK26" s="442"/>
      <c r="AL26" s="442"/>
      <c r="AM26" s="442"/>
      <c r="AN26" s="442"/>
      <c r="AO26" s="442"/>
      <c r="AP26" s="442"/>
      <c r="AQ26" s="442"/>
      <c r="AR26" s="442"/>
      <c r="AS26" s="442"/>
      <c r="AT26" s="442"/>
      <c r="AU26" s="442"/>
      <c r="AV26" s="442"/>
      <c r="AW26" s="442"/>
    </row>
    <row r="27" spans="1:49" x14ac:dyDescent="0.2">
      <c r="A27" s="383">
        <f>+BaseloadMarkets!A27</f>
        <v>36729</v>
      </c>
      <c r="B27" s="438">
        <f>+OCCMarkets!BL27</f>
        <v>13470</v>
      </c>
      <c r="C27" s="438">
        <v>17500</v>
      </c>
      <c r="D27" s="438"/>
      <c r="E27" s="438">
        <f t="shared" si="0"/>
        <v>4030</v>
      </c>
      <c r="F27" s="438">
        <f t="shared" si="1"/>
        <v>-2708</v>
      </c>
      <c r="G27" s="442"/>
      <c r="H27" s="442"/>
      <c r="I27" s="442"/>
      <c r="J27" s="442"/>
      <c r="K27" s="442"/>
      <c r="L27" s="442"/>
      <c r="M27" s="442"/>
      <c r="N27" s="442"/>
      <c r="O27" s="442"/>
      <c r="P27" s="442"/>
      <c r="Q27" s="442"/>
      <c r="R27" s="442"/>
      <c r="S27" s="442"/>
      <c r="T27" s="442"/>
      <c r="U27" s="442"/>
      <c r="V27" s="442"/>
      <c r="W27" s="442"/>
      <c r="X27" s="442"/>
      <c r="Y27" s="442"/>
      <c r="Z27" s="442"/>
      <c r="AA27" s="442"/>
      <c r="AB27" s="442"/>
      <c r="AC27" s="442"/>
      <c r="AD27" s="442"/>
      <c r="AE27" s="442"/>
      <c r="AF27" s="442"/>
      <c r="AG27" s="442"/>
      <c r="AH27" s="442"/>
      <c r="AI27" s="442"/>
      <c r="AJ27" s="442"/>
      <c r="AK27" s="442"/>
      <c r="AL27" s="442"/>
      <c r="AM27" s="442"/>
      <c r="AN27" s="442"/>
      <c r="AO27" s="442"/>
      <c r="AP27" s="442"/>
      <c r="AQ27" s="442"/>
      <c r="AR27" s="442"/>
      <c r="AS27" s="442"/>
      <c r="AT27" s="442"/>
      <c r="AU27" s="442"/>
      <c r="AV27" s="442"/>
      <c r="AW27" s="442"/>
    </row>
    <row r="28" spans="1:49" x14ac:dyDescent="0.2">
      <c r="A28" s="383">
        <f>+BaseloadMarkets!A28</f>
        <v>36730</v>
      </c>
      <c r="B28" s="438">
        <f>+OCCMarkets!BL28</f>
        <v>14244.6</v>
      </c>
      <c r="C28" s="438">
        <v>17500</v>
      </c>
      <c r="D28" s="438"/>
      <c r="E28" s="438">
        <f t="shared" si="0"/>
        <v>3255.3999999999996</v>
      </c>
      <c r="F28" s="438">
        <f t="shared" si="1"/>
        <v>547.39999999999964</v>
      </c>
      <c r="G28" s="442"/>
      <c r="H28" s="442"/>
      <c r="I28" s="442"/>
      <c r="J28" s="442"/>
      <c r="K28" s="442"/>
      <c r="L28" s="442"/>
      <c r="M28" s="442"/>
      <c r="N28" s="442"/>
      <c r="O28" s="442"/>
      <c r="P28" s="442"/>
      <c r="Q28" s="442"/>
      <c r="R28" s="442"/>
      <c r="S28" s="442"/>
      <c r="T28" s="442"/>
      <c r="U28" s="442"/>
      <c r="V28" s="442"/>
      <c r="W28" s="442"/>
      <c r="X28" s="442"/>
      <c r="Y28" s="442"/>
      <c r="Z28" s="442"/>
      <c r="AA28" s="442"/>
      <c r="AB28" s="442"/>
      <c r="AC28" s="442"/>
      <c r="AD28" s="442"/>
      <c r="AE28" s="442"/>
      <c r="AF28" s="442"/>
      <c r="AG28" s="442"/>
      <c r="AH28" s="442"/>
      <c r="AI28" s="442"/>
      <c r="AJ28" s="442"/>
      <c r="AK28" s="442"/>
      <c r="AL28" s="442"/>
      <c r="AM28" s="442"/>
      <c r="AN28" s="442"/>
      <c r="AO28" s="442"/>
      <c r="AP28" s="442"/>
      <c r="AQ28" s="442"/>
      <c r="AR28" s="442"/>
      <c r="AS28" s="442"/>
      <c r="AT28" s="442"/>
      <c r="AU28" s="442"/>
      <c r="AV28" s="442"/>
      <c r="AW28" s="442"/>
    </row>
    <row r="29" spans="1:49" x14ac:dyDescent="0.2">
      <c r="A29" s="383">
        <f>+BaseloadMarkets!A29</f>
        <v>36731</v>
      </c>
      <c r="B29" s="438">
        <f>+OCCMarkets!BL29</f>
        <v>15002.7</v>
      </c>
      <c r="C29" s="438">
        <v>17500</v>
      </c>
      <c r="D29" s="438"/>
      <c r="E29" s="438">
        <f t="shared" si="0"/>
        <v>2497.2999999999993</v>
      </c>
      <c r="F29" s="438">
        <f t="shared" si="1"/>
        <v>3044.6999999999989</v>
      </c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42"/>
      <c r="R29" s="442"/>
      <c r="S29" s="442"/>
      <c r="T29" s="442"/>
      <c r="U29" s="442"/>
      <c r="V29" s="442"/>
      <c r="W29" s="442"/>
      <c r="X29" s="442"/>
      <c r="Y29" s="442"/>
      <c r="Z29" s="442"/>
      <c r="AA29" s="442"/>
      <c r="AB29" s="442"/>
      <c r="AC29" s="442"/>
      <c r="AD29" s="442"/>
      <c r="AE29" s="442"/>
      <c r="AF29" s="442"/>
      <c r="AG29" s="442"/>
      <c r="AH29" s="442"/>
      <c r="AI29" s="442"/>
      <c r="AJ29" s="442"/>
      <c r="AK29" s="442"/>
      <c r="AL29" s="442"/>
      <c r="AM29" s="442"/>
      <c r="AN29" s="442"/>
      <c r="AO29" s="442"/>
      <c r="AP29" s="442"/>
      <c r="AQ29" s="442"/>
      <c r="AR29" s="442"/>
      <c r="AS29" s="442"/>
      <c r="AT29" s="442"/>
      <c r="AU29" s="442"/>
      <c r="AV29" s="442"/>
      <c r="AW29" s="442"/>
    </row>
    <row r="30" spans="1:49" x14ac:dyDescent="0.2">
      <c r="A30" s="383">
        <f>+BaseloadMarkets!A30</f>
        <v>36732</v>
      </c>
      <c r="B30" s="438">
        <f>+OCCMarkets!BL30</f>
        <v>14937.1</v>
      </c>
      <c r="C30" s="438">
        <v>15000</v>
      </c>
      <c r="D30" s="438"/>
      <c r="E30" s="438">
        <f t="shared" si="0"/>
        <v>62.899999999999636</v>
      </c>
      <c r="F30" s="438">
        <f t="shared" si="1"/>
        <v>3107.5999999999985</v>
      </c>
      <c r="G30" s="442"/>
      <c r="H30" s="442"/>
      <c r="I30" s="442"/>
      <c r="J30" s="442"/>
      <c r="K30" s="442"/>
      <c r="L30" s="442"/>
      <c r="M30" s="442"/>
      <c r="N30" s="442"/>
      <c r="O30" s="442"/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442"/>
      <c r="AF30" s="442"/>
      <c r="AG30" s="442"/>
      <c r="AH30" s="442"/>
      <c r="AI30" s="442"/>
      <c r="AJ30" s="442"/>
      <c r="AK30" s="442"/>
      <c r="AL30" s="442"/>
      <c r="AM30" s="442"/>
      <c r="AN30" s="442"/>
      <c r="AO30" s="442"/>
      <c r="AP30" s="442"/>
      <c r="AQ30" s="442"/>
      <c r="AR30" s="442"/>
      <c r="AS30" s="442"/>
      <c r="AT30" s="442"/>
      <c r="AU30" s="442"/>
      <c r="AV30" s="442"/>
      <c r="AW30" s="442"/>
    </row>
    <row r="31" spans="1:49" x14ac:dyDescent="0.2">
      <c r="A31" s="383">
        <f>+BaseloadMarkets!A31</f>
        <v>36733</v>
      </c>
      <c r="B31" s="438">
        <f>+OCCMarkets!BL31</f>
        <v>14083</v>
      </c>
      <c r="C31" s="438">
        <v>15000</v>
      </c>
      <c r="D31" s="438"/>
      <c r="E31" s="438">
        <f t="shared" si="0"/>
        <v>917</v>
      </c>
      <c r="F31" s="438">
        <f t="shared" si="1"/>
        <v>4024.5999999999985</v>
      </c>
      <c r="G31" s="442"/>
      <c r="H31" s="442"/>
      <c r="I31" s="442"/>
      <c r="J31" s="442"/>
      <c r="K31" s="442"/>
      <c r="L31" s="442"/>
      <c r="M31" s="442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2"/>
      <c r="Z31" s="442"/>
      <c r="AA31" s="442"/>
      <c r="AB31" s="442"/>
      <c r="AC31" s="442"/>
      <c r="AD31" s="442"/>
      <c r="AE31" s="442"/>
      <c r="AF31" s="442"/>
      <c r="AG31" s="442"/>
      <c r="AH31" s="442"/>
      <c r="AI31" s="442"/>
      <c r="AJ31" s="442"/>
      <c r="AK31" s="442"/>
      <c r="AL31" s="442"/>
      <c r="AM31" s="442"/>
      <c r="AN31" s="442"/>
      <c r="AO31" s="442"/>
      <c r="AP31" s="442"/>
      <c r="AQ31" s="442"/>
      <c r="AR31" s="442"/>
      <c r="AS31" s="442"/>
      <c r="AT31" s="442"/>
      <c r="AU31" s="442"/>
      <c r="AV31" s="442"/>
      <c r="AW31" s="442"/>
    </row>
    <row r="32" spans="1:49" x14ac:dyDescent="0.2">
      <c r="A32" s="383">
        <f>+BaseloadMarkets!A32</f>
        <v>36734</v>
      </c>
      <c r="B32" s="438">
        <f>+OCCMarkets!BL32</f>
        <v>15083</v>
      </c>
      <c r="C32" s="438">
        <v>15000</v>
      </c>
      <c r="D32" s="438"/>
      <c r="E32" s="438">
        <f t="shared" si="0"/>
        <v>-83</v>
      </c>
      <c r="F32" s="438">
        <f t="shared" si="1"/>
        <v>3941.5999999999985</v>
      </c>
      <c r="G32" s="442"/>
      <c r="H32" s="442"/>
      <c r="I32" s="442"/>
      <c r="J32" s="442"/>
      <c r="K32" s="442"/>
      <c r="L32" s="442"/>
      <c r="M32" s="442"/>
      <c r="N32" s="442"/>
      <c r="O32" s="442"/>
      <c r="P32" s="442"/>
      <c r="Q32" s="442"/>
      <c r="R32" s="442"/>
      <c r="S32" s="442"/>
      <c r="T32" s="442"/>
      <c r="U32" s="442"/>
      <c r="V32" s="442"/>
      <c r="W32" s="442"/>
      <c r="X32" s="442"/>
      <c r="Y32" s="442"/>
      <c r="Z32" s="442"/>
      <c r="AA32" s="442"/>
      <c r="AB32" s="442"/>
      <c r="AC32" s="442"/>
      <c r="AD32" s="442"/>
      <c r="AE32" s="442"/>
      <c r="AF32" s="442"/>
      <c r="AG32" s="442"/>
      <c r="AH32" s="442"/>
      <c r="AI32" s="442"/>
      <c r="AJ32" s="442"/>
      <c r="AK32" s="442"/>
      <c r="AL32" s="442"/>
      <c r="AM32" s="442"/>
      <c r="AN32" s="442"/>
      <c r="AO32" s="442"/>
      <c r="AP32" s="442"/>
      <c r="AQ32" s="442"/>
      <c r="AR32" s="442"/>
      <c r="AS32" s="442"/>
      <c r="AT32" s="442"/>
      <c r="AU32" s="442"/>
      <c r="AV32" s="442"/>
      <c r="AW32" s="442"/>
    </row>
    <row r="33" spans="1:49" x14ac:dyDescent="0.2">
      <c r="A33" s="383">
        <f>+BaseloadMarkets!A33</f>
        <v>36735</v>
      </c>
      <c r="B33" s="438">
        <f>+OCCMarkets!BL33</f>
        <v>16101</v>
      </c>
      <c r="C33" s="438">
        <v>10000</v>
      </c>
      <c r="D33" s="438"/>
      <c r="E33" s="438">
        <f t="shared" si="0"/>
        <v>-6101</v>
      </c>
      <c r="F33" s="438">
        <f t="shared" si="1"/>
        <v>-2159.4000000000015</v>
      </c>
      <c r="G33" s="442"/>
      <c r="H33" s="442"/>
      <c r="I33" s="442"/>
      <c r="J33" s="442"/>
      <c r="K33" s="442"/>
      <c r="L33" s="442"/>
      <c r="M33" s="442"/>
      <c r="N33" s="442"/>
      <c r="O33" s="442"/>
      <c r="P33" s="442"/>
      <c r="Q33" s="442"/>
      <c r="R33" s="442"/>
      <c r="S33" s="442"/>
      <c r="T33" s="442"/>
      <c r="U33" s="442"/>
      <c r="V33" s="442"/>
      <c r="W33" s="442"/>
      <c r="X33" s="442"/>
      <c r="Y33" s="442"/>
      <c r="Z33" s="442"/>
      <c r="AA33" s="442"/>
      <c r="AB33" s="442"/>
      <c r="AC33" s="442"/>
      <c r="AD33" s="442"/>
      <c r="AE33" s="442"/>
      <c r="AF33" s="442"/>
      <c r="AG33" s="442"/>
      <c r="AH33" s="442"/>
      <c r="AI33" s="442"/>
      <c r="AJ33" s="442"/>
      <c r="AK33" s="442"/>
      <c r="AL33" s="442"/>
      <c r="AM33" s="442"/>
      <c r="AN33" s="442"/>
      <c r="AO33" s="442"/>
      <c r="AP33" s="442"/>
      <c r="AQ33" s="442"/>
      <c r="AR33" s="442"/>
      <c r="AS33" s="442"/>
      <c r="AT33" s="442"/>
      <c r="AU33" s="442"/>
      <c r="AV33" s="442"/>
      <c r="AW33" s="442"/>
    </row>
    <row r="34" spans="1:49" x14ac:dyDescent="0.2">
      <c r="A34" s="383">
        <f>+BaseloadMarkets!A34</f>
        <v>36736</v>
      </c>
      <c r="B34" s="438">
        <f>+OCCMarkets!BL34</f>
        <v>12346</v>
      </c>
      <c r="C34" s="438">
        <v>15000</v>
      </c>
      <c r="D34" s="438"/>
      <c r="E34" s="438">
        <f t="shared" si="0"/>
        <v>2654</v>
      </c>
      <c r="F34" s="438">
        <f t="shared" si="1"/>
        <v>494.59999999999854</v>
      </c>
      <c r="G34" s="442"/>
      <c r="H34" s="442"/>
      <c r="I34" s="442"/>
      <c r="J34" s="442"/>
      <c r="K34" s="442"/>
      <c r="L34" s="442"/>
      <c r="M34" s="442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  <c r="AA34" s="442"/>
      <c r="AB34" s="442"/>
      <c r="AC34" s="442"/>
      <c r="AD34" s="442"/>
      <c r="AE34" s="442"/>
      <c r="AF34" s="442"/>
      <c r="AG34" s="442"/>
      <c r="AH34" s="442"/>
      <c r="AI34" s="442"/>
      <c r="AJ34" s="442"/>
      <c r="AK34" s="442"/>
      <c r="AL34" s="442"/>
      <c r="AM34" s="442"/>
      <c r="AN34" s="442"/>
      <c r="AO34" s="442"/>
      <c r="AP34" s="442"/>
      <c r="AQ34" s="442"/>
      <c r="AR34" s="442"/>
      <c r="AS34" s="442"/>
      <c r="AT34" s="442"/>
      <c r="AU34" s="442"/>
      <c r="AV34" s="442"/>
      <c r="AW34" s="442"/>
    </row>
    <row r="35" spans="1:49" x14ac:dyDescent="0.2">
      <c r="A35" s="383">
        <f>+BaseloadMarkets!A35</f>
        <v>36737</v>
      </c>
      <c r="B35" s="438">
        <f>+OCCMarkets!BL35</f>
        <v>13179</v>
      </c>
      <c r="C35" s="438">
        <v>15000</v>
      </c>
      <c r="D35" s="438"/>
      <c r="E35" s="438">
        <f t="shared" si="0"/>
        <v>1821</v>
      </c>
      <c r="F35" s="438">
        <f t="shared" si="1"/>
        <v>2315.5999999999985</v>
      </c>
      <c r="G35" s="442"/>
      <c r="H35" s="442"/>
      <c r="I35" s="442"/>
      <c r="J35" s="442"/>
      <c r="K35" s="442"/>
      <c r="L35" s="442"/>
      <c r="M35" s="442"/>
      <c r="N35" s="442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Y35" s="442"/>
      <c r="Z35" s="442"/>
      <c r="AA35" s="442"/>
      <c r="AB35" s="442"/>
      <c r="AC35" s="442"/>
      <c r="AD35" s="442"/>
      <c r="AE35" s="442"/>
      <c r="AF35" s="442"/>
      <c r="AG35" s="442"/>
      <c r="AH35" s="442"/>
      <c r="AI35" s="442"/>
      <c r="AJ35" s="442"/>
      <c r="AK35" s="442"/>
      <c r="AL35" s="442"/>
      <c r="AM35" s="442"/>
      <c r="AN35" s="442"/>
      <c r="AO35" s="442"/>
      <c r="AP35" s="442"/>
      <c r="AQ35" s="442"/>
      <c r="AR35" s="442"/>
      <c r="AS35" s="442"/>
      <c r="AT35" s="442"/>
      <c r="AU35" s="442"/>
      <c r="AV35" s="442"/>
      <c r="AW35" s="442"/>
    </row>
    <row r="36" spans="1:49" x14ac:dyDescent="0.2">
      <c r="A36" s="383">
        <f>+BaseloadMarkets!A36</f>
        <v>36738</v>
      </c>
      <c r="B36" s="438">
        <v>13379</v>
      </c>
      <c r="C36" s="438">
        <v>15000</v>
      </c>
      <c r="D36" s="438"/>
      <c r="E36" s="438">
        <f t="shared" si="0"/>
        <v>1621</v>
      </c>
      <c r="F36" s="438">
        <f t="shared" si="1"/>
        <v>3936.5999999999985</v>
      </c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442"/>
      <c r="AA36" s="442"/>
      <c r="AB36" s="442"/>
      <c r="AC36" s="442"/>
      <c r="AD36" s="442"/>
      <c r="AE36" s="442"/>
      <c r="AF36" s="442"/>
      <c r="AG36" s="442"/>
      <c r="AH36" s="442"/>
      <c r="AI36" s="442"/>
      <c r="AJ36" s="442"/>
      <c r="AK36" s="442"/>
      <c r="AL36" s="442"/>
      <c r="AM36" s="442"/>
      <c r="AN36" s="442"/>
      <c r="AO36" s="442"/>
      <c r="AP36" s="442"/>
      <c r="AQ36" s="442"/>
      <c r="AR36" s="442"/>
      <c r="AS36" s="442"/>
      <c r="AT36" s="442"/>
      <c r="AU36" s="442"/>
      <c r="AV36" s="442"/>
      <c r="AW36" s="442"/>
    </row>
    <row r="37" spans="1:49" ht="13.5" thickBot="1" x14ac:dyDescent="0.25">
      <c r="B37" s="443"/>
      <c r="C37" s="443"/>
      <c r="D37" s="443"/>
      <c r="E37" s="443"/>
      <c r="F37" s="443"/>
    </row>
    <row r="38" spans="1:49" ht="13.5" thickTop="1" x14ac:dyDescent="0.2">
      <c r="B38" s="444">
        <f>SUM(B6:B36)</f>
        <v>288563.40000000002</v>
      </c>
      <c r="C38" s="444">
        <f>SUM(C6:C36)</f>
        <v>292500</v>
      </c>
      <c r="D38" s="444"/>
      <c r="E38" s="444">
        <f>SUM(E6:E36)</f>
        <v>3936.5999999999985</v>
      </c>
      <c r="F38" s="443"/>
    </row>
    <row r="40" spans="1:49" x14ac:dyDescent="0.2">
      <c r="A40" s="31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K38"/>
  <sheetViews>
    <sheetView zoomScale="95" workbookViewId="0">
      <pane xSplit="1" ySplit="5" topLeftCell="B6" activePane="bottomRight" state="frozen"/>
      <selection activeCell="AT19" sqref="AT19"/>
      <selection pane="topRight" activeCell="AT19" sqref="AT19"/>
      <selection pane="bottomLeft" activeCell="AT19" sqref="AT19"/>
      <selection pane="bottomRight" activeCell="AT19" sqref="AT19"/>
    </sheetView>
  </sheetViews>
  <sheetFormatPr defaultRowHeight="12.75" x14ac:dyDescent="0.2"/>
  <cols>
    <col min="1" max="1" width="14.33203125" style="31" customWidth="1"/>
    <col min="2" max="4" width="11.83203125" style="22" customWidth="1"/>
    <col min="5" max="5" width="12.83203125" style="445" customWidth="1"/>
    <col min="6" max="6" width="11.83203125" style="445" customWidth="1"/>
    <col min="7" max="7" width="11.83203125" style="446" customWidth="1"/>
    <col min="8" max="10" width="11.83203125" style="22" customWidth="1"/>
    <col min="11" max="11" width="12.5" style="445" customWidth="1"/>
    <col min="12" max="12" width="11.83203125" style="445" customWidth="1"/>
    <col min="13" max="13" width="11.83203125" style="446" customWidth="1"/>
    <col min="14" max="16" width="11.83203125" style="22" customWidth="1"/>
    <col min="17" max="17" width="12.5" style="445" customWidth="1"/>
    <col min="18" max="18" width="11.83203125" style="445" customWidth="1"/>
    <col min="19" max="19" width="11.83203125" style="446" customWidth="1"/>
    <col min="20" max="22" width="11.83203125" style="445" customWidth="1"/>
    <col min="23" max="23" width="13" style="445" customWidth="1"/>
    <col min="24" max="24" width="11.83203125" style="445" customWidth="1"/>
    <col min="25" max="25" width="11.83203125" style="446" customWidth="1"/>
    <col min="26" max="28" width="11.83203125" style="445" customWidth="1"/>
    <col min="29" max="29" width="13" style="445" customWidth="1"/>
    <col min="30" max="30" width="11.83203125" style="445" customWidth="1"/>
    <col min="31" max="31" width="11.83203125" style="446" customWidth="1"/>
    <col min="32" max="34" width="11.83203125" style="445" customWidth="1"/>
    <col min="35" max="35" width="13" style="445" customWidth="1"/>
    <col min="36" max="36" width="11.83203125" style="445" customWidth="1"/>
    <col min="37" max="37" width="11.83203125" style="446" customWidth="1"/>
    <col min="38" max="40" width="11.83203125" style="445" customWidth="1"/>
    <col min="41" max="41" width="13" style="445" customWidth="1"/>
    <col min="42" max="42" width="11.83203125" style="445" customWidth="1"/>
    <col min="43" max="43" width="11.83203125" style="446" customWidth="1"/>
    <col min="44" max="46" width="11.83203125" style="445" customWidth="1"/>
    <col min="47" max="47" width="13" style="445" customWidth="1"/>
    <col min="48" max="48" width="11.83203125" style="445" customWidth="1"/>
    <col min="49" max="49" width="11.83203125" style="446" customWidth="1"/>
    <col min="50" max="52" width="11.83203125" style="445" customWidth="1"/>
    <col min="53" max="53" width="13" style="445" customWidth="1"/>
    <col min="54" max="54" width="11.83203125" style="445" customWidth="1"/>
    <col min="55" max="56" width="11.83203125" style="446" customWidth="1"/>
    <col min="57" max="57" width="13" style="445" customWidth="1"/>
    <col min="58" max="58" width="16.1640625" style="445" customWidth="1"/>
    <col min="59" max="61" width="13" style="445" customWidth="1"/>
    <col min="62" max="62" width="18.1640625" style="445" customWidth="1"/>
    <col min="63" max="63" width="10" style="31" bestFit="1" customWidth="1"/>
    <col min="64" max="16384" width="9.33203125" style="31"/>
  </cols>
  <sheetData>
    <row r="1" spans="1:63" ht="26.25" customHeight="1" x14ac:dyDescent="0.2">
      <c r="K1" s="447" t="s">
        <v>274</v>
      </c>
      <c r="Q1" s="447"/>
    </row>
    <row r="2" spans="1:63" ht="11.25" customHeight="1" x14ac:dyDescent="0.2">
      <c r="A2" s="434"/>
    </row>
    <row r="3" spans="1:63" s="434" customFormat="1" ht="15.75" customHeight="1" x14ac:dyDescent="0.2">
      <c r="B3" s="441" t="s">
        <v>121</v>
      </c>
      <c r="C3" s="441"/>
      <c r="D3" s="441"/>
      <c r="E3" s="446"/>
      <c r="F3" s="446"/>
      <c r="G3" s="446"/>
      <c r="H3" s="441" t="s">
        <v>117</v>
      </c>
      <c r="I3" s="441"/>
      <c r="J3" s="441"/>
      <c r="K3" s="446"/>
      <c r="L3" s="446"/>
      <c r="M3" s="446"/>
      <c r="N3" s="441" t="s">
        <v>122</v>
      </c>
      <c r="O3" s="441"/>
      <c r="P3" s="441"/>
      <c r="Q3" s="446"/>
      <c r="R3" s="446"/>
      <c r="S3" s="446"/>
      <c r="T3" s="446" t="s">
        <v>275</v>
      </c>
      <c r="U3" s="446"/>
      <c r="V3" s="446"/>
      <c r="W3" s="446"/>
      <c r="X3" s="446"/>
      <c r="Y3" s="446"/>
      <c r="Z3" s="448" t="s">
        <v>110</v>
      </c>
      <c r="AA3" s="446"/>
      <c r="AB3" s="446"/>
      <c r="AC3" s="446"/>
      <c r="AD3" s="446"/>
      <c r="AE3" s="446"/>
      <c r="AF3" s="448" t="s">
        <v>111</v>
      </c>
      <c r="AG3" s="446"/>
      <c r="AH3" s="446"/>
      <c r="AI3" s="446"/>
      <c r="AJ3" s="446"/>
      <c r="AK3" s="446"/>
      <c r="AL3" s="448" t="s">
        <v>112</v>
      </c>
      <c r="AM3" s="446"/>
      <c r="AN3" s="446"/>
      <c r="AO3" s="446"/>
      <c r="AP3" s="446"/>
      <c r="AQ3" s="446"/>
      <c r="AR3" s="448" t="s">
        <v>113</v>
      </c>
      <c r="AS3" s="446"/>
      <c r="AT3" s="446"/>
      <c r="AU3" s="446"/>
      <c r="AV3" s="446"/>
      <c r="AW3" s="446"/>
      <c r="AX3" s="448" t="s">
        <v>114</v>
      </c>
      <c r="AY3" s="446"/>
      <c r="AZ3" s="446"/>
      <c r="BA3" s="446"/>
      <c r="BB3" s="446"/>
      <c r="BC3" s="446"/>
      <c r="BD3" s="446"/>
      <c r="BE3" s="446"/>
      <c r="BF3" s="446"/>
      <c r="BG3" s="446"/>
      <c r="BH3" s="446"/>
      <c r="BI3" s="446"/>
      <c r="BJ3" s="446"/>
    </row>
    <row r="4" spans="1:63" s="434" customFormat="1" x14ac:dyDescent="0.2">
      <c r="B4" s="449"/>
      <c r="C4" s="449">
        <v>0.5</v>
      </c>
      <c r="D4" s="449"/>
      <c r="E4" s="446"/>
      <c r="F4" s="446" t="s">
        <v>276</v>
      </c>
      <c r="G4" s="446" t="s">
        <v>277</v>
      </c>
      <c r="H4" s="441"/>
      <c r="I4" s="449">
        <v>0.5</v>
      </c>
      <c r="J4" s="449"/>
      <c r="K4" s="446"/>
      <c r="L4" s="446"/>
      <c r="M4" s="446" t="s">
        <v>277</v>
      </c>
      <c r="N4" s="441"/>
      <c r="O4" s="449">
        <v>0.5</v>
      </c>
      <c r="P4" s="449"/>
      <c r="Q4" s="446"/>
      <c r="R4" s="446"/>
      <c r="S4" s="446" t="s">
        <v>277</v>
      </c>
      <c r="T4" s="446" t="s">
        <v>278</v>
      </c>
      <c r="U4" s="449">
        <v>0.5</v>
      </c>
      <c r="V4" s="446"/>
      <c r="W4" s="446"/>
      <c r="X4" s="446"/>
      <c r="Y4" s="446" t="s">
        <v>277</v>
      </c>
      <c r="Z4" s="446" t="s">
        <v>123</v>
      </c>
      <c r="AA4" s="449">
        <v>0.5</v>
      </c>
      <c r="AB4" s="446"/>
      <c r="AC4" s="446"/>
      <c r="AD4" s="446"/>
      <c r="AE4" s="446" t="s">
        <v>277</v>
      </c>
      <c r="AF4" s="446" t="s">
        <v>123</v>
      </c>
      <c r="AG4" s="449">
        <v>0.5</v>
      </c>
      <c r="AH4" s="446"/>
      <c r="AI4" s="446"/>
      <c r="AJ4" s="446"/>
      <c r="AK4" s="446" t="s">
        <v>277</v>
      </c>
      <c r="AL4" s="446" t="s">
        <v>123</v>
      </c>
      <c r="AM4" s="449">
        <v>0.5</v>
      </c>
      <c r="AN4" s="446"/>
      <c r="AO4" s="446"/>
      <c r="AP4" s="446"/>
      <c r="AQ4" s="446" t="s">
        <v>277</v>
      </c>
      <c r="AR4" s="446" t="s">
        <v>123</v>
      </c>
      <c r="AS4" s="449">
        <v>0.5</v>
      </c>
      <c r="AT4" s="446"/>
      <c r="AU4" s="446"/>
      <c r="AV4" s="446"/>
      <c r="AW4" s="446" t="s">
        <v>277</v>
      </c>
      <c r="AX4" s="446" t="s">
        <v>123</v>
      </c>
      <c r="AY4" s="449">
        <v>0.5</v>
      </c>
      <c r="AZ4" s="446"/>
      <c r="BA4" s="446"/>
      <c r="BB4" s="446"/>
      <c r="BC4" s="446" t="s">
        <v>277</v>
      </c>
      <c r="BD4" s="446"/>
      <c r="BE4" s="446" t="s">
        <v>40</v>
      </c>
      <c r="BF4" s="446" t="s">
        <v>40</v>
      </c>
      <c r="BG4" s="446" t="s">
        <v>40</v>
      </c>
      <c r="BH4" s="446" t="s">
        <v>40</v>
      </c>
      <c r="BI4" s="446" t="s">
        <v>40</v>
      </c>
      <c r="BJ4" s="446" t="s">
        <v>279</v>
      </c>
    </row>
    <row r="5" spans="1:63" s="434" customFormat="1" x14ac:dyDescent="0.2">
      <c r="A5" s="450" t="s">
        <v>152</v>
      </c>
      <c r="B5" s="450" t="s">
        <v>280</v>
      </c>
      <c r="C5" s="450" t="s">
        <v>280</v>
      </c>
      <c r="D5" s="450" t="s">
        <v>70</v>
      </c>
      <c r="E5" s="451" t="s">
        <v>69</v>
      </c>
      <c r="F5" s="451" t="s">
        <v>281</v>
      </c>
      <c r="G5" s="451" t="s">
        <v>281</v>
      </c>
      <c r="H5" s="450" t="s">
        <v>280</v>
      </c>
      <c r="I5" s="450" t="s">
        <v>280</v>
      </c>
      <c r="J5" s="450" t="s">
        <v>70</v>
      </c>
      <c r="K5" s="451" t="s">
        <v>69</v>
      </c>
      <c r="L5" s="451" t="s">
        <v>281</v>
      </c>
      <c r="M5" s="451" t="s">
        <v>281</v>
      </c>
      <c r="N5" s="450" t="s">
        <v>280</v>
      </c>
      <c r="O5" s="450" t="s">
        <v>280</v>
      </c>
      <c r="P5" s="450" t="s">
        <v>70</v>
      </c>
      <c r="Q5" s="451" t="s">
        <v>69</v>
      </c>
      <c r="R5" s="451" t="s">
        <v>281</v>
      </c>
      <c r="S5" s="451" t="s">
        <v>281</v>
      </c>
      <c r="T5" s="451" t="s">
        <v>126</v>
      </c>
      <c r="U5" s="451" t="s">
        <v>126</v>
      </c>
      <c r="V5" s="451" t="s">
        <v>70</v>
      </c>
      <c r="W5" s="451" t="s">
        <v>69</v>
      </c>
      <c r="X5" s="451" t="s">
        <v>281</v>
      </c>
      <c r="Y5" s="451" t="s">
        <v>281</v>
      </c>
      <c r="Z5" s="451" t="s">
        <v>126</v>
      </c>
      <c r="AA5" s="451" t="s">
        <v>126</v>
      </c>
      <c r="AB5" s="451" t="s">
        <v>70</v>
      </c>
      <c r="AC5" s="451" t="s">
        <v>69</v>
      </c>
      <c r="AD5" s="451" t="s">
        <v>281</v>
      </c>
      <c r="AE5" s="451" t="s">
        <v>281</v>
      </c>
      <c r="AF5" s="451" t="s">
        <v>126</v>
      </c>
      <c r="AG5" s="451" t="s">
        <v>126</v>
      </c>
      <c r="AH5" s="451" t="s">
        <v>70</v>
      </c>
      <c r="AI5" s="451" t="s">
        <v>69</v>
      </c>
      <c r="AJ5" s="451" t="s">
        <v>281</v>
      </c>
      <c r="AK5" s="451" t="s">
        <v>281</v>
      </c>
      <c r="AL5" s="451" t="s">
        <v>126</v>
      </c>
      <c r="AM5" s="451" t="s">
        <v>126</v>
      </c>
      <c r="AN5" s="451" t="s">
        <v>70</v>
      </c>
      <c r="AO5" s="451" t="s">
        <v>69</v>
      </c>
      <c r="AP5" s="451" t="s">
        <v>281</v>
      </c>
      <c r="AQ5" s="451" t="s">
        <v>281</v>
      </c>
      <c r="AR5" s="451" t="s">
        <v>126</v>
      </c>
      <c r="AS5" s="451" t="s">
        <v>126</v>
      </c>
      <c r="AT5" s="451" t="s">
        <v>70</v>
      </c>
      <c r="AU5" s="451" t="s">
        <v>69</v>
      </c>
      <c r="AV5" s="451" t="s">
        <v>281</v>
      </c>
      <c r="AW5" s="451" t="s">
        <v>281</v>
      </c>
      <c r="AX5" s="451" t="s">
        <v>126</v>
      </c>
      <c r="AY5" s="451" t="s">
        <v>126</v>
      </c>
      <c r="AZ5" s="451" t="s">
        <v>70</v>
      </c>
      <c r="BA5" s="451" t="s">
        <v>69</v>
      </c>
      <c r="BB5" s="451" t="s">
        <v>281</v>
      </c>
      <c r="BC5" s="451" t="s">
        <v>281</v>
      </c>
      <c r="BD5" s="452"/>
      <c r="BE5" s="451" t="s">
        <v>126</v>
      </c>
      <c r="BF5" s="451" t="s">
        <v>282</v>
      </c>
      <c r="BG5" s="451" t="s">
        <v>70</v>
      </c>
      <c r="BH5" s="451" t="s">
        <v>73</v>
      </c>
      <c r="BI5" s="451" t="s">
        <v>281</v>
      </c>
      <c r="BJ5" s="451" t="s">
        <v>283</v>
      </c>
    </row>
    <row r="6" spans="1:63" x14ac:dyDescent="0.2">
      <c r="A6" s="453">
        <f>+BaseloadMarkets!A6</f>
        <v>36708</v>
      </c>
      <c r="B6" s="454">
        <f>+OCCMarkets!O6</f>
        <v>1682</v>
      </c>
      <c r="C6" s="455">
        <f t="shared" ref="C6:C36" si="0">B6/2</f>
        <v>841</v>
      </c>
      <c r="D6" s="455">
        <f>+OCCMarkets!S6</f>
        <v>866</v>
      </c>
      <c r="E6" s="456">
        <f t="shared" ref="E6:E36" si="1">D6-C6</f>
        <v>25</v>
      </c>
      <c r="F6" s="456">
        <f>E6</f>
        <v>25</v>
      </c>
      <c r="G6" s="457"/>
      <c r="H6" s="454">
        <f>+OCCMarkets!C6</f>
        <v>12647</v>
      </c>
      <c r="I6" s="455">
        <f t="shared" ref="I6:I36" si="2">H6/2</f>
        <v>6323.5</v>
      </c>
      <c r="J6" s="455">
        <f>+OCCMarkets!L6-OCCMarkets!H6</f>
        <v>12926</v>
      </c>
      <c r="K6" s="456">
        <f t="shared" ref="K6:K36" si="3">J6-I6</f>
        <v>6602.5</v>
      </c>
      <c r="L6" s="456">
        <f>K6</f>
        <v>6602.5</v>
      </c>
      <c r="M6" s="457"/>
      <c r="N6" s="454">
        <f>+OCCMarkets!V6</f>
        <v>1497</v>
      </c>
      <c r="O6" s="455">
        <f t="shared" ref="O6:O36" si="4">N6/2</f>
        <v>748.5</v>
      </c>
      <c r="P6" s="455">
        <f>+OCCMarkets!Z6</f>
        <v>289</v>
      </c>
      <c r="Q6" s="456">
        <f t="shared" ref="Q6:Q36" si="5">P6-O6</f>
        <v>-459.5</v>
      </c>
      <c r="R6" s="456">
        <f>Q6</f>
        <v>-459.5</v>
      </c>
      <c r="S6" s="457"/>
      <c r="T6" s="445">
        <f>+EES!C5</f>
        <v>70000</v>
      </c>
      <c r="U6" s="445">
        <f t="shared" ref="U6:U36" si="6">T6/2</f>
        <v>35000</v>
      </c>
      <c r="V6" s="445">
        <f>+EES!AM5-EES!M5</f>
        <v>68562</v>
      </c>
      <c r="W6" s="456">
        <f t="shared" ref="W6:W36" si="7">V6-U6</f>
        <v>33562</v>
      </c>
      <c r="X6" s="456">
        <f>W6</f>
        <v>33562</v>
      </c>
      <c r="Y6" s="457"/>
      <c r="Z6" s="445">
        <f>+OCCMarkets!AC6</f>
        <v>181</v>
      </c>
      <c r="AA6" s="445">
        <f t="shared" ref="AA6:AA36" si="8">Z6/2</f>
        <v>90.5</v>
      </c>
      <c r="AB6" s="445">
        <f>+OCCMarkets!AG6</f>
        <v>0</v>
      </c>
      <c r="AC6" s="456">
        <f t="shared" ref="AC6:AC36" si="9">AB6-AA6</f>
        <v>-90.5</v>
      </c>
      <c r="AD6" s="456">
        <f>AC6</f>
        <v>-90.5</v>
      </c>
      <c r="AE6" s="457"/>
      <c r="AF6" s="445">
        <f>+OCCMarkets!AJ6</f>
        <v>2722</v>
      </c>
      <c r="AG6" s="445">
        <f t="shared" ref="AG6:AG36" si="10">AF6/2</f>
        <v>1361</v>
      </c>
      <c r="AH6" s="445">
        <f>+OCCMarkets!AN6</f>
        <v>11456</v>
      </c>
      <c r="AI6" s="456">
        <f t="shared" ref="AI6:AI36" si="11">AH6-AG6</f>
        <v>10095</v>
      </c>
      <c r="AJ6" s="456">
        <f>AI6</f>
        <v>10095</v>
      </c>
      <c r="AK6" s="457"/>
      <c r="AL6" s="445">
        <f>+OCCMarkets!AQ6</f>
        <v>0</v>
      </c>
      <c r="AM6" s="445">
        <f t="shared" ref="AM6:AM36" si="12">AL6/2</f>
        <v>0</v>
      </c>
      <c r="AN6" s="445">
        <f>+OCCMarkets!AU6</f>
        <v>0</v>
      </c>
      <c r="AO6" s="456">
        <f t="shared" ref="AO6:AO36" si="13">AN6-AM6</f>
        <v>0</v>
      </c>
      <c r="AP6" s="456">
        <f>AO6</f>
        <v>0</v>
      </c>
      <c r="AQ6" s="457"/>
      <c r="AR6" s="445">
        <f>+OCCMarkets!AX6</f>
        <v>22</v>
      </c>
      <c r="AS6" s="445">
        <f t="shared" ref="AS6:AS36" si="14">AR6/2</f>
        <v>11</v>
      </c>
      <c r="AT6" s="445">
        <f>+OCCMarkets!BB6</f>
        <v>0</v>
      </c>
      <c r="AU6" s="456">
        <f t="shared" ref="AU6:AU36" si="15">AT6-AS6</f>
        <v>-11</v>
      </c>
      <c r="AV6" s="456">
        <f>AU6</f>
        <v>-11</v>
      </c>
      <c r="AW6" s="457"/>
      <c r="AX6" s="445">
        <f>+OCCMarkets!BE6</f>
        <v>140</v>
      </c>
      <c r="AY6" s="445">
        <f t="shared" ref="AY6:AY36" si="16">AX6/2</f>
        <v>70</v>
      </c>
      <c r="AZ6" s="445">
        <f>+OCCMarkets!BI6</f>
        <v>0</v>
      </c>
      <c r="BA6" s="456">
        <f t="shared" ref="BA6:BA36" si="17">AZ6-AY6</f>
        <v>-70</v>
      </c>
      <c r="BB6" s="456">
        <f>BA6</f>
        <v>-70</v>
      </c>
      <c r="BC6" s="457"/>
      <c r="BD6" s="452"/>
      <c r="BE6" s="456">
        <f t="shared" ref="BE6:BE36" si="18">+B6+H6+N6+T6+Z6+AF6+AL6+AR6+AX6</f>
        <v>88891</v>
      </c>
      <c r="BF6" s="456">
        <f t="shared" ref="BF6:BF36" si="19">+C6+I6+O6+U6+AA6+AG6+AM6+AS6+AY6</f>
        <v>44445.5</v>
      </c>
      <c r="BG6" s="456">
        <f t="shared" ref="BG6:BG36" si="20">+D6+J6+P6+V6+AB6+AH6+AN6+AT6+AZ6</f>
        <v>94099</v>
      </c>
      <c r="BH6" s="456">
        <f t="shared" ref="BH6:BH36" si="21">+E6+K6+Q6+W6+AC6+AI6+AO6+AU6+BA6</f>
        <v>49653.5</v>
      </c>
      <c r="BI6" s="456">
        <f t="shared" ref="BI6:BI36" si="22">+F6+L6+R6+X6+AD6+AJ6+AP6+AV6+BB6</f>
        <v>49653.5</v>
      </c>
      <c r="BJ6" s="456"/>
    </row>
    <row r="7" spans="1:63" x14ac:dyDescent="0.2">
      <c r="A7" s="453">
        <f>+BaseloadMarkets!A7</f>
        <v>36709</v>
      </c>
      <c r="B7" s="454">
        <f>+OCCMarkets!O7</f>
        <v>2928</v>
      </c>
      <c r="C7" s="455">
        <f t="shared" si="0"/>
        <v>1464</v>
      </c>
      <c r="D7" s="455">
        <f>+OCCMarkets!S7</f>
        <v>871</v>
      </c>
      <c r="E7" s="456">
        <f t="shared" si="1"/>
        <v>-593</v>
      </c>
      <c r="F7" s="456">
        <f t="shared" ref="F7:F36" si="23">F6+E7</f>
        <v>-568</v>
      </c>
      <c r="G7" s="457"/>
      <c r="H7" s="454">
        <f>+OCCMarkets!C7</f>
        <v>7922</v>
      </c>
      <c r="I7" s="455">
        <f t="shared" si="2"/>
        <v>3961</v>
      </c>
      <c r="J7" s="455">
        <f>+OCCMarkets!L7-OCCMarkets!H7</f>
        <v>13748</v>
      </c>
      <c r="K7" s="456">
        <f t="shared" si="3"/>
        <v>9787</v>
      </c>
      <c r="L7" s="456">
        <f t="shared" ref="L7:L36" si="24">L6+K7</f>
        <v>16389.5</v>
      </c>
      <c r="M7" s="457"/>
      <c r="N7" s="454">
        <f>+OCCMarkets!V7</f>
        <v>1376</v>
      </c>
      <c r="O7" s="455">
        <f t="shared" si="4"/>
        <v>688</v>
      </c>
      <c r="P7" s="455">
        <f>+OCCMarkets!Z7</f>
        <v>290</v>
      </c>
      <c r="Q7" s="456">
        <f t="shared" si="5"/>
        <v>-398</v>
      </c>
      <c r="R7" s="456">
        <f t="shared" ref="R7:R36" si="25">R6+Q7</f>
        <v>-857.5</v>
      </c>
      <c r="S7" s="457"/>
      <c r="T7" s="445">
        <f>+EES!C6</f>
        <v>70000</v>
      </c>
      <c r="U7" s="445">
        <f t="shared" si="6"/>
        <v>35000</v>
      </c>
      <c r="V7" s="445">
        <f>+EES!AM6-EES!M6</f>
        <v>36719</v>
      </c>
      <c r="W7" s="456">
        <f t="shared" si="7"/>
        <v>1719</v>
      </c>
      <c r="X7" s="456">
        <f t="shared" ref="X7:X36" si="26">X6+W7</f>
        <v>35281</v>
      </c>
      <c r="Y7" s="457"/>
      <c r="Z7" s="445">
        <f>+OCCMarkets!AC7</f>
        <v>28</v>
      </c>
      <c r="AA7" s="445">
        <f t="shared" si="8"/>
        <v>14</v>
      </c>
      <c r="AB7" s="445">
        <f>+OCCMarkets!AG7</f>
        <v>0</v>
      </c>
      <c r="AC7" s="456">
        <f t="shared" si="9"/>
        <v>-14</v>
      </c>
      <c r="AD7" s="456">
        <f t="shared" ref="AD7:AD36" si="27">AD6+AC7</f>
        <v>-104.5</v>
      </c>
      <c r="AE7" s="457"/>
      <c r="AF7" s="445">
        <f>+OCCMarkets!AJ7</f>
        <v>7067</v>
      </c>
      <c r="AG7" s="445">
        <f t="shared" si="10"/>
        <v>3533.5</v>
      </c>
      <c r="AH7" s="445">
        <f>+OCCMarkets!AN7</f>
        <v>12210</v>
      </c>
      <c r="AI7" s="456">
        <f t="shared" si="11"/>
        <v>8676.5</v>
      </c>
      <c r="AJ7" s="456">
        <f t="shared" ref="AJ7:AJ36" si="28">AJ6+AI7</f>
        <v>18771.5</v>
      </c>
      <c r="AK7" s="457"/>
      <c r="AL7" s="445">
        <f>+OCCMarkets!AQ7</f>
        <v>0</v>
      </c>
      <c r="AM7" s="445">
        <f t="shared" si="12"/>
        <v>0</v>
      </c>
      <c r="AN7" s="445">
        <f>+OCCMarkets!AU7</f>
        <v>0</v>
      </c>
      <c r="AO7" s="456">
        <f t="shared" si="13"/>
        <v>0</v>
      </c>
      <c r="AP7" s="456">
        <f t="shared" ref="AP7:AP36" si="29">AP6+AO7</f>
        <v>0</v>
      </c>
      <c r="AQ7" s="457"/>
      <c r="AR7" s="445">
        <f>+OCCMarkets!AX7</f>
        <v>0</v>
      </c>
      <c r="AS7" s="445">
        <f t="shared" si="14"/>
        <v>0</v>
      </c>
      <c r="AT7" s="445">
        <f>+OCCMarkets!BB7</f>
        <v>0</v>
      </c>
      <c r="AU7" s="456">
        <f t="shared" si="15"/>
        <v>0</v>
      </c>
      <c r="AV7" s="456">
        <f t="shared" ref="AV7:AV36" si="30">AV6+AU7</f>
        <v>-11</v>
      </c>
      <c r="AW7" s="457"/>
      <c r="AX7" s="445">
        <f>+OCCMarkets!BE7</f>
        <v>0</v>
      </c>
      <c r="AY7" s="445">
        <f t="shared" si="16"/>
        <v>0</v>
      </c>
      <c r="AZ7" s="445">
        <f>+OCCMarkets!BI7</f>
        <v>0</v>
      </c>
      <c r="BA7" s="456">
        <f t="shared" si="17"/>
        <v>0</v>
      </c>
      <c r="BB7" s="456">
        <f t="shared" ref="BB7:BB36" si="31">BB6+BA7</f>
        <v>-70</v>
      </c>
      <c r="BC7" s="457"/>
      <c r="BD7" s="452"/>
      <c r="BE7" s="456">
        <f t="shared" si="18"/>
        <v>89321</v>
      </c>
      <c r="BF7" s="456">
        <f t="shared" si="19"/>
        <v>44660.5</v>
      </c>
      <c r="BG7" s="456">
        <f t="shared" si="20"/>
        <v>63838</v>
      </c>
      <c r="BH7" s="456">
        <f t="shared" si="21"/>
        <v>19177.5</v>
      </c>
      <c r="BI7" s="456">
        <f t="shared" si="22"/>
        <v>68831</v>
      </c>
      <c r="BJ7" s="456"/>
    </row>
    <row r="8" spans="1:63" x14ac:dyDescent="0.2">
      <c r="A8" s="453">
        <f>+BaseloadMarkets!A8</f>
        <v>36710</v>
      </c>
      <c r="B8" s="454">
        <f>+OCCMarkets!O8</f>
        <v>2479</v>
      </c>
      <c r="C8" s="455">
        <f t="shared" si="0"/>
        <v>1239.5</v>
      </c>
      <c r="D8" s="455">
        <f>+OCCMarkets!S8</f>
        <v>869</v>
      </c>
      <c r="E8" s="456">
        <f t="shared" si="1"/>
        <v>-370.5</v>
      </c>
      <c r="F8" s="456">
        <f t="shared" si="23"/>
        <v>-938.5</v>
      </c>
      <c r="G8" s="457"/>
      <c r="H8" s="454">
        <f>+OCCMarkets!C8</f>
        <v>6686</v>
      </c>
      <c r="I8" s="455">
        <f t="shared" si="2"/>
        <v>3343</v>
      </c>
      <c r="J8" s="455">
        <f>+OCCMarkets!L8-OCCMarkets!H8</f>
        <v>13020</v>
      </c>
      <c r="K8" s="456">
        <f t="shared" si="3"/>
        <v>9677</v>
      </c>
      <c r="L8" s="456">
        <f t="shared" si="24"/>
        <v>26066.5</v>
      </c>
      <c r="M8" s="457"/>
      <c r="N8" s="454">
        <f>+OCCMarkets!V8</f>
        <v>1220</v>
      </c>
      <c r="O8" s="455">
        <f t="shared" si="4"/>
        <v>610</v>
      </c>
      <c r="P8" s="455">
        <f>+OCCMarkets!Z8</f>
        <v>290</v>
      </c>
      <c r="Q8" s="456">
        <f t="shared" si="5"/>
        <v>-320</v>
      </c>
      <c r="R8" s="456">
        <f t="shared" si="25"/>
        <v>-1177.5</v>
      </c>
      <c r="S8" s="457"/>
      <c r="T8" s="445">
        <f>+EES!C7</f>
        <v>70000</v>
      </c>
      <c r="U8" s="445">
        <f t="shared" si="6"/>
        <v>35000</v>
      </c>
      <c r="V8" s="445">
        <f>+EES!AM7-EES!M7</f>
        <v>64554</v>
      </c>
      <c r="W8" s="456">
        <f t="shared" si="7"/>
        <v>29554</v>
      </c>
      <c r="X8" s="456">
        <f t="shared" si="26"/>
        <v>64835</v>
      </c>
      <c r="Y8" s="457"/>
      <c r="Z8" s="445">
        <f>+OCCMarkets!AC8</f>
        <v>98</v>
      </c>
      <c r="AA8" s="445">
        <f t="shared" si="8"/>
        <v>49</v>
      </c>
      <c r="AB8" s="445">
        <f>+OCCMarkets!AG8</f>
        <v>0</v>
      </c>
      <c r="AC8" s="456">
        <f t="shared" si="9"/>
        <v>-49</v>
      </c>
      <c r="AD8" s="456">
        <f t="shared" si="27"/>
        <v>-153.5</v>
      </c>
      <c r="AE8" s="457"/>
      <c r="AF8" s="445">
        <f>+OCCMarkets!AJ8</f>
        <v>9261</v>
      </c>
      <c r="AG8" s="445">
        <f t="shared" si="10"/>
        <v>4630.5</v>
      </c>
      <c r="AH8" s="445">
        <f>+OCCMarkets!AN8</f>
        <v>12655</v>
      </c>
      <c r="AI8" s="456">
        <f t="shared" si="11"/>
        <v>8024.5</v>
      </c>
      <c r="AJ8" s="456">
        <f t="shared" si="28"/>
        <v>26796</v>
      </c>
      <c r="AK8" s="457"/>
      <c r="AL8" s="445">
        <f>+OCCMarkets!AQ8</f>
        <v>0</v>
      </c>
      <c r="AM8" s="445">
        <f t="shared" si="12"/>
        <v>0</v>
      </c>
      <c r="AN8" s="445">
        <f>+OCCMarkets!AU8</f>
        <v>0</v>
      </c>
      <c r="AO8" s="456">
        <f t="shared" si="13"/>
        <v>0</v>
      </c>
      <c r="AP8" s="456">
        <f t="shared" si="29"/>
        <v>0</v>
      </c>
      <c r="AQ8" s="457"/>
      <c r="AR8" s="445">
        <f>+OCCMarkets!AX8</f>
        <v>0</v>
      </c>
      <c r="AS8" s="445">
        <f t="shared" si="14"/>
        <v>0</v>
      </c>
      <c r="AT8" s="445">
        <f>+OCCMarkets!BB8</f>
        <v>0</v>
      </c>
      <c r="AU8" s="456">
        <f t="shared" si="15"/>
        <v>0</v>
      </c>
      <c r="AV8" s="456">
        <f t="shared" si="30"/>
        <v>-11</v>
      </c>
      <c r="AW8" s="457"/>
      <c r="AX8" s="445">
        <f>+OCCMarkets!BE8</f>
        <v>162</v>
      </c>
      <c r="AY8" s="445">
        <f t="shared" si="16"/>
        <v>81</v>
      </c>
      <c r="AZ8" s="445">
        <f>+OCCMarkets!BI8</f>
        <v>0</v>
      </c>
      <c r="BA8" s="456">
        <f t="shared" si="17"/>
        <v>-81</v>
      </c>
      <c r="BB8" s="456">
        <f t="shared" si="31"/>
        <v>-151</v>
      </c>
      <c r="BC8" s="457"/>
      <c r="BD8" s="452"/>
      <c r="BE8" s="456">
        <f t="shared" si="18"/>
        <v>89906</v>
      </c>
      <c r="BF8" s="456">
        <f t="shared" si="19"/>
        <v>44953</v>
      </c>
      <c r="BG8" s="456">
        <f t="shared" si="20"/>
        <v>91388</v>
      </c>
      <c r="BH8" s="456">
        <f t="shared" si="21"/>
        <v>46435</v>
      </c>
      <c r="BI8" s="456">
        <f t="shared" si="22"/>
        <v>115266</v>
      </c>
      <c r="BJ8" s="456"/>
    </row>
    <row r="9" spans="1:63" x14ac:dyDescent="0.2">
      <c r="A9" s="453">
        <f>+BaseloadMarkets!A9</f>
        <v>36711</v>
      </c>
      <c r="B9" s="454">
        <f>+OCCMarkets!O9</f>
        <v>1824</v>
      </c>
      <c r="C9" s="455">
        <f t="shared" si="0"/>
        <v>912</v>
      </c>
      <c r="D9" s="455">
        <f>+OCCMarkets!S9</f>
        <v>866</v>
      </c>
      <c r="E9" s="456">
        <f t="shared" si="1"/>
        <v>-46</v>
      </c>
      <c r="F9" s="456">
        <f t="shared" si="23"/>
        <v>-984.5</v>
      </c>
      <c r="G9" s="457"/>
      <c r="H9" s="454">
        <f>+OCCMarkets!C9</f>
        <v>8985</v>
      </c>
      <c r="I9" s="455">
        <f t="shared" si="2"/>
        <v>4492.5</v>
      </c>
      <c r="J9" s="455">
        <f>+OCCMarkets!L9-OCCMarkets!H9</f>
        <v>16159</v>
      </c>
      <c r="K9" s="456">
        <f t="shared" si="3"/>
        <v>11666.5</v>
      </c>
      <c r="L9" s="456">
        <f t="shared" si="24"/>
        <v>37733</v>
      </c>
      <c r="M9" s="457"/>
      <c r="N9" s="454">
        <f>+OCCMarkets!V9</f>
        <v>1233</v>
      </c>
      <c r="O9" s="455">
        <f t="shared" si="4"/>
        <v>616.5</v>
      </c>
      <c r="P9" s="455">
        <f>+OCCMarkets!Z9</f>
        <v>289</v>
      </c>
      <c r="Q9" s="456">
        <f t="shared" si="5"/>
        <v>-327.5</v>
      </c>
      <c r="R9" s="456">
        <f t="shared" si="25"/>
        <v>-1505</v>
      </c>
      <c r="S9" s="457"/>
      <c r="T9" s="445">
        <f>+EES!C8</f>
        <v>70000</v>
      </c>
      <c r="U9" s="445">
        <f t="shared" si="6"/>
        <v>35000</v>
      </c>
      <c r="V9" s="445">
        <f>+EES!AM8-EES!M8</f>
        <v>35913</v>
      </c>
      <c r="W9" s="456">
        <f t="shared" si="7"/>
        <v>913</v>
      </c>
      <c r="X9" s="456">
        <f t="shared" si="26"/>
        <v>65748</v>
      </c>
      <c r="Y9" s="457"/>
      <c r="Z9" s="445">
        <f>+OCCMarkets!AC9</f>
        <v>34</v>
      </c>
      <c r="AA9" s="445">
        <f t="shared" si="8"/>
        <v>17</v>
      </c>
      <c r="AB9" s="445">
        <f>+OCCMarkets!AG9</f>
        <v>0</v>
      </c>
      <c r="AC9" s="456">
        <f t="shared" si="9"/>
        <v>-17</v>
      </c>
      <c r="AD9" s="456">
        <f t="shared" si="27"/>
        <v>-170.5</v>
      </c>
      <c r="AE9" s="457"/>
      <c r="AF9" s="445">
        <f>+OCCMarkets!AJ9</f>
        <v>9234</v>
      </c>
      <c r="AG9" s="445">
        <f t="shared" si="10"/>
        <v>4617</v>
      </c>
      <c r="AH9" s="445">
        <f>+OCCMarkets!AN9</f>
        <v>10450</v>
      </c>
      <c r="AI9" s="456">
        <f t="shared" si="11"/>
        <v>5833</v>
      </c>
      <c r="AJ9" s="456">
        <f t="shared" si="28"/>
        <v>32629</v>
      </c>
      <c r="AK9" s="457"/>
      <c r="AL9" s="445">
        <f>+OCCMarkets!AQ9</f>
        <v>0</v>
      </c>
      <c r="AM9" s="445">
        <f t="shared" si="12"/>
        <v>0</v>
      </c>
      <c r="AN9" s="445">
        <f>+OCCMarkets!AU9</f>
        <v>0</v>
      </c>
      <c r="AO9" s="456">
        <f t="shared" si="13"/>
        <v>0</v>
      </c>
      <c r="AP9" s="456">
        <f t="shared" si="29"/>
        <v>0</v>
      </c>
      <c r="AQ9" s="457"/>
      <c r="AR9" s="445">
        <f>+OCCMarkets!AX9</f>
        <v>0</v>
      </c>
      <c r="AS9" s="445">
        <f t="shared" si="14"/>
        <v>0</v>
      </c>
      <c r="AT9" s="445">
        <f>+OCCMarkets!BB9</f>
        <v>0</v>
      </c>
      <c r="AU9" s="456">
        <f t="shared" si="15"/>
        <v>0</v>
      </c>
      <c r="AV9" s="456">
        <f t="shared" si="30"/>
        <v>-11</v>
      </c>
      <c r="AW9" s="457"/>
      <c r="AX9" s="445">
        <f>+OCCMarkets!BE9</f>
        <v>22</v>
      </c>
      <c r="AY9" s="445">
        <f t="shared" si="16"/>
        <v>11</v>
      </c>
      <c r="AZ9" s="445">
        <f>+OCCMarkets!BI9</f>
        <v>0</v>
      </c>
      <c r="BA9" s="456">
        <f t="shared" si="17"/>
        <v>-11</v>
      </c>
      <c r="BB9" s="456">
        <f t="shared" si="31"/>
        <v>-162</v>
      </c>
      <c r="BC9" s="457"/>
      <c r="BD9" s="452"/>
      <c r="BE9" s="456">
        <f t="shared" si="18"/>
        <v>91332</v>
      </c>
      <c r="BF9" s="456">
        <f t="shared" si="19"/>
        <v>45666</v>
      </c>
      <c r="BG9" s="456">
        <f t="shared" si="20"/>
        <v>63677</v>
      </c>
      <c r="BH9" s="456">
        <f t="shared" si="21"/>
        <v>18011</v>
      </c>
      <c r="BI9" s="456">
        <f t="shared" si="22"/>
        <v>133277</v>
      </c>
      <c r="BJ9" s="456"/>
    </row>
    <row r="10" spans="1:63" x14ac:dyDescent="0.2">
      <c r="A10" s="453">
        <f>+BaseloadMarkets!A10</f>
        <v>36712</v>
      </c>
      <c r="B10" s="454">
        <f>+OCCMarkets!O10</f>
        <v>1765</v>
      </c>
      <c r="C10" s="455">
        <f t="shared" si="0"/>
        <v>882.5</v>
      </c>
      <c r="D10" s="455">
        <f>+OCCMarkets!S10</f>
        <v>677</v>
      </c>
      <c r="E10" s="456">
        <f t="shared" si="1"/>
        <v>-205.5</v>
      </c>
      <c r="F10" s="456">
        <f t="shared" si="23"/>
        <v>-1190</v>
      </c>
      <c r="G10" s="457">
        <f>SUM(E6:E10)</f>
        <v>-1190</v>
      </c>
      <c r="H10" s="454">
        <f>+OCCMarkets!C10</f>
        <v>7676</v>
      </c>
      <c r="I10" s="455">
        <f t="shared" si="2"/>
        <v>3838</v>
      </c>
      <c r="J10" s="455">
        <f>+OCCMarkets!L10-OCCMarkets!H10</f>
        <v>26363</v>
      </c>
      <c r="K10" s="456">
        <f t="shared" si="3"/>
        <v>22525</v>
      </c>
      <c r="L10" s="456">
        <f t="shared" si="24"/>
        <v>60258</v>
      </c>
      <c r="M10" s="457">
        <f>SUM(K6:K10)</f>
        <v>60258</v>
      </c>
      <c r="N10" s="454">
        <f>+OCCMarkets!V10</f>
        <v>1471</v>
      </c>
      <c r="O10" s="455">
        <f t="shared" si="4"/>
        <v>735.5</v>
      </c>
      <c r="P10" s="455">
        <f>+OCCMarkets!Z10</f>
        <v>226</v>
      </c>
      <c r="Q10" s="456">
        <f t="shared" si="5"/>
        <v>-509.5</v>
      </c>
      <c r="R10" s="456">
        <f t="shared" si="25"/>
        <v>-2014.5</v>
      </c>
      <c r="S10" s="457">
        <f>SUM(Q6:Q10)</f>
        <v>-2014.5</v>
      </c>
      <c r="T10" s="445">
        <f>+EES!C9</f>
        <v>70000</v>
      </c>
      <c r="U10" s="445">
        <f t="shared" si="6"/>
        <v>35000</v>
      </c>
      <c r="V10" s="445">
        <f>+EES!AM9-EES!M9</f>
        <v>55960</v>
      </c>
      <c r="W10" s="456">
        <f t="shared" si="7"/>
        <v>20960</v>
      </c>
      <c r="X10" s="456">
        <f t="shared" si="26"/>
        <v>86708</v>
      </c>
      <c r="Y10" s="457">
        <f>SUM(W6:W10)</f>
        <v>86708</v>
      </c>
      <c r="Z10" s="445">
        <f>+OCCMarkets!AC10</f>
        <v>159</v>
      </c>
      <c r="AA10" s="445">
        <f t="shared" si="8"/>
        <v>79.5</v>
      </c>
      <c r="AB10" s="445">
        <f>+OCCMarkets!AG10</f>
        <v>0</v>
      </c>
      <c r="AC10" s="456">
        <f t="shared" si="9"/>
        <v>-79.5</v>
      </c>
      <c r="AD10" s="456">
        <f t="shared" si="27"/>
        <v>-250</v>
      </c>
      <c r="AE10" s="457">
        <f>SUM(AC6:AC10)</f>
        <v>-250</v>
      </c>
      <c r="AF10" s="445">
        <f>+OCCMarkets!AJ10</f>
        <v>9411</v>
      </c>
      <c r="AG10" s="445">
        <f t="shared" si="10"/>
        <v>4705.5</v>
      </c>
      <c r="AH10" s="445">
        <f>+OCCMarkets!AN10</f>
        <v>24379</v>
      </c>
      <c r="AI10" s="456">
        <f t="shared" si="11"/>
        <v>19673.5</v>
      </c>
      <c r="AJ10" s="456">
        <f t="shared" si="28"/>
        <v>52302.5</v>
      </c>
      <c r="AK10" s="457">
        <f>SUM(AI6:AI10)</f>
        <v>52302.5</v>
      </c>
      <c r="AL10" s="445">
        <f>+OCCMarkets!AQ10</f>
        <v>0</v>
      </c>
      <c r="AM10" s="445">
        <f t="shared" si="12"/>
        <v>0</v>
      </c>
      <c r="AN10" s="445">
        <f>+OCCMarkets!AU10</f>
        <v>0</v>
      </c>
      <c r="AO10" s="456">
        <f t="shared" si="13"/>
        <v>0</v>
      </c>
      <c r="AP10" s="456">
        <f t="shared" si="29"/>
        <v>0</v>
      </c>
      <c r="AQ10" s="457">
        <f>SUM(AO6:AO10)</f>
        <v>0</v>
      </c>
      <c r="AR10" s="445">
        <f>+OCCMarkets!AX10</f>
        <v>153</v>
      </c>
      <c r="AS10" s="445">
        <f t="shared" si="14"/>
        <v>76.5</v>
      </c>
      <c r="AT10" s="445">
        <f>+OCCMarkets!BB10</f>
        <v>0</v>
      </c>
      <c r="AU10" s="456">
        <f t="shared" si="15"/>
        <v>-76.5</v>
      </c>
      <c r="AV10" s="456">
        <f t="shared" si="30"/>
        <v>-87.5</v>
      </c>
      <c r="AW10" s="457">
        <f>SUM(AU6:AU10)</f>
        <v>-87.5</v>
      </c>
      <c r="AX10" s="445">
        <f>+OCCMarkets!BE10</f>
        <v>221</v>
      </c>
      <c r="AY10" s="445">
        <f t="shared" si="16"/>
        <v>110.5</v>
      </c>
      <c r="AZ10" s="445">
        <f>+OCCMarkets!BI10</f>
        <v>0</v>
      </c>
      <c r="BA10" s="456">
        <f t="shared" si="17"/>
        <v>-110.5</v>
      </c>
      <c r="BB10" s="456">
        <f t="shared" si="31"/>
        <v>-272.5</v>
      </c>
      <c r="BC10" s="457">
        <f>SUM(BA6:BA10)</f>
        <v>-272.5</v>
      </c>
      <c r="BD10" s="452"/>
      <c r="BE10" s="456">
        <f t="shared" si="18"/>
        <v>90856</v>
      </c>
      <c r="BF10" s="456">
        <f t="shared" si="19"/>
        <v>45428</v>
      </c>
      <c r="BG10" s="456">
        <f t="shared" si="20"/>
        <v>107605</v>
      </c>
      <c r="BH10" s="456">
        <f t="shared" si="21"/>
        <v>62177</v>
      </c>
      <c r="BI10" s="456">
        <f t="shared" si="22"/>
        <v>195454</v>
      </c>
      <c r="BJ10" s="452">
        <f>+G10+M10+S10+Y10+AE10+AK10+AQ10+AW10+BC10</f>
        <v>195454</v>
      </c>
      <c r="BK10" s="436"/>
    </row>
    <row r="11" spans="1:63" x14ac:dyDescent="0.2">
      <c r="A11" s="453">
        <f>+BaseloadMarkets!A11</f>
        <v>36713</v>
      </c>
      <c r="B11" s="454">
        <f>+OCCMarkets!O11</f>
        <v>1554</v>
      </c>
      <c r="C11" s="455">
        <f t="shared" si="0"/>
        <v>777</v>
      </c>
      <c r="D11" s="455">
        <f>+OCCMarkets!S11</f>
        <v>24103</v>
      </c>
      <c r="E11" s="456">
        <f t="shared" si="1"/>
        <v>23326</v>
      </c>
      <c r="F11" s="456">
        <f t="shared" si="23"/>
        <v>22136</v>
      </c>
      <c r="G11" s="457"/>
      <c r="H11" s="454">
        <f>+OCCMarkets!C11</f>
        <v>7625</v>
      </c>
      <c r="I11" s="455">
        <f t="shared" si="2"/>
        <v>3812.5</v>
      </c>
      <c r="J11" s="455">
        <f>+OCCMarkets!L11-OCCMarkets!H11</f>
        <v>13835</v>
      </c>
      <c r="K11" s="456">
        <f t="shared" si="3"/>
        <v>10022.5</v>
      </c>
      <c r="L11" s="456">
        <f t="shared" si="24"/>
        <v>70280.5</v>
      </c>
      <c r="M11" s="457"/>
      <c r="N11" s="454">
        <f>+OCCMarkets!V11</f>
        <v>1381</v>
      </c>
      <c r="O11" s="455">
        <f t="shared" si="4"/>
        <v>690.5</v>
      </c>
      <c r="P11" s="455">
        <f>+OCCMarkets!Z11</f>
        <v>4400</v>
      </c>
      <c r="Q11" s="456">
        <f t="shared" si="5"/>
        <v>3709.5</v>
      </c>
      <c r="R11" s="456">
        <f t="shared" si="25"/>
        <v>1695</v>
      </c>
      <c r="S11" s="457"/>
      <c r="T11" s="445">
        <f>+EES!C10</f>
        <v>70000</v>
      </c>
      <c r="U11" s="445">
        <f t="shared" si="6"/>
        <v>35000</v>
      </c>
      <c r="V11" s="445">
        <f>+EES!AM10-EES!M10</f>
        <v>124351</v>
      </c>
      <c r="W11" s="456">
        <f t="shared" si="7"/>
        <v>89351</v>
      </c>
      <c r="X11" s="456">
        <f t="shared" si="26"/>
        <v>176059</v>
      </c>
      <c r="Y11" s="457"/>
      <c r="Z11" s="445">
        <f>+OCCMarkets!AC11</f>
        <v>157</v>
      </c>
      <c r="AA11" s="445">
        <f t="shared" si="8"/>
        <v>78.5</v>
      </c>
      <c r="AB11" s="445">
        <f>+OCCMarkets!AG11</f>
        <v>595</v>
      </c>
      <c r="AC11" s="456">
        <f t="shared" si="9"/>
        <v>516.5</v>
      </c>
      <c r="AD11" s="456">
        <f t="shared" si="27"/>
        <v>266.5</v>
      </c>
      <c r="AE11" s="457"/>
      <c r="AF11" s="445">
        <f>+OCCMarkets!AJ11</f>
        <v>9620</v>
      </c>
      <c r="AG11" s="445">
        <f t="shared" si="10"/>
        <v>4810</v>
      </c>
      <c r="AH11" s="445">
        <f>+OCCMarkets!AN11</f>
        <v>21775</v>
      </c>
      <c r="AI11" s="456">
        <f t="shared" si="11"/>
        <v>16965</v>
      </c>
      <c r="AJ11" s="456">
        <f t="shared" si="28"/>
        <v>69267.5</v>
      </c>
      <c r="AK11" s="457"/>
      <c r="AL11" s="445">
        <f>+OCCMarkets!AQ11</f>
        <v>0</v>
      </c>
      <c r="AM11" s="445">
        <f t="shared" si="12"/>
        <v>0</v>
      </c>
      <c r="AN11" s="445">
        <f>+OCCMarkets!AU11</f>
        <v>0</v>
      </c>
      <c r="AO11" s="456">
        <f t="shared" si="13"/>
        <v>0</v>
      </c>
      <c r="AP11" s="456">
        <f t="shared" si="29"/>
        <v>0</v>
      </c>
      <c r="AQ11" s="457"/>
      <c r="AR11" s="445">
        <f>+OCCMarkets!AX11</f>
        <v>162</v>
      </c>
      <c r="AS11" s="445">
        <f t="shared" si="14"/>
        <v>81</v>
      </c>
      <c r="AT11" s="445">
        <f>+OCCMarkets!BB11</f>
        <v>595</v>
      </c>
      <c r="AU11" s="456">
        <f t="shared" si="15"/>
        <v>514</v>
      </c>
      <c r="AV11" s="456">
        <f t="shared" si="30"/>
        <v>426.5</v>
      </c>
      <c r="AW11" s="457"/>
      <c r="AX11" s="445">
        <f>+OCCMarkets!BE11</f>
        <v>315</v>
      </c>
      <c r="AY11" s="445">
        <f t="shared" si="16"/>
        <v>157.5</v>
      </c>
      <c r="AZ11" s="445">
        <f>+OCCMarkets!BI11</f>
        <v>1786</v>
      </c>
      <c r="BA11" s="456">
        <f t="shared" si="17"/>
        <v>1628.5</v>
      </c>
      <c r="BB11" s="456">
        <f t="shared" si="31"/>
        <v>1356</v>
      </c>
      <c r="BC11" s="457"/>
      <c r="BD11" s="452"/>
      <c r="BE11" s="456">
        <f t="shared" si="18"/>
        <v>90814</v>
      </c>
      <c r="BF11" s="456">
        <f t="shared" si="19"/>
        <v>45407</v>
      </c>
      <c r="BG11" s="456">
        <f t="shared" si="20"/>
        <v>191440</v>
      </c>
      <c r="BH11" s="456">
        <f t="shared" si="21"/>
        <v>146033</v>
      </c>
      <c r="BI11" s="456">
        <f t="shared" si="22"/>
        <v>341487</v>
      </c>
      <c r="BJ11" s="456"/>
    </row>
    <row r="12" spans="1:63" x14ac:dyDescent="0.2">
      <c r="A12" s="453">
        <f>+BaseloadMarkets!A12</f>
        <v>36714</v>
      </c>
      <c r="B12" s="454">
        <f>+OCCMarkets!O12</f>
        <v>1711</v>
      </c>
      <c r="C12" s="455">
        <f t="shared" si="0"/>
        <v>855.5</v>
      </c>
      <c r="D12" s="455">
        <f>+OCCMarkets!S12</f>
        <v>0</v>
      </c>
      <c r="E12" s="456">
        <f t="shared" si="1"/>
        <v>-855.5</v>
      </c>
      <c r="F12" s="456">
        <f t="shared" si="23"/>
        <v>21280.5</v>
      </c>
      <c r="G12" s="457"/>
      <c r="H12" s="454">
        <f>+OCCMarkets!C12</f>
        <v>7621</v>
      </c>
      <c r="I12" s="455">
        <f t="shared" si="2"/>
        <v>3810.5</v>
      </c>
      <c r="J12" s="455">
        <f>+OCCMarkets!L12-OCCMarkets!H12</f>
        <v>11999</v>
      </c>
      <c r="K12" s="456">
        <f t="shared" si="3"/>
        <v>8188.5</v>
      </c>
      <c r="L12" s="456">
        <f t="shared" si="24"/>
        <v>78469</v>
      </c>
      <c r="M12" s="457"/>
      <c r="N12" s="454">
        <f>+OCCMarkets!V12</f>
        <v>1003</v>
      </c>
      <c r="O12" s="455">
        <f t="shared" si="4"/>
        <v>501.5</v>
      </c>
      <c r="P12" s="455">
        <f>+OCCMarkets!Z12</f>
        <v>0</v>
      </c>
      <c r="Q12" s="456">
        <f t="shared" si="5"/>
        <v>-501.5</v>
      </c>
      <c r="R12" s="456">
        <f t="shared" si="25"/>
        <v>1193.5</v>
      </c>
      <c r="S12" s="457"/>
      <c r="T12" s="445">
        <f>+EES!C11</f>
        <v>70000</v>
      </c>
      <c r="U12" s="445">
        <f t="shared" si="6"/>
        <v>35000</v>
      </c>
      <c r="V12" s="445">
        <f>+EES!AM11-EES!M11</f>
        <v>24299</v>
      </c>
      <c r="W12" s="456">
        <f t="shared" si="7"/>
        <v>-10701</v>
      </c>
      <c r="X12" s="456">
        <f t="shared" si="26"/>
        <v>165358</v>
      </c>
      <c r="Y12" s="457"/>
      <c r="Z12" s="445">
        <f>+OCCMarkets!AC12</f>
        <v>167</v>
      </c>
      <c r="AA12" s="445">
        <f t="shared" si="8"/>
        <v>83.5</v>
      </c>
      <c r="AB12" s="445">
        <f>+OCCMarkets!AG12</f>
        <v>0</v>
      </c>
      <c r="AC12" s="456">
        <f t="shared" si="9"/>
        <v>-83.5</v>
      </c>
      <c r="AD12" s="456">
        <f t="shared" si="27"/>
        <v>183</v>
      </c>
      <c r="AE12" s="457"/>
      <c r="AF12" s="445">
        <f>+OCCMarkets!AJ12</f>
        <v>9575</v>
      </c>
      <c r="AG12" s="445">
        <f t="shared" si="10"/>
        <v>4787.5</v>
      </c>
      <c r="AH12" s="445">
        <f>+OCCMarkets!AN12</f>
        <v>12134</v>
      </c>
      <c r="AI12" s="456">
        <f t="shared" si="11"/>
        <v>7346.5</v>
      </c>
      <c r="AJ12" s="456">
        <f t="shared" si="28"/>
        <v>76614</v>
      </c>
      <c r="AK12" s="457"/>
      <c r="AL12" s="445">
        <f>+OCCMarkets!AQ12</f>
        <v>0</v>
      </c>
      <c r="AM12" s="445">
        <f t="shared" si="12"/>
        <v>0</v>
      </c>
      <c r="AN12" s="445">
        <f>+OCCMarkets!AU12</f>
        <v>0</v>
      </c>
      <c r="AO12" s="456">
        <f t="shared" si="13"/>
        <v>0</v>
      </c>
      <c r="AP12" s="456">
        <f t="shared" si="29"/>
        <v>0</v>
      </c>
      <c r="AQ12" s="457"/>
      <c r="AR12" s="445">
        <f>+OCCMarkets!AX12</f>
        <v>204</v>
      </c>
      <c r="AS12" s="445">
        <f t="shared" si="14"/>
        <v>102</v>
      </c>
      <c r="AT12" s="445">
        <f>+OCCMarkets!BB12</f>
        <v>0</v>
      </c>
      <c r="AU12" s="456">
        <f t="shared" si="15"/>
        <v>-102</v>
      </c>
      <c r="AV12" s="456">
        <f t="shared" si="30"/>
        <v>324.5</v>
      </c>
      <c r="AW12" s="457"/>
      <c r="AX12" s="445">
        <f>+OCCMarkets!BE12</f>
        <v>303</v>
      </c>
      <c r="AY12" s="445">
        <f t="shared" si="16"/>
        <v>151.5</v>
      </c>
      <c r="AZ12" s="445">
        <f>+OCCMarkets!BI12</f>
        <v>0</v>
      </c>
      <c r="BA12" s="456">
        <f t="shared" si="17"/>
        <v>-151.5</v>
      </c>
      <c r="BB12" s="456">
        <f t="shared" si="31"/>
        <v>1204.5</v>
      </c>
      <c r="BC12" s="457"/>
      <c r="BD12" s="452"/>
      <c r="BE12" s="456">
        <f t="shared" si="18"/>
        <v>90584</v>
      </c>
      <c r="BF12" s="456">
        <f t="shared" si="19"/>
        <v>45292</v>
      </c>
      <c r="BG12" s="456">
        <f t="shared" si="20"/>
        <v>48432</v>
      </c>
      <c r="BH12" s="456">
        <f t="shared" si="21"/>
        <v>3140</v>
      </c>
      <c r="BI12" s="456">
        <f t="shared" si="22"/>
        <v>344627</v>
      </c>
      <c r="BJ12" s="456"/>
    </row>
    <row r="13" spans="1:63" x14ac:dyDescent="0.2">
      <c r="A13" s="453">
        <f>+BaseloadMarkets!A13</f>
        <v>36715</v>
      </c>
      <c r="B13" s="454">
        <f>+OCCMarkets!O13</f>
        <v>2291</v>
      </c>
      <c r="C13" s="455">
        <f t="shared" si="0"/>
        <v>1145.5</v>
      </c>
      <c r="D13" s="455">
        <f>+OCCMarkets!S13</f>
        <v>703</v>
      </c>
      <c r="E13" s="456">
        <f t="shared" si="1"/>
        <v>-442.5</v>
      </c>
      <c r="F13" s="456">
        <f t="shared" si="23"/>
        <v>20838</v>
      </c>
      <c r="G13" s="457"/>
      <c r="H13" s="454">
        <f>+OCCMarkets!C13</f>
        <v>2727</v>
      </c>
      <c r="I13" s="455">
        <f t="shared" si="2"/>
        <v>1363.5</v>
      </c>
      <c r="J13" s="455">
        <f>+OCCMarkets!L13-OCCMarkets!H13</f>
        <v>5270</v>
      </c>
      <c r="K13" s="456">
        <f t="shared" si="3"/>
        <v>3906.5</v>
      </c>
      <c r="L13" s="456">
        <f t="shared" si="24"/>
        <v>82375.5</v>
      </c>
      <c r="M13" s="457"/>
      <c r="N13" s="454">
        <f>+OCCMarkets!V13</f>
        <v>1322</v>
      </c>
      <c r="O13" s="455">
        <f t="shared" si="4"/>
        <v>661</v>
      </c>
      <c r="P13" s="455">
        <f>+OCCMarkets!Z13</f>
        <v>469</v>
      </c>
      <c r="Q13" s="456">
        <f t="shared" si="5"/>
        <v>-192</v>
      </c>
      <c r="R13" s="456">
        <f t="shared" si="25"/>
        <v>1001.5</v>
      </c>
      <c r="S13" s="457"/>
      <c r="T13" s="445">
        <f>+EES!C12</f>
        <v>70000</v>
      </c>
      <c r="U13" s="445">
        <f t="shared" si="6"/>
        <v>35000</v>
      </c>
      <c r="V13" s="445">
        <f>+EES!AM12-EES!M12</f>
        <v>35279</v>
      </c>
      <c r="W13" s="456">
        <f t="shared" si="7"/>
        <v>279</v>
      </c>
      <c r="X13" s="456">
        <f t="shared" si="26"/>
        <v>165637</v>
      </c>
      <c r="Y13" s="457"/>
      <c r="Z13" s="445">
        <f>+OCCMarkets!AC13</f>
        <v>195</v>
      </c>
      <c r="AA13" s="445">
        <f t="shared" si="8"/>
        <v>97.5</v>
      </c>
      <c r="AB13" s="445">
        <f>+OCCMarkets!AG13</f>
        <v>0</v>
      </c>
      <c r="AC13" s="456">
        <f t="shared" si="9"/>
        <v>-97.5</v>
      </c>
      <c r="AD13" s="456">
        <f t="shared" si="27"/>
        <v>85.5</v>
      </c>
      <c r="AE13" s="457"/>
      <c r="AF13" s="445">
        <f>+OCCMarkets!AJ13</f>
        <v>9254</v>
      </c>
      <c r="AG13" s="445">
        <f t="shared" si="10"/>
        <v>4627</v>
      </c>
      <c r="AH13" s="445">
        <f>+OCCMarkets!AN13</f>
        <v>3680</v>
      </c>
      <c r="AI13" s="456">
        <f t="shared" si="11"/>
        <v>-947</v>
      </c>
      <c r="AJ13" s="456">
        <f t="shared" si="28"/>
        <v>75667</v>
      </c>
      <c r="AK13" s="457"/>
      <c r="AL13" s="445">
        <f>+OCCMarkets!AQ13</f>
        <v>0</v>
      </c>
      <c r="AM13" s="445">
        <f t="shared" si="12"/>
        <v>0</v>
      </c>
      <c r="AN13" s="445">
        <f>+OCCMarkets!AU13</f>
        <v>0</v>
      </c>
      <c r="AO13" s="456">
        <f t="shared" si="13"/>
        <v>0</v>
      </c>
      <c r="AP13" s="456">
        <f t="shared" si="29"/>
        <v>0</v>
      </c>
      <c r="AQ13" s="457"/>
      <c r="AR13" s="445">
        <f>+OCCMarkets!AX13</f>
        <v>100</v>
      </c>
      <c r="AS13" s="445">
        <f t="shared" si="14"/>
        <v>50</v>
      </c>
      <c r="AT13" s="445">
        <f>+OCCMarkets!BB13</f>
        <v>0</v>
      </c>
      <c r="AU13" s="456">
        <f t="shared" si="15"/>
        <v>-50</v>
      </c>
      <c r="AV13" s="456">
        <f t="shared" si="30"/>
        <v>274.5</v>
      </c>
      <c r="AW13" s="457"/>
      <c r="AX13" s="445">
        <f>+OCCMarkets!BE13</f>
        <v>150</v>
      </c>
      <c r="AY13" s="445">
        <f t="shared" si="16"/>
        <v>75</v>
      </c>
      <c r="AZ13" s="445">
        <f>+OCCMarkets!BI13</f>
        <v>0</v>
      </c>
      <c r="BA13" s="456">
        <f t="shared" si="17"/>
        <v>-75</v>
      </c>
      <c r="BB13" s="456">
        <f t="shared" si="31"/>
        <v>1129.5</v>
      </c>
      <c r="BC13" s="457"/>
      <c r="BD13" s="452"/>
      <c r="BE13" s="456">
        <f t="shared" si="18"/>
        <v>86039</v>
      </c>
      <c r="BF13" s="456">
        <f t="shared" si="19"/>
        <v>43019.5</v>
      </c>
      <c r="BG13" s="456">
        <f t="shared" si="20"/>
        <v>45401</v>
      </c>
      <c r="BH13" s="456">
        <f t="shared" si="21"/>
        <v>2381.5</v>
      </c>
      <c r="BI13" s="456">
        <f t="shared" si="22"/>
        <v>347008.5</v>
      </c>
      <c r="BJ13" s="456"/>
    </row>
    <row r="14" spans="1:63" x14ac:dyDescent="0.2">
      <c r="A14" s="453">
        <f>+BaseloadMarkets!A14</f>
        <v>36716</v>
      </c>
      <c r="B14" s="454">
        <f>+OCCMarkets!O14</f>
        <v>2143</v>
      </c>
      <c r="C14" s="455">
        <f t="shared" si="0"/>
        <v>1071.5</v>
      </c>
      <c r="D14" s="455">
        <f>+OCCMarkets!S14</f>
        <v>0</v>
      </c>
      <c r="E14" s="456">
        <f t="shared" si="1"/>
        <v>-1071.5</v>
      </c>
      <c r="F14" s="456">
        <f t="shared" si="23"/>
        <v>19766.5</v>
      </c>
      <c r="G14" s="457"/>
      <c r="H14" s="454">
        <f>+OCCMarkets!C14</f>
        <v>2460</v>
      </c>
      <c r="I14" s="455">
        <f t="shared" si="2"/>
        <v>1230</v>
      </c>
      <c r="J14" s="455">
        <f>+OCCMarkets!L14-OCCMarkets!H14</f>
        <v>2999</v>
      </c>
      <c r="K14" s="456">
        <f t="shared" si="3"/>
        <v>1769</v>
      </c>
      <c r="L14" s="456">
        <f t="shared" si="24"/>
        <v>84144.5</v>
      </c>
      <c r="M14" s="457"/>
      <c r="N14" s="454">
        <f>+OCCMarkets!V14</f>
        <v>1431</v>
      </c>
      <c r="O14" s="455">
        <f t="shared" si="4"/>
        <v>715.5</v>
      </c>
      <c r="P14" s="455">
        <f>+OCCMarkets!Z14</f>
        <v>7</v>
      </c>
      <c r="Q14" s="456">
        <f t="shared" si="5"/>
        <v>-708.5</v>
      </c>
      <c r="R14" s="456">
        <f t="shared" si="25"/>
        <v>293</v>
      </c>
      <c r="S14" s="457"/>
      <c r="T14" s="445">
        <f>+EES!C13</f>
        <v>70000</v>
      </c>
      <c r="U14" s="445">
        <f t="shared" si="6"/>
        <v>35000</v>
      </c>
      <c r="V14" s="445">
        <f>+EES!AM13-EES!M13</f>
        <v>24687</v>
      </c>
      <c r="W14" s="456">
        <f t="shared" si="7"/>
        <v>-10313</v>
      </c>
      <c r="X14" s="456">
        <f t="shared" si="26"/>
        <v>155324</v>
      </c>
      <c r="Y14" s="457"/>
      <c r="Z14" s="445">
        <f>+OCCMarkets!AC14</f>
        <v>32</v>
      </c>
      <c r="AA14" s="445">
        <f t="shared" si="8"/>
        <v>16</v>
      </c>
      <c r="AB14" s="445">
        <f>+OCCMarkets!AG14</f>
        <v>0</v>
      </c>
      <c r="AC14" s="456">
        <f t="shared" si="9"/>
        <v>-16</v>
      </c>
      <c r="AD14" s="456">
        <f t="shared" si="27"/>
        <v>69.5</v>
      </c>
      <c r="AE14" s="457"/>
      <c r="AF14" s="445">
        <f>+OCCMarkets!AJ14</f>
        <v>9190</v>
      </c>
      <c r="AG14" s="445">
        <f t="shared" si="10"/>
        <v>4595</v>
      </c>
      <c r="AH14" s="445">
        <f>+OCCMarkets!AN14</f>
        <v>981</v>
      </c>
      <c r="AI14" s="456">
        <f t="shared" si="11"/>
        <v>-3614</v>
      </c>
      <c r="AJ14" s="456">
        <f t="shared" si="28"/>
        <v>72053</v>
      </c>
      <c r="AK14" s="457"/>
      <c r="AL14" s="445">
        <f>+OCCMarkets!AQ14</f>
        <v>0</v>
      </c>
      <c r="AM14" s="445">
        <f t="shared" si="12"/>
        <v>0</v>
      </c>
      <c r="AN14" s="445">
        <f>+OCCMarkets!AU14</f>
        <v>0</v>
      </c>
      <c r="AO14" s="456">
        <f t="shared" si="13"/>
        <v>0</v>
      </c>
      <c r="AP14" s="456">
        <f t="shared" si="29"/>
        <v>0</v>
      </c>
      <c r="AQ14" s="457"/>
      <c r="AR14" s="445">
        <f>+OCCMarkets!AX14</f>
        <v>37</v>
      </c>
      <c r="AS14" s="445">
        <f t="shared" si="14"/>
        <v>18.5</v>
      </c>
      <c r="AT14" s="445">
        <f>+OCCMarkets!BB14</f>
        <v>0</v>
      </c>
      <c r="AU14" s="456">
        <f t="shared" si="15"/>
        <v>-18.5</v>
      </c>
      <c r="AV14" s="456">
        <f t="shared" si="30"/>
        <v>256</v>
      </c>
      <c r="AW14" s="457"/>
      <c r="AX14" s="445">
        <f>+OCCMarkets!BE14</f>
        <v>26</v>
      </c>
      <c r="AY14" s="445">
        <f t="shared" si="16"/>
        <v>13</v>
      </c>
      <c r="AZ14" s="445">
        <f>+OCCMarkets!BI14</f>
        <v>0</v>
      </c>
      <c r="BA14" s="456">
        <f t="shared" si="17"/>
        <v>-13</v>
      </c>
      <c r="BB14" s="456">
        <f t="shared" si="31"/>
        <v>1116.5</v>
      </c>
      <c r="BC14" s="457"/>
      <c r="BD14" s="452"/>
      <c r="BE14" s="456">
        <f t="shared" si="18"/>
        <v>85319</v>
      </c>
      <c r="BF14" s="456">
        <f t="shared" si="19"/>
        <v>42659.5</v>
      </c>
      <c r="BG14" s="456">
        <f t="shared" si="20"/>
        <v>28674</v>
      </c>
      <c r="BH14" s="456">
        <f t="shared" si="21"/>
        <v>-13985.5</v>
      </c>
      <c r="BI14" s="456">
        <f t="shared" si="22"/>
        <v>333023</v>
      </c>
      <c r="BJ14" s="456"/>
    </row>
    <row r="15" spans="1:63" x14ac:dyDescent="0.2">
      <c r="A15" s="453">
        <f>+BaseloadMarkets!A15</f>
        <v>36717</v>
      </c>
      <c r="B15" s="454">
        <f>+OCCMarkets!O15</f>
        <v>2122</v>
      </c>
      <c r="C15" s="455">
        <f t="shared" si="0"/>
        <v>1061</v>
      </c>
      <c r="D15" s="455">
        <f>+OCCMarkets!S15</f>
        <v>0</v>
      </c>
      <c r="E15" s="456">
        <f t="shared" si="1"/>
        <v>-1061</v>
      </c>
      <c r="F15" s="456">
        <f t="shared" si="23"/>
        <v>18705.5</v>
      </c>
      <c r="G15" s="457">
        <f>SUM(E11:E15)</f>
        <v>19895.5</v>
      </c>
      <c r="H15" s="454">
        <f>+OCCMarkets!C15</f>
        <v>3281</v>
      </c>
      <c r="I15" s="455">
        <f t="shared" si="2"/>
        <v>1640.5</v>
      </c>
      <c r="J15" s="455">
        <f>+OCCMarkets!L15-OCCMarkets!H15</f>
        <v>2999</v>
      </c>
      <c r="K15" s="456">
        <f t="shared" si="3"/>
        <v>1358.5</v>
      </c>
      <c r="L15" s="456">
        <f t="shared" si="24"/>
        <v>85503</v>
      </c>
      <c r="M15" s="457">
        <f>SUM(K11:K15)</f>
        <v>25245</v>
      </c>
      <c r="N15" s="454">
        <f>+OCCMarkets!V15</f>
        <v>1282</v>
      </c>
      <c r="O15" s="455">
        <f t="shared" si="4"/>
        <v>641</v>
      </c>
      <c r="P15" s="455">
        <f>+OCCMarkets!Z15</f>
        <v>0</v>
      </c>
      <c r="Q15" s="456">
        <f t="shared" si="5"/>
        <v>-641</v>
      </c>
      <c r="R15" s="456">
        <f t="shared" si="25"/>
        <v>-348</v>
      </c>
      <c r="S15" s="457">
        <f>SUM(Q11:Q15)</f>
        <v>1666.5</v>
      </c>
      <c r="T15" s="445">
        <f>+EES!C14</f>
        <v>70000</v>
      </c>
      <c r="U15" s="445">
        <f t="shared" si="6"/>
        <v>35000</v>
      </c>
      <c r="V15" s="445">
        <f>+EES!AM14-EES!M14</f>
        <v>60901</v>
      </c>
      <c r="W15" s="456">
        <f t="shared" si="7"/>
        <v>25901</v>
      </c>
      <c r="X15" s="456">
        <f t="shared" si="26"/>
        <v>181225</v>
      </c>
      <c r="Y15" s="457">
        <f>SUM(W11:W15)</f>
        <v>94517</v>
      </c>
      <c r="Z15" s="445">
        <f>+OCCMarkets!AC15</f>
        <v>167</v>
      </c>
      <c r="AA15" s="445">
        <f t="shared" si="8"/>
        <v>83.5</v>
      </c>
      <c r="AB15" s="445">
        <f>+OCCMarkets!AG15</f>
        <v>0</v>
      </c>
      <c r="AC15" s="456">
        <f t="shared" si="9"/>
        <v>-83.5</v>
      </c>
      <c r="AD15" s="456">
        <f t="shared" si="27"/>
        <v>-14</v>
      </c>
      <c r="AE15" s="457">
        <f>SUM(AC11:AC15)</f>
        <v>236</v>
      </c>
      <c r="AF15" s="445">
        <f>+OCCMarkets!AJ15</f>
        <v>9413</v>
      </c>
      <c r="AG15" s="445">
        <f t="shared" si="10"/>
        <v>4706.5</v>
      </c>
      <c r="AH15" s="445">
        <f>+OCCMarkets!AN15</f>
        <v>981</v>
      </c>
      <c r="AI15" s="456">
        <f t="shared" si="11"/>
        <v>-3725.5</v>
      </c>
      <c r="AJ15" s="456">
        <f t="shared" si="28"/>
        <v>68327.5</v>
      </c>
      <c r="AK15" s="457">
        <f>SUM(AI11:AI15)</f>
        <v>16025</v>
      </c>
      <c r="AL15" s="445">
        <f>+OCCMarkets!AQ15</f>
        <v>0</v>
      </c>
      <c r="AM15" s="445">
        <f t="shared" si="12"/>
        <v>0</v>
      </c>
      <c r="AN15" s="445">
        <f>+OCCMarkets!AU15</f>
        <v>0</v>
      </c>
      <c r="AO15" s="456">
        <f t="shared" si="13"/>
        <v>0</v>
      </c>
      <c r="AP15" s="456">
        <f t="shared" si="29"/>
        <v>0</v>
      </c>
      <c r="AQ15" s="457">
        <f>SUM(AO11:AO15)</f>
        <v>0</v>
      </c>
      <c r="AR15" s="445">
        <f>+OCCMarkets!AX15</f>
        <v>207</v>
      </c>
      <c r="AS15" s="445">
        <f t="shared" si="14"/>
        <v>103.5</v>
      </c>
      <c r="AT15" s="445">
        <f>+OCCMarkets!BB15</f>
        <v>0</v>
      </c>
      <c r="AU15" s="456">
        <f t="shared" si="15"/>
        <v>-103.5</v>
      </c>
      <c r="AV15" s="456">
        <f t="shared" si="30"/>
        <v>152.5</v>
      </c>
      <c r="AW15" s="457">
        <f>SUM(AU11:AU15)</f>
        <v>240</v>
      </c>
      <c r="AX15" s="445">
        <f>+OCCMarkets!BE15</f>
        <v>227</v>
      </c>
      <c r="AY15" s="445">
        <f t="shared" si="16"/>
        <v>113.5</v>
      </c>
      <c r="AZ15" s="445">
        <f>+OCCMarkets!BI15</f>
        <v>0</v>
      </c>
      <c r="BA15" s="456">
        <f t="shared" si="17"/>
        <v>-113.5</v>
      </c>
      <c r="BB15" s="456">
        <f t="shared" si="31"/>
        <v>1003</v>
      </c>
      <c r="BC15" s="457">
        <f>SUM(BA11:BA15)</f>
        <v>1275.5</v>
      </c>
      <c r="BD15" s="452"/>
      <c r="BE15" s="456">
        <f t="shared" si="18"/>
        <v>86699</v>
      </c>
      <c r="BF15" s="456">
        <f t="shared" si="19"/>
        <v>43349.5</v>
      </c>
      <c r="BG15" s="456">
        <f t="shared" si="20"/>
        <v>64881</v>
      </c>
      <c r="BH15" s="456">
        <f t="shared" si="21"/>
        <v>21531.5</v>
      </c>
      <c r="BI15" s="456">
        <f t="shared" si="22"/>
        <v>354554.5</v>
      </c>
      <c r="BJ15" s="452">
        <f>+G15+M15+S15+Y15+AE15+AK15+AQ15+AW15+BC15</f>
        <v>159100.5</v>
      </c>
      <c r="BK15" s="436"/>
    </row>
    <row r="16" spans="1:63" x14ac:dyDescent="0.2">
      <c r="A16" s="453">
        <f>+BaseloadMarkets!A16</f>
        <v>36718</v>
      </c>
      <c r="B16" s="454">
        <f>+OCCMarkets!O16</f>
        <v>2017</v>
      </c>
      <c r="C16" s="455">
        <f t="shared" si="0"/>
        <v>1008.5</v>
      </c>
      <c r="D16" s="455">
        <f>+OCCMarkets!S16</f>
        <v>0</v>
      </c>
      <c r="E16" s="456">
        <f t="shared" si="1"/>
        <v>-1008.5</v>
      </c>
      <c r="F16" s="456">
        <f t="shared" si="23"/>
        <v>17697</v>
      </c>
      <c r="G16" s="457"/>
      <c r="H16" s="454">
        <f>+OCCMarkets!C16</f>
        <v>3001</v>
      </c>
      <c r="I16" s="455">
        <f t="shared" si="2"/>
        <v>1500.5</v>
      </c>
      <c r="J16" s="455">
        <f>+OCCMarkets!L16-OCCMarkets!H16</f>
        <v>11491</v>
      </c>
      <c r="K16" s="456">
        <f t="shared" si="3"/>
        <v>9990.5</v>
      </c>
      <c r="L16" s="456">
        <f t="shared" si="24"/>
        <v>95493.5</v>
      </c>
      <c r="M16" s="457"/>
      <c r="N16" s="454">
        <f>+OCCMarkets!V16</f>
        <v>898</v>
      </c>
      <c r="O16" s="455">
        <f t="shared" si="4"/>
        <v>449</v>
      </c>
      <c r="P16" s="455">
        <f>+OCCMarkets!Z16</f>
        <v>0</v>
      </c>
      <c r="Q16" s="456">
        <f t="shared" si="5"/>
        <v>-449</v>
      </c>
      <c r="R16" s="456">
        <f t="shared" si="25"/>
        <v>-797</v>
      </c>
      <c r="S16" s="457"/>
      <c r="T16" s="445">
        <f>+EES!C15</f>
        <v>70000</v>
      </c>
      <c r="U16" s="445">
        <f t="shared" si="6"/>
        <v>35000</v>
      </c>
      <c r="V16" s="445">
        <f>+EES!AM15-EES!M15</f>
        <v>80726</v>
      </c>
      <c r="W16" s="456">
        <f t="shared" si="7"/>
        <v>45726</v>
      </c>
      <c r="X16" s="456">
        <f t="shared" si="26"/>
        <v>226951</v>
      </c>
      <c r="Y16" s="457"/>
      <c r="Z16" s="445">
        <f>+OCCMarkets!AC16</f>
        <v>178</v>
      </c>
      <c r="AA16" s="445">
        <f t="shared" si="8"/>
        <v>89</v>
      </c>
      <c r="AB16" s="445">
        <f>+OCCMarkets!AG16</f>
        <v>0</v>
      </c>
      <c r="AC16" s="456">
        <f t="shared" si="9"/>
        <v>-89</v>
      </c>
      <c r="AD16" s="456">
        <f t="shared" si="27"/>
        <v>-103</v>
      </c>
      <c r="AE16" s="457"/>
      <c r="AF16" s="445">
        <f>+OCCMarkets!AJ16</f>
        <v>9551</v>
      </c>
      <c r="AG16" s="445">
        <f t="shared" si="10"/>
        <v>4775.5</v>
      </c>
      <c r="AH16" s="445">
        <f>+OCCMarkets!AN16</f>
        <v>14615</v>
      </c>
      <c r="AI16" s="456">
        <f t="shared" si="11"/>
        <v>9839.5</v>
      </c>
      <c r="AJ16" s="456">
        <f t="shared" si="28"/>
        <v>78167</v>
      </c>
      <c r="AK16" s="457"/>
      <c r="AL16" s="445">
        <f>+OCCMarkets!AQ16</f>
        <v>0</v>
      </c>
      <c r="AM16" s="445">
        <f t="shared" si="12"/>
        <v>0</v>
      </c>
      <c r="AN16" s="445">
        <f>+OCCMarkets!AU16</f>
        <v>0</v>
      </c>
      <c r="AO16" s="456">
        <f t="shared" si="13"/>
        <v>0</v>
      </c>
      <c r="AP16" s="456">
        <f t="shared" si="29"/>
        <v>0</v>
      </c>
      <c r="AQ16" s="457"/>
      <c r="AR16" s="445">
        <f>+OCCMarkets!AX16</f>
        <v>202</v>
      </c>
      <c r="AS16" s="445">
        <f t="shared" si="14"/>
        <v>101</v>
      </c>
      <c r="AT16" s="445">
        <f>+OCCMarkets!BB16</f>
        <v>0</v>
      </c>
      <c r="AU16" s="456">
        <f t="shared" si="15"/>
        <v>-101</v>
      </c>
      <c r="AV16" s="456">
        <f t="shared" si="30"/>
        <v>51.5</v>
      </c>
      <c r="AW16" s="457"/>
      <c r="AX16" s="445">
        <f>+OCCMarkets!BE16</f>
        <v>325</v>
      </c>
      <c r="AY16" s="445">
        <f t="shared" si="16"/>
        <v>162.5</v>
      </c>
      <c r="AZ16" s="445">
        <f>+OCCMarkets!BI16</f>
        <v>0</v>
      </c>
      <c r="BA16" s="456">
        <f t="shared" si="17"/>
        <v>-162.5</v>
      </c>
      <c r="BB16" s="456">
        <f t="shared" si="31"/>
        <v>840.5</v>
      </c>
      <c r="BC16" s="457"/>
      <c r="BD16" s="452"/>
      <c r="BE16" s="456">
        <f t="shared" si="18"/>
        <v>86172</v>
      </c>
      <c r="BF16" s="456">
        <f t="shared" si="19"/>
        <v>43086</v>
      </c>
      <c r="BG16" s="456">
        <f t="shared" si="20"/>
        <v>106832</v>
      </c>
      <c r="BH16" s="456">
        <f t="shared" si="21"/>
        <v>63746</v>
      </c>
      <c r="BI16" s="456">
        <f t="shared" si="22"/>
        <v>418300.5</v>
      </c>
      <c r="BJ16" s="456"/>
    </row>
    <row r="17" spans="1:63" x14ac:dyDescent="0.2">
      <c r="A17" s="453">
        <f>+BaseloadMarkets!A17</f>
        <v>36719</v>
      </c>
      <c r="B17" s="454">
        <f>+OCCMarkets!O17</f>
        <v>1723</v>
      </c>
      <c r="C17" s="455">
        <f t="shared" si="0"/>
        <v>861.5</v>
      </c>
      <c r="D17" s="455">
        <f>+OCCMarkets!S17</f>
        <v>0</v>
      </c>
      <c r="E17" s="456">
        <f t="shared" si="1"/>
        <v>-861.5</v>
      </c>
      <c r="F17" s="456">
        <f t="shared" si="23"/>
        <v>16835.5</v>
      </c>
      <c r="G17" s="457"/>
      <c r="H17" s="454">
        <f>+OCCMarkets!C17</f>
        <v>4304</v>
      </c>
      <c r="I17" s="455">
        <f t="shared" si="2"/>
        <v>2152</v>
      </c>
      <c r="J17" s="455">
        <f>+OCCMarkets!L17-OCCMarkets!H17</f>
        <v>3380</v>
      </c>
      <c r="K17" s="456">
        <f t="shared" si="3"/>
        <v>1228</v>
      </c>
      <c r="L17" s="456">
        <f t="shared" si="24"/>
        <v>96721.5</v>
      </c>
      <c r="M17" s="457"/>
      <c r="N17" s="454">
        <f>+OCCMarkets!V17</f>
        <v>1382</v>
      </c>
      <c r="O17" s="455">
        <f t="shared" si="4"/>
        <v>691</v>
      </c>
      <c r="P17" s="455">
        <f>+OCCMarkets!Z17</f>
        <v>0</v>
      </c>
      <c r="Q17" s="456">
        <f t="shared" si="5"/>
        <v>-691</v>
      </c>
      <c r="R17" s="456">
        <f t="shared" si="25"/>
        <v>-1488</v>
      </c>
      <c r="S17" s="457"/>
      <c r="T17" s="445">
        <f>+EES!C16</f>
        <v>70000</v>
      </c>
      <c r="U17" s="445">
        <f t="shared" si="6"/>
        <v>35000</v>
      </c>
      <c r="V17" s="445">
        <f>+EES!AM16-EES!M16</f>
        <v>46867</v>
      </c>
      <c r="W17" s="456">
        <f t="shared" si="7"/>
        <v>11867</v>
      </c>
      <c r="X17" s="456">
        <f t="shared" si="26"/>
        <v>238818</v>
      </c>
      <c r="Y17" s="457"/>
      <c r="Z17" s="445">
        <f>+OCCMarkets!AC17</f>
        <v>181</v>
      </c>
      <c r="AA17" s="445">
        <f t="shared" si="8"/>
        <v>90.5</v>
      </c>
      <c r="AB17" s="445">
        <f>+OCCMarkets!AG17</f>
        <v>0</v>
      </c>
      <c r="AC17" s="456">
        <f t="shared" si="9"/>
        <v>-90.5</v>
      </c>
      <c r="AD17" s="456">
        <f t="shared" si="27"/>
        <v>-193.5</v>
      </c>
      <c r="AE17" s="457"/>
      <c r="AF17" s="445">
        <f>+OCCMarkets!AJ17</f>
        <v>9646</v>
      </c>
      <c r="AG17" s="445">
        <f t="shared" si="10"/>
        <v>4823</v>
      </c>
      <c r="AH17" s="445">
        <f>+OCCMarkets!AN17</f>
        <v>6685</v>
      </c>
      <c r="AI17" s="456">
        <f t="shared" si="11"/>
        <v>1862</v>
      </c>
      <c r="AJ17" s="456">
        <f t="shared" si="28"/>
        <v>80029</v>
      </c>
      <c r="AK17" s="457"/>
      <c r="AL17" s="445">
        <f>+OCCMarkets!AQ17</f>
        <v>0</v>
      </c>
      <c r="AM17" s="445">
        <f t="shared" si="12"/>
        <v>0</v>
      </c>
      <c r="AN17" s="445">
        <f>+OCCMarkets!AU17</f>
        <v>0</v>
      </c>
      <c r="AO17" s="456">
        <f t="shared" si="13"/>
        <v>0</v>
      </c>
      <c r="AP17" s="456">
        <f t="shared" si="29"/>
        <v>0</v>
      </c>
      <c r="AQ17" s="457"/>
      <c r="AR17" s="445">
        <f>+OCCMarkets!AX17</f>
        <v>200</v>
      </c>
      <c r="AS17" s="445">
        <f t="shared" si="14"/>
        <v>100</v>
      </c>
      <c r="AT17" s="445">
        <f>+OCCMarkets!BB17</f>
        <v>0</v>
      </c>
      <c r="AU17" s="456">
        <f t="shared" si="15"/>
        <v>-100</v>
      </c>
      <c r="AV17" s="456">
        <f t="shared" si="30"/>
        <v>-48.5</v>
      </c>
      <c r="AW17" s="457"/>
      <c r="AX17" s="445">
        <f>+OCCMarkets!BE17</f>
        <v>288</v>
      </c>
      <c r="AY17" s="445">
        <f t="shared" si="16"/>
        <v>144</v>
      </c>
      <c r="AZ17" s="445">
        <f>+OCCMarkets!BI17</f>
        <v>0</v>
      </c>
      <c r="BA17" s="456">
        <f t="shared" si="17"/>
        <v>-144</v>
      </c>
      <c r="BB17" s="456">
        <f t="shared" si="31"/>
        <v>696.5</v>
      </c>
      <c r="BC17" s="457"/>
      <c r="BD17" s="452"/>
      <c r="BE17" s="456">
        <f t="shared" si="18"/>
        <v>87724</v>
      </c>
      <c r="BF17" s="456">
        <f t="shared" si="19"/>
        <v>43862</v>
      </c>
      <c r="BG17" s="456">
        <f t="shared" si="20"/>
        <v>56932</v>
      </c>
      <c r="BH17" s="456">
        <f t="shared" si="21"/>
        <v>13070</v>
      </c>
      <c r="BI17" s="456">
        <f t="shared" si="22"/>
        <v>431370.5</v>
      </c>
      <c r="BJ17" s="456"/>
    </row>
    <row r="18" spans="1:63" x14ac:dyDescent="0.2">
      <c r="A18" s="453">
        <f>+BaseloadMarkets!A18</f>
        <v>36720</v>
      </c>
      <c r="B18" s="454">
        <f>+OCCMarkets!O18</f>
        <v>1994</v>
      </c>
      <c r="C18" s="455">
        <f t="shared" si="0"/>
        <v>997</v>
      </c>
      <c r="D18" s="455">
        <f>+OCCMarkets!S18</f>
        <v>1085</v>
      </c>
      <c r="E18" s="456">
        <f t="shared" si="1"/>
        <v>88</v>
      </c>
      <c r="F18" s="456">
        <f t="shared" si="23"/>
        <v>16923.5</v>
      </c>
      <c r="G18" s="457"/>
      <c r="H18" s="454">
        <f>+OCCMarkets!C18</f>
        <v>3540</v>
      </c>
      <c r="I18" s="455">
        <f t="shared" si="2"/>
        <v>1770</v>
      </c>
      <c r="J18" s="455">
        <f>+OCCMarkets!L18-OCCMarkets!H18</f>
        <v>17466</v>
      </c>
      <c r="K18" s="456">
        <f t="shared" si="3"/>
        <v>15696</v>
      </c>
      <c r="L18" s="456">
        <f t="shared" si="24"/>
        <v>112417.5</v>
      </c>
      <c r="M18" s="457"/>
      <c r="N18" s="454">
        <f>+OCCMarkets!V18</f>
        <v>1308</v>
      </c>
      <c r="O18" s="455">
        <f t="shared" si="4"/>
        <v>654</v>
      </c>
      <c r="P18" s="455">
        <f>+OCCMarkets!Z18</f>
        <v>542</v>
      </c>
      <c r="Q18" s="456">
        <f t="shared" si="5"/>
        <v>-112</v>
      </c>
      <c r="R18" s="456">
        <f t="shared" si="25"/>
        <v>-1600</v>
      </c>
      <c r="S18" s="457"/>
      <c r="T18" s="445">
        <f>+EES!C17</f>
        <v>70000</v>
      </c>
      <c r="U18" s="445">
        <f t="shared" si="6"/>
        <v>35000</v>
      </c>
      <c r="V18" s="445">
        <f>+EES!AM17-EES!M17</f>
        <v>92067</v>
      </c>
      <c r="W18" s="456">
        <f t="shared" si="7"/>
        <v>57067</v>
      </c>
      <c r="X18" s="456">
        <f t="shared" si="26"/>
        <v>295885</v>
      </c>
      <c r="Y18" s="457"/>
      <c r="Z18" s="445">
        <f>+OCCMarkets!AC18</f>
        <v>177</v>
      </c>
      <c r="AA18" s="445">
        <f t="shared" si="8"/>
        <v>88.5</v>
      </c>
      <c r="AB18" s="445">
        <f>+OCCMarkets!AG18</f>
        <v>361</v>
      </c>
      <c r="AC18" s="456">
        <f t="shared" si="9"/>
        <v>272.5</v>
      </c>
      <c r="AD18" s="456">
        <f t="shared" si="27"/>
        <v>79</v>
      </c>
      <c r="AE18" s="457"/>
      <c r="AF18" s="445">
        <f>+OCCMarkets!AJ18</f>
        <v>9422</v>
      </c>
      <c r="AG18" s="445">
        <f t="shared" si="10"/>
        <v>4711</v>
      </c>
      <c r="AH18" s="445">
        <f>+OCCMarkets!AN18</f>
        <v>38700</v>
      </c>
      <c r="AI18" s="456">
        <f t="shared" si="11"/>
        <v>33989</v>
      </c>
      <c r="AJ18" s="456">
        <f t="shared" si="28"/>
        <v>114018</v>
      </c>
      <c r="AK18" s="457"/>
      <c r="AL18" s="445">
        <f>+OCCMarkets!AQ18</f>
        <v>0</v>
      </c>
      <c r="AM18" s="445">
        <f t="shared" si="12"/>
        <v>0</v>
      </c>
      <c r="AN18" s="445">
        <f>+OCCMarkets!AU18</f>
        <v>0</v>
      </c>
      <c r="AO18" s="456">
        <f t="shared" si="13"/>
        <v>0</v>
      </c>
      <c r="AP18" s="456">
        <f t="shared" si="29"/>
        <v>0</v>
      </c>
      <c r="AQ18" s="457"/>
      <c r="AR18" s="445">
        <f>+OCCMarkets!AX18</f>
        <v>204</v>
      </c>
      <c r="AS18" s="445">
        <f t="shared" si="14"/>
        <v>102</v>
      </c>
      <c r="AT18" s="445">
        <f>+OCCMarkets!BB18</f>
        <v>886</v>
      </c>
      <c r="AU18" s="456">
        <f t="shared" si="15"/>
        <v>784</v>
      </c>
      <c r="AV18" s="456">
        <f t="shared" si="30"/>
        <v>735.5</v>
      </c>
      <c r="AW18" s="457"/>
      <c r="AX18" s="445">
        <f>+OCCMarkets!BE18</f>
        <v>308</v>
      </c>
      <c r="AY18" s="445">
        <f t="shared" si="16"/>
        <v>154</v>
      </c>
      <c r="AZ18" s="445">
        <f>+OCCMarkets!BI18</f>
        <v>904</v>
      </c>
      <c r="BA18" s="456">
        <f t="shared" si="17"/>
        <v>750</v>
      </c>
      <c r="BB18" s="456">
        <f t="shared" si="31"/>
        <v>1446.5</v>
      </c>
      <c r="BC18" s="457"/>
      <c r="BD18" s="452"/>
      <c r="BE18" s="456">
        <f t="shared" si="18"/>
        <v>86953</v>
      </c>
      <c r="BF18" s="456">
        <f t="shared" si="19"/>
        <v>43476.5</v>
      </c>
      <c r="BG18" s="456">
        <f t="shared" si="20"/>
        <v>152011</v>
      </c>
      <c r="BH18" s="456">
        <f t="shared" si="21"/>
        <v>108534.5</v>
      </c>
      <c r="BI18" s="456">
        <f t="shared" si="22"/>
        <v>539905</v>
      </c>
      <c r="BJ18" s="456"/>
    </row>
    <row r="19" spans="1:63" x14ac:dyDescent="0.2">
      <c r="A19" s="453">
        <f>+BaseloadMarkets!A19</f>
        <v>36721</v>
      </c>
      <c r="B19" s="454">
        <f>+OCCMarkets!O19</f>
        <v>1632</v>
      </c>
      <c r="C19" s="455">
        <f t="shared" si="0"/>
        <v>816</v>
      </c>
      <c r="D19" s="455">
        <f>+OCCMarkets!S19</f>
        <v>2327</v>
      </c>
      <c r="E19" s="456">
        <f t="shared" si="1"/>
        <v>1511</v>
      </c>
      <c r="F19" s="456">
        <f t="shared" si="23"/>
        <v>18434.5</v>
      </c>
      <c r="G19" s="457"/>
      <c r="H19" s="454">
        <f>+OCCMarkets!C19</f>
        <v>5803</v>
      </c>
      <c r="I19" s="455">
        <f t="shared" si="2"/>
        <v>2901.5</v>
      </c>
      <c r="J19" s="455">
        <f>+OCCMarkets!L19-OCCMarkets!H19</f>
        <v>11508</v>
      </c>
      <c r="K19" s="456">
        <f t="shared" si="3"/>
        <v>8606.5</v>
      </c>
      <c r="L19" s="456">
        <f t="shared" si="24"/>
        <v>121024</v>
      </c>
      <c r="M19" s="457"/>
      <c r="N19" s="454">
        <f>+OCCMarkets!V19</f>
        <v>1406</v>
      </c>
      <c r="O19" s="455">
        <f t="shared" si="4"/>
        <v>703</v>
      </c>
      <c r="P19" s="455">
        <f>+OCCMarkets!Z19</f>
        <v>6656</v>
      </c>
      <c r="Q19" s="456">
        <f t="shared" si="5"/>
        <v>5953</v>
      </c>
      <c r="R19" s="456">
        <f t="shared" si="25"/>
        <v>4353</v>
      </c>
      <c r="S19" s="457"/>
      <c r="T19" s="445">
        <f>+EES!C18</f>
        <v>70000</v>
      </c>
      <c r="U19" s="445">
        <f t="shared" si="6"/>
        <v>35000</v>
      </c>
      <c r="V19" s="445">
        <f>+EES!AM18-EES!M18</f>
        <v>89189</v>
      </c>
      <c r="W19" s="456">
        <f t="shared" si="7"/>
        <v>54189</v>
      </c>
      <c r="X19" s="456">
        <f t="shared" si="26"/>
        <v>350074</v>
      </c>
      <c r="Y19" s="457"/>
      <c r="Z19" s="445">
        <f>+OCCMarkets!AC19</f>
        <v>157</v>
      </c>
      <c r="AA19" s="445">
        <f t="shared" si="8"/>
        <v>78.5</v>
      </c>
      <c r="AB19" s="445">
        <f>+OCCMarkets!AG19</f>
        <v>1397</v>
      </c>
      <c r="AC19" s="456">
        <f t="shared" si="9"/>
        <v>1318.5</v>
      </c>
      <c r="AD19" s="456">
        <f t="shared" si="27"/>
        <v>1397.5</v>
      </c>
      <c r="AE19" s="457"/>
      <c r="AF19" s="445">
        <f>+OCCMarkets!AJ19</f>
        <v>8534</v>
      </c>
      <c r="AG19" s="445">
        <f t="shared" si="10"/>
        <v>4267</v>
      </c>
      <c r="AH19" s="445">
        <f>+OCCMarkets!AN19</f>
        <v>13239</v>
      </c>
      <c r="AI19" s="456">
        <f t="shared" si="11"/>
        <v>8972</v>
      </c>
      <c r="AJ19" s="456">
        <f t="shared" si="28"/>
        <v>122990</v>
      </c>
      <c r="AK19" s="457"/>
      <c r="AL19" s="445">
        <f>+OCCMarkets!AQ19</f>
        <v>0</v>
      </c>
      <c r="AM19" s="445">
        <f t="shared" si="12"/>
        <v>0</v>
      </c>
      <c r="AN19" s="445">
        <f>+OCCMarkets!AU19</f>
        <v>0</v>
      </c>
      <c r="AO19" s="456">
        <f t="shared" si="13"/>
        <v>0</v>
      </c>
      <c r="AP19" s="456">
        <f t="shared" si="29"/>
        <v>0</v>
      </c>
      <c r="AQ19" s="457"/>
      <c r="AR19" s="445">
        <f>+OCCMarkets!AX19</f>
        <v>213</v>
      </c>
      <c r="AS19" s="445">
        <f t="shared" si="14"/>
        <v>106.5</v>
      </c>
      <c r="AT19" s="445">
        <f>+OCCMarkets!BB19</f>
        <v>1397</v>
      </c>
      <c r="AU19" s="456">
        <f t="shared" si="15"/>
        <v>1290.5</v>
      </c>
      <c r="AV19" s="456">
        <f t="shared" si="30"/>
        <v>2026</v>
      </c>
      <c r="AW19" s="457"/>
      <c r="AX19" s="445">
        <f>+OCCMarkets!BE19</f>
        <v>286</v>
      </c>
      <c r="AY19" s="445">
        <f t="shared" si="16"/>
        <v>143</v>
      </c>
      <c r="AZ19" s="445">
        <f>+OCCMarkets!BI19</f>
        <v>1862</v>
      </c>
      <c r="BA19" s="456">
        <f t="shared" si="17"/>
        <v>1719</v>
      </c>
      <c r="BB19" s="456">
        <f t="shared" si="31"/>
        <v>3165.5</v>
      </c>
      <c r="BC19" s="457"/>
      <c r="BD19" s="452"/>
      <c r="BE19" s="456">
        <f t="shared" si="18"/>
        <v>88031</v>
      </c>
      <c r="BF19" s="456">
        <f t="shared" si="19"/>
        <v>44015.5</v>
      </c>
      <c r="BG19" s="456">
        <f t="shared" si="20"/>
        <v>127575</v>
      </c>
      <c r="BH19" s="456">
        <f t="shared" si="21"/>
        <v>83559.5</v>
      </c>
      <c r="BI19" s="456">
        <f t="shared" si="22"/>
        <v>623464.5</v>
      </c>
      <c r="BJ19" s="456"/>
    </row>
    <row r="20" spans="1:63" x14ac:dyDescent="0.2">
      <c r="A20" s="453">
        <f>+BaseloadMarkets!A20</f>
        <v>36722</v>
      </c>
      <c r="B20" s="454">
        <f>+OCCMarkets!O20</f>
        <v>752</v>
      </c>
      <c r="C20" s="455">
        <f t="shared" si="0"/>
        <v>376</v>
      </c>
      <c r="D20" s="455">
        <f>+OCCMarkets!S20</f>
        <v>1298</v>
      </c>
      <c r="E20" s="456">
        <f t="shared" si="1"/>
        <v>922</v>
      </c>
      <c r="F20" s="456">
        <f t="shared" si="23"/>
        <v>19356.5</v>
      </c>
      <c r="G20" s="457">
        <f>SUM(E16:E20)</f>
        <v>651</v>
      </c>
      <c r="H20" s="454">
        <f>+OCCMarkets!C20</f>
        <v>5350</v>
      </c>
      <c r="I20" s="455">
        <f t="shared" si="2"/>
        <v>2675</v>
      </c>
      <c r="J20" s="455">
        <f>+OCCMarkets!L20-OCCMarkets!H20</f>
        <v>3000</v>
      </c>
      <c r="K20" s="456">
        <f t="shared" si="3"/>
        <v>325</v>
      </c>
      <c r="L20" s="456">
        <f t="shared" si="24"/>
        <v>121349</v>
      </c>
      <c r="M20" s="457">
        <f>SUM(K16:K20)</f>
        <v>35846</v>
      </c>
      <c r="N20" s="454">
        <f>+OCCMarkets!V20</f>
        <v>1257</v>
      </c>
      <c r="O20" s="455">
        <f t="shared" si="4"/>
        <v>628.5</v>
      </c>
      <c r="P20" s="455">
        <f>+OCCMarkets!Z20</f>
        <v>843</v>
      </c>
      <c r="Q20" s="456">
        <f t="shared" si="5"/>
        <v>214.5</v>
      </c>
      <c r="R20" s="456">
        <f t="shared" si="25"/>
        <v>4567.5</v>
      </c>
      <c r="S20" s="457">
        <f>SUM(Q16:Q20)</f>
        <v>4915.5</v>
      </c>
      <c r="T20" s="445">
        <f>+EES!C19</f>
        <v>70000</v>
      </c>
      <c r="U20" s="445">
        <f t="shared" si="6"/>
        <v>35000</v>
      </c>
      <c r="V20" s="445">
        <f>+EES!AM19-EES!M19</f>
        <v>50908</v>
      </c>
      <c r="W20" s="456">
        <f t="shared" si="7"/>
        <v>15908</v>
      </c>
      <c r="X20" s="456">
        <f t="shared" si="26"/>
        <v>365982</v>
      </c>
      <c r="Y20" s="457">
        <f>SUM(W16:W20)</f>
        <v>184757</v>
      </c>
      <c r="Z20" s="445">
        <f>+OCCMarkets!AC20</f>
        <v>170</v>
      </c>
      <c r="AA20" s="445">
        <f t="shared" si="8"/>
        <v>85</v>
      </c>
      <c r="AB20" s="445">
        <f>+OCCMarkets!AG20</f>
        <v>0</v>
      </c>
      <c r="AC20" s="456">
        <f t="shared" si="9"/>
        <v>-85</v>
      </c>
      <c r="AD20" s="456">
        <f t="shared" si="27"/>
        <v>1312.5</v>
      </c>
      <c r="AE20" s="457">
        <f>SUM(AC16:AC20)</f>
        <v>1326.5</v>
      </c>
      <c r="AF20" s="445">
        <f>+OCCMarkets!AJ20</f>
        <v>6025</v>
      </c>
      <c r="AG20" s="445">
        <f t="shared" si="10"/>
        <v>3012.5</v>
      </c>
      <c r="AH20" s="445">
        <f>+OCCMarkets!AN20</f>
        <v>9449</v>
      </c>
      <c r="AI20" s="456">
        <f t="shared" si="11"/>
        <v>6436.5</v>
      </c>
      <c r="AJ20" s="456">
        <f t="shared" si="28"/>
        <v>129426.5</v>
      </c>
      <c r="AK20" s="457">
        <f>SUM(AI16:AI20)</f>
        <v>61099</v>
      </c>
      <c r="AL20" s="445">
        <f>+OCCMarkets!AQ20</f>
        <v>0</v>
      </c>
      <c r="AM20" s="445">
        <f t="shared" si="12"/>
        <v>0</v>
      </c>
      <c r="AN20" s="445">
        <f>+OCCMarkets!AU20</f>
        <v>0</v>
      </c>
      <c r="AO20" s="456">
        <f t="shared" si="13"/>
        <v>0</v>
      </c>
      <c r="AP20" s="456">
        <f t="shared" si="29"/>
        <v>0</v>
      </c>
      <c r="AQ20" s="457">
        <f>SUM(AO16:AO20)</f>
        <v>0</v>
      </c>
      <c r="AR20" s="445">
        <f>+OCCMarkets!AX20</f>
        <v>31</v>
      </c>
      <c r="AS20" s="445">
        <f t="shared" si="14"/>
        <v>15.5</v>
      </c>
      <c r="AT20" s="445">
        <f>+OCCMarkets!BB20</f>
        <v>0</v>
      </c>
      <c r="AU20" s="456">
        <f t="shared" si="15"/>
        <v>-15.5</v>
      </c>
      <c r="AV20" s="456">
        <f t="shared" si="30"/>
        <v>2010.5</v>
      </c>
      <c r="AW20" s="457">
        <f>SUM(AU16:AU20)</f>
        <v>1858</v>
      </c>
      <c r="AX20" s="445">
        <f>+OCCMarkets!BE20</f>
        <v>132</v>
      </c>
      <c r="AY20" s="445">
        <f t="shared" si="16"/>
        <v>66</v>
      </c>
      <c r="AZ20" s="445">
        <f>+OCCMarkets!BI20</f>
        <v>0</v>
      </c>
      <c r="BA20" s="456">
        <f t="shared" si="17"/>
        <v>-66</v>
      </c>
      <c r="BB20" s="456">
        <f t="shared" si="31"/>
        <v>3099.5</v>
      </c>
      <c r="BC20" s="457">
        <f>SUM(BA16:BA20)</f>
        <v>2096.5</v>
      </c>
      <c r="BD20" s="452"/>
      <c r="BE20" s="456">
        <f t="shared" si="18"/>
        <v>83717</v>
      </c>
      <c r="BF20" s="456">
        <f t="shared" si="19"/>
        <v>41858.5</v>
      </c>
      <c r="BG20" s="456">
        <f t="shared" si="20"/>
        <v>65498</v>
      </c>
      <c r="BH20" s="456">
        <f t="shared" si="21"/>
        <v>23639.5</v>
      </c>
      <c r="BI20" s="456">
        <f t="shared" si="22"/>
        <v>647104</v>
      </c>
      <c r="BJ20" s="452">
        <f>+G20+M20+S20+Y20+AE20+AK20+AQ20+AW20+BC20</f>
        <v>292549.5</v>
      </c>
      <c r="BK20" s="436"/>
    </row>
    <row r="21" spans="1:63" x14ac:dyDescent="0.2">
      <c r="A21" s="453">
        <f>+BaseloadMarkets!A21</f>
        <v>36723</v>
      </c>
      <c r="B21" s="454">
        <f>+OCCMarkets!O21</f>
        <v>1212</v>
      </c>
      <c r="C21" s="455">
        <f t="shared" si="0"/>
        <v>606</v>
      </c>
      <c r="D21" s="455">
        <f>+OCCMarkets!S21</f>
        <v>1228</v>
      </c>
      <c r="E21" s="456">
        <f t="shared" si="1"/>
        <v>622</v>
      </c>
      <c r="F21" s="456">
        <f t="shared" si="23"/>
        <v>19978.5</v>
      </c>
      <c r="G21" s="457"/>
      <c r="H21" s="454">
        <f>+OCCMarkets!C21</f>
        <v>3980</v>
      </c>
      <c r="I21" s="455">
        <f t="shared" si="2"/>
        <v>1990</v>
      </c>
      <c r="J21" s="455">
        <f>+OCCMarkets!L21-OCCMarkets!H21</f>
        <v>3000</v>
      </c>
      <c r="K21" s="456">
        <f t="shared" si="3"/>
        <v>1010</v>
      </c>
      <c r="L21" s="456">
        <f t="shared" si="24"/>
        <v>122359</v>
      </c>
      <c r="M21" s="457"/>
      <c r="N21" s="454">
        <f>+OCCMarkets!V21</f>
        <v>1259</v>
      </c>
      <c r="O21" s="455">
        <f t="shared" si="4"/>
        <v>629.5</v>
      </c>
      <c r="P21" s="455">
        <f>+OCCMarkets!Z21</f>
        <v>798</v>
      </c>
      <c r="Q21" s="456">
        <f t="shared" si="5"/>
        <v>168.5</v>
      </c>
      <c r="R21" s="456">
        <f t="shared" si="25"/>
        <v>4736</v>
      </c>
      <c r="S21" s="457"/>
      <c r="T21" s="445">
        <f>+EES!C20</f>
        <v>70000</v>
      </c>
      <c r="U21" s="445">
        <f t="shared" si="6"/>
        <v>35000</v>
      </c>
      <c r="V21" s="445">
        <f>+EES!AM20-EES!M20</f>
        <v>48757</v>
      </c>
      <c r="W21" s="456">
        <f t="shared" si="7"/>
        <v>13757</v>
      </c>
      <c r="X21" s="456">
        <f t="shared" si="26"/>
        <v>379739</v>
      </c>
      <c r="Y21" s="457"/>
      <c r="Z21" s="445">
        <f>+OCCMarkets!AC21</f>
        <v>28</v>
      </c>
      <c r="AA21" s="445">
        <f t="shared" si="8"/>
        <v>14</v>
      </c>
      <c r="AB21" s="445">
        <f>+OCCMarkets!AG21</f>
        <v>0</v>
      </c>
      <c r="AC21" s="456">
        <f t="shared" si="9"/>
        <v>-14</v>
      </c>
      <c r="AD21" s="456">
        <f t="shared" si="27"/>
        <v>1298.5</v>
      </c>
      <c r="AE21" s="457"/>
      <c r="AF21" s="445">
        <f>+OCCMarkets!AJ21</f>
        <v>9078</v>
      </c>
      <c r="AG21" s="445">
        <f t="shared" si="10"/>
        <v>4539</v>
      </c>
      <c r="AH21" s="445">
        <f>+OCCMarkets!AN21</f>
        <v>9119</v>
      </c>
      <c r="AI21" s="456">
        <f t="shared" si="11"/>
        <v>4580</v>
      </c>
      <c r="AJ21" s="456">
        <f t="shared" si="28"/>
        <v>134006.5</v>
      </c>
      <c r="AK21" s="457"/>
      <c r="AL21" s="445">
        <f>+OCCMarkets!AQ21</f>
        <v>0</v>
      </c>
      <c r="AM21" s="445">
        <f t="shared" si="12"/>
        <v>0</v>
      </c>
      <c r="AN21" s="445">
        <f>+OCCMarkets!AU21</f>
        <v>0</v>
      </c>
      <c r="AO21" s="456">
        <f t="shared" si="13"/>
        <v>0</v>
      </c>
      <c r="AP21" s="456">
        <f t="shared" si="29"/>
        <v>0</v>
      </c>
      <c r="AQ21" s="457"/>
      <c r="AR21" s="445">
        <f>+OCCMarkets!AX21</f>
        <v>0</v>
      </c>
      <c r="AS21" s="445">
        <f t="shared" si="14"/>
        <v>0</v>
      </c>
      <c r="AT21" s="445">
        <f>+OCCMarkets!BB21</f>
        <v>0</v>
      </c>
      <c r="AU21" s="456">
        <f t="shared" si="15"/>
        <v>0</v>
      </c>
      <c r="AV21" s="456">
        <f t="shared" si="30"/>
        <v>2010.5</v>
      </c>
      <c r="AW21" s="457"/>
      <c r="AX21" s="445">
        <f>+OCCMarkets!BE21</f>
        <v>25</v>
      </c>
      <c r="AY21" s="445">
        <f t="shared" si="16"/>
        <v>12.5</v>
      </c>
      <c r="AZ21" s="445">
        <f>+OCCMarkets!BI21</f>
        <v>0</v>
      </c>
      <c r="BA21" s="456">
        <f t="shared" si="17"/>
        <v>-12.5</v>
      </c>
      <c r="BB21" s="456">
        <f t="shared" si="31"/>
        <v>3087</v>
      </c>
      <c r="BC21" s="457"/>
      <c r="BD21" s="452"/>
      <c r="BE21" s="456">
        <f t="shared" si="18"/>
        <v>85582</v>
      </c>
      <c r="BF21" s="456">
        <f t="shared" si="19"/>
        <v>42791</v>
      </c>
      <c r="BG21" s="456">
        <f t="shared" si="20"/>
        <v>62902</v>
      </c>
      <c r="BH21" s="456">
        <f t="shared" si="21"/>
        <v>20111</v>
      </c>
      <c r="BI21" s="456">
        <f t="shared" si="22"/>
        <v>667215</v>
      </c>
      <c r="BJ21" s="456"/>
    </row>
    <row r="22" spans="1:63" x14ac:dyDescent="0.2">
      <c r="A22" s="453">
        <f>+BaseloadMarkets!A22</f>
        <v>36724</v>
      </c>
      <c r="B22" s="454">
        <f>+OCCMarkets!O22</f>
        <v>2044</v>
      </c>
      <c r="C22" s="455">
        <f t="shared" si="0"/>
        <v>1022</v>
      </c>
      <c r="D22" s="455">
        <f>+OCCMarkets!S22</f>
        <v>1149</v>
      </c>
      <c r="E22" s="456">
        <f t="shared" si="1"/>
        <v>127</v>
      </c>
      <c r="F22" s="456">
        <f t="shared" si="23"/>
        <v>20105.5</v>
      </c>
      <c r="G22" s="457"/>
      <c r="H22" s="454">
        <f>+OCCMarkets!C22</f>
        <v>3590</v>
      </c>
      <c r="I22" s="455">
        <f t="shared" si="2"/>
        <v>1795</v>
      </c>
      <c r="J22" s="455">
        <f>+OCCMarkets!L22-OCCMarkets!H22</f>
        <v>3000</v>
      </c>
      <c r="K22" s="456">
        <f t="shared" si="3"/>
        <v>1205</v>
      </c>
      <c r="L22" s="456">
        <f t="shared" si="24"/>
        <v>123564</v>
      </c>
      <c r="M22" s="457"/>
      <c r="N22" s="454">
        <f>+OCCMarkets!V22</f>
        <v>989</v>
      </c>
      <c r="O22" s="455">
        <f t="shared" si="4"/>
        <v>494.5</v>
      </c>
      <c r="P22" s="455">
        <f>+OCCMarkets!Z22</f>
        <v>778</v>
      </c>
      <c r="Q22" s="456">
        <f t="shared" si="5"/>
        <v>283.5</v>
      </c>
      <c r="R22" s="456">
        <f t="shared" si="25"/>
        <v>5019.5</v>
      </c>
      <c r="S22" s="457"/>
      <c r="T22" s="445">
        <f>+EES!C21</f>
        <v>70000</v>
      </c>
      <c r="U22" s="445">
        <f t="shared" si="6"/>
        <v>35000</v>
      </c>
      <c r="V22" s="445">
        <f>+EES!AM21-EES!M21</f>
        <v>92906</v>
      </c>
      <c r="W22" s="456">
        <f t="shared" si="7"/>
        <v>57906</v>
      </c>
      <c r="X22" s="456">
        <f t="shared" si="26"/>
        <v>437645</v>
      </c>
      <c r="Y22" s="457"/>
      <c r="Z22" s="445">
        <f>+OCCMarkets!AC22</f>
        <v>96</v>
      </c>
      <c r="AA22" s="445">
        <f t="shared" si="8"/>
        <v>48</v>
      </c>
      <c r="AB22" s="445">
        <f>+OCCMarkets!AG22</f>
        <v>0</v>
      </c>
      <c r="AC22" s="456">
        <f t="shared" si="9"/>
        <v>-48</v>
      </c>
      <c r="AD22" s="456">
        <f t="shared" si="27"/>
        <v>1250.5</v>
      </c>
      <c r="AE22" s="457"/>
      <c r="AF22" s="445">
        <f>+OCCMarkets!AJ22</f>
        <v>9378</v>
      </c>
      <c r="AG22" s="445">
        <f t="shared" si="10"/>
        <v>4689</v>
      </c>
      <c r="AH22" s="445">
        <f>+OCCMarkets!AN22</f>
        <v>8969</v>
      </c>
      <c r="AI22" s="456">
        <f t="shared" si="11"/>
        <v>4280</v>
      </c>
      <c r="AJ22" s="456">
        <f t="shared" si="28"/>
        <v>138286.5</v>
      </c>
      <c r="AK22" s="457"/>
      <c r="AL22" s="445">
        <f>+OCCMarkets!AQ22</f>
        <v>0</v>
      </c>
      <c r="AM22" s="445">
        <f t="shared" si="12"/>
        <v>0</v>
      </c>
      <c r="AN22" s="445">
        <f>+OCCMarkets!AU22</f>
        <v>0</v>
      </c>
      <c r="AO22" s="456">
        <f t="shared" si="13"/>
        <v>0</v>
      </c>
      <c r="AP22" s="456">
        <f t="shared" si="29"/>
        <v>0</v>
      </c>
      <c r="AQ22" s="457"/>
      <c r="AR22" s="445">
        <f>+OCCMarkets!AX22</f>
        <v>135</v>
      </c>
      <c r="AS22" s="445">
        <f t="shared" si="14"/>
        <v>67.5</v>
      </c>
      <c r="AT22" s="445">
        <f>+OCCMarkets!BB22</f>
        <v>0</v>
      </c>
      <c r="AU22" s="456">
        <f t="shared" si="15"/>
        <v>-67.5</v>
      </c>
      <c r="AV22" s="456">
        <f t="shared" si="30"/>
        <v>1943</v>
      </c>
      <c r="AW22" s="457"/>
      <c r="AX22" s="445">
        <f>+OCCMarkets!BE22</f>
        <v>246</v>
      </c>
      <c r="AY22" s="445">
        <f t="shared" si="16"/>
        <v>123</v>
      </c>
      <c r="AZ22" s="445">
        <f>+OCCMarkets!BI22</f>
        <v>0</v>
      </c>
      <c r="BA22" s="456">
        <f t="shared" si="17"/>
        <v>-123</v>
      </c>
      <c r="BB22" s="456">
        <f t="shared" si="31"/>
        <v>2964</v>
      </c>
      <c r="BC22" s="457"/>
      <c r="BD22" s="452"/>
      <c r="BE22" s="456">
        <f t="shared" si="18"/>
        <v>86478</v>
      </c>
      <c r="BF22" s="456">
        <f t="shared" si="19"/>
        <v>43239</v>
      </c>
      <c r="BG22" s="456">
        <f t="shared" si="20"/>
        <v>106802</v>
      </c>
      <c r="BH22" s="456">
        <f t="shared" si="21"/>
        <v>63563</v>
      </c>
      <c r="BI22" s="456">
        <f t="shared" si="22"/>
        <v>730778</v>
      </c>
      <c r="BJ22" s="456"/>
    </row>
    <row r="23" spans="1:63" x14ac:dyDescent="0.2">
      <c r="A23" s="453">
        <f>+BaseloadMarkets!A23</f>
        <v>36725</v>
      </c>
      <c r="B23" s="454">
        <f>+OCCMarkets!O23</f>
        <v>2258</v>
      </c>
      <c r="C23" s="455">
        <f t="shared" si="0"/>
        <v>1129</v>
      </c>
      <c r="D23" s="455">
        <f>+OCCMarkets!S23</f>
        <v>0</v>
      </c>
      <c r="E23" s="456">
        <f t="shared" si="1"/>
        <v>-1129</v>
      </c>
      <c r="F23" s="456">
        <f t="shared" si="23"/>
        <v>18976.5</v>
      </c>
      <c r="G23" s="457"/>
      <c r="H23" s="454">
        <f>+OCCMarkets!C23</f>
        <v>15826</v>
      </c>
      <c r="I23" s="455">
        <f t="shared" si="2"/>
        <v>7913</v>
      </c>
      <c r="J23" s="455">
        <f>+OCCMarkets!L23-OCCMarkets!H23</f>
        <v>12603</v>
      </c>
      <c r="K23" s="456">
        <f t="shared" si="3"/>
        <v>4690</v>
      </c>
      <c r="L23" s="456">
        <f t="shared" si="24"/>
        <v>128254</v>
      </c>
      <c r="M23" s="457"/>
      <c r="N23" s="454">
        <f>+OCCMarkets!V23</f>
        <v>1458</v>
      </c>
      <c r="O23" s="455">
        <f t="shared" si="4"/>
        <v>729</v>
      </c>
      <c r="P23" s="455">
        <f>+OCCMarkets!Z23</f>
        <v>0</v>
      </c>
      <c r="Q23" s="456">
        <f t="shared" si="5"/>
        <v>-729</v>
      </c>
      <c r="R23" s="456">
        <f t="shared" si="25"/>
        <v>4290.5</v>
      </c>
      <c r="S23" s="457"/>
      <c r="T23" s="445">
        <f>+EES!C22</f>
        <v>70000</v>
      </c>
      <c r="U23" s="445">
        <f t="shared" si="6"/>
        <v>35000</v>
      </c>
      <c r="V23" s="445">
        <f>+EES!AM22-EES!M22</f>
        <v>124848</v>
      </c>
      <c r="W23" s="456">
        <f t="shared" si="7"/>
        <v>89848</v>
      </c>
      <c r="X23" s="456">
        <f t="shared" si="26"/>
        <v>527493</v>
      </c>
      <c r="Y23" s="457"/>
      <c r="Z23" s="445">
        <f>+OCCMarkets!AC23</f>
        <v>173</v>
      </c>
      <c r="AA23" s="445">
        <f t="shared" si="8"/>
        <v>86.5</v>
      </c>
      <c r="AB23" s="445">
        <f>+OCCMarkets!AG23</f>
        <v>0</v>
      </c>
      <c r="AC23" s="456">
        <f t="shared" si="9"/>
        <v>-86.5</v>
      </c>
      <c r="AD23" s="456">
        <f t="shared" si="27"/>
        <v>1164</v>
      </c>
      <c r="AE23" s="457"/>
      <c r="AF23" s="445">
        <f>+OCCMarkets!AJ23</f>
        <v>9444</v>
      </c>
      <c r="AG23" s="445">
        <f t="shared" si="10"/>
        <v>4722</v>
      </c>
      <c r="AH23" s="445">
        <f>+OCCMarkets!AN23</f>
        <v>10787</v>
      </c>
      <c r="AI23" s="456">
        <f t="shared" si="11"/>
        <v>6065</v>
      </c>
      <c r="AJ23" s="456">
        <f t="shared" si="28"/>
        <v>144351.5</v>
      </c>
      <c r="AK23" s="457"/>
      <c r="AL23" s="445">
        <f>+OCCMarkets!AQ23</f>
        <v>0</v>
      </c>
      <c r="AM23" s="445">
        <f t="shared" si="12"/>
        <v>0</v>
      </c>
      <c r="AN23" s="445">
        <f>+OCCMarkets!AU23</f>
        <v>0</v>
      </c>
      <c r="AO23" s="456">
        <f t="shared" si="13"/>
        <v>0</v>
      </c>
      <c r="AP23" s="456">
        <f t="shared" si="29"/>
        <v>0</v>
      </c>
      <c r="AQ23" s="457"/>
      <c r="AR23" s="445">
        <f>+OCCMarkets!AX23</f>
        <v>197</v>
      </c>
      <c r="AS23" s="445">
        <f t="shared" si="14"/>
        <v>98.5</v>
      </c>
      <c r="AT23" s="445">
        <f>+OCCMarkets!BB23</f>
        <v>0</v>
      </c>
      <c r="AU23" s="456">
        <f t="shared" si="15"/>
        <v>-98.5</v>
      </c>
      <c r="AV23" s="456">
        <f t="shared" si="30"/>
        <v>1844.5</v>
      </c>
      <c r="AW23" s="457"/>
      <c r="AX23" s="445">
        <f>+OCCMarkets!BE23</f>
        <v>306</v>
      </c>
      <c r="AY23" s="445">
        <f t="shared" si="16"/>
        <v>153</v>
      </c>
      <c r="AZ23" s="445">
        <f>+OCCMarkets!BI23</f>
        <v>0</v>
      </c>
      <c r="BA23" s="456">
        <f t="shared" si="17"/>
        <v>-153</v>
      </c>
      <c r="BB23" s="456">
        <f t="shared" si="31"/>
        <v>2811</v>
      </c>
      <c r="BC23" s="457"/>
      <c r="BD23" s="452"/>
      <c r="BE23" s="456">
        <f t="shared" si="18"/>
        <v>99662</v>
      </c>
      <c r="BF23" s="456">
        <f t="shared" si="19"/>
        <v>49831</v>
      </c>
      <c r="BG23" s="456">
        <f t="shared" si="20"/>
        <v>148238</v>
      </c>
      <c r="BH23" s="456">
        <f t="shared" si="21"/>
        <v>98407</v>
      </c>
      <c r="BI23" s="456">
        <f t="shared" si="22"/>
        <v>829185</v>
      </c>
      <c r="BJ23" s="456"/>
    </row>
    <row r="24" spans="1:63" x14ac:dyDescent="0.2">
      <c r="A24" s="453">
        <f>+BaseloadMarkets!A24</f>
        <v>36726</v>
      </c>
      <c r="B24" s="454">
        <f>+OCCMarkets!O24</f>
        <v>1773</v>
      </c>
      <c r="C24" s="455">
        <f t="shared" si="0"/>
        <v>886.5</v>
      </c>
      <c r="D24" s="455">
        <f>+OCCMarkets!S24</f>
        <v>0</v>
      </c>
      <c r="E24" s="456">
        <f t="shared" si="1"/>
        <v>-886.5</v>
      </c>
      <c r="F24" s="456">
        <f t="shared" si="23"/>
        <v>18090</v>
      </c>
      <c r="G24" s="457"/>
      <c r="H24" s="454">
        <f>+OCCMarkets!C24</f>
        <v>16372</v>
      </c>
      <c r="I24" s="455">
        <f t="shared" si="2"/>
        <v>8186</v>
      </c>
      <c r="J24" s="455">
        <f>+OCCMarkets!L24-OCCMarkets!H24</f>
        <v>3000</v>
      </c>
      <c r="K24" s="456">
        <f t="shared" si="3"/>
        <v>-5186</v>
      </c>
      <c r="L24" s="456">
        <f t="shared" si="24"/>
        <v>123068</v>
      </c>
      <c r="M24" s="457"/>
      <c r="N24" s="454">
        <f>+OCCMarkets!V24</f>
        <v>1285</v>
      </c>
      <c r="O24" s="455">
        <f t="shared" si="4"/>
        <v>642.5</v>
      </c>
      <c r="P24" s="455">
        <f>+OCCMarkets!Z24</f>
        <v>0</v>
      </c>
      <c r="Q24" s="456">
        <f t="shared" si="5"/>
        <v>-642.5</v>
      </c>
      <c r="R24" s="456">
        <f t="shared" si="25"/>
        <v>3648</v>
      </c>
      <c r="S24" s="457"/>
      <c r="T24" s="445">
        <f>+EES!C23</f>
        <v>70000</v>
      </c>
      <c r="U24" s="445">
        <f t="shared" si="6"/>
        <v>35000</v>
      </c>
      <c r="V24" s="445">
        <f>+EES!AM23-EES!M23</f>
        <v>206536</v>
      </c>
      <c r="W24" s="456">
        <f t="shared" si="7"/>
        <v>171536</v>
      </c>
      <c r="X24" s="456">
        <f t="shared" si="26"/>
        <v>699029</v>
      </c>
      <c r="Y24" s="457"/>
      <c r="Z24" s="445">
        <f>+OCCMarkets!AC24</f>
        <v>132</v>
      </c>
      <c r="AA24" s="445">
        <f t="shared" si="8"/>
        <v>66</v>
      </c>
      <c r="AB24" s="445">
        <f>+OCCMarkets!AG24</f>
        <v>0</v>
      </c>
      <c r="AC24" s="456">
        <f t="shared" si="9"/>
        <v>-66</v>
      </c>
      <c r="AD24" s="456">
        <f t="shared" si="27"/>
        <v>1098</v>
      </c>
      <c r="AE24" s="457"/>
      <c r="AF24" s="445">
        <f>+OCCMarkets!AJ24</f>
        <v>9446</v>
      </c>
      <c r="AG24" s="445">
        <f t="shared" si="10"/>
        <v>4723</v>
      </c>
      <c r="AH24" s="445">
        <f>+OCCMarkets!AN24</f>
        <v>980</v>
      </c>
      <c r="AI24" s="456">
        <f t="shared" si="11"/>
        <v>-3743</v>
      </c>
      <c r="AJ24" s="456">
        <f t="shared" si="28"/>
        <v>140608.5</v>
      </c>
      <c r="AK24" s="457"/>
      <c r="AL24" s="445">
        <f>+OCCMarkets!AQ24</f>
        <v>0</v>
      </c>
      <c r="AM24" s="445">
        <f t="shared" si="12"/>
        <v>0</v>
      </c>
      <c r="AN24" s="445">
        <f>+OCCMarkets!AU24</f>
        <v>0</v>
      </c>
      <c r="AO24" s="456">
        <f t="shared" si="13"/>
        <v>0</v>
      </c>
      <c r="AP24" s="456">
        <f t="shared" si="29"/>
        <v>0</v>
      </c>
      <c r="AQ24" s="457"/>
      <c r="AR24" s="445">
        <f>+OCCMarkets!AX24</f>
        <v>186</v>
      </c>
      <c r="AS24" s="445">
        <f t="shared" si="14"/>
        <v>93</v>
      </c>
      <c r="AT24" s="445">
        <f>+OCCMarkets!BB24</f>
        <v>0</v>
      </c>
      <c r="AU24" s="456">
        <f t="shared" si="15"/>
        <v>-93</v>
      </c>
      <c r="AV24" s="456">
        <f t="shared" si="30"/>
        <v>1751.5</v>
      </c>
      <c r="AW24" s="457"/>
      <c r="AX24" s="445">
        <f>+OCCMarkets!BE24</f>
        <v>262</v>
      </c>
      <c r="AY24" s="445">
        <f t="shared" si="16"/>
        <v>131</v>
      </c>
      <c r="AZ24" s="445">
        <f>+OCCMarkets!BI24</f>
        <v>0</v>
      </c>
      <c r="BA24" s="456">
        <f t="shared" si="17"/>
        <v>-131</v>
      </c>
      <c r="BB24" s="456">
        <f t="shared" si="31"/>
        <v>2680</v>
      </c>
      <c r="BC24" s="457"/>
      <c r="BD24" s="452"/>
      <c r="BE24" s="456">
        <f t="shared" si="18"/>
        <v>99456</v>
      </c>
      <c r="BF24" s="456">
        <f t="shared" si="19"/>
        <v>49728</v>
      </c>
      <c r="BG24" s="456">
        <f t="shared" si="20"/>
        <v>210516</v>
      </c>
      <c r="BH24" s="456">
        <f t="shared" si="21"/>
        <v>160788</v>
      </c>
      <c r="BI24" s="456">
        <f t="shared" si="22"/>
        <v>989973</v>
      </c>
      <c r="BJ24" s="456"/>
    </row>
    <row r="25" spans="1:63" x14ac:dyDescent="0.2">
      <c r="A25" s="453">
        <f>+BaseloadMarkets!A25</f>
        <v>36727</v>
      </c>
      <c r="B25" s="454">
        <f>+OCCMarkets!O25</f>
        <v>2234</v>
      </c>
      <c r="C25" s="455">
        <f t="shared" si="0"/>
        <v>1117</v>
      </c>
      <c r="D25" s="455">
        <f>+OCCMarkets!S25</f>
        <v>3098</v>
      </c>
      <c r="E25" s="456">
        <f t="shared" si="1"/>
        <v>1981</v>
      </c>
      <c r="F25" s="456">
        <f t="shared" si="23"/>
        <v>20071</v>
      </c>
      <c r="G25" s="457">
        <f>SUM(E21:E25)</f>
        <v>714.5</v>
      </c>
      <c r="H25" s="454">
        <f>+OCCMarkets!C25</f>
        <v>14206</v>
      </c>
      <c r="I25" s="455">
        <f t="shared" si="2"/>
        <v>7103</v>
      </c>
      <c r="J25" s="455">
        <f>+OCCMarkets!L25-OCCMarkets!H25</f>
        <v>2466</v>
      </c>
      <c r="K25" s="456">
        <f t="shared" si="3"/>
        <v>-4637</v>
      </c>
      <c r="L25" s="456">
        <f t="shared" si="24"/>
        <v>118431</v>
      </c>
      <c r="M25" s="457">
        <f>SUM(K21:K25)</f>
        <v>-2918</v>
      </c>
      <c r="N25" s="454">
        <f>+OCCMarkets!V25</f>
        <v>1386</v>
      </c>
      <c r="O25" s="455">
        <f t="shared" si="4"/>
        <v>693</v>
      </c>
      <c r="P25" s="455">
        <f>+OCCMarkets!Z25</f>
        <v>964</v>
      </c>
      <c r="Q25" s="456">
        <f t="shared" si="5"/>
        <v>271</v>
      </c>
      <c r="R25" s="456">
        <f t="shared" si="25"/>
        <v>3919</v>
      </c>
      <c r="S25" s="457">
        <f>SUM(Q21:Q25)</f>
        <v>-648.5</v>
      </c>
      <c r="T25" s="445">
        <f>+EES!C24</f>
        <v>70000</v>
      </c>
      <c r="U25" s="445">
        <f t="shared" si="6"/>
        <v>35000</v>
      </c>
      <c r="V25" s="445">
        <f>+EES!AM24-EES!M24</f>
        <v>128109</v>
      </c>
      <c r="W25" s="456">
        <f t="shared" si="7"/>
        <v>93109</v>
      </c>
      <c r="X25" s="456">
        <f t="shared" si="26"/>
        <v>792138</v>
      </c>
      <c r="Y25" s="457">
        <f>SUM(W21:W25)</f>
        <v>426156</v>
      </c>
      <c r="Z25" s="445">
        <f>+OCCMarkets!AC25</f>
        <v>174</v>
      </c>
      <c r="AA25" s="445">
        <f t="shared" si="8"/>
        <v>87</v>
      </c>
      <c r="AB25" s="445">
        <f>+OCCMarkets!AG25</f>
        <v>0</v>
      </c>
      <c r="AC25" s="456">
        <f t="shared" si="9"/>
        <v>-87</v>
      </c>
      <c r="AD25" s="456">
        <f t="shared" si="27"/>
        <v>1011</v>
      </c>
      <c r="AE25" s="457">
        <f>SUM(AC21:AC25)</f>
        <v>-301.5</v>
      </c>
      <c r="AF25" s="445">
        <f>+OCCMarkets!AJ25</f>
        <v>9798</v>
      </c>
      <c r="AG25" s="445">
        <f t="shared" si="10"/>
        <v>4899</v>
      </c>
      <c r="AH25" s="445">
        <f>+OCCMarkets!AN25</f>
        <v>1514</v>
      </c>
      <c r="AI25" s="456">
        <f t="shared" si="11"/>
        <v>-3385</v>
      </c>
      <c r="AJ25" s="456">
        <f t="shared" si="28"/>
        <v>137223.5</v>
      </c>
      <c r="AK25" s="457">
        <f>SUM(AI21:AI25)</f>
        <v>7797</v>
      </c>
      <c r="AL25" s="445">
        <f>+OCCMarkets!AQ25</f>
        <v>0</v>
      </c>
      <c r="AM25" s="445">
        <f t="shared" si="12"/>
        <v>0</v>
      </c>
      <c r="AN25" s="445">
        <f>+OCCMarkets!AU25</f>
        <v>0</v>
      </c>
      <c r="AO25" s="456">
        <f t="shared" si="13"/>
        <v>0</v>
      </c>
      <c r="AP25" s="456">
        <f t="shared" si="29"/>
        <v>0</v>
      </c>
      <c r="AQ25" s="457">
        <f>SUM(AO21:AO25)</f>
        <v>0</v>
      </c>
      <c r="AR25" s="445">
        <f>+OCCMarkets!AX25</f>
        <v>202</v>
      </c>
      <c r="AS25" s="445">
        <f t="shared" si="14"/>
        <v>101</v>
      </c>
      <c r="AT25" s="445">
        <f>+OCCMarkets!BB25</f>
        <v>0</v>
      </c>
      <c r="AU25" s="456">
        <f t="shared" si="15"/>
        <v>-101</v>
      </c>
      <c r="AV25" s="456">
        <f t="shared" si="30"/>
        <v>1650.5</v>
      </c>
      <c r="AW25" s="457">
        <f>SUM(AU21:AU25)</f>
        <v>-360</v>
      </c>
      <c r="AX25" s="445">
        <f>+OCCMarkets!BE25</f>
        <v>300</v>
      </c>
      <c r="AY25" s="445">
        <f t="shared" si="16"/>
        <v>150</v>
      </c>
      <c r="AZ25" s="445">
        <f>+OCCMarkets!BI25</f>
        <v>0</v>
      </c>
      <c r="BA25" s="456">
        <f t="shared" si="17"/>
        <v>-150</v>
      </c>
      <c r="BB25" s="456">
        <f t="shared" si="31"/>
        <v>2530</v>
      </c>
      <c r="BC25" s="457">
        <f>SUM(BA21:BA25)</f>
        <v>-569.5</v>
      </c>
      <c r="BD25" s="452"/>
      <c r="BE25" s="456">
        <f t="shared" si="18"/>
        <v>98300</v>
      </c>
      <c r="BF25" s="456">
        <f t="shared" si="19"/>
        <v>49150</v>
      </c>
      <c r="BG25" s="456">
        <f t="shared" si="20"/>
        <v>136151</v>
      </c>
      <c r="BH25" s="456">
        <f t="shared" si="21"/>
        <v>87001</v>
      </c>
      <c r="BI25" s="456">
        <f t="shared" si="22"/>
        <v>1076974</v>
      </c>
      <c r="BJ25" s="452">
        <f>+G25+M25+S25+Y25+AE25+AK25+AQ25+AW25+BC25</f>
        <v>429870</v>
      </c>
      <c r="BK25" s="436"/>
    </row>
    <row r="26" spans="1:63" x14ac:dyDescent="0.2">
      <c r="A26" s="453">
        <f>+BaseloadMarkets!A26</f>
        <v>36728</v>
      </c>
      <c r="B26" s="454">
        <f>+OCCMarkets!O26</f>
        <v>1896</v>
      </c>
      <c r="C26" s="455">
        <f t="shared" si="0"/>
        <v>948</v>
      </c>
      <c r="D26" s="455">
        <f>+OCCMarkets!S26</f>
        <v>1160</v>
      </c>
      <c r="E26" s="456">
        <f t="shared" si="1"/>
        <v>212</v>
      </c>
      <c r="F26" s="456">
        <f t="shared" si="23"/>
        <v>20283</v>
      </c>
      <c r="G26" s="457"/>
      <c r="H26" s="454">
        <f>+OCCMarkets!C26</f>
        <v>12302</v>
      </c>
      <c r="I26" s="455">
        <f t="shared" si="2"/>
        <v>6151</v>
      </c>
      <c r="J26" s="455">
        <f>+OCCMarkets!L26-OCCMarkets!H26</f>
        <v>4339</v>
      </c>
      <c r="K26" s="456">
        <f t="shared" si="3"/>
        <v>-1812</v>
      </c>
      <c r="L26" s="456">
        <f t="shared" si="24"/>
        <v>116619</v>
      </c>
      <c r="M26" s="457"/>
      <c r="N26" s="454">
        <f>+OCCMarkets!V26</f>
        <v>1320</v>
      </c>
      <c r="O26" s="455">
        <f t="shared" si="4"/>
        <v>660</v>
      </c>
      <c r="P26" s="455">
        <f>+OCCMarkets!Z26</f>
        <v>645</v>
      </c>
      <c r="Q26" s="456">
        <f t="shared" si="5"/>
        <v>-15</v>
      </c>
      <c r="R26" s="456">
        <f t="shared" si="25"/>
        <v>3904</v>
      </c>
      <c r="S26" s="457"/>
      <c r="T26" s="445">
        <f>+EES!C25</f>
        <v>70000</v>
      </c>
      <c r="U26" s="445">
        <f t="shared" si="6"/>
        <v>35000</v>
      </c>
      <c r="V26" s="445">
        <f>+EES!AM25-EES!M25</f>
        <v>97323</v>
      </c>
      <c r="W26" s="456">
        <f t="shared" si="7"/>
        <v>62323</v>
      </c>
      <c r="X26" s="456">
        <f t="shared" si="26"/>
        <v>854461</v>
      </c>
      <c r="Y26" s="457"/>
      <c r="Z26" s="445">
        <f>+OCCMarkets!AC26</f>
        <v>178</v>
      </c>
      <c r="AA26" s="445">
        <f t="shared" si="8"/>
        <v>89</v>
      </c>
      <c r="AB26" s="445">
        <f>+OCCMarkets!AG26</f>
        <v>1289</v>
      </c>
      <c r="AC26" s="456">
        <f t="shared" si="9"/>
        <v>1200</v>
      </c>
      <c r="AD26" s="456">
        <f t="shared" si="27"/>
        <v>2211</v>
      </c>
      <c r="AE26" s="457"/>
      <c r="AF26" s="445">
        <f>+OCCMarkets!AJ26</f>
        <v>9740</v>
      </c>
      <c r="AG26" s="445">
        <f t="shared" si="10"/>
        <v>4870</v>
      </c>
      <c r="AH26" s="445">
        <f>+OCCMarkets!AN26</f>
        <v>2269</v>
      </c>
      <c r="AI26" s="456">
        <f t="shared" si="11"/>
        <v>-2601</v>
      </c>
      <c r="AJ26" s="456">
        <f t="shared" si="28"/>
        <v>134622.5</v>
      </c>
      <c r="AK26" s="457"/>
      <c r="AL26" s="445">
        <f>+OCCMarkets!AQ26</f>
        <v>0</v>
      </c>
      <c r="AM26" s="445">
        <f t="shared" si="12"/>
        <v>0</v>
      </c>
      <c r="AN26" s="445">
        <f>+OCCMarkets!AU26</f>
        <v>0</v>
      </c>
      <c r="AO26" s="456">
        <f t="shared" si="13"/>
        <v>0</v>
      </c>
      <c r="AP26" s="456">
        <f t="shared" si="29"/>
        <v>0</v>
      </c>
      <c r="AQ26" s="457"/>
      <c r="AR26" s="445">
        <f>+OCCMarkets!AX26</f>
        <v>198</v>
      </c>
      <c r="AS26" s="445">
        <f t="shared" si="14"/>
        <v>99</v>
      </c>
      <c r="AT26" s="445">
        <f>+OCCMarkets!BB26</f>
        <v>1289</v>
      </c>
      <c r="AU26" s="456">
        <f t="shared" si="15"/>
        <v>1190</v>
      </c>
      <c r="AV26" s="456">
        <f t="shared" si="30"/>
        <v>2840.5</v>
      </c>
      <c r="AW26" s="457"/>
      <c r="AX26" s="445">
        <f>+OCCMarkets!BE26</f>
        <v>298</v>
      </c>
      <c r="AY26" s="445">
        <f t="shared" si="16"/>
        <v>149</v>
      </c>
      <c r="AZ26" s="445">
        <f>+OCCMarkets!BI26</f>
        <v>1289</v>
      </c>
      <c r="BA26" s="456">
        <f t="shared" si="17"/>
        <v>1140</v>
      </c>
      <c r="BB26" s="456">
        <f t="shared" si="31"/>
        <v>3670</v>
      </c>
      <c r="BC26" s="457"/>
      <c r="BD26" s="452"/>
      <c r="BE26" s="456">
        <f t="shared" si="18"/>
        <v>95932</v>
      </c>
      <c r="BF26" s="456">
        <f t="shared" si="19"/>
        <v>47966</v>
      </c>
      <c r="BG26" s="456">
        <f t="shared" si="20"/>
        <v>109603</v>
      </c>
      <c r="BH26" s="456">
        <f t="shared" si="21"/>
        <v>61637</v>
      </c>
      <c r="BI26" s="456">
        <f t="shared" si="22"/>
        <v>1138611</v>
      </c>
      <c r="BJ26" s="456"/>
    </row>
    <row r="27" spans="1:63" x14ac:dyDescent="0.2">
      <c r="A27" s="453">
        <f>+BaseloadMarkets!A27</f>
        <v>36729</v>
      </c>
      <c r="B27" s="454">
        <f>+OCCMarkets!O27</f>
        <v>2615.1999999999998</v>
      </c>
      <c r="C27" s="455">
        <f t="shared" si="0"/>
        <v>1307.5999999999999</v>
      </c>
      <c r="D27" s="455">
        <f>+OCCMarkets!S27</f>
        <v>0</v>
      </c>
      <c r="E27" s="456">
        <f t="shared" si="1"/>
        <v>-1307.5999999999999</v>
      </c>
      <c r="F27" s="456">
        <f t="shared" si="23"/>
        <v>18975.400000000001</v>
      </c>
      <c r="G27" s="457"/>
      <c r="H27" s="454">
        <f>+OCCMarkets!C27</f>
        <v>13994</v>
      </c>
      <c r="I27" s="455">
        <f t="shared" si="2"/>
        <v>6997</v>
      </c>
      <c r="J27" s="455">
        <f>+OCCMarkets!L27-OCCMarkets!H27</f>
        <v>10423</v>
      </c>
      <c r="K27" s="456">
        <f t="shared" si="3"/>
        <v>3426</v>
      </c>
      <c r="L27" s="456">
        <f t="shared" si="24"/>
        <v>120045</v>
      </c>
      <c r="M27" s="457"/>
      <c r="N27" s="454">
        <f>+OCCMarkets!V27</f>
        <v>993</v>
      </c>
      <c r="O27" s="455">
        <f t="shared" si="4"/>
        <v>496.5</v>
      </c>
      <c r="P27" s="455">
        <f>+OCCMarkets!Z27</f>
        <v>0</v>
      </c>
      <c r="Q27" s="456">
        <f t="shared" si="5"/>
        <v>-496.5</v>
      </c>
      <c r="R27" s="456">
        <f t="shared" si="25"/>
        <v>3407.5</v>
      </c>
      <c r="S27" s="457"/>
      <c r="T27" s="445">
        <f>+EES!C26</f>
        <v>70000</v>
      </c>
      <c r="U27" s="445">
        <f t="shared" si="6"/>
        <v>35000</v>
      </c>
      <c r="V27" s="445">
        <f>+EES!AM26-EES!M26</f>
        <v>16869</v>
      </c>
      <c r="W27" s="456">
        <f t="shared" si="7"/>
        <v>-18131</v>
      </c>
      <c r="X27" s="456">
        <f t="shared" si="26"/>
        <v>836330</v>
      </c>
      <c r="Y27" s="457"/>
      <c r="Z27" s="445">
        <f>+OCCMarkets!AC27</f>
        <v>193.9</v>
      </c>
      <c r="AA27" s="445">
        <f t="shared" si="8"/>
        <v>96.95</v>
      </c>
      <c r="AB27" s="445">
        <f>+OCCMarkets!AG27</f>
        <v>0</v>
      </c>
      <c r="AC27" s="456">
        <f t="shared" si="9"/>
        <v>-96.95</v>
      </c>
      <c r="AD27" s="456">
        <f t="shared" si="27"/>
        <v>2114.0500000000002</v>
      </c>
      <c r="AE27" s="457"/>
      <c r="AF27" s="445">
        <f>+OCCMarkets!AJ27</f>
        <v>9232.2999999999993</v>
      </c>
      <c r="AG27" s="445">
        <f t="shared" si="10"/>
        <v>4616.1499999999996</v>
      </c>
      <c r="AH27" s="445">
        <f>+OCCMarkets!AN27</f>
        <v>9253</v>
      </c>
      <c r="AI27" s="456">
        <f t="shared" si="11"/>
        <v>4636.8500000000004</v>
      </c>
      <c r="AJ27" s="456">
        <f t="shared" si="28"/>
        <v>139259.35</v>
      </c>
      <c r="AK27" s="457"/>
      <c r="AL27" s="445">
        <f>+OCCMarkets!AQ27</f>
        <v>0</v>
      </c>
      <c r="AM27" s="445">
        <f t="shared" si="12"/>
        <v>0</v>
      </c>
      <c r="AN27" s="445">
        <f>+OCCMarkets!AU27</f>
        <v>0</v>
      </c>
      <c r="AO27" s="456">
        <f t="shared" si="13"/>
        <v>0</v>
      </c>
      <c r="AP27" s="456">
        <f t="shared" si="29"/>
        <v>0</v>
      </c>
      <c r="AQ27" s="457"/>
      <c r="AR27" s="445">
        <f>+OCCMarkets!AX27</f>
        <v>25.9</v>
      </c>
      <c r="AS27" s="445">
        <f t="shared" si="14"/>
        <v>12.95</v>
      </c>
      <c r="AT27" s="445">
        <f>+OCCMarkets!BB27</f>
        <v>0</v>
      </c>
      <c r="AU27" s="456">
        <f t="shared" si="15"/>
        <v>-12.95</v>
      </c>
      <c r="AV27" s="456">
        <f t="shared" si="30"/>
        <v>2827.55</v>
      </c>
      <c r="AW27" s="457"/>
      <c r="AX27" s="445">
        <f>+OCCMarkets!BE27</f>
        <v>168</v>
      </c>
      <c r="AY27" s="445">
        <f t="shared" si="16"/>
        <v>84</v>
      </c>
      <c r="AZ27" s="445">
        <f>+OCCMarkets!BI27</f>
        <v>0</v>
      </c>
      <c r="BA27" s="456">
        <f t="shared" si="17"/>
        <v>-84</v>
      </c>
      <c r="BB27" s="456">
        <f t="shared" si="31"/>
        <v>3586</v>
      </c>
      <c r="BC27" s="457"/>
      <c r="BD27" s="452"/>
      <c r="BE27" s="456">
        <f t="shared" si="18"/>
        <v>97222.299999999988</v>
      </c>
      <c r="BF27" s="456">
        <f t="shared" si="19"/>
        <v>48611.149999999994</v>
      </c>
      <c r="BG27" s="456">
        <f t="shared" si="20"/>
        <v>36545</v>
      </c>
      <c r="BH27" s="456">
        <f t="shared" si="21"/>
        <v>-12066.15</v>
      </c>
      <c r="BI27" s="456">
        <f t="shared" si="22"/>
        <v>1126544.8500000001</v>
      </c>
      <c r="BJ27" s="456"/>
    </row>
    <row r="28" spans="1:63" x14ac:dyDescent="0.2">
      <c r="A28" s="453">
        <f>+BaseloadMarkets!A28</f>
        <v>36730</v>
      </c>
      <c r="B28" s="454">
        <f>+OCCMarkets!O28</f>
        <v>2455.9</v>
      </c>
      <c r="C28" s="455">
        <f t="shared" si="0"/>
        <v>1227.95</v>
      </c>
      <c r="D28" s="455">
        <f>+OCCMarkets!S28</f>
        <v>0</v>
      </c>
      <c r="E28" s="456">
        <f t="shared" si="1"/>
        <v>-1227.95</v>
      </c>
      <c r="F28" s="456">
        <f t="shared" si="23"/>
        <v>17747.45</v>
      </c>
      <c r="G28" s="457"/>
      <c r="H28" s="454">
        <f>+OCCMarkets!C28</f>
        <v>14950</v>
      </c>
      <c r="I28" s="455">
        <f t="shared" si="2"/>
        <v>7475</v>
      </c>
      <c r="J28" s="455">
        <f>+OCCMarkets!L28-OCCMarkets!H28</f>
        <v>14263</v>
      </c>
      <c r="K28" s="456">
        <f t="shared" si="3"/>
        <v>6788</v>
      </c>
      <c r="L28" s="456">
        <f t="shared" si="24"/>
        <v>126833</v>
      </c>
      <c r="M28" s="457"/>
      <c r="N28" s="454">
        <f>+OCCMarkets!V28</f>
        <v>1438</v>
      </c>
      <c r="O28" s="455">
        <f t="shared" si="4"/>
        <v>719</v>
      </c>
      <c r="P28" s="455">
        <f>+OCCMarkets!Z28</f>
        <v>0</v>
      </c>
      <c r="Q28" s="456">
        <f t="shared" si="5"/>
        <v>-719</v>
      </c>
      <c r="R28" s="456">
        <f t="shared" si="25"/>
        <v>2688.5</v>
      </c>
      <c r="S28" s="457"/>
      <c r="T28" s="445">
        <f>+EES!C27</f>
        <v>70000</v>
      </c>
      <c r="U28" s="445">
        <f t="shared" si="6"/>
        <v>35000</v>
      </c>
      <c r="V28" s="445">
        <f>+EES!AM27-EES!M27</f>
        <v>16259</v>
      </c>
      <c r="W28" s="456">
        <f t="shared" si="7"/>
        <v>-18741</v>
      </c>
      <c r="X28" s="456">
        <f t="shared" si="26"/>
        <v>817589</v>
      </c>
      <c r="Y28" s="457"/>
      <c r="Z28" s="445">
        <f>+OCCMarkets!AC28</f>
        <v>27</v>
      </c>
      <c r="AA28" s="445">
        <f t="shared" si="8"/>
        <v>13.5</v>
      </c>
      <c r="AB28" s="445">
        <f>+OCCMarkets!AG28</f>
        <v>0</v>
      </c>
      <c r="AC28" s="456">
        <f t="shared" si="9"/>
        <v>-13.5</v>
      </c>
      <c r="AD28" s="456">
        <f t="shared" si="27"/>
        <v>2100.5500000000002</v>
      </c>
      <c r="AE28" s="457"/>
      <c r="AF28" s="445">
        <f>+OCCMarkets!AJ28</f>
        <v>9146.6</v>
      </c>
      <c r="AG28" s="445">
        <f t="shared" si="10"/>
        <v>4573.3</v>
      </c>
      <c r="AH28" s="445">
        <f>+OCCMarkets!AN28</f>
        <v>12662</v>
      </c>
      <c r="AI28" s="456">
        <f t="shared" si="11"/>
        <v>8088.7</v>
      </c>
      <c r="AJ28" s="456">
        <f t="shared" si="28"/>
        <v>147348.05000000002</v>
      </c>
      <c r="AK28" s="457"/>
      <c r="AL28" s="445">
        <f>+OCCMarkets!AQ28</f>
        <v>0</v>
      </c>
      <c r="AM28" s="445">
        <f t="shared" si="12"/>
        <v>0</v>
      </c>
      <c r="AN28" s="445">
        <f>+OCCMarkets!AU28</f>
        <v>0</v>
      </c>
      <c r="AO28" s="456">
        <f t="shared" si="13"/>
        <v>0</v>
      </c>
      <c r="AP28" s="456">
        <f t="shared" si="29"/>
        <v>0</v>
      </c>
      <c r="AQ28" s="457"/>
      <c r="AR28" s="445">
        <f>+OCCMarkets!AX28</f>
        <v>23.2</v>
      </c>
      <c r="AS28" s="445">
        <f t="shared" si="14"/>
        <v>11.6</v>
      </c>
      <c r="AT28" s="445">
        <f>+OCCMarkets!BB28</f>
        <v>0</v>
      </c>
      <c r="AU28" s="456">
        <f t="shared" si="15"/>
        <v>-11.6</v>
      </c>
      <c r="AV28" s="456">
        <f t="shared" si="30"/>
        <v>2815.9500000000003</v>
      </c>
      <c r="AW28" s="457"/>
      <c r="AX28" s="445">
        <f>+OCCMarkets!BE28</f>
        <v>0</v>
      </c>
      <c r="AY28" s="445">
        <f t="shared" si="16"/>
        <v>0</v>
      </c>
      <c r="AZ28" s="445">
        <f>+OCCMarkets!BI28</f>
        <v>0</v>
      </c>
      <c r="BA28" s="456">
        <f t="shared" si="17"/>
        <v>0</v>
      </c>
      <c r="BB28" s="456">
        <f t="shared" si="31"/>
        <v>3586</v>
      </c>
      <c r="BC28" s="457"/>
      <c r="BD28" s="452"/>
      <c r="BE28" s="456">
        <f t="shared" si="18"/>
        <v>98040.7</v>
      </c>
      <c r="BF28" s="456">
        <f t="shared" si="19"/>
        <v>49020.35</v>
      </c>
      <c r="BG28" s="456">
        <f t="shared" si="20"/>
        <v>43184</v>
      </c>
      <c r="BH28" s="456">
        <f t="shared" si="21"/>
        <v>-5836.3500000000013</v>
      </c>
      <c r="BI28" s="456">
        <f t="shared" si="22"/>
        <v>1120708.5</v>
      </c>
      <c r="BJ28" s="456"/>
    </row>
    <row r="29" spans="1:63" x14ac:dyDescent="0.2">
      <c r="A29" s="453">
        <f>+BaseloadMarkets!A29</f>
        <v>36731</v>
      </c>
      <c r="B29" s="454">
        <f>+OCCMarkets!O29</f>
        <v>2305.5</v>
      </c>
      <c r="C29" s="455">
        <f t="shared" si="0"/>
        <v>1152.75</v>
      </c>
      <c r="D29" s="455">
        <f>+OCCMarkets!S29</f>
        <v>0</v>
      </c>
      <c r="E29" s="456">
        <f t="shared" si="1"/>
        <v>-1152.75</v>
      </c>
      <c r="F29" s="456">
        <f t="shared" si="23"/>
        <v>16594.7</v>
      </c>
      <c r="G29" s="457"/>
      <c r="H29" s="454">
        <f>+OCCMarkets!C29</f>
        <v>15963</v>
      </c>
      <c r="I29" s="455">
        <f t="shared" si="2"/>
        <v>7981.5</v>
      </c>
      <c r="J29" s="455">
        <f>+OCCMarkets!L29-OCCMarkets!H29</f>
        <v>11141</v>
      </c>
      <c r="K29" s="456">
        <f t="shared" si="3"/>
        <v>3159.5</v>
      </c>
      <c r="L29" s="456">
        <f t="shared" si="24"/>
        <v>129992.5</v>
      </c>
      <c r="M29" s="457"/>
      <c r="N29" s="454">
        <f>+OCCMarkets!V29</f>
        <v>424</v>
      </c>
      <c r="O29" s="455">
        <f t="shared" si="4"/>
        <v>212</v>
      </c>
      <c r="P29" s="455">
        <f>+OCCMarkets!Z29</f>
        <v>0</v>
      </c>
      <c r="Q29" s="456">
        <f t="shared" si="5"/>
        <v>-212</v>
      </c>
      <c r="R29" s="456">
        <f t="shared" si="25"/>
        <v>2476.5</v>
      </c>
      <c r="S29" s="457"/>
      <c r="T29" s="445">
        <f>+EES!C28</f>
        <v>70000</v>
      </c>
      <c r="U29" s="445">
        <f t="shared" si="6"/>
        <v>35000</v>
      </c>
      <c r="V29" s="445">
        <f>+EES!AM28-EES!M28</f>
        <v>63346</v>
      </c>
      <c r="W29" s="456">
        <f t="shared" si="7"/>
        <v>28346</v>
      </c>
      <c r="X29" s="456">
        <f t="shared" si="26"/>
        <v>845935</v>
      </c>
      <c r="Y29" s="457"/>
      <c r="Z29" s="445">
        <f>+OCCMarkets!AC29</f>
        <v>143.5</v>
      </c>
      <c r="AA29" s="445">
        <f t="shared" si="8"/>
        <v>71.75</v>
      </c>
      <c r="AB29" s="445">
        <f>+OCCMarkets!AG29</f>
        <v>0</v>
      </c>
      <c r="AC29" s="456">
        <f t="shared" si="9"/>
        <v>-71.75</v>
      </c>
      <c r="AD29" s="456">
        <f t="shared" si="27"/>
        <v>2028.8000000000002</v>
      </c>
      <c r="AE29" s="457"/>
      <c r="AF29" s="445">
        <f>+OCCMarkets!AJ29</f>
        <v>9274.1</v>
      </c>
      <c r="AG29" s="445">
        <f t="shared" si="10"/>
        <v>4637.05</v>
      </c>
      <c r="AH29" s="445">
        <f>+OCCMarkets!AN29</f>
        <v>9891</v>
      </c>
      <c r="AI29" s="456">
        <f t="shared" si="11"/>
        <v>5253.95</v>
      </c>
      <c r="AJ29" s="456">
        <f t="shared" si="28"/>
        <v>152602.00000000003</v>
      </c>
      <c r="AK29" s="457"/>
      <c r="AL29" s="445">
        <f>+OCCMarkets!AQ29</f>
        <v>0</v>
      </c>
      <c r="AM29" s="445">
        <f t="shared" si="12"/>
        <v>0</v>
      </c>
      <c r="AN29" s="445">
        <f>+OCCMarkets!AU29</f>
        <v>0</v>
      </c>
      <c r="AO29" s="456">
        <f t="shared" si="13"/>
        <v>0</v>
      </c>
      <c r="AP29" s="456">
        <f t="shared" si="29"/>
        <v>0</v>
      </c>
      <c r="AQ29" s="457"/>
      <c r="AR29" s="445">
        <f>+OCCMarkets!AX29</f>
        <v>191.4</v>
      </c>
      <c r="AS29" s="445">
        <f t="shared" si="14"/>
        <v>95.7</v>
      </c>
      <c r="AT29" s="445">
        <f>+OCCMarkets!BB29</f>
        <v>0</v>
      </c>
      <c r="AU29" s="456">
        <f t="shared" si="15"/>
        <v>-95.7</v>
      </c>
      <c r="AV29" s="456">
        <f t="shared" si="30"/>
        <v>2720.2500000000005</v>
      </c>
      <c r="AW29" s="457"/>
      <c r="AX29" s="445">
        <f>+OCCMarkets!BE29</f>
        <v>225.5</v>
      </c>
      <c r="AY29" s="445">
        <f t="shared" si="16"/>
        <v>112.75</v>
      </c>
      <c r="AZ29" s="445">
        <f>+OCCMarkets!BI29</f>
        <v>0</v>
      </c>
      <c r="BA29" s="456">
        <f t="shared" si="17"/>
        <v>-112.75</v>
      </c>
      <c r="BB29" s="456">
        <f t="shared" si="31"/>
        <v>3473.25</v>
      </c>
      <c r="BC29" s="457"/>
      <c r="BD29" s="452"/>
      <c r="BE29" s="456">
        <f t="shared" si="18"/>
        <v>98527</v>
      </c>
      <c r="BF29" s="456">
        <f t="shared" si="19"/>
        <v>49263.5</v>
      </c>
      <c r="BG29" s="456">
        <f t="shared" si="20"/>
        <v>84378</v>
      </c>
      <c r="BH29" s="456">
        <f t="shared" si="21"/>
        <v>35114.5</v>
      </c>
      <c r="BI29" s="456">
        <f t="shared" si="22"/>
        <v>1155823</v>
      </c>
      <c r="BJ29" s="456"/>
    </row>
    <row r="30" spans="1:63" x14ac:dyDescent="0.2">
      <c r="A30" s="453">
        <f>+BaseloadMarkets!A30</f>
        <v>36732</v>
      </c>
      <c r="B30" s="454">
        <f>+OCCMarkets!O30</f>
        <v>1959.9</v>
      </c>
      <c r="C30" s="455">
        <f t="shared" si="0"/>
        <v>979.95</v>
      </c>
      <c r="D30" s="455">
        <f>+OCCMarkets!S30</f>
        <v>2000</v>
      </c>
      <c r="E30" s="456">
        <f t="shared" si="1"/>
        <v>1020.05</v>
      </c>
      <c r="F30" s="456">
        <f t="shared" si="23"/>
        <v>17614.75</v>
      </c>
      <c r="G30" s="457">
        <f>SUM(E26:E30)</f>
        <v>-2456.25</v>
      </c>
      <c r="H30" s="454">
        <f>+OCCMarkets!C30</f>
        <v>16517</v>
      </c>
      <c r="I30" s="455">
        <f t="shared" si="2"/>
        <v>8258.5</v>
      </c>
      <c r="J30" s="455">
        <f>+OCCMarkets!L30-OCCMarkets!H30</f>
        <v>9826</v>
      </c>
      <c r="K30" s="456">
        <f t="shared" si="3"/>
        <v>1567.5</v>
      </c>
      <c r="L30" s="456">
        <f t="shared" si="24"/>
        <v>131560</v>
      </c>
      <c r="M30" s="457">
        <f>SUM(K26:K30)</f>
        <v>13129</v>
      </c>
      <c r="N30" s="454">
        <f>+OCCMarkets!V30</f>
        <v>29.3</v>
      </c>
      <c r="O30" s="455">
        <f t="shared" si="4"/>
        <v>14.65</v>
      </c>
      <c r="P30" s="455">
        <f>+OCCMarkets!Z30</f>
        <v>2000</v>
      </c>
      <c r="Q30" s="456">
        <f t="shared" si="5"/>
        <v>1985.35</v>
      </c>
      <c r="R30" s="456">
        <f t="shared" si="25"/>
        <v>4461.8500000000004</v>
      </c>
      <c r="S30" s="457">
        <f>SUM(Q26:Q30)</f>
        <v>542.84999999999991</v>
      </c>
      <c r="T30" s="445">
        <f>+EES!C29</f>
        <v>70000</v>
      </c>
      <c r="U30" s="445">
        <f t="shared" si="6"/>
        <v>35000</v>
      </c>
      <c r="V30" s="445">
        <f>+EES!AM29-EES!M29</f>
        <v>10534</v>
      </c>
      <c r="W30" s="456">
        <f t="shared" si="7"/>
        <v>-24466</v>
      </c>
      <c r="X30" s="456">
        <f t="shared" si="26"/>
        <v>821469</v>
      </c>
      <c r="Y30" s="457">
        <f>SUM(W26:W30)</f>
        <v>29331</v>
      </c>
      <c r="Z30" s="445">
        <f>+OCCMarkets!AC30</f>
        <v>180.6</v>
      </c>
      <c r="AA30" s="445">
        <f t="shared" si="8"/>
        <v>90.3</v>
      </c>
      <c r="AB30" s="445">
        <f>+OCCMarkets!AG30</f>
        <v>0</v>
      </c>
      <c r="AC30" s="456">
        <f t="shared" si="9"/>
        <v>-90.3</v>
      </c>
      <c r="AD30" s="456">
        <f t="shared" si="27"/>
        <v>1938.5000000000002</v>
      </c>
      <c r="AE30" s="457">
        <f>SUM(AC26:AC30)</f>
        <v>927.5</v>
      </c>
      <c r="AF30" s="445">
        <f>+OCCMarkets!AJ30</f>
        <v>9303.7999999999993</v>
      </c>
      <c r="AG30" s="445">
        <f t="shared" si="10"/>
        <v>4651.8999999999996</v>
      </c>
      <c r="AH30" s="445">
        <f>+OCCMarkets!AN30</f>
        <v>7363</v>
      </c>
      <c r="AI30" s="456">
        <f t="shared" si="11"/>
        <v>2711.1000000000004</v>
      </c>
      <c r="AJ30" s="456">
        <f t="shared" si="28"/>
        <v>155313.10000000003</v>
      </c>
      <c r="AK30" s="457">
        <f>SUM(AI26:AI30)</f>
        <v>18089.599999999999</v>
      </c>
      <c r="AL30" s="445">
        <f>+OCCMarkets!AQ30</f>
        <v>0</v>
      </c>
      <c r="AM30" s="445">
        <f t="shared" si="12"/>
        <v>0</v>
      </c>
      <c r="AN30" s="445">
        <f>+OCCMarkets!AU30</f>
        <v>0</v>
      </c>
      <c r="AO30" s="456">
        <f t="shared" si="13"/>
        <v>0</v>
      </c>
      <c r="AP30" s="456">
        <f t="shared" si="29"/>
        <v>0</v>
      </c>
      <c r="AQ30" s="457">
        <f>SUM(AO26:AO30)</f>
        <v>0</v>
      </c>
      <c r="AR30" s="445">
        <f>+OCCMarkets!AX30</f>
        <v>202.7</v>
      </c>
      <c r="AS30" s="445">
        <f t="shared" si="14"/>
        <v>101.35</v>
      </c>
      <c r="AT30" s="445">
        <f>+OCCMarkets!BB30</f>
        <v>0</v>
      </c>
      <c r="AU30" s="456">
        <f t="shared" si="15"/>
        <v>-101.35</v>
      </c>
      <c r="AV30" s="456">
        <f t="shared" si="30"/>
        <v>2618.9000000000005</v>
      </c>
      <c r="AW30" s="457">
        <f>SUM(AU26:AU30)</f>
        <v>968.4</v>
      </c>
      <c r="AX30" s="445">
        <f>+OCCMarkets!BE30</f>
        <v>311.60000000000002</v>
      </c>
      <c r="AY30" s="445">
        <f t="shared" si="16"/>
        <v>155.80000000000001</v>
      </c>
      <c r="AZ30" s="445">
        <f>+OCCMarkets!BI30</f>
        <v>0</v>
      </c>
      <c r="BA30" s="456">
        <f t="shared" si="17"/>
        <v>-155.80000000000001</v>
      </c>
      <c r="BB30" s="456">
        <f t="shared" si="31"/>
        <v>3317.45</v>
      </c>
      <c r="BC30" s="457">
        <f>SUM(BA26:BA30)</f>
        <v>787.45</v>
      </c>
      <c r="BD30" s="452"/>
      <c r="BE30" s="456">
        <f t="shared" si="18"/>
        <v>98504.900000000009</v>
      </c>
      <c r="BF30" s="456">
        <f t="shared" si="19"/>
        <v>49252.450000000004</v>
      </c>
      <c r="BG30" s="456">
        <f t="shared" si="20"/>
        <v>31723</v>
      </c>
      <c r="BH30" s="456">
        <f t="shared" si="21"/>
        <v>-17529.449999999993</v>
      </c>
      <c r="BI30" s="456">
        <f t="shared" si="22"/>
        <v>1138293.5499999998</v>
      </c>
      <c r="BJ30" s="452">
        <f>+G30+M30+S30+Y30+AE30+AK30+AQ30+AW30+BC30</f>
        <v>61319.549999999996</v>
      </c>
      <c r="BK30" s="436"/>
    </row>
    <row r="31" spans="1:63" x14ac:dyDescent="0.2">
      <c r="A31" s="453">
        <f>+BaseloadMarkets!A31</f>
        <v>36733</v>
      </c>
      <c r="B31" s="454">
        <f>+OCCMarkets!O31</f>
        <v>1757</v>
      </c>
      <c r="C31" s="455">
        <f t="shared" si="0"/>
        <v>878.5</v>
      </c>
      <c r="D31" s="455">
        <f>+OCCMarkets!S31</f>
        <v>0</v>
      </c>
      <c r="E31" s="456">
        <f t="shared" si="1"/>
        <v>-878.5</v>
      </c>
      <c r="F31" s="456">
        <f t="shared" si="23"/>
        <v>16736.25</v>
      </c>
      <c r="G31" s="457"/>
      <c r="H31" s="454">
        <f>+OCCMarkets!C31</f>
        <v>17199</v>
      </c>
      <c r="I31" s="455">
        <f t="shared" si="2"/>
        <v>8599.5</v>
      </c>
      <c r="J31" s="455">
        <f>+OCCMarkets!L31-OCCMarkets!H31</f>
        <v>3000</v>
      </c>
      <c r="K31" s="456">
        <f t="shared" si="3"/>
        <v>-5599.5</v>
      </c>
      <c r="L31" s="456">
        <f t="shared" si="24"/>
        <v>125960.5</v>
      </c>
      <c r="M31" s="457"/>
      <c r="N31" s="454">
        <f>+OCCMarkets!V31</f>
        <v>717</v>
      </c>
      <c r="O31" s="455">
        <f t="shared" si="4"/>
        <v>358.5</v>
      </c>
      <c r="P31" s="455">
        <f>+OCCMarkets!Z31</f>
        <v>0</v>
      </c>
      <c r="Q31" s="456">
        <f t="shared" si="5"/>
        <v>-358.5</v>
      </c>
      <c r="R31" s="456">
        <f t="shared" si="25"/>
        <v>4103.3500000000004</v>
      </c>
      <c r="S31" s="457"/>
      <c r="T31" s="445">
        <f>+EES!C30</f>
        <v>70000</v>
      </c>
      <c r="U31" s="445">
        <f t="shared" si="6"/>
        <v>35000</v>
      </c>
      <c r="V31" s="445">
        <f>+EES!AM30-EES!M30</f>
        <v>134291</v>
      </c>
      <c r="W31" s="456">
        <f t="shared" si="7"/>
        <v>99291</v>
      </c>
      <c r="X31" s="456">
        <f t="shared" si="26"/>
        <v>920760</v>
      </c>
      <c r="Y31" s="457"/>
      <c r="Z31" s="445">
        <f>+OCCMarkets!AC31</f>
        <v>189</v>
      </c>
      <c r="AA31" s="445">
        <f t="shared" si="8"/>
        <v>94.5</v>
      </c>
      <c r="AB31" s="445">
        <f>+OCCMarkets!AG31</f>
        <v>0</v>
      </c>
      <c r="AC31" s="456">
        <f t="shared" si="9"/>
        <v>-94.5</v>
      </c>
      <c r="AD31" s="456">
        <f t="shared" si="27"/>
        <v>1844.0000000000002</v>
      </c>
      <c r="AE31" s="457"/>
      <c r="AF31" s="445">
        <f>+OCCMarkets!AJ31</f>
        <v>9267</v>
      </c>
      <c r="AG31" s="445">
        <f t="shared" si="10"/>
        <v>4633.5</v>
      </c>
      <c r="AH31" s="445">
        <f>+OCCMarkets!AN31</f>
        <v>6414</v>
      </c>
      <c r="AI31" s="456">
        <f t="shared" si="11"/>
        <v>1780.5</v>
      </c>
      <c r="AJ31" s="456">
        <f t="shared" si="28"/>
        <v>157093.60000000003</v>
      </c>
      <c r="AK31" s="457"/>
      <c r="AL31" s="445">
        <f>+OCCMarkets!AQ31</f>
        <v>0</v>
      </c>
      <c r="AM31" s="445">
        <f t="shared" si="12"/>
        <v>0</v>
      </c>
      <c r="AN31" s="445">
        <f>+OCCMarkets!AU31</f>
        <v>0</v>
      </c>
      <c r="AO31" s="456">
        <f t="shared" si="13"/>
        <v>0</v>
      </c>
      <c r="AP31" s="456">
        <f t="shared" si="29"/>
        <v>0</v>
      </c>
      <c r="AQ31" s="457"/>
      <c r="AR31" s="445">
        <f>+OCCMarkets!AX31</f>
        <v>200</v>
      </c>
      <c r="AS31" s="445">
        <f t="shared" si="14"/>
        <v>100</v>
      </c>
      <c r="AT31" s="445">
        <f>+OCCMarkets!BB31</f>
        <v>0</v>
      </c>
      <c r="AU31" s="456">
        <f t="shared" si="15"/>
        <v>-100</v>
      </c>
      <c r="AV31" s="456">
        <f t="shared" si="30"/>
        <v>2518.9000000000005</v>
      </c>
      <c r="AW31" s="457"/>
      <c r="AX31" s="445">
        <f>+OCCMarkets!BE31</f>
        <v>303</v>
      </c>
      <c r="AY31" s="445">
        <f t="shared" si="16"/>
        <v>151.5</v>
      </c>
      <c r="AZ31" s="445">
        <f>+OCCMarkets!BI31</f>
        <v>0</v>
      </c>
      <c r="BA31" s="456">
        <f t="shared" si="17"/>
        <v>-151.5</v>
      </c>
      <c r="BB31" s="456">
        <f t="shared" si="31"/>
        <v>3165.95</v>
      </c>
      <c r="BC31" s="457"/>
      <c r="BD31" s="452"/>
      <c r="BE31" s="456">
        <f t="shared" si="18"/>
        <v>99632</v>
      </c>
      <c r="BF31" s="456">
        <f t="shared" si="19"/>
        <v>49816</v>
      </c>
      <c r="BG31" s="456">
        <f t="shared" si="20"/>
        <v>143705</v>
      </c>
      <c r="BH31" s="456">
        <f t="shared" si="21"/>
        <v>93889</v>
      </c>
      <c r="BI31" s="456">
        <f t="shared" si="22"/>
        <v>1232182.55</v>
      </c>
      <c r="BJ31" s="456"/>
    </row>
    <row r="32" spans="1:63" x14ac:dyDescent="0.2">
      <c r="A32" s="453">
        <f>+BaseloadMarkets!A32</f>
        <v>36734</v>
      </c>
      <c r="B32" s="454">
        <f>+OCCMarkets!O32</f>
        <v>2445</v>
      </c>
      <c r="C32" s="455">
        <f t="shared" si="0"/>
        <v>1222.5</v>
      </c>
      <c r="D32" s="455">
        <f>+OCCMarkets!S32</f>
        <v>0</v>
      </c>
      <c r="E32" s="456">
        <f t="shared" si="1"/>
        <v>-1222.5</v>
      </c>
      <c r="F32" s="456">
        <f t="shared" si="23"/>
        <v>15513.75</v>
      </c>
      <c r="G32" s="457"/>
      <c r="H32" s="454">
        <f>+OCCMarkets!C32</f>
        <v>17642</v>
      </c>
      <c r="I32" s="455">
        <f t="shared" si="2"/>
        <v>8821</v>
      </c>
      <c r="J32" s="455">
        <f>+OCCMarkets!L32-OCCMarkets!H32</f>
        <v>7595</v>
      </c>
      <c r="K32" s="456">
        <f t="shared" si="3"/>
        <v>-1226</v>
      </c>
      <c r="L32" s="456">
        <f t="shared" si="24"/>
        <v>124734.5</v>
      </c>
      <c r="M32" s="457"/>
      <c r="N32" s="454">
        <f>+OCCMarkets!V32</f>
        <v>936</v>
      </c>
      <c r="O32" s="455">
        <f t="shared" si="4"/>
        <v>468</v>
      </c>
      <c r="P32" s="455">
        <f>+OCCMarkets!Z32</f>
        <v>0</v>
      </c>
      <c r="Q32" s="456">
        <f t="shared" si="5"/>
        <v>-468</v>
      </c>
      <c r="R32" s="456">
        <f t="shared" si="25"/>
        <v>3635.3500000000004</v>
      </c>
      <c r="S32" s="457"/>
      <c r="T32" s="445">
        <f>+EES!C31</f>
        <v>70000</v>
      </c>
      <c r="U32" s="445">
        <f t="shared" si="6"/>
        <v>35000</v>
      </c>
      <c r="V32" s="445">
        <f>+EES!AM31-EES!M31</f>
        <v>63876</v>
      </c>
      <c r="W32" s="456">
        <f t="shared" si="7"/>
        <v>28876</v>
      </c>
      <c r="X32" s="456">
        <f t="shared" si="26"/>
        <v>949636</v>
      </c>
      <c r="Y32" s="457"/>
      <c r="Z32" s="445">
        <f>+OCCMarkets!AC32</f>
        <v>183</v>
      </c>
      <c r="AA32" s="445">
        <f t="shared" si="8"/>
        <v>91.5</v>
      </c>
      <c r="AB32" s="445">
        <f>+OCCMarkets!AG32</f>
        <v>0</v>
      </c>
      <c r="AC32" s="456">
        <f t="shared" si="9"/>
        <v>-91.5</v>
      </c>
      <c r="AD32" s="456">
        <f t="shared" si="27"/>
        <v>1752.5000000000002</v>
      </c>
      <c r="AE32" s="457"/>
      <c r="AF32" s="445">
        <f>+OCCMarkets!AJ32</f>
        <v>9338</v>
      </c>
      <c r="AG32" s="445">
        <f t="shared" si="10"/>
        <v>4669</v>
      </c>
      <c r="AH32" s="445">
        <f>+OCCMarkets!AN32</f>
        <v>12122</v>
      </c>
      <c r="AI32" s="456">
        <f t="shared" si="11"/>
        <v>7453</v>
      </c>
      <c r="AJ32" s="456">
        <f t="shared" si="28"/>
        <v>164546.60000000003</v>
      </c>
      <c r="AK32" s="457"/>
      <c r="AL32" s="445">
        <f>+OCCMarkets!AQ32</f>
        <v>0</v>
      </c>
      <c r="AM32" s="445">
        <f t="shared" si="12"/>
        <v>0</v>
      </c>
      <c r="AN32" s="445">
        <f>+OCCMarkets!AU32</f>
        <v>0</v>
      </c>
      <c r="AO32" s="456">
        <f t="shared" si="13"/>
        <v>0</v>
      </c>
      <c r="AP32" s="456">
        <f t="shared" si="29"/>
        <v>0</v>
      </c>
      <c r="AQ32" s="457"/>
      <c r="AR32" s="445">
        <f>+OCCMarkets!AX32</f>
        <v>204</v>
      </c>
      <c r="AS32" s="445">
        <f t="shared" si="14"/>
        <v>102</v>
      </c>
      <c r="AT32" s="445">
        <f>+OCCMarkets!BB32</f>
        <v>0</v>
      </c>
      <c r="AU32" s="456">
        <f t="shared" si="15"/>
        <v>-102</v>
      </c>
      <c r="AV32" s="456">
        <f t="shared" si="30"/>
        <v>2416.9000000000005</v>
      </c>
      <c r="AW32" s="457"/>
      <c r="AX32" s="445">
        <f>+OCCMarkets!BE32</f>
        <v>287</v>
      </c>
      <c r="AY32" s="445">
        <f t="shared" si="16"/>
        <v>143.5</v>
      </c>
      <c r="AZ32" s="445">
        <f>+OCCMarkets!BI32</f>
        <v>0</v>
      </c>
      <c r="BA32" s="456">
        <f t="shared" si="17"/>
        <v>-143.5</v>
      </c>
      <c r="BB32" s="456">
        <f t="shared" si="31"/>
        <v>3022.45</v>
      </c>
      <c r="BC32" s="457"/>
      <c r="BD32" s="452"/>
      <c r="BE32" s="456">
        <f t="shared" si="18"/>
        <v>101035</v>
      </c>
      <c r="BF32" s="456">
        <f t="shared" si="19"/>
        <v>50517.5</v>
      </c>
      <c r="BG32" s="456">
        <f t="shared" si="20"/>
        <v>83593</v>
      </c>
      <c r="BH32" s="456">
        <f t="shared" si="21"/>
        <v>33075.5</v>
      </c>
      <c r="BI32" s="456">
        <f t="shared" si="22"/>
        <v>1265258.05</v>
      </c>
      <c r="BJ32" s="456"/>
    </row>
    <row r="33" spans="1:62" x14ac:dyDescent="0.2">
      <c r="A33" s="453">
        <f>+BaseloadMarkets!A33</f>
        <v>36735</v>
      </c>
      <c r="B33" s="454">
        <f>+OCCMarkets!O33</f>
        <v>1899</v>
      </c>
      <c r="C33" s="455">
        <f t="shared" si="0"/>
        <v>949.5</v>
      </c>
      <c r="D33" s="455">
        <f>+OCCMarkets!S33</f>
        <v>20000</v>
      </c>
      <c r="E33" s="456">
        <f t="shared" si="1"/>
        <v>19050.5</v>
      </c>
      <c r="F33" s="456">
        <f t="shared" si="23"/>
        <v>34564.25</v>
      </c>
      <c r="G33" s="457"/>
      <c r="H33" s="454">
        <f>+OCCMarkets!C33</f>
        <v>20457</v>
      </c>
      <c r="I33" s="455">
        <f t="shared" si="2"/>
        <v>10228.5</v>
      </c>
      <c r="J33" s="455">
        <f>+OCCMarkets!L33-OCCMarkets!H33</f>
        <v>11774</v>
      </c>
      <c r="K33" s="456">
        <f t="shared" si="3"/>
        <v>1545.5</v>
      </c>
      <c r="L33" s="456">
        <f t="shared" si="24"/>
        <v>126280</v>
      </c>
      <c r="M33" s="457"/>
      <c r="N33" s="454">
        <f>+OCCMarkets!V33</f>
        <v>1247</v>
      </c>
      <c r="O33" s="455">
        <f t="shared" si="4"/>
        <v>623.5</v>
      </c>
      <c r="P33" s="455">
        <f>+OCCMarkets!Z33</f>
        <v>1826</v>
      </c>
      <c r="Q33" s="456">
        <f t="shared" si="5"/>
        <v>1202.5</v>
      </c>
      <c r="R33" s="456">
        <f t="shared" si="25"/>
        <v>4837.8500000000004</v>
      </c>
      <c r="S33" s="457"/>
      <c r="T33" s="445">
        <f>+EES!C32</f>
        <v>70000</v>
      </c>
      <c r="U33" s="445">
        <f t="shared" si="6"/>
        <v>35000</v>
      </c>
      <c r="V33" s="445">
        <f>+EES!AM32-EES!M32</f>
        <v>112141</v>
      </c>
      <c r="W33" s="456">
        <f t="shared" si="7"/>
        <v>77141</v>
      </c>
      <c r="X33" s="456">
        <f t="shared" si="26"/>
        <v>1026777</v>
      </c>
      <c r="Y33" s="457"/>
      <c r="Z33" s="445">
        <f>+OCCMarkets!AC33</f>
        <v>194</v>
      </c>
      <c r="AA33" s="445">
        <f t="shared" si="8"/>
        <v>97</v>
      </c>
      <c r="AB33" s="445">
        <f>+OCCMarkets!AG33</f>
        <v>0</v>
      </c>
      <c r="AC33" s="456">
        <f t="shared" si="9"/>
        <v>-97</v>
      </c>
      <c r="AD33" s="456">
        <f t="shared" si="27"/>
        <v>1655.5000000000002</v>
      </c>
      <c r="AE33" s="457"/>
      <c r="AF33" s="445">
        <f>+OCCMarkets!AJ33</f>
        <v>9493</v>
      </c>
      <c r="AG33" s="445">
        <f t="shared" si="10"/>
        <v>4746.5</v>
      </c>
      <c r="AH33" s="445">
        <f>+OCCMarkets!AN33</f>
        <v>22696</v>
      </c>
      <c r="AI33" s="456">
        <f t="shared" si="11"/>
        <v>17949.5</v>
      </c>
      <c r="AJ33" s="456">
        <f t="shared" si="28"/>
        <v>182496.10000000003</v>
      </c>
      <c r="AK33" s="457"/>
      <c r="AL33" s="445">
        <f>+OCCMarkets!AQ33</f>
        <v>0</v>
      </c>
      <c r="AM33" s="445">
        <f t="shared" si="12"/>
        <v>0</v>
      </c>
      <c r="AN33" s="445">
        <f>+OCCMarkets!AU33</f>
        <v>0</v>
      </c>
      <c r="AO33" s="456">
        <f t="shared" si="13"/>
        <v>0</v>
      </c>
      <c r="AP33" s="456">
        <f t="shared" si="29"/>
        <v>0</v>
      </c>
      <c r="AQ33" s="457"/>
      <c r="AR33" s="445">
        <f>+OCCMarkets!AX33</f>
        <v>198</v>
      </c>
      <c r="AS33" s="445">
        <f t="shared" si="14"/>
        <v>99</v>
      </c>
      <c r="AT33" s="445">
        <f>+OCCMarkets!BB33</f>
        <v>0</v>
      </c>
      <c r="AU33" s="456">
        <f t="shared" si="15"/>
        <v>-99</v>
      </c>
      <c r="AV33" s="456">
        <f t="shared" si="30"/>
        <v>2317.9000000000005</v>
      </c>
      <c r="AW33" s="457"/>
      <c r="AX33" s="445">
        <f>+OCCMarkets!BE33</f>
        <v>313</v>
      </c>
      <c r="AY33" s="445">
        <f t="shared" si="16"/>
        <v>156.5</v>
      </c>
      <c r="AZ33" s="445">
        <f>+OCCMarkets!BI33</f>
        <v>0</v>
      </c>
      <c r="BA33" s="456">
        <f t="shared" si="17"/>
        <v>-156.5</v>
      </c>
      <c r="BB33" s="456">
        <f t="shared" si="31"/>
        <v>2865.95</v>
      </c>
      <c r="BC33" s="457"/>
      <c r="BD33" s="452"/>
      <c r="BE33" s="456">
        <f t="shared" si="18"/>
        <v>103801</v>
      </c>
      <c r="BF33" s="456">
        <f t="shared" si="19"/>
        <v>51900.5</v>
      </c>
      <c r="BG33" s="456">
        <f t="shared" si="20"/>
        <v>168437</v>
      </c>
      <c r="BH33" s="456">
        <f t="shared" si="21"/>
        <v>116536.5</v>
      </c>
      <c r="BI33" s="456">
        <f t="shared" si="22"/>
        <v>1381794.55</v>
      </c>
      <c r="BJ33" s="456"/>
    </row>
    <row r="34" spans="1:62" x14ac:dyDescent="0.2">
      <c r="A34" s="453">
        <f>+BaseloadMarkets!A34</f>
        <v>36736</v>
      </c>
      <c r="B34" s="454">
        <f>+OCCMarkets!O34</f>
        <v>2631</v>
      </c>
      <c r="C34" s="455">
        <f t="shared" si="0"/>
        <v>1315.5</v>
      </c>
      <c r="D34" s="455">
        <f>+OCCMarkets!S34</f>
        <v>0</v>
      </c>
      <c r="E34" s="456">
        <f t="shared" si="1"/>
        <v>-1315.5</v>
      </c>
      <c r="F34" s="456">
        <f t="shared" si="23"/>
        <v>33248.75</v>
      </c>
      <c r="G34" s="457"/>
      <c r="H34" s="454">
        <f>+OCCMarkets!C34</f>
        <v>12636</v>
      </c>
      <c r="I34" s="455">
        <f t="shared" si="2"/>
        <v>6318</v>
      </c>
      <c r="J34" s="455">
        <f>+OCCMarkets!L34-OCCMarkets!H34</f>
        <v>12308</v>
      </c>
      <c r="K34" s="456">
        <f t="shared" si="3"/>
        <v>5990</v>
      </c>
      <c r="L34" s="456">
        <f t="shared" si="24"/>
        <v>132270</v>
      </c>
      <c r="M34" s="457"/>
      <c r="N34" s="454">
        <f>+OCCMarkets!V34</f>
        <v>556</v>
      </c>
      <c r="O34" s="455">
        <f t="shared" si="4"/>
        <v>278</v>
      </c>
      <c r="P34" s="455">
        <f>+OCCMarkets!Z34</f>
        <v>7231</v>
      </c>
      <c r="Q34" s="456">
        <f t="shared" si="5"/>
        <v>6953</v>
      </c>
      <c r="R34" s="456">
        <f t="shared" si="25"/>
        <v>11790.85</v>
      </c>
      <c r="S34" s="457"/>
      <c r="T34" s="445">
        <f>+EES!C33</f>
        <v>70000</v>
      </c>
      <c r="U34" s="445">
        <f t="shared" si="6"/>
        <v>35000</v>
      </c>
      <c r="V34" s="445">
        <f>+EES!AM33-EES!M33</f>
        <v>58954</v>
      </c>
      <c r="W34" s="456">
        <f t="shared" si="7"/>
        <v>23954</v>
      </c>
      <c r="X34" s="456">
        <f t="shared" si="26"/>
        <v>1050731</v>
      </c>
      <c r="Y34" s="457"/>
      <c r="Z34" s="445">
        <f>+OCCMarkets!AC34</f>
        <v>158</v>
      </c>
      <c r="AA34" s="445">
        <f t="shared" si="8"/>
        <v>79</v>
      </c>
      <c r="AB34" s="445">
        <f>+OCCMarkets!AG34</f>
        <v>818</v>
      </c>
      <c r="AC34" s="456">
        <f t="shared" si="9"/>
        <v>739</v>
      </c>
      <c r="AD34" s="456">
        <f t="shared" si="27"/>
        <v>2394.5</v>
      </c>
      <c r="AE34" s="457"/>
      <c r="AF34" s="445">
        <f>+OCCMarkets!AJ34</f>
        <v>9183</v>
      </c>
      <c r="AG34" s="445">
        <f t="shared" si="10"/>
        <v>4591.5</v>
      </c>
      <c r="AH34" s="445">
        <f>+OCCMarkets!AN34</f>
        <v>0</v>
      </c>
      <c r="AI34" s="456">
        <f t="shared" si="11"/>
        <v>-4591.5</v>
      </c>
      <c r="AJ34" s="456">
        <f t="shared" si="28"/>
        <v>177904.60000000003</v>
      </c>
      <c r="AK34" s="457"/>
      <c r="AL34" s="445">
        <f>+OCCMarkets!AQ34</f>
        <v>0</v>
      </c>
      <c r="AM34" s="445">
        <f t="shared" si="12"/>
        <v>0</v>
      </c>
      <c r="AN34" s="445">
        <f>+OCCMarkets!AU34</f>
        <v>0</v>
      </c>
      <c r="AO34" s="456">
        <f t="shared" si="13"/>
        <v>0</v>
      </c>
      <c r="AP34" s="456">
        <f t="shared" si="29"/>
        <v>0</v>
      </c>
      <c r="AQ34" s="457"/>
      <c r="AR34" s="445">
        <f>+OCCMarkets!AX34</f>
        <v>26</v>
      </c>
      <c r="AS34" s="445">
        <f t="shared" si="14"/>
        <v>13</v>
      </c>
      <c r="AT34" s="445">
        <f>+OCCMarkets!BB34</f>
        <v>608</v>
      </c>
      <c r="AU34" s="456">
        <f t="shared" si="15"/>
        <v>595</v>
      </c>
      <c r="AV34" s="456">
        <f t="shared" si="30"/>
        <v>2912.9000000000005</v>
      </c>
      <c r="AW34" s="457"/>
      <c r="AX34" s="445">
        <f>+OCCMarkets!BE34</f>
        <v>500</v>
      </c>
      <c r="AY34" s="445">
        <f t="shared" si="16"/>
        <v>250</v>
      </c>
      <c r="AZ34" s="445">
        <f>+OCCMarkets!BI34</f>
        <v>818</v>
      </c>
      <c r="BA34" s="456">
        <f t="shared" si="17"/>
        <v>568</v>
      </c>
      <c r="BB34" s="456">
        <f t="shared" si="31"/>
        <v>3433.95</v>
      </c>
      <c r="BC34" s="457"/>
      <c r="BD34" s="452"/>
      <c r="BE34" s="456">
        <f t="shared" si="18"/>
        <v>95690</v>
      </c>
      <c r="BF34" s="456">
        <f t="shared" si="19"/>
        <v>47845</v>
      </c>
      <c r="BG34" s="456">
        <f t="shared" si="20"/>
        <v>80737</v>
      </c>
      <c r="BH34" s="456">
        <f t="shared" si="21"/>
        <v>32892</v>
      </c>
      <c r="BI34" s="456">
        <f t="shared" si="22"/>
        <v>1414686.55</v>
      </c>
      <c r="BJ34" s="456"/>
    </row>
    <row r="35" spans="1:62" x14ac:dyDescent="0.2">
      <c r="A35" s="453">
        <f>+BaseloadMarkets!A35</f>
        <v>36737</v>
      </c>
      <c r="B35" s="454">
        <f>+OCCMarkets!O35</f>
        <v>2026</v>
      </c>
      <c r="C35" s="455">
        <f t="shared" si="0"/>
        <v>1013</v>
      </c>
      <c r="D35" s="455">
        <f>+OCCMarkets!S35</f>
        <v>6658</v>
      </c>
      <c r="E35" s="456">
        <f t="shared" si="1"/>
        <v>5645</v>
      </c>
      <c r="F35" s="456">
        <f t="shared" si="23"/>
        <v>38893.75</v>
      </c>
      <c r="G35" s="457"/>
      <c r="H35" s="454">
        <f>+OCCMarkets!C35</f>
        <v>10674</v>
      </c>
      <c r="I35" s="455">
        <f t="shared" si="2"/>
        <v>5337</v>
      </c>
      <c r="J35" s="455">
        <f>+OCCMarkets!L35-OCCMarkets!H35</f>
        <v>21972</v>
      </c>
      <c r="K35" s="456">
        <f t="shared" si="3"/>
        <v>16635</v>
      </c>
      <c r="L35" s="456">
        <f t="shared" si="24"/>
        <v>148905</v>
      </c>
      <c r="M35" s="457"/>
      <c r="N35" s="454">
        <f>+OCCMarkets!V35</f>
        <v>0</v>
      </c>
      <c r="O35" s="455">
        <f t="shared" si="4"/>
        <v>0</v>
      </c>
      <c r="P35" s="455">
        <f>+OCCMarkets!Z35</f>
        <v>7704</v>
      </c>
      <c r="Q35" s="456">
        <f t="shared" si="5"/>
        <v>7704</v>
      </c>
      <c r="R35" s="456">
        <f t="shared" si="25"/>
        <v>19494.849999999999</v>
      </c>
      <c r="S35" s="457"/>
      <c r="T35" s="445">
        <f>+EES!C34</f>
        <v>70000</v>
      </c>
      <c r="U35" s="445">
        <f t="shared" si="6"/>
        <v>35000</v>
      </c>
      <c r="V35" s="445">
        <f>+EES!AM34-EES!M34</f>
        <v>54766</v>
      </c>
      <c r="W35" s="456">
        <f t="shared" si="7"/>
        <v>19766</v>
      </c>
      <c r="X35" s="456">
        <f t="shared" si="26"/>
        <v>1070497</v>
      </c>
      <c r="Y35" s="457"/>
      <c r="Z35" s="445">
        <f>+OCCMarkets!AC35</f>
        <v>38</v>
      </c>
      <c r="AA35" s="445">
        <f t="shared" si="8"/>
        <v>19</v>
      </c>
      <c r="AB35" s="445">
        <f>+OCCMarkets!AG35</f>
        <v>1296</v>
      </c>
      <c r="AC35" s="456">
        <f t="shared" si="9"/>
        <v>1277</v>
      </c>
      <c r="AD35" s="456">
        <f t="shared" si="27"/>
        <v>3671.5</v>
      </c>
      <c r="AE35" s="457"/>
      <c r="AF35" s="445">
        <f>+OCCMarkets!AJ35</f>
        <v>8858</v>
      </c>
      <c r="AG35" s="445">
        <f t="shared" si="10"/>
        <v>4429</v>
      </c>
      <c r="AH35" s="445">
        <f>+OCCMarkets!AN35</f>
        <v>5950</v>
      </c>
      <c r="AI35" s="456">
        <f t="shared" si="11"/>
        <v>1521</v>
      </c>
      <c r="AJ35" s="456">
        <f t="shared" si="28"/>
        <v>179425.60000000003</v>
      </c>
      <c r="AK35" s="457"/>
      <c r="AL35" s="445">
        <f>+OCCMarkets!AQ35</f>
        <v>0</v>
      </c>
      <c r="AM35" s="445">
        <f t="shared" si="12"/>
        <v>0</v>
      </c>
      <c r="AN35" s="445">
        <f>+OCCMarkets!AU35</f>
        <v>0</v>
      </c>
      <c r="AO35" s="456">
        <f t="shared" si="13"/>
        <v>0</v>
      </c>
      <c r="AP35" s="456">
        <f t="shared" si="29"/>
        <v>0</v>
      </c>
      <c r="AQ35" s="457">
        <f>SUM(AO31:AO35)</f>
        <v>0</v>
      </c>
      <c r="AR35" s="445">
        <f>+OCCMarkets!AX35</f>
        <v>0</v>
      </c>
      <c r="AS35" s="445">
        <f t="shared" si="14"/>
        <v>0</v>
      </c>
      <c r="AT35" s="445">
        <f>+OCCMarkets!BB35</f>
        <v>1071</v>
      </c>
      <c r="AU35" s="456">
        <f t="shared" si="15"/>
        <v>1071</v>
      </c>
      <c r="AV35" s="456">
        <f t="shared" si="30"/>
        <v>3983.9000000000005</v>
      </c>
      <c r="AW35" s="457"/>
      <c r="AX35" s="445">
        <f>+OCCMarkets!BE35</f>
        <v>500</v>
      </c>
      <c r="AY35" s="445">
        <f t="shared" si="16"/>
        <v>250</v>
      </c>
      <c r="AZ35" s="445">
        <f>+OCCMarkets!BI35</f>
        <v>1296</v>
      </c>
      <c r="BA35" s="456">
        <f t="shared" si="17"/>
        <v>1046</v>
      </c>
      <c r="BB35" s="456">
        <f t="shared" si="31"/>
        <v>4479.95</v>
      </c>
      <c r="BC35" s="457"/>
      <c r="BD35" s="452"/>
      <c r="BE35" s="456">
        <f t="shared" si="18"/>
        <v>92096</v>
      </c>
      <c r="BF35" s="456">
        <f t="shared" si="19"/>
        <v>46048</v>
      </c>
      <c r="BG35" s="456">
        <f t="shared" si="20"/>
        <v>100713</v>
      </c>
      <c r="BH35" s="456">
        <f t="shared" si="21"/>
        <v>54665</v>
      </c>
      <c r="BI35" s="456">
        <f t="shared" si="22"/>
        <v>1469351.55</v>
      </c>
      <c r="BJ35" s="457">
        <f>SUM(BH31:BH35)</f>
        <v>331058</v>
      </c>
    </row>
    <row r="36" spans="1:62" ht="13.5" thickBot="1" x14ac:dyDescent="0.25">
      <c r="A36" s="453">
        <f>+BaseloadMarkets!A36</f>
        <v>36738</v>
      </c>
      <c r="B36" s="454">
        <f>+OCCMarkets!O36</f>
        <v>2567</v>
      </c>
      <c r="C36" s="455">
        <f t="shared" si="0"/>
        <v>1283.5</v>
      </c>
      <c r="D36" s="455">
        <f>+OCCMarkets!S36</f>
        <v>7389</v>
      </c>
      <c r="E36" s="456">
        <f t="shared" si="1"/>
        <v>6105.5</v>
      </c>
      <c r="F36" s="456">
        <f t="shared" si="23"/>
        <v>44999.25</v>
      </c>
      <c r="G36" s="457"/>
      <c r="H36" s="454">
        <f>+OCCMarkets!C36</f>
        <v>19318</v>
      </c>
      <c r="I36" s="455">
        <f t="shared" si="2"/>
        <v>9659</v>
      </c>
      <c r="J36" s="455">
        <f>+OCCMarkets!L36-OCCMarkets!H36</f>
        <v>35869</v>
      </c>
      <c r="K36" s="456">
        <f t="shared" si="3"/>
        <v>26210</v>
      </c>
      <c r="L36" s="456">
        <f t="shared" si="24"/>
        <v>175115</v>
      </c>
      <c r="M36" s="457"/>
      <c r="N36" s="454">
        <f>+OCCMarkets!V36</f>
        <v>0</v>
      </c>
      <c r="O36" s="455">
        <f t="shared" si="4"/>
        <v>0</v>
      </c>
      <c r="P36" s="455">
        <f>+OCCMarkets!Z36</f>
        <v>7715</v>
      </c>
      <c r="Q36" s="456">
        <f t="shared" si="5"/>
        <v>7715</v>
      </c>
      <c r="R36" s="456">
        <f t="shared" si="25"/>
        <v>27209.85</v>
      </c>
      <c r="S36" s="457"/>
      <c r="T36" s="445">
        <f>+EES!C35</f>
        <v>70000</v>
      </c>
      <c r="U36" s="445">
        <f t="shared" si="6"/>
        <v>35000</v>
      </c>
      <c r="V36" s="445">
        <f>+EES!AM35-EES!M35</f>
        <v>44427</v>
      </c>
      <c r="W36" s="456">
        <f t="shared" si="7"/>
        <v>9427</v>
      </c>
      <c r="X36" s="456">
        <f t="shared" si="26"/>
        <v>1079924</v>
      </c>
      <c r="Y36" s="457"/>
      <c r="Z36" s="445">
        <f>+OCCMarkets!AC36</f>
        <v>81</v>
      </c>
      <c r="AA36" s="445">
        <f t="shared" si="8"/>
        <v>40.5</v>
      </c>
      <c r="AB36" s="445">
        <f>+OCCMarkets!AG36</f>
        <v>1297</v>
      </c>
      <c r="AC36" s="456">
        <f t="shared" si="9"/>
        <v>1256.5</v>
      </c>
      <c r="AD36" s="456">
        <f t="shared" si="27"/>
        <v>4928</v>
      </c>
      <c r="AE36" s="457"/>
      <c r="AF36" s="445">
        <f>+OCCMarkets!AJ36</f>
        <v>9078</v>
      </c>
      <c r="AG36" s="445">
        <f t="shared" si="10"/>
        <v>4539</v>
      </c>
      <c r="AH36" s="445">
        <f>+OCCMarkets!AN36</f>
        <v>6603</v>
      </c>
      <c r="AI36" s="456">
        <f t="shared" si="11"/>
        <v>2064</v>
      </c>
      <c r="AJ36" s="456">
        <f t="shared" si="28"/>
        <v>181489.60000000003</v>
      </c>
      <c r="AK36" s="457"/>
      <c r="AL36" s="445">
        <f>+OCCMarkets!AQ36</f>
        <v>0</v>
      </c>
      <c r="AM36" s="445">
        <f t="shared" si="12"/>
        <v>0</v>
      </c>
      <c r="AN36" s="445">
        <f>+OCCMarkets!AU36</f>
        <v>0</v>
      </c>
      <c r="AO36" s="456">
        <f t="shared" si="13"/>
        <v>0</v>
      </c>
      <c r="AP36" s="456">
        <f t="shared" si="29"/>
        <v>0</v>
      </c>
      <c r="AQ36" s="457">
        <f>SUM(AO32:AO36)</f>
        <v>0</v>
      </c>
      <c r="AR36" s="445">
        <f>+OCCMarkets!AX36</f>
        <v>118</v>
      </c>
      <c r="AS36" s="445">
        <f t="shared" si="14"/>
        <v>59</v>
      </c>
      <c r="AT36" s="445">
        <f>+OCCMarkets!BB36</f>
        <v>1071</v>
      </c>
      <c r="AU36" s="456">
        <f t="shared" si="15"/>
        <v>1012</v>
      </c>
      <c r="AV36" s="456">
        <f t="shared" si="30"/>
        <v>4995.9000000000005</v>
      </c>
      <c r="AW36" s="457"/>
      <c r="AX36" s="445">
        <f>+OCCMarkets!BE36</f>
        <v>500</v>
      </c>
      <c r="AY36" s="445">
        <f t="shared" si="16"/>
        <v>250</v>
      </c>
      <c r="AZ36" s="445">
        <f>+OCCMarkets!BI36</f>
        <v>1297</v>
      </c>
      <c r="BA36" s="456">
        <f t="shared" si="17"/>
        <v>1047</v>
      </c>
      <c r="BB36" s="456">
        <f t="shared" si="31"/>
        <v>5526.95</v>
      </c>
      <c r="BC36" s="457"/>
      <c r="BD36" s="452"/>
      <c r="BE36" s="456">
        <f t="shared" si="18"/>
        <v>101662</v>
      </c>
      <c r="BF36" s="456">
        <f t="shared" si="19"/>
        <v>50831</v>
      </c>
      <c r="BG36" s="456">
        <f t="shared" si="20"/>
        <v>105668</v>
      </c>
      <c r="BH36" s="456">
        <f t="shared" si="21"/>
        <v>54837</v>
      </c>
      <c r="BI36" s="456">
        <f t="shared" si="22"/>
        <v>1524188.55</v>
      </c>
      <c r="BJ36" s="457">
        <f>SUM(BH32:BH36)</f>
        <v>292006</v>
      </c>
    </row>
    <row r="37" spans="1:62" s="434" customFormat="1" ht="13.5" thickTop="1" x14ac:dyDescent="0.2">
      <c r="B37" s="458">
        <f>SUM(B6:B36)</f>
        <v>62695.5</v>
      </c>
      <c r="C37" s="458">
        <f>SUM(C6:C36)</f>
        <v>31347.75</v>
      </c>
      <c r="D37" s="458">
        <f>SUM(D6:D36)</f>
        <v>76347</v>
      </c>
      <c r="E37" s="459">
        <f>SUM(E6:E36)</f>
        <v>44999.25</v>
      </c>
      <c r="F37" s="459">
        <f>F36</f>
        <v>44999.25</v>
      </c>
      <c r="G37" s="446"/>
      <c r="H37" s="458">
        <f>SUM(H6:H36)</f>
        <v>315254</v>
      </c>
      <c r="I37" s="458">
        <f>SUM(I6:I36)</f>
        <v>157627</v>
      </c>
      <c r="J37" s="458">
        <f>SUM(J6:J36)</f>
        <v>332742</v>
      </c>
      <c r="K37" s="459">
        <f>SUM(K6:K36)</f>
        <v>175115</v>
      </c>
      <c r="L37" s="459">
        <f>L36</f>
        <v>175115</v>
      </c>
      <c r="M37" s="446"/>
      <c r="N37" s="458">
        <f>SUM(N6:N36)</f>
        <v>33504.300000000003</v>
      </c>
      <c r="O37" s="458">
        <f>SUM(O6:O36)</f>
        <v>16752.150000000001</v>
      </c>
      <c r="P37" s="458">
        <f>SUM(P6:P36)</f>
        <v>43962</v>
      </c>
      <c r="Q37" s="459">
        <f>SUM(Q6:Q36)</f>
        <v>27209.85</v>
      </c>
      <c r="R37" s="459">
        <f>R36</f>
        <v>27209.85</v>
      </c>
      <c r="S37" s="446"/>
      <c r="T37" s="458">
        <f>SUM(T6:T36)</f>
        <v>2170000</v>
      </c>
      <c r="U37" s="458">
        <f>SUM(U6:U36)</f>
        <v>1085000</v>
      </c>
      <c r="V37" s="458">
        <f>SUM(V6:V36)</f>
        <v>2164924</v>
      </c>
      <c r="W37" s="459">
        <f>SUM(W6:W36)</f>
        <v>1079924</v>
      </c>
      <c r="X37" s="459">
        <f>X36</f>
        <v>1079924</v>
      </c>
      <c r="Y37" s="446"/>
      <c r="Z37" s="458">
        <f>SUM(Z6:Z36)</f>
        <v>4250</v>
      </c>
      <c r="AA37" s="458">
        <f>SUM(AA6:AA36)</f>
        <v>2125</v>
      </c>
      <c r="AB37" s="458">
        <f>SUM(AB6:AB36)</f>
        <v>7053</v>
      </c>
      <c r="AC37" s="459">
        <f>SUM(AC6:AC36)</f>
        <v>4928</v>
      </c>
      <c r="AD37" s="459">
        <f>AD36</f>
        <v>4928</v>
      </c>
      <c r="AE37" s="446"/>
      <c r="AF37" s="458">
        <f>SUM(AF6:AF36)</f>
        <v>276982.8</v>
      </c>
      <c r="AG37" s="458">
        <f>SUM(AG6:AG36)</f>
        <v>138491.4</v>
      </c>
      <c r="AH37" s="458">
        <f>SUM(AH6:AH36)</f>
        <v>319981</v>
      </c>
      <c r="AI37" s="459">
        <f>SUM(AI6:AI36)</f>
        <v>181489.60000000003</v>
      </c>
      <c r="AJ37" s="459">
        <f>AJ36</f>
        <v>181489.60000000003</v>
      </c>
      <c r="AK37" s="446"/>
      <c r="AL37" s="458">
        <f>SUM(AL6:AL36)</f>
        <v>0</v>
      </c>
      <c r="AM37" s="458">
        <f>SUM(AM6:AM36)</f>
        <v>0</v>
      </c>
      <c r="AN37" s="458">
        <f>SUM(AN6:AN36)</f>
        <v>0</v>
      </c>
      <c r="AO37" s="459">
        <f>SUM(AO6:AO36)</f>
        <v>0</v>
      </c>
      <c r="AP37" s="459">
        <f>AP36</f>
        <v>0</v>
      </c>
      <c r="AQ37" s="446"/>
      <c r="AR37" s="458">
        <f>SUM(AR6:AR36)</f>
        <v>3842.2</v>
      </c>
      <c r="AS37" s="458">
        <f>SUM(AS6:AS36)</f>
        <v>1921.1</v>
      </c>
      <c r="AT37" s="458">
        <f>SUM(AT6:AT36)</f>
        <v>6917</v>
      </c>
      <c r="AU37" s="459">
        <f>SUM(AU6:AU36)</f>
        <v>4995.9000000000005</v>
      </c>
      <c r="AV37" s="459">
        <f>AV36</f>
        <v>4995.9000000000005</v>
      </c>
      <c r="AW37" s="446"/>
      <c r="AX37" s="458">
        <f>SUM(AX6:AX36)</f>
        <v>7450.1</v>
      </c>
      <c r="AY37" s="458">
        <f>SUM(AY6:AY36)</f>
        <v>3725.05</v>
      </c>
      <c r="AZ37" s="458">
        <f>SUM(AZ6:AZ36)</f>
        <v>9252</v>
      </c>
      <c r="BA37" s="459">
        <f>SUM(BA6:BA36)</f>
        <v>5526.95</v>
      </c>
      <c r="BB37" s="459">
        <f>BB36</f>
        <v>5526.95</v>
      </c>
      <c r="BC37" s="446"/>
      <c r="BD37" s="446"/>
      <c r="BE37" s="459">
        <f>SUM(BE6:BE36)</f>
        <v>2873978.9</v>
      </c>
      <c r="BF37" s="459">
        <f>SUM(BF6:BF36)</f>
        <v>1436989.45</v>
      </c>
      <c r="BG37" s="459">
        <f>SUM(BG6:BG36)</f>
        <v>2961178</v>
      </c>
      <c r="BH37" s="459">
        <f>SUM(BH6:BH36)</f>
        <v>1524188.55</v>
      </c>
      <c r="BI37" s="459">
        <f>SUM(BI6:BI36)</f>
        <v>23204893.700000003</v>
      </c>
    </row>
    <row r="38" spans="1:62" x14ac:dyDescent="0.2">
      <c r="B38" s="455"/>
      <c r="C38" s="455"/>
      <c r="D38" s="455"/>
      <c r="H38" s="455"/>
      <c r="I38" s="455"/>
      <c r="J38" s="455"/>
      <c r="N38" s="455"/>
      <c r="O38" s="455"/>
      <c r="P38" s="455"/>
    </row>
  </sheetData>
  <printOptions horizontalCentered="1"/>
  <pageMargins left="0.25" right="0.25" top="1" bottom="1" header="0.5" footer="0.5"/>
  <pageSetup paperSize="5" scale="6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DQ50"/>
  <sheetViews>
    <sheetView workbookViewId="0">
      <pane xSplit="1" ySplit="5" topLeftCell="B7" activePane="bottomRight" state="frozen"/>
      <selection activeCell="AT19" sqref="AT19"/>
      <selection pane="topRight" activeCell="AT19" sqref="AT19"/>
      <selection pane="bottomLeft" activeCell="AT19" sqref="AT19"/>
      <selection pane="bottomRight" activeCell="AT19" sqref="AT19"/>
    </sheetView>
  </sheetViews>
  <sheetFormatPr defaultRowHeight="12.75" x14ac:dyDescent="0.2"/>
  <cols>
    <col min="1" max="1" width="16.5" style="31" customWidth="1"/>
    <col min="2" max="2" width="20" style="44" customWidth="1"/>
    <col min="3" max="3" width="16.5" style="31" customWidth="1"/>
    <col min="4" max="4" width="14.5" style="31" customWidth="1"/>
    <col min="5" max="5" width="16.5" style="31" customWidth="1"/>
    <col min="6" max="6" width="17.83203125" style="31" customWidth="1"/>
    <col min="7" max="7" width="14.5" style="31" customWidth="1"/>
    <col min="8" max="8" width="9.33203125" style="460"/>
    <col min="9" max="9" width="18.83203125" style="44" customWidth="1"/>
    <col min="10" max="10" width="16.5" style="31" customWidth="1"/>
    <col min="11" max="11" width="14.5" style="31" customWidth="1"/>
    <col min="12" max="12" width="16.5" style="31" customWidth="1"/>
    <col min="13" max="13" width="17.83203125" style="31" customWidth="1"/>
    <col min="14" max="14" width="14.5" style="31" customWidth="1"/>
    <col min="15" max="15" width="9.33203125" style="460"/>
    <col min="16" max="16" width="18.83203125" style="44" customWidth="1"/>
    <col min="17" max="17" width="16.5" style="31" customWidth="1"/>
    <col min="18" max="18" width="14.5" style="31" customWidth="1"/>
    <col min="19" max="20" width="14.6640625" style="31" customWidth="1"/>
    <col min="21" max="21" width="9.33203125" style="460"/>
    <col min="22" max="22" width="22" style="31" customWidth="1"/>
    <col min="23" max="23" width="16.5" style="31" customWidth="1"/>
    <col min="24" max="24" width="14.5" style="31" customWidth="1"/>
    <col min="25" max="26" width="14.6640625" style="31" customWidth="1"/>
    <col min="27" max="27" width="9.33203125" style="460"/>
    <col min="28" max="28" width="16.5" style="31" customWidth="1"/>
    <col min="29" max="29" width="11.6640625" style="31" customWidth="1"/>
    <col min="30" max="30" width="14.5" style="31" customWidth="1"/>
    <col min="31" max="32" width="14.6640625" style="31" customWidth="1"/>
    <col min="33" max="33" width="9.33203125" style="460"/>
    <col min="34" max="34" width="16.5" style="31" customWidth="1"/>
    <col min="35" max="35" width="11.6640625" style="31" customWidth="1"/>
    <col min="36" max="36" width="14.5" style="31" customWidth="1"/>
    <col min="37" max="38" width="14.6640625" style="31" customWidth="1"/>
    <col min="39" max="39" width="9.33203125" style="460"/>
    <col min="40" max="40" width="20.1640625" style="31" customWidth="1"/>
    <col min="41" max="41" width="11.6640625" style="31" customWidth="1"/>
    <col min="42" max="42" width="14.5" style="31" customWidth="1"/>
    <col min="43" max="44" width="14.6640625" style="31" customWidth="1"/>
    <col min="45" max="16384" width="9.33203125" style="31"/>
  </cols>
  <sheetData>
    <row r="1" spans="1:44" ht="15.75" x14ac:dyDescent="0.25">
      <c r="A1" s="124" t="s">
        <v>284</v>
      </c>
      <c r="B1" s="4">
        <v>0</v>
      </c>
      <c r="C1" s="437"/>
      <c r="I1" s="4">
        <v>0</v>
      </c>
      <c r="J1" s="437"/>
      <c r="P1" s="4">
        <v>0</v>
      </c>
      <c r="Q1" s="437"/>
      <c r="V1" s="437"/>
      <c r="W1" s="437"/>
      <c r="AB1" s="437"/>
      <c r="AC1" s="441"/>
      <c r="AH1" s="437"/>
      <c r="AI1" s="441"/>
      <c r="AN1" s="437"/>
      <c r="AO1" s="441"/>
    </row>
    <row r="2" spans="1:44" s="441" customFormat="1" x14ac:dyDescent="0.2">
      <c r="A2" s="178">
        <f>+BaseloadMarkets!B1</f>
        <v>36708</v>
      </c>
      <c r="B2" s="7" t="str">
        <f>+Supplies!H2</f>
        <v>CA HUB</v>
      </c>
      <c r="H2" s="461"/>
      <c r="I2" s="7" t="str">
        <f>+Supplies!I2</f>
        <v>CA HUB</v>
      </c>
      <c r="O2" s="461"/>
      <c r="P2" s="7" t="str">
        <f>+Supplies!J2</f>
        <v>CA HUB</v>
      </c>
      <c r="U2" s="461"/>
      <c r="V2" s="440" t="str">
        <f>+Supplies!K2</f>
        <v>CA HUB</v>
      </c>
      <c r="AA2" s="461"/>
      <c r="AB2" s="440" t="str">
        <f>+Supplies!L2</f>
        <v>CA HUB</v>
      </c>
      <c r="AG2" s="461"/>
      <c r="AH2" s="440" t="str">
        <f>+Supplies!N2</f>
        <v>CA HUB</v>
      </c>
      <c r="AM2" s="461"/>
      <c r="AN2" s="440" t="str">
        <f>+BaseloadMarkets!R3</f>
        <v>CA HUB</v>
      </c>
    </row>
    <row r="3" spans="1:44" x14ac:dyDescent="0.2">
      <c r="A3" s="437" t="s">
        <v>285</v>
      </c>
      <c r="B3" s="7">
        <f>+Supplies!H4</f>
        <v>131490</v>
      </c>
      <c r="C3" s="462"/>
      <c r="I3" s="7">
        <f>+Supplies!I4</f>
        <v>168003</v>
      </c>
      <c r="J3" s="462"/>
      <c r="P3" s="7">
        <f>+Supplies!J4</f>
        <v>168093</v>
      </c>
      <c r="Q3" s="462"/>
      <c r="V3" s="440">
        <f>+Supplies!K4</f>
        <v>245352</v>
      </c>
      <c r="W3" s="462"/>
      <c r="AB3" s="440">
        <f>+Supplies!L4</f>
        <v>301942</v>
      </c>
      <c r="AH3" s="440">
        <f>+Supplies!N4</f>
        <v>152174</v>
      </c>
      <c r="AN3" s="440">
        <f>+BaseloadMarkets!R2</f>
        <v>293828</v>
      </c>
    </row>
    <row r="4" spans="1:44" x14ac:dyDescent="0.2">
      <c r="B4" s="463" t="str">
        <f>+Supplies!H5</f>
        <v>TW</v>
      </c>
      <c r="C4" s="441"/>
      <c r="D4" s="441" t="s">
        <v>62</v>
      </c>
      <c r="E4" s="441" t="s">
        <v>186</v>
      </c>
      <c r="F4" s="441" t="s">
        <v>186</v>
      </c>
      <c r="G4" s="441" t="s">
        <v>63</v>
      </c>
      <c r="I4" s="7"/>
      <c r="J4" s="441"/>
      <c r="K4" s="441" t="s">
        <v>62</v>
      </c>
      <c r="L4" s="441" t="s">
        <v>186</v>
      </c>
      <c r="M4" s="441" t="s">
        <v>186</v>
      </c>
      <c r="N4" s="441" t="s">
        <v>63</v>
      </c>
      <c r="P4" s="7"/>
      <c r="Q4" s="441"/>
      <c r="R4" s="441" t="s">
        <v>62</v>
      </c>
      <c r="S4" s="441"/>
      <c r="T4" s="441" t="s">
        <v>186</v>
      </c>
      <c r="V4" s="440"/>
      <c r="W4" s="441"/>
      <c r="X4" s="441" t="s">
        <v>62</v>
      </c>
      <c r="Y4" s="441"/>
      <c r="Z4" s="441" t="s">
        <v>186</v>
      </c>
      <c r="AB4" s="440"/>
      <c r="AC4" s="441" t="s">
        <v>62</v>
      </c>
      <c r="AD4" s="441" t="s">
        <v>62</v>
      </c>
      <c r="AE4" s="441"/>
      <c r="AF4" s="441" t="s">
        <v>186</v>
      </c>
      <c r="AH4" s="440"/>
      <c r="AI4" s="441" t="s">
        <v>62</v>
      </c>
      <c r="AJ4" s="441" t="s">
        <v>62</v>
      </c>
      <c r="AK4" s="441"/>
      <c r="AL4" s="441" t="s">
        <v>186</v>
      </c>
      <c r="AN4" s="440"/>
      <c r="AO4" s="441" t="s">
        <v>62</v>
      </c>
      <c r="AP4" s="441" t="s">
        <v>62</v>
      </c>
      <c r="AQ4" s="441"/>
      <c r="AR4" s="441" t="s">
        <v>186</v>
      </c>
    </row>
    <row r="5" spans="1:44" x14ac:dyDescent="0.2">
      <c r="B5" s="19" t="s">
        <v>286</v>
      </c>
      <c r="C5" s="441" t="s">
        <v>287</v>
      </c>
      <c r="D5" s="441" t="s">
        <v>288</v>
      </c>
      <c r="E5" s="441" t="s">
        <v>289</v>
      </c>
      <c r="F5" s="441" t="s">
        <v>129</v>
      </c>
      <c r="G5" s="441" t="s">
        <v>281</v>
      </c>
      <c r="I5" s="19" t="s">
        <v>286</v>
      </c>
      <c r="J5" s="441" t="s">
        <v>287</v>
      </c>
      <c r="K5" s="441" t="s">
        <v>288</v>
      </c>
      <c r="L5" s="441" t="s">
        <v>289</v>
      </c>
      <c r="M5" s="441" t="s">
        <v>129</v>
      </c>
      <c r="N5" s="441" t="s">
        <v>281</v>
      </c>
      <c r="P5" s="19" t="s">
        <v>286</v>
      </c>
      <c r="Q5" s="441" t="s">
        <v>287</v>
      </c>
      <c r="R5" s="441" t="s">
        <v>288</v>
      </c>
      <c r="S5" s="441" t="s">
        <v>289</v>
      </c>
      <c r="T5" s="441" t="s">
        <v>129</v>
      </c>
      <c r="V5" s="441" t="s">
        <v>286</v>
      </c>
      <c r="W5" s="441" t="s">
        <v>287</v>
      </c>
      <c r="X5" s="441" t="s">
        <v>288</v>
      </c>
      <c r="Y5" s="441" t="s">
        <v>289</v>
      </c>
      <c r="Z5" s="441" t="s">
        <v>129</v>
      </c>
      <c r="AB5" s="441" t="s">
        <v>286</v>
      </c>
      <c r="AC5" s="441" t="s">
        <v>72</v>
      </c>
      <c r="AD5" s="441" t="s">
        <v>288</v>
      </c>
      <c r="AE5" s="441" t="s">
        <v>289</v>
      </c>
      <c r="AF5" s="441" t="s">
        <v>129</v>
      </c>
      <c r="AH5" s="441" t="s">
        <v>286</v>
      </c>
      <c r="AI5" s="441" t="s">
        <v>72</v>
      </c>
      <c r="AJ5" s="441" t="s">
        <v>288</v>
      </c>
      <c r="AK5" s="441" t="s">
        <v>289</v>
      </c>
      <c r="AL5" s="441" t="s">
        <v>129</v>
      </c>
      <c r="AN5" s="441" t="s">
        <v>290</v>
      </c>
      <c r="AO5" s="441" t="s">
        <v>72</v>
      </c>
      <c r="AP5" s="441" t="s">
        <v>288</v>
      </c>
      <c r="AQ5" s="441" t="s">
        <v>289</v>
      </c>
      <c r="AR5" s="441" t="s">
        <v>129</v>
      </c>
    </row>
    <row r="6" spans="1:44" x14ac:dyDescent="0.2">
      <c r="A6" s="464">
        <f>BaseloadMarkets!A6</f>
        <v>36708</v>
      </c>
      <c r="B6" s="22">
        <v>5000</v>
      </c>
      <c r="C6" s="436">
        <f>+Supplies!H6</f>
        <v>5000</v>
      </c>
      <c r="D6" s="436">
        <f t="shared" ref="D6:D36" si="0">+C6-B6</f>
        <v>0</v>
      </c>
      <c r="E6" s="436">
        <f>+B6</f>
        <v>5000</v>
      </c>
      <c r="F6" s="436">
        <f>+C6</f>
        <v>5000</v>
      </c>
      <c r="G6" s="436">
        <f>+D6</f>
        <v>0</v>
      </c>
      <c r="I6" s="22">
        <v>968</v>
      </c>
      <c r="J6" s="436">
        <f>+Supplies!I6</f>
        <v>968</v>
      </c>
      <c r="K6" s="436">
        <f t="shared" ref="K6:K36" si="1">+J6-I6</f>
        <v>0</v>
      </c>
      <c r="L6" s="436">
        <f>+I6</f>
        <v>968</v>
      </c>
      <c r="M6" s="436">
        <f>+J6</f>
        <v>968</v>
      </c>
      <c r="N6" s="436">
        <f>+K6</f>
        <v>0</v>
      </c>
      <c r="P6" s="22">
        <v>4193</v>
      </c>
      <c r="Q6" s="436">
        <f>+Supplies!J6</f>
        <v>4193</v>
      </c>
      <c r="R6" s="436">
        <f t="shared" ref="R6:R36" si="2">+Q6-P6</f>
        <v>0</v>
      </c>
      <c r="S6" s="436">
        <f>+P6</f>
        <v>4193</v>
      </c>
      <c r="T6" s="436">
        <f>+Q6</f>
        <v>4193</v>
      </c>
      <c r="V6" s="436">
        <v>4000</v>
      </c>
      <c r="W6" s="436">
        <f>+Supplies!K6</f>
        <v>4000</v>
      </c>
      <c r="X6" s="436">
        <f t="shared" ref="X6:X36" si="3">+W6-V6</f>
        <v>0</v>
      </c>
      <c r="Y6" s="436">
        <f>+V6</f>
        <v>4000</v>
      </c>
      <c r="Z6" s="436">
        <f>+W6</f>
        <v>4000</v>
      </c>
      <c r="AB6" s="22">
        <v>10000</v>
      </c>
      <c r="AC6" s="436">
        <f>+Supplies!L6</f>
        <v>10000</v>
      </c>
      <c r="AD6" s="436">
        <f t="shared" ref="AD6:AD36" si="4">+AC6-AB6</f>
        <v>0</v>
      </c>
      <c r="AE6" s="436">
        <f>+AB6</f>
        <v>10000</v>
      </c>
      <c r="AF6" s="436">
        <f>+AC6</f>
        <v>10000</v>
      </c>
      <c r="AH6" s="436">
        <v>0</v>
      </c>
      <c r="AI6" s="436">
        <f>+Supplies!N6</f>
        <v>0</v>
      </c>
      <c r="AJ6" s="436">
        <f t="shared" ref="AJ6:AJ36" si="5">+AI6-AH6</f>
        <v>0</v>
      </c>
      <c r="AK6" s="436">
        <f>+AH6</f>
        <v>0</v>
      </c>
      <c r="AL6" s="436">
        <f>+AI6</f>
        <v>0</v>
      </c>
      <c r="AN6" s="436">
        <v>5000</v>
      </c>
      <c r="AO6" s="436">
        <f>+BaseloadMarkets!S6</f>
        <v>5000</v>
      </c>
      <c r="AP6" s="436">
        <f t="shared" ref="AP6:AP36" si="6">+AO6-AN6</f>
        <v>0</v>
      </c>
      <c r="AQ6" s="436">
        <f>+AN6</f>
        <v>5000</v>
      </c>
      <c r="AR6" s="436">
        <f>+AO6</f>
        <v>5000</v>
      </c>
    </row>
    <row r="7" spans="1:44" x14ac:dyDescent="0.2">
      <c r="A7" s="464">
        <f>BaseloadMarkets!A7</f>
        <v>36709</v>
      </c>
      <c r="B7" s="22">
        <v>5000</v>
      </c>
      <c r="C7" s="436">
        <f>+Supplies!H7</f>
        <v>5000</v>
      </c>
      <c r="D7" s="436">
        <f t="shared" si="0"/>
        <v>0</v>
      </c>
      <c r="E7" s="436">
        <f t="shared" ref="E7:E36" si="7">+E6+B7</f>
        <v>10000</v>
      </c>
      <c r="F7" s="436">
        <f t="shared" ref="F7:F36" si="8">+F6+C7</f>
        <v>10000</v>
      </c>
      <c r="G7" s="436">
        <f t="shared" ref="G7:G36" si="9">+G6+D7</f>
        <v>0</v>
      </c>
      <c r="I7" s="22">
        <v>968</v>
      </c>
      <c r="J7" s="436">
        <f>+Supplies!I7</f>
        <v>968</v>
      </c>
      <c r="K7" s="436">
        <f t="shared" si="1"/>
        <v>0</v>
      </c>
      <c r="L7" s="436">
        <f t="shared" ref="L7:L36" si="10">+L6+I7</f>
        <v>1936</v>
      </c>
      <c r="M7" s="436">
        <f t="shared" ref="M7:M36" si="11">+M6+J7</f>
        <v>1936</v>
      </c>
      <c r="N7" s="436">
        <f t="shared" ref="N7:N36" si="12">+N6+K7</f>
        <v>0</v>
      </c>
      <c r="P7" s="22">
        <v>4193</v>
      </c>
      <c r="Q7" s="436">
        <f>+Supplies!J7</f>
        <v>4193</v>
      </c>
      <c r="R7" s="436">
        <f t="shared" si="2"/>
        <v>0</v>
      </c>
      <c r="S7" s="436">
        <f t="shared" ref="S7:S36" si="13">+S6+P7</f>
        <v>8386</v>
      </c>
      <c r="T7" s="436">
        <f t="shared" ref="T7:T36" si="14">+T6+Q7</f>
        <v>8386</v>
      </c>
      <c r="V7" s="436">
        <v>4000</v>
      </c>
      <c r="W7" s="436">
        <f>+Supplies!K7</f>
        <v>4000</v>
      </c>
      <c r="X7" s="436">
        <f t="shared" si="3"/>
        <v>0</v>
      </c>
      <c r="Y7" s="436">
        <f t="shared" ref="Y7:Y36" si="15">+Y6+V7</f>
        <v>8000</v>
      </c>
      <c r="Z7" s="436">
        <f t="shared" ref="Z7:Z36" si="16">+Z6+W7</f>
        <v>8000</v>
      </c>
      <c r="AB7" s="22">
        <v>10000</v>
      </c>
      <c r="AC7" s="436">
        <f>+Supplies!L7</f>
        <v>10000</v>
      </c>
      <c r="AD7" s="436">
        <f t="shared" si="4"/>
        <v>0</v>
      </c>
      <c r="AE7" s="436">
        <f t="shared" ref="AE7:AE36" si="17">+AE6+AB7</f>
        <v>20000</v>
      </c>
      <c r="AF7" s="436">
        <f t="shared" ref="AF7:AF36" si="18">+AF6+AC7</f>
        <v>20000</v>
      </c>
      <c r="AH7" s="436">
        <v>0</v>
      </c>
      <c r="AI7" s="436">
        <f>+Supplies!N7</f>
        <v>0</v>
      </c>
      <c r="AJ7" s="436">
        <f t="shared" si="5"/>
        <v>0</v>
      </c>
      <c r="AK7" s="436">
        <f t="shared" ref="AK7:AK36" si="19">+AK6+AH7</f>
        <v>0</v>
      </c>
      <c r="AL7" s="436">
        <f t="shared" ref="AL7:AL36" si="20">+AL6+AI7</f>
        <v>0</v>
      </c>
      <c r="AN7" s="436">
        <v>5000</v>
      </c>
      <c r="AO7" s="436">
        <f>+BaseloadMarkets!S7</f>
        <v>5000</v>
      </c>
      <c r="AP7" s="436">
        <f t="shared" si="6"/>
        <v>0</v>
      </c>
      <c r="AQ7" s="436">
        <f t="shared" ref="AQ7:AQ36" si="21">+AQ6+AN7</f>
        <v>10000</v>
      </c>
      <c r="AR7" s="436">
        <f t="shared" ref="AR7:AR36" si="22">+AR6+AO7</f>
        <v>10000</v>
      </c>
    </row>
    <row r="8" spans="1:44" x14ac:dyDescent="0.2">
      <c r="A8" s="464">
        <f>BaseloadMarkets!A8</f>
        <v>36710</v>
      </c>
      <c r="B8" s="22">
        <v>5000</v>
      </c>
      <c r="C8" s="436">
        <f>+Supplies!H8</f>
        <v>5000</v>
      </c>
      <c r="D8" s="436">
        <f t="shared" si="0"/>
        <v>0</v>
      </c>
      <c r="E8" s="436">
        <f t="shared" si="7"/>
        <v>15000</v>
      </c>
      <c r="F8" s="436">
        <f t="shared" si="8"/>
        <v>15000</v>
      </c>
      <c r="G8" s="436">
        <f t="shared" si="9"/>
        <v>0</v>
      </c>
      <c r="I8" s="22">
        <v>968</v>
      </c>
      <c r="J8" s="436">
        <f>+Supplies!I8</f>
        <v>965</v>
      </c>
      <c r="K8" s="436">
        <f t="shared" si="1"/>
        <v>-3</v>
      </c>
      <c r="L8" s="436">
        <f t="shared" si="10"/>
        <v>2904</v>
      </c>
      <c r="M8" s="436">
        <f t="shared" si="11"/>
        <v>2901</v>
      </c>
      <c r="N8" s="436">
        <f t="shared" si="12"/>
        <v>-3</v>
      </c>
      <c r="P8" s="22">
        <v>4193</v>
      </c>
      <c r="Q8" s="436">
        <f>+Supplies!J8</f>
        <v>4182</v>
      </c>
      <c r="R8" s="436">
        <f t="shared" si="2"/>
        <v>-11</v>
      </c>
      <c r="S8" s="436">
        <f t="shared" si="13"/>
        <v>12579</v>
      </c>
      <c r="T8" s="436">
        <f t="shared" si="14"/>
        <v>12568</v>
      </c>
      <c r="V8" s="436">
        <v>4000</v>
      </c>
      <c r="W8" s="436">
        <f>+Supplies!K8</f>
        <v>4000</v>
      </c>
      <c r="X8" s="436">
        <f t="shared" si="3"/>
        <v>0</v>
      </c>
      <c r="Y8" s="436">
        <f t="shared" si="15"/>
        <v>12000</v>
      </c>
      <c r="Z8" s="436">
        <f t="shared" si="16"/>
        <v>12000</v>
      </c>
      <c r="AB8" s="22">
        <v>10000</v>
      </c>
      <c r="AC8" s="436">
        <f>+Supplies!L8</f>
        <v>10000</v>
      </c>
      <c r="AD8" s="436">
        <f t="shared" si="4"/>
        <v>0</v>
      </c>
      <c r="AE8" s="436">
        <f t="shared" si="17"/>
        <v>30000</v>
      </c>
      <c r="AF8" s="436">
        <f t="shared" si="18"/>
        <v>30000</v>
      </c>
      <c r="AH8" s="436">
        <v>2500</v>
      </c>
      <c r="AI8" s="436">
        <f>+Supplies!N8</f>
        <v>2491</v>
      </c>
      <c r="AJ8" s="436">
        <f t="shared" si="5"/>
        <v>-9</v>
      </c>
      <c r="AK8" s="436">
        <f t="shared" si="19"/>
        <v>2500</v>
      </c>
      <c r="AL8" s="436">
        <f t="shared" si="20"/>
        <v>2491</v>
      </c>
      <c r="AN8" s="436">
        <v>5000</v>
      </c>
      <c r="AO8" s="436">
        <f>+BaseloadMarkets!S8</f>
        <v>5000</v>
      </c>
      <c r="AP8" s="436">
        <f t="shared" si="6"/>
        <v>0</v>
      </c>
      <c r="AQ8" s="436">
        <f t="shared" si="21"/>
        <v>15000</v>
      </c>
      <c r="AR8" s="436">
        <f t="shared" si="22"/>
        <v>15000</v>
      </c>
    </row>
    <row r="9" spans="1:44" x14ac:dyDescent="0.2">
      <c r="A9" s="464">
        <f>BaseloadMarkets!A9</f>
        <v>36711</v>
      </c>
      <c r="B9" s="22">
        <v>5000</v>
      </c>
      <c r="C9" s="436">
        <f>+Supplies!H9</f>
        <v>5000</v>
      </c>
      <c r="D9" s="436">
        <f t="shared" si="0"/>
        <v>0</v>
      </c>
      <c r="E9" s="436">
        <f t="shared" si="7"/>
        <v>20000</v>
      </c>
      <c r="F9" s="436">
        <f t="shared" si="8"/>
        <v>20000</v>
      </c>
      <c r="G9" s="436">
        <f t="shared" si="9"/>
        <v>0</v>
      </c>
      <c r="I9" s="22">
        <v>968</v>
      </c>
      <c r="J9" s="436">
        <f>+Supplies!I9</f>
        <v>968</v>
      </c>
      <c r="K9" s="436">
        <f t="shared" si="1"/>
        <v>0</v>
      </c>
      <c r="L9" s="436">
        <f t="shared" si="10"/>
        <v>3872</v>
      </c>
      <c r="M9" s="436">
        <f t="shared" si="11"/>
        <v>3869</v>
      </c>
      <c r="N9" s="436">
        <f t="shared" si="12"/>
        <v>-3</v>
      </c>
      <c r="P9" s="22">
        <v>4193</v>
      </c>
      <c r="Q9" s="436">
        <f>+Supplies!J9</f>
        <v>4193</v>
      </c>
      <c r="R9" s="436">
        <f t="shared" si="2"/>
        <v>0</v>
      </c>
      <c r="S9" s="436">
        <f t="shared" si="13"/>
        <v>16772</v>
      </c>
      <c r="T9" s="436">
        <f t="shared" si="14"/>
        <v>16761</v>
      </c>
      <c r="V9" s="436">
        <v>4000</v>
      </c>
      <c r="W9" s="436">
        <f>+Supplies!K9</f>
        <v>4000</v>
      </c>
      <c r="X9" s="436">
        <f t="shared" si="3"/>
        <v>0</v>
      </c>
      <c r="Y9" s="436">
        <f t="shared" si="15"/>
        <v>16000</v>
      </c>
      <c r="Z9" s="436">
        <f t="shared" si="16"/>
        <v>16000</v>
      </c>
      <c r="AB9" s="22">
        <v>10000</v>
      </c>
      <c r="AC9" s="436">
        <f>+Supplies!L9</f>
        <v>10000</v>
      </c>
      <c r="AD9" s="436">
        <f t="shared" si="4"/>
        <v>0</v>
      </c>
      <c r="AE9" s="436">
        <f t="shared" si="17"/>
        <v>40000</v>
      </c>
      <c r="AF9" s="436">
        <f t="shared" si="18"/>
        <v>40000</v>
      </c>
      <c r="AH9" s="436">
        <v>0</v>
      </c>
      <c r="AI9" s="436">
        <f>+Supplies!N9</f>
        <v>0</v>
      </c>
      <c r="AJ9" s="436">
        <f t="shared" si="5"/>
        <v>0</v>
      </c>
      <c r="AK9" s="436">
        <f t="shared" si="19"/>
        <v>2500</v>
      </c>
      <c r="AL9" s="436">
        <f t="shared" si="20"/>
        <v>2491</v>
      </c>
      <c r="AN9" s="436">
        <v>5000</v>
      </c>
      <c r="AO9" s="436">
        <f>+BaseloadMarkets!S9</f>
        <v>5000</v>
      </c>
      <c r="AP9" s="436">
        <f t="shared" si="6"/>
        <v>0</v>
      </c>
      <c r="AQ9" s="436">
        <f t="shared" si="21"/>
        <v>20000</v>
      </c>
      <c r="AR9" s="436">
        <f t="shared" si="22"/>
        <v>20000</v>
      </c>
    </row>
    <row r="10" spans="1:44" x14ac:dyDescent="0.2">
      <c r="A10" s="464">
        <f>BaseloadMarkets!A10</f>
        <v>36712</v>
      </c>
      <c r="B10" s="22">
        <v>5000</v>
      </c>
      <c r="C10" s="436">
        <f>+Supplies!H10</f>
        <v>5000</v>
      </c>
      <c r="D10" s="436">
        <f t="shared" si="0"/>
        <v>0</v>
      </c>
      <c r="E10" s="436">
        <f t="shared" si="7"/>
        <v>25000</v>
      </c>
      <c r="F10" s="436">
        <f t="shared" si="8"/>
        <v>25000</v>
      </c>
      <c r="G10" s="436">
        <f t="shared" si="9"/>
        <v>0</v>
      </c>
      <c r="I10" s="22">
        <v>968</v>
      </c>
      <c r="J10" s="436">
        <f>+Supplies!I10</f>
        <v>968</v>
      </c>
      <c r="K10" s="436">
        <f t="shared" si="1"/>
        <v>0</v>
      </c>
      <c r="L10" s="436">
        <f t="shared" si="10"/>
        <v>4840</v>
      </c>
      <c r="M10" s="436">
        <f t="shared" si="11"/>
        <v>4837</v>
      </c>
      <c r="N10" s="436">
        <f t="shared" si="12"/>
        <v>-3</v>
      </c>
      <c r="P10" s="22">
        <v>4193</v>
      </c>
      <c r="Q10" s="436">
        <f>+Supplies!J10</f>
        <v>4193</v>
      </c>
      <c r="R10" s="436">
        <f t="shared" si="2"/>
        <v>0</v>
      </c>
      <c r="S10" s="436">
        <f t="shared" si="13"/>
        <v>20965</v>
      </c>
      <c r="T10" s="436">
        <f t="shared" si="14"/>
        <v>20954</v>
      </c>
      <c r="V10" s="436">
        <v>4000</v>
      </c>
      <c r="W10" s="436">
        <f>+Supplies!K10</f>
        <v>4000</v>
      </c>
      <c r="X10" s="436">
        <f t="shared" si="3"/>
        <v>0</v>
      </c>
      <c r="Y10" s="436">
        <f t="shared" si="15"/>
        <v>20000</v>
      </c>
      <c r="Z10" s="436">
        <f t="shared" si="16"/>
        <v>20000</v>
      </c>
      <c r="AB10" s="22">
        <v>10000</v>
      </c>
      <c r="AC10" s="436">
        <f>+Supplies!L10</f>
        <v>10000</v>
      </c>
      <c r="AD10" s="436">
        <f t="shared" si="4"/>
        <v>0</v>
      </c>
      <c r="AE10" s="436">
        <f t="shared" si="17"/>
        <v>50000</v>
      </c>
      <c r="AF10" s="436">
        <f t="shared" si="18"/>
        <v>50000</v>
      </c>
      <c r="AH10" s="436">
        <v>2500</v>
      </c>
      <c r="AI10" s="436">
        <f>+Supplies!N10</f>
        <v>2500</v>
      </c>
      <c r="AJ10" s="436">
        <f t="shared" si="5"/>
        <v>0</v>
      </c>
      <c r="AK10" s="436">
        <f t="shared" si="19"/>
        <v>5000</v>
      </c>
      <c r="AL10" s="436">
        <f t="shared" si="20"/>
        <v>4991</v>
      </c>
      <c r="AN10" s="436">
        <v>5000</v>
      </c>
      <c r="AO10" s="436">
        <f>+BaseloadMarkets!S10</f>
        <v>5000</v>
      </c>
      <c r="AP10" s="436">
        <f t="shared" si="6"/>
        <v>0</v>
      </c>
      <c r="AQ10" s="436">
        <f t="shared" si="21"/>
        <v>25000</v>
      </c>
      <c r="AR10" s="436">
        <f t="shared" si="22"/>
        <v>25000</v>
      </c>
    </row>
    <row r="11" spans="1:44" x14ac:dyDescent="0.2">
      <c r="A11" s="464">
        <f>BaseloadMarkets!A11</f>
        <v>36713</v>
      </c>
      <c r="B11" s="22">
        <v>5000</v>
      </c>
      <c r="C11" s="436">
        <f>+Supplies!H11</f>
        <v>5000</v>
      </c>
      <c r="D11" s="436">
        <f t="shared" si="0"/>
        <v>0</v>
      </c>
      <c r="E11" s="436">
        <f t="shared" si="7"/>
        <v>30000</v>
      </c>
      <c r="F11" s="436">
        <f t="shared" si="8"/>
        <v>30000</v>
      </c>
      <c r="G11" s="436">
        <f t="shared" si="9"/>
        <v>0</v>
      </c>
      <c r="I11" s="22">
        <v>968</v>
      </c>
      <c r="J11" s="436">
        <f>+Supplies!I11</f>
        <v>887</v>
      </c>
      <c r="K11" s="436">
        <f t="shared" si="1"/>
        <v>-81</v>
      </c>
      <c r="L11" s="436">
        <f t="shared" si="10"/>
        <v>5808</v>
      </c>
      <c r="M11" s="436">
        <f t="shared" si="11"/>
        <v>5724</v>
      </c>
      <c r="N11" s="436">
        <f t="shared" si="12"/>
        <v>-84</v>
      </c>
      <c r="P11" s="22">
        <v>4193</v>
      </c>
      <c r="Q11" s="436">
        <f>+Supplies!J11</f>
        <v>3926</v>
      </c>
      <c r="R11" s="436">
        <f t="shared" si="2"/>
        <v>-267</v>
      </c>
      <c r="S11" s="436">
        <f t="shared" si="13"/>
        <v>25158</v>
      </c>
      <c r="T11" s="436">
        <f t="shared" si="14"/>
        <v>24880</v>
      </c>
      <c r="V11" s="436">
        <v>4000</v>
      </c>
      <c r="W11" s="436">
        <f>+Supplies!K11</f>
        <v>4000</v>
      </c>
      <c r="X11" s="436">
        <f t="shared" si="3"/>
        <v>0</v>
      </c>
      <c r="Y11" s="436">
        <f t="shared" si="15"/>
        <v>24000</v>
      </c>
      <c r="Z11" s="436">
        <f t="shared" si="16"/>
        <v>24000</v>
      </c>
      <c r="AB11" s="22">
        <v>10000</v>
      </c>
      <c r="AC11" s="436">
        <f>+Supplies!L11</f>
        <v>10000</v>
      </c>
      <c r="AD11" s="436">
        <f t="shared" si="4"/>
        <v>0</v>
      </c>
      <c r="AE11" s="436">
        <f t="shared" si="17"/>
        <v>60000</v>
      </c>
      <c r="AF11" s="436">
        <f t="shared" si="18"/>
        <v>60000</v>
      </c>
      <c r="AH11" s="436">
        <v>2500</v>
      </c>
      <c r="AI11" s="436">
        <f>+Supplies!N11</f>
        <v>2290</v>
      </c>
      <c r="AJ11" s="436">
        <f t="shared" si="5"/>
        <v>-210</v>
      </c>
      <c r="AK11" s="436">
        <f t="shared" si="19"/>
        <v>7500</v>
      </c>
      <c r="AL11" s="436">
        <f t="shared" si="20"/>
        <v>7281</v>
      </c>
      <c r="AN11" s="436">
        <v>5000</v>
      </c>
      <c r="AO11" s="436">
        <f>+BaseloadMarkets!S11</f>
        <v>5000</v>
      </c>
      <c r="AP11" s="436">
        <f t="shared" si="6"/>
        <v>0</v>
      </c>
      <c r="AQ11" s="436">
        <f t="shared" si="21"/>
        <v>30000</v>
      </c>
      <c r="AR11" s="436">
        <f t="shared" si="22"/>
        <v>30000</v>
      </c>
    </row>
    <row r="12" spans="1:44" x14ac:dyDescent="0.2">
      <c r="A12" s="464">
        <f>BaseloadMarkets!A12</f>
        <v>36714</v>
      </c>
      <c r="B12" s="22">
        <v>5000</v>
      </c>
      <c r="C12" s="436">
        <f>+Supplies!H12</f>
        <v>5000</v>
      </c>
      <c r="D12" s="436">
        <f t="shared" si="0"/>
        <v>0</v>
      </c>
      <c r="E12" s="436">
        <f t="shared" si="7"/>
        <v>35000</v>
      </c>
      <c r="F12" s="436">
        <f t="shared" si="8"/>
        <v>35000</v>
      </c>
      <c r="G12" s="436">
        <f t="shared" si="9"/>
        <v>0</v>
      </c>
      <c r="I12" s="22">
        <v>968</v>
      </c>
      <c r="J12" s="436">
        <f>+Supplies!I12</f>
        <v>968</v>
      </c>
      <c r="K12" s="436">
        <f t="shared" si="1"/>
        <v>0</v>
      </c>
      <c r="L12" s="436">
        <f t="shared" si="10"/>
        <v>6776</v>
      </c>
      <c r="M12" s="436">
        <f t="shared" si="11"/>
        <v>6692</v>
      </c>
      <c r="N12" s="436">
        <f t="shared" si="12"/>
        <v>-84</v>
      </c>
      <c r="P12" s="22">
        <v>4193</v>
      </c>
      <c r="Q12" s="436">
        <f>+Supplies!J12</f>
        <v>4189</v>
      </c>
      <c r="R12" s="436">
        <f t="shared" si="2"/>
        <v>-4</v>
      </c>
      <c r="S12" s="436">
        <f t="shared" si="13"/>
        <v>29351</v>
      </c>
      <c r="T12" s="436">
        <f t="shared" si="14"/>
        <v>29069</v>
      </c>
      <c r="V12" s="436">
        <v>4000</v>
      </c>
      <c r="W12" s="436">
        <f>+Supplies!K12</f>
        <v>4000</v>
      </c>
      <c r="X12" s="436">
        <f t="shared" si="3"/>
        <v>0</v>
      </c>
      <c r="Y12" s="436">
        <f t="shared" si="15"/>
        <v>28000</v>
      </c>
      <c r="Z12" s="436">
        <f t="shared" si="16"/>
        <v>28000</v>
      </c>
      <c r="AB12" s="22">
        <v>10000</v>
      </c>
      <c r="AC12" s="436">
        <f>+Supplies!L12</f>
        <v>10000</v>
      </c>
      <c r="AD12" s="436">
        <f t="shared" si="4"/>
        <v>0</v>
      </c>
      <c r="AE12" s="436">
        <f t="shared" si="17"/>
        <v>70000</v>
      </c>
      <c r="AF12" s="436">
        <f t="shared" si="18"/>
        <v>70000</v>
      </c>
      <c r="AH12" s="436">
        <v>2500</v>
      </c>
      <c r="AI12" s="436">
        <f>+Supplies!N12</f>
        <v>2497</v>
      </c>
      <c r="AJ12" s="436">
        <f t="shared" si="5"/>
        <v>-3</v>
      </c>
      <c r="AK12" s="436">
        <f t="shared" si="19"/>
        <v>10000</v>
      </c>
      <c r="AL12" s="436">
        <f t="shared" si="20"/>
        <v>9778</v>
      </c>
      <c r="AN12" s="436">
        <v>5000</v>
      </c>
      <c r="AO12" s="436">
        <f>+BaseloadMarkets!S12</f>
        <v>5000</v>
      </c>
      <c r="AP12" s="436">
        <f t="shared" si="6"/>
        <v>0</v>
      </c>
      <c r="AQ12" s="436">
        <f t="shared" si="21"/>
        <v>35000</v>
      </c>
      <c r="AR12" s="436">
        <f t="shared" si="22"/>
        <v>35000</v>
      </c>
    </row>
    <row r="13" spans="1:44" x14ac:dyDescent="0.2">
      <c r="A13" s="464">
        <f>BaseloadMarkets!A13</f>
        <v>36715</v>
      </c>
      <c r="B13" s="22">
        <v>5000</v>
      </c>
      <c r="C13" s="436">
        <f>+Supplies!H13</f>
        <v>5000</v>
      </c>
      <c r="D13" s="436">
        <f t="shared" si="0"/>
        <v>0</v>
      </c>
      <c r="E13" s="436">
        <f t="shared" si="7"/>
        <v>40000</v>
      </c>
      <c r="F13" s="436">
        <f t="shared" si="8"/>
        <v>40000</v>
      </c>
      <c r="G13" s="436">
        <f t="shared" si="9"/>
        <v>0</v>
      </c>
      <c r="I13" s="22">
        <v>968</v>
      </c>
      <c r="J13" s="436">
        <f>+Supplies!I13</f>
        <v>876</v>
      </c>
      <c r="K13" s="436">
        <f t="shared" si="1"/>
        <v>-92</v>
      </c>
      <c r="L13" s="436">
        <f t="shared" si="10"/>
        <v>7744</v>
      </c>
      <c r="M13" s="436">
        <f t="shared" si="11"/>
        <v>7568</v>
      </c>
      <c r="N13" s="436">
        <f t="shared" si="12"/>
        <v>-176</v>
      </c>
      <c r="P13" s="22">
        <v>4193</v>
      </c>
      <c r="Q13" s="436">
        <f>+Supplies!J13</f>
        <v>3890</v>
      </c>
      <c r="R13" s="436">
        <f t="shared" si="2"/>
        <v>-303</v>
      </c>
      <c r="S13" s="436">
        <f t="shared" si="13"/>
        <v>33544</v>
      </c>
      <c r="T13" s="436">
        <f t="shared" si="14"/>
        <v>32959</v>
      </c>
      <c r="V13" s="436">
        <v>4000</v>
      </c>
      <c r="W13" s="436">
        <f>+Supplies!K13</f>
        <v>4000</v>
      </c>
      <c r="X13" s="436">
        <f t="shared" si="3"/>
        <v>0</v>
      </c>
      <c r="Y13" s="436">
        <f t="shared" si="15"/>
        <v>32000</v>
      </c>
      <c r="Z13" s="436">
        <f t="shared" si="16"/>
        <v>32000</v>
      </c>
      <c r="AB13" s="22">
        <v>10000</v>
      </c>
      <c r="AC13" s="436">
        <f>+Supplies!L13</f>
        <v>10000</v>
      </c>
      <c r="AD13" s="436">
        <f t="shared" si="4"/>
        <v>0</v>
      </c>
      <c r="AE13" s="436">
        <f t="shared" si="17"/>
        <v>80000</v>
      </c>
      <c r="AF13" s="436">
        <f t="shared" si="18"/>
        <v>80000</v>
      </c>
      <c r="AH13" s="436">
        <v>0</v>
      </c>
      <c r="AI13" s="436">
        <f>+Supplies!N13</f>
        <v>0</v>
      </c>
      <c r="AJ13" s="436">
        <f t="shared" si="5"/>
        <v>0</v>
      </c>
      <c r="AK13" s="436">
        <f t="shared" si="19"/>
        <v>10000</v>
      </c>
      <c r="AL13" s="436">
        <f t="shared" si="20"/>
        <v>9778</v>
      </c>
      <c r="AN13" s="436">
        <v>5000</v>
      </c>
      <c r="AO13" s="436">
        <f>+BaseloadMarkets!S13</f>
        <v>5000</v>
      </c>
      <c r="AP13" s="436">
        <f t="shared" si="6"/>
        <v>0</v>
      </c>
      <c r="AQ13" s="436">
        <f t="shared" si="21"/>
        <v>40000</v>
      </c>
      <c r="AR13" s="436">
        <f t="shared" si="22"/>
        <v>40000</v>
      </c>
    </row>
    <row r="14" spans="1:44" x14ac:dyDescent="0.2">
      <c r="A14" s="464">
        <f>BaseloadMarkets!A14</f>
        <v>36716</v>
      </c>
      <c r="B14" s="22">
        <v>5000</v>
      </c>
      <c r="C14" s="436">
        <f>+Supplies!H14</f>
        <v>5000</v>
      </c>
      <c r="D14" s="436">
        <f t="shared" si="0"/>
        <v>0</v>
      </c>
      <c r="E14" s="436">
        <f t="shared" si="7"/>
        <v>45000</v>
      </c>
      <c r="F14" s="436">
        <f t="shared" si="8"/>
        <v>45000</v>
      </c>
      <c r="G14" s="436">
        <f t="shared" si="9"/>
        <v>0</v>
      </c>
      <c r="I14" s="22">
        <v>968</v>
      </c>
      <c r="J14" s="436">
        <f>+Supplies!I14</f>
        <v>968</v>
      </c>
      <c r="K14" s="436">
        <f t="shared" si="1"/>
        <v>0</v>
      </c>
      <c r="L14" s="436">
        <f t="shared" si="10"/>
        <v>8712</v>
      </c>
      <c r="M14" s="436">
        <f t="shared" si="11"/>
        <v>8536</v>
      </c>
      <c r="N14" s="436">
        <f t="shared" si="12"/>
        <v>-176</v>
      </c>
      <c r="P14" s="22">
        <v>4193</v>
      </c>
      <c r="Q14" s="436">
        <f>+Supplies!J14</f>
        <v>4193</v>
      </c>
      <c r="R14" s="436">
        <f t="shared" si="2"/>
        <v>0</v>
      </c>
      <c r="S14" s="436">
        <f t="shared" si="13"/>
        <v>37737</v>
      </c>
      <c r="T14" s="436">
        <f t="shared" si="14"/>
        <v>37152</v>
      </c>
      <c r="V14" s="436">
        <v>4000</v>
      </c>
      <c r="W14" s="436">
        <f>+Supplies!K14</f>
        <v>4000</v>
      </c>
      <c r="X14" s="436">
        <f t="shared" si="3"/>
        <v>0</v>
      </c>
      <c r="Y14" s="436">
        <f t="shared" si="15"/>
        <v>36000</v>
      </c>
      <c r="Z14" s="436">
        <f t="shared" si="16"/>
        <v>36000</v>
      </c>
      <c r="AB14" s="22">
        <v>10000</v>
      </c>
      <c r="AC14" s="436">
        <f>+Supplies!L14</f>
        <v>10000</v>
      </c>
      <c r="AD14" s="436">
        <f t="shared" si="4"/>
        <v>0</v>
      </c>
      <c r="AE14" s="436">
        <f t="shared" si="17"/>
        <v>90000</v>
      </c>
      <c r="AF14" s="436">
        <f t="shared" si="18"/>
        <v>90000</v>
      </c>
      <c r="AH14" s="436">
        <v>0</v>
      </c>
      <c r="AI14" s="436">
        <f>+Supplies!N14</f>
        <v>0</v>
      </c>
      <c r="AJ14" s="436">
        <f t="shared" si="5"/>
        <v>0</v>
      </c>
      <c r="AK14" s="436">
        <f t="shared" si="19"/>
        <v>10000</v>
      </c>
      <c r="AL14" s="436">
        <f t="shared" si="20"/>
        <v>9778</v>
      </c>
      <c r="AN14" s="436">
        <v>5000</v>
      </c>
      <c r="AO14" s="436">
        <f>+BaseloadMarkets!S14</f>
        <v>5000</v>
      </c>
      <c r="AP14" s="436">
        <f t="shared" si="6"/>
        <v>0</v>
      </c>
      <c r="AQ14" s="436">
        <f t="shared" si="21"/>
        <v>45000</v>
      </c>
      <c r="AR14" s="436">
        <f t="shared" si="22"/>
        <v>45000</v>
      </c>
    </row>
    <row r="15" spans="1:44" x14ac:dyDescent="0.2">
      <c r="A15" s="464">
        <f>BaseloadMarkets!A15</f>
        <v>36717</v>
      </c>
      <c r="B15" s="22">
        <v>5000</v>
      </c>
      <c r="C15" s="436">
        <f>+Supplies!H15</f>
        <v>5000</v>
      </c>
      <c r="D15" s="436">
        <f t="shared" si="0"/>
        <v>0</v>
      </c>
      <c r="E15" s="436">
        <f t="shared" si="7"/>
        <v>50000</v>
      </c>
      <c r="F15" s="436">
        <f t="shared" si="8"/>
        <v>50000</v>
      </c>
      <c r="G15" s="436">
        <f t="shared" si="9"/>
        <v>0</v>
      </c>
      <c r="I15" s="22">
        <v>968</v>
      </c>
      <c r="J15" s="436">
        <f>+Supplies!I15</f>
        <v>968</v>
      </c>
      <c r="K15" s="436">
        <f t="shared" si="1"/>
        <v>0</v>
      </c>
      <c r="L15" s="436">
        <f t="shared" si="10"/>
        <v>9680</v>
      </c>
      <c r="M15" s="436">
        <f t="shared" si="11"/>
        <v>9504</v>
      </c>
      <c r="N15" s="436">
        <f t="shared" si="12"/>
        <v>-176</v>
      </c>
      <c r="P15" s="22">
        <v>4193</v>
      </c>
      <c r="Q15" s="436">
        <f>+Supplies!J15</f>
        <v>4193</v>
      </c>
      <c r="R15" s="436">
        <f t="shared" si="2"/>
        <v>0</v>
      </c>
      <c r="S15" s="436">
        <f t="shared" si="13"/>
        <v>41930</v>
      </c>
      <c r="T15" s="436">
        <f t="shared" si="14"/>
        <v>41345</v>
      </c>
      <c r="V15" s="436">
        <v>4000</v>
      </c>
      <c r="W15" s="436">
        <f>+Supplies!K15</f>
        <v>4000</v>
      </c>
      <c r="X15" s="436">
        <f t="shared" si="3"/>
        <v>0</v>
      </c>
      <c r="Y15" s="436">
        <f t="shared" si="15"/>
        <v>40000</v>
      </c>
      <c r="Z15" s="436">
        <f t="shared" si="16"/>
        <v>40000</v>
      </c>
      <c r="AB15" s="22">
        <v>10000</v>
      </c>
      <c r="AC15" s="436">
        <f>+Supplies!L15</f>
        <v>10000</v>
      </c>
      <c r="AD15" s="436">
        <f t="shared" si="4"/>
        <v>0</v>
      </c>
      <c r="AE15" s="436">
        <f t="shared" si="17"/>
        <v>100000</v>
      </c>
      <c r="AF15" s="436">
        <f t="shared" si="18"/>
        <v>100000</v>
      </c>
      <c r="AH15" s="436">
        <v>2500</v>
      </c>
      <c r="AI15" s="436">
        <f>+Supplies!N15</f>
        <v>2500</v>
      </c>
      <c r="AJ15" s="436">
        <f t="shared" si="5"/>
        <v>0</v>
      </c>
      <c r="AK15" s="436">
        <f t="shared" si="19"/>
        <v>12500</v>
      </c>
      <c r="AL15" s="436">
        <f t="shared" si="20"/>
        <v>12278</v>
      </c>
      <c r="AN15" s="436">
        <v>5000</v>
      </c>
      <c r="AO15" s="436">
        <f>+BaseloadMarkets!S15</f>
        <v>5000</v>
      </c>
      <c r="AP15" s="436">
        <f t="shared" si="6"/>
        <v>0</v>
      </c>
      <c r="AQ15" s="436">
        <f t="shared" si="21"/>
        <v>50000</v>
      </c>
      <c r="AR15" s="436">
        <f t="shared" si="22"/>
        <v>50000</v>
      </c>
    </row>
    <row r="16" spans="1:44" x14ac:dyDescent="0.2">
      <c r="A16" s="464">
        <f>BaseloadMarkets!A16</f>
        <v>36718</v>
      </c>
      <c r="B16" s="22">
        <v>5000</v>
      </c>
      <c r="C16" s="436">
        <f>+Supplies!H16</f>
        <v>5000</v>
      </c>
      <c r="D16" s="436">
        <f t="shared" si="0"/>
        <v>0</v>
      </c>
      <c r="E16" s="436">
        <f t="shared" si="7"/>
        <v>55000</v>
      </c>
      <c r="F16" s="436">
        <f t="shared" si="8"/>
        <v>55000</v>
      </c>
      <c r="G16" s="436">
        <f t="shared" si="9"/>
        <v>0</v>
      </c>
      <c r="I16" s="22">
        <v>968</v>
      </c>
      <c r="J16" s="436">
        <f>+Supplies!I16</f>
        <v>968</v>
      </c>
      <c r="K16" s="436">
        <f t="shared" si="1"/>
        <v>0</v>
      </c>
      <c r="L16" s="436">
        <f t="shared" si="10"/>
        <v>10648</v>
      </c>
      <c r="M16" s="436">
        <f t="shared" si="11"/>
        <v>10472</v>
      </c>
      <c r="N16" s="436">
        <f t="shared" si="12"/>
        <v>-176</v>
      </c>
      <c r="P16" s="22">
        <v>4193</v>
      </c>
      <c r="Q16" s="436">
        <f>+Supplies!J16</f>
        <v>4193</v>
      </c>
      <c r="R16" s="436">
        <f t="shared" si="2"/>
        <v>0</v>
      </c>
      <c r="S16" s="436">
        <f t="shared" si="13"/>
        <v>46123</v>
      </c>
      <c r="T16" s="436">
        <f t="shared" si="14"/>
        <v>45538</v>
      </c>
      <c r="V16" s="436">
        <v>4000</v>
      </c>
      <c r="W16" s="436">
        <f>+Supplies!K16</f>
        <v>4000</v>
      </c>
      <c r="X16" s="436">
        <f t="shared" si="3"/>
        <v>0</v>
      </c>
      <c r="Y16" s="436">
        <f t="shared" si="15"/>
        <v>44000</v>
      </c>
      <c r="Z16" s="436">
        <f t="shared" si="16"/>
        <v>44000</v>
      </c>
      <c r="AB16" s="22">
        <v>10000</v>
      </c>
      <c r="AC16" s="436">
        <f>+Supplies!L16</f>
        <v>10000</v>
      </c>
      <c r="AD16" s="436">
        <f t="shared" si="4"/>
        <v>0</v>
      </c>
      <c r="AE16" s="436">
        <f t="shared" si="17"/>
        <v>110000</v>
      </c>
      <c r="AF16" s="436">
        <f t="shared" si="18"/>
        <v>110000</v>
      </c>
      <c r="AH16" s="436">
        <v>2500</v>
      </c>
      <c r="AI16" s="436">
        <f>+Supplies!N16</f>
        <v>2500</v>
      </c>
      <c r="AJ16" s="436">
        <f t="shared" si="5"/>
        <v>0</v>
      </c>
      <c r="AK16" s="436">
        <f t="shared" si="19"/>
        <v>15000</v>
      </c>
      <c r="AL16" s="436">
        <f t="shared" si="20"/>
        <v>14778</v>
      </c>
      <c r="AN16" s="436">
        <v>5000</v>
      </c>
      <c r="AO16" s="436">
        <f>+BaseloadMarkets!S16</f>
        <v>5000</v>
      </c>
      <c r="AP16" s="436">
        <f t="shared" si="6"/>
        <v>0</v>
      </c>
      <c r="AQ16" s="436">
        <f t="shared" si="21"/>
        <v>55000</v>
      </c>
      <c r="AR16" s="436">
        <f t="shared" si="22"/>
        <v>55000</v>
      </c>
    </row>
    <row r="17" spans="1:44" x14ac:dyDescent="0.2">
      <c r="A17" s="464">
        <f>BaseloadMarkets!A17</f>
        <v>36719</v>
      </c>
      <c r="B17" s="22">
        <v>5000</v>
      </c>
      <c r="C17" s="436">
        <f>+Supplies!H17</f>
        <v>5000</v>
      </c>
      <c r="D17" s="436">
        <f t="shared" si="0"/>
        <v>0</v>
      </c>
      <c r="E17" s="436">
        <f t="shared" si="7"/>
        <v>60000</v>
      </c>
      <c r="F17" s="436">
        <f t="shared" si="8"/>
        <v>60000</v>
      </c>
      <c r="G17" s="436">
        <f t="shared" si="9"/>
        <v>0</v>
      </c>
      <c r="I17" s="22">
        <v>968</v>
      </c>
      <c r="J17" s="436">
        <f>+Supplies!I17</f>
        <v>968</v>
      </c>
      <c r="K17" s="436">
        <f t="shared" si="1"/>
        <v>0</v>
      </c>
      <c r="L17" s="436">
        <f t="shared" si="10"/>
        <v>11616</v>
      </c>
      <c r="M17" s="436">
        <f t="shared" si="11"/>
        <v>11440</v>
      </c>
      <c r="N17" s="436">
        <f t="shared" si="12"/>
        <v>-176</v>
      </c>
      <c r="P17" s="22">
        <v>4193</v>
      </c>
      <c r="Q17" s="436">
        <f>+Supplies!J17</f>
        <v>4193</v>
      </c>
      <c r="R17" s="436">
        <f t="shared" si="2"/>
        <v>0</v>
      </c>
      <c r="S17" s="436">
        <f t="shared" si="13"/>
        <v>50316</v>
      </c>
      <c r="T17" s="436">
        <f t="shared" si="14"/>
        <v>49731</v>
      </c>
      <c r="V17" s="436">
        <v>4000</v>
      </c>
      <c r="W17" s="436">
        <f>+Supplies!K17</f>
        <v>4000</v>
      </c>
      <c r="X17" s="436">
        <f t="shared" si="3"/>
        <v>0</v>
      </c>
      <c r="Y17" s="436">
        <f t="shared" si="15"/>
        <v>48000</v>
      </c>
      <c r="Z17" s="436">
        <f t="shared" si="16"/>
        <v>48000</v>
      </c>
      <c r="AB17" s="22">
        <v>10000</v>
      </c>
      <c r="AC17" s="436">
        <f>+Supplies!L17</f>
        <v>10000</v>
      </c>
      <c r="AD17" s="436">
        <f t="shared" si="4"/>
        <v>0</v>
      </c>
      <c r="AE17" s="436">
        <f t="shared" si="17"/>
        <v>120000</v>
      </c>
      <c r="AF17" s="436">
        <f t="shared" si="18"/>
        <v>120000</v>
      </c>
      <c r="AH17" s="436">
        <v>2500</v>
      </c>
      <c r="AI17" s="436">
        <f>+Supplies!N17</f>
        <v>2500</v>
      </c>
      <c r="AJ17" s="436">
        <f t="shared" si="5"/>
        <v>0</v>
      </c>
      <c r="AK17" s="436">
        <f t="shared" si="19"/>
        <v>17500</v>
      </c>
      <c r="AL17" s="436">
        <f t="shared" si="20"/>
        <v>17278</v>
      </c>
      <c r="AN17" s="436">
        <v>5000</v>
      </c>
      <c r="AO17" s="436">
        <f>+BaseloadMarkets!S17</f>
        <v>5000</v>
      </c>
      <c r="AP17" s="436">
        <f t="shared" si="6"/>
        <v>0</v>
      </c>
      <c r="AQ17" s="436">
        <f t="shared" si="21"/>
        <v>60000</v>
      </c>
      <c r="AR17" s="436">
        <f t="shared" si="22"/>
        <v>60000</v>
      </c>
    </row>
    <row r="18" spans="1:44" x14ac:dyDescent="0.2">
      <c r="A18" s="464">
        <f>BaseloadMarkets!A18</f>
        <v>36720</v>
      </c>
      <c r="B18" s="22">
        <v>5000</v>
      </c>
      <c r="C18" s="436">
        <f>+Supplies!H18</f>
        <v>5000</v>
      </c>
      <c r="D18" s="436">
        <f t="shared" si="0"/>
        <v>0</v>
      </c>
      <c r="E18" s="436">
        <f t="shared" si="7"/>
        <v>65000</v>
      </c>
      <c r="F18" s="436">
        <f t="shared" si="8"/>
        <v>65000</v>
      </c>
      <c r="G18" s="436">
        <f t="shared" si="9"/>
        <v>0</v>
      </c>
      <c r="I18" s="22">
        <v>968</v>
      </c>
      <c r="J18" s="436">
        <f>+Supplies!I18</f>
        <v>968</v>
      </c>
      <c r="K18" s="436">
        <f t="shared" si="1"/>
        <v>0</v>
      </c>
      <c r="L18" s="436">
        <f t="shared" si="10"/>
        <v>12584</v>
      </c>
      <c r="M18" s="436">
        <f t="shared" si="11"/>
        <v>12408</v>
      </c>
      <c r="N18" s="436">
        <f t="shared" si="12"/>
        <v>-176</v>
      </c>
      <c r="P18" s="22">
        <v>4193</v>
      </c>
      <c r="Q18" s="436">
        <f>+Supplies!J18</f>
        <v>4193</v>
      </c>
      <c r="R18" s="436">
        <f t="shared" si="2"/>
        <v>0</v>
      </c>
      <c r="S18" s="436">
        <f t="shared" si="13"/>
        <v>54509</v>
      </c>
      <c r="T18" s="436">
        <f t="shared" si="14"/>
        <v>53924</v>
      </c>
      <c r="V18" s="436">
        <v>4000</v>
      </c>
      <c r="W18" s="436">
        <f>+Supplies!K18</f>
        <v>4000</v>
      </c>
      <c r="X18" s="436">
        <f t="shared" si="3"/>
        <v>0</v>
      </c>
      <c r="Y18" s="436">
        <f t="shared" si="15"/>
        <v>52000</v>
      </c>
      <c r="Z18" s="436">
        <f t="shared" si="16"/>
        <v>52000</v>
      </c>
      <c r="AB18" s="22">
        <v>10000</v>
      </c>
      <c r="AC18" s="436">
        <f>+Supplies!L18</f>
        <v>10000</v>
      </c>
      <c r="AD18" s="436">
        <f t="shared" si="4"/>
        <v>0</v>
      </c>
      <c r="AE18" s="436">
        <f t="shared" si="17"/>
        <v>130000</v>
      </c>
      <c r="AF18" s="436">
        <f t="shared" si="18"/>
        <v>130000</v>
      </c>
      <c r="AH18" s="436">
        <v>2500</v>
      </c>
      <c r="AI18" s="436">
        <f>+Supplies!N18</f>
        <v>2500</v>
      </c>
      <c r="AJ18" s="436">
        <f t="shared" si="5"/>
        <v>0</v>
      </c>
      <c r="AK18" s="436">
        <f t="shared" si="19"/>
        <v>20000</v>
      </c>
      <c r="AL18" s="436">
        <f t="shared" si="20"/>
        <v>19778</v>
      </c>
      <c r="AN18" s="436">
        <v>5000</v>
      </c>
      <c r="AO18" s="436">
        <f>+BaseloadMarkets!S18</f>
        <v>5000</v>
      </c>
      <c r="AP18" s="436">
        <f t="shared" si="6"/>
        <v>0</v>
      </c>
      <c r="AQ18" s="436">
        <f t="shared" si="21"/>
        <v>65000</v>
      </c>
      <c r="AR18" s="436">
        <f t="shared" si="22"/>
        <v>65000</v>
      </c>
    </row>
    <row r="19" spans="1:44" x14ac:dyDescent="0.2">
      <c r="A19" s="464">
        <f>BaseloadMarkets!A19</f>
        <v>36721</v>
      </c>
      <c r="B19" s="22">
        <v>5000</v>
      </c>
      <c r="C19" s="436">
        <f>+Supplies!H19</f>
        <v>5000</v>
      </c>
      <c r="D19" s="436">
        <f t="shared" si="0"/>
        <v>0</v>
      </c>
      <c r="E19" s="436">
        <f t="shared" si="7"/>
        <v>70000</v>
      </c>
      <c r="F19" s="436">
        <f t="shared" si="8"/>
        <v>70000</v>
      </c>
      <c r="G19" s="436">
        <f t="shared" si="9"/>
        <v>0</v>
      </c>
      <c r="I19" s="22">
        <v>968</v>
      </c>
      <c r="J19" s="436">
        <f>+Supplies!I19</f>
        <v>968</v>
      </c>
      <c r="K19" s="436">
        <f t="shared" si="1"/>
        <v>0</v>
      </c>
      <c r="L19" s="436">
        <f t="shared" si="10"/>
        <v>13552</v>
      </c>
      <c r="M19" s="436">
        <f t="shared" si="11"/>
        <v>13376</v>
      </c>
      <c r="N19" s="436">
        <f t="shared" si="12"/>
        <v>-176</v>
      </c>
      <c r="P19" s="22">
        <v>4193</v>
      </c>
      <c r="Q19" s="436">
        <f>+Supplies!J19</f>
        <v>4193</v>
      </c>
      <c r="R19" s="436">
        <f t="shared" si="2"/>
        <v>0</v>
      </c>
      <c r="S19" s="436">
        <f t="shared" si="13"/>
        <v>58702</v>
      </c>
      <c r="T19" s="436">
        <f t="shared" si="14"/>
        <v>58117</v>
      </c>
      <c r="V19" s="436">
        <v>4000</v>
      </c>
      <c r="W19" s="436">
        <f>+Supplies!K19</f>
        <v>4000</v>
      </c>
      <c r="X19" s="436">
        <f t="shared" si="3"/>
        <v>0</v>
      </c>
      <c r="Y19" s="436">
        <f t="shared" si="15"/>
        <v>56000</v>
      </c>
      <c r="Z19" s="436">
        <f t="shared" si="16"/>
        <v>56000</v>
      </c>
      <c r="AB19" s="22">
        <v>10000</v>
      </c>
      <c r="AC19" s="436">
        <f>+Supplies!L19</f>
        <v>10000</v>
      </c>
      <c r="AD19" s="436">
        <f t="shared" si="4"/>
        <v>0</v>
      </c>
      <c r="AE19" s="436">
        <f t="shared" si="17"/>
        <v>140000</v>
      </c>
      <c r="AF19" s="436">
        <f t="shared" si="18"/>
        <v>140000</v>
      </c>
      <c r="AH19" s="436">
        <v>2500</v>
      </c>
      <c r="AI19" s="436">
        <f>+Supplies!N19</f>
        <v>2500</v>
      </c>
      <c r="AJ19" s="436">
        <f t="shared" si="5"/>
        <v>0</v>
      </c>
      <c r="AK19" s="436">
        <f t="shared" si="19"/>
        <v>22500</v>
      </c>
      <c r="AL19" s="436">
        <f t="shared" si="20"/>
        <v>22278</v>
      </c>
      <c r="AN19" s="436">
        <v>5000</v>
      </c>
      <c r="AO19" s="436">
        <f>+BaseloadMarkets!S19</f>
        <v>5000</v>
      </c>
      <c r="AP19" s="436">
        <f t="shared" si="6"/>
        <v>0</v>
      </c>
      <c r="AQ19" s="436">
        <f t="shared" si="21"/>
        <v>70000</v>
      </c>
      <c r="AR19" s="436">
        <f t="shared" si="22"/>
        <v>70000</v>
      </c>
    </row>
    <row r="20" spans="1:44" x14ac:dyDescent="0.2">
      <c r="A20" s="464">
        <f>BaseloadMarkets!A20</f>
        <v>36722</v>
      </c>
      <c r="B20" s="22">
        <v>5000</v>
      </c>
      <c r="C20" s="436">
        <f>+Supplies!H20</f>
        <v>5000</v>
      </c>
      <c r="D20" s="436">
        <f t="shared" si="0"/>
        <v>0</v>
      </c>
      <c r="E20" s="436">
        <f t="shared" si="7"/>
        <v>75000</v>
      </c>
      <c r="F20" s="436">
        <f t="shared" si="8"/>
        <v>75000</v>
      </c>
      <c r="G20" s="436">
        <f t="shared" si="9"/>
        <v>0</v>
      </c>
      <c r="I20" s="22">
        <v>968</v>
      </c>
      <c r="J20" s="436">
        <f>+Supplies!I20</f>
        <v>968</v>
      </c>
      <c r="K20" s="436">
        <f t="shared" si="1"/>
        <v>0</v>
      </c>
      <c r="L20" s="436">
        <f t="shared" si="10"/>
        <v>14520</v>
      </c>
      <c r="M20" s="436">
        <f t="shared" si="11"/>
        <v>14344</v>
      </c>
      <c r="N20" s="436">
        <f t="shared" si="12"/>
        <v>-176</v>
      </c>
      <c r="P20" s="22">
        <v>4193</v>
      </c>
      <c r="Q20" s="436">
        <f>+Supplies!J20</f>
        <v>4193</v>
      </c>
      <c r="R20" s="436">
        <f t="shared" si="2"/>
        <v>0</v>
      </c>
      <c r="S20" s="436">
        <f t="shared" si="13"/>
        <v>62895</v>
      </c>
      <c r="T20" s="436">
        <f t="shared" si="14"/>
        <v>62310</v>
      </c>
      <c r="V20" s="436">
        <v>4000</v>
      </c>
      <c r="W20" s="436">
        <f>+Supplies!K20</f>
        <v>4000</v>
      </c>
      <c r="X20" s="436">
        <f t="shared" si="3"/>
        <v>0</v>
      </c>
      <c r="Y20" s="436">
        <f t="shared" si="15"/>
        <v>60000</v>
      </c>
      <c r="Z20" s="436">
        <f t="shared" si="16"/>
        <v>60000</v>
      </c>
      <c r="AB20" s="22">
        <v>10000</v>
      </c>
      <c r="AC20" s="436">
        <f>+Supplies!L20</f>
        <v>10000</v>
      </c>
      <c r="AD20" s="436">
        <f t="shared" si="4"/>
        <v>0</v>
      </c>
      <c r="AE20" s="436">
        <f t="shared" si="17"/>
        <v>150000</v>
      </c>
      <c r="AF20" s="436">
        <f t="shared" si="18"/>
        <v>150000</v>
      </c>
      <c r="AH20" s="436">
        <v>0</v>
      </c>
      <c r="AI20" s="436">
        <f>+Supplies!N20</f>
        <v>0</v>
      </c>
      <c r="AJ20" s="436">
        <f t="shared" si="5"/>
        <v>0</v>
      </c>
      <c r="AK20" s="436">
        <f t="shared" si="19"/>
        <v>22500</v>
      </c>
      <c r="AL20" s="436">
        <f t="shared" si="20"/>
        <v>22278</v>
      </c>
      <c r="AN20" s="436">
        <v>5000</v>
      </c>
      <c r="AO20" s="436">
        <f>+BaseloadMarkets!S20</f>
        <v>5000</v>
      </c>
      <c r="AP20" s="436">
        <f t="shared" si="6"/>
        <v>0</v>
      </c>
      <c r="AQ20" s="436">
        <f t="shared" si="21"/>
        <v>75000</v>
      </c>
      <c r="AR20" s="436">
        <f t="shared" si="22"/>
        <v>75000</v>
      </c>
    </row>
    <row r="21" spans="1:44" x14ac:dyDescent="0.2">
      <c r="A21" s="464">
        <f>BaseloadMarkets!A21</f>
        <v>36723</v>
      </c>
      <c r="B21" s="22">
        <v>5000</v>
      </c>
      <c r="C21" s="436">
        <f>+Supplies!H21</f>
        <v>5000</v>
      </c>
      <c r="D21" s="436">
        <f t="shared" si="0"/>
        <v>0</v>
      </c>
      <c r="E21" s="436">
        <f t="shared" si="7"/>
        <v>80000</v>
      </c>
      <c r="F21" s="436">
        <f t="shared" si="8"/>
        <v>80000</v>
      </c>
      <c r="G21" s="436">
        <f t="shared" si="9"/>
        <v>0</v>
      </c>
      <c r="I21" s="22">
        <v>968</v>
      </c>
      <c r="J21" s="436">
        <f>+Supplies!I21</f>
        <v>968</v>
      </c>
      <c r="K21" s="436">
        <f t="shared" si="1"/>
        <v>0</v>
      </c>
      <c r="L21" s="436">
        <f t="shared" si="10"/>
        <v>15488</v>
      </c>
      <c r="M21" s="436">
        <f t="shared" si="11"/>
        <v>15312</v>
      </c>
      <c r="N21" s="436">
        <f t="shared" si="12"/>
        <v>-176</v>
      </c>
      <c r="P21" s="22">
        <v>4193</v>
      </c>
      <c r="Q21" s="436">
        <f>+Supplies!J21</f>
        <v>4193</v>
      </c>
      <c r="R21" s="436">
        <f t="shared" si="2"/>
        <v>0</v>
      </c>
      <c r="S21" s="436">
        <f t="shared" si="13"/>
        <v>67088</v>
      </c>
      <c r="T21" s="436">
        <f t="shared" si="14"/>
        <v>66503</v>
      </c>
      <c r="V21" s="436">
        <v>4000</v>
      </c>
      <c r="W21" s="436">
        <f>+Supplies!K21</f>
        <v>4000</v>
      </c>
      <c r="X21" s="436">
        <f t="shared" si="3"/>
        <v>0</v>
      </c>
      <c r="Y21" s="436">
        <f t="shared" si="15"/>
        <v>64000</v>
      </c>
      <c r="Z21" s="436">
        <f t="shared" si="16"/>
        <v>64000</v>
      </c>
      <c r="AB21" s="22">
        <v>10000</v>
      </c>
      <c r="AC21" s="436">
        <f>+Supplies!L21</f>
        <v>10000</v>
      </c>
      <c r="AD21" s="436">
        <f t="shared" si="4"/>
        <v>0</v>
      </c>
      <c r="AE21" s="436">
        <f t="shared" si="17"/>
        <v>160000</v>
      </c>
      <c r="AF21" s="436">
        <f t="shared" si="18"/>
        <v>160000</v>
      </c>
      <c r="AH21" s="436">
        <v>0</v>
      </c>
      <c r="AI21" s="436">
        <f>+Supplies!N21</f>
        <v>0</v>
      </c>
      <c r="AJ21" s="436">
        <f t="shared" si="5"/>
        <v>0</v>
      </c>
      <c r="AK21" s="436">
        <f t="shared" si="19"/>
        <v>22500</v>
      </c>
      <c r="AL21" s="436">
        <f t="shared" si="20"/>
        <v>22278</v>
      </c>
      <c r="AN21" s="436">
        <v>5000</v>
      </c>
      <c r="AO21" s="436">
        <f>+BaseloadMarkets!S21</f>
        <v>5000</v>
      </c>
      <c r="AP21" s="436">
        <f t="shared" si="6"/>
        <v>0</v>
      </c>
      <c r="AQ21" s="436">
        <f t="shared" si="21"/>
        <v>80000</v>
      </c>
      <c r="AR21" s="436">
        <f t="shared" si="22"/>
        <v>80000</v>
      </c>
    </row>
    <row r="22" spans="1:44" x14ac:dyDescent="0.2">
      <c r="A22" s="464">
        <f>BaseloadMarkets!A22</f>
        <v>36724</v>
      </c>
      <c r="B22" s="22">
        <v>5000</v>
      </c>
      <c r="C22" s="436">
        <f>+Supplies!H22</f>
        <v>5000</v>
      </c>
      <c r="D22" s="436">
        <f t="shared" si="0"/>
        <v>0</v>
      </c>
      <c r="E22" s="436">
        <f t="shared" si="7"/>
        <v>85000</v>
      </c>
      <c r="F22" s="436">
        <f t="shared" si="8"/>
        <v>85000</v>
      </c>
      <c r="G22" s="436">
        <f t="shared" si="9"/>
        <v>0</v>
      </c>
      <c r="I22" s="22">
        <v>968</v>
      </c>
      <c r="J22" s="436">
        <f>+Supplies!I22</f>
        <v>968</v>
      </c>
      <c r="K22" s="436">
        <f t="shared" si="1"/>
        <v>0</v>
      </c>
      <c r="L22" s="436">
        <f t="shared" si="10"/>
        <v>16456</v>
      </c>
      <c r="M22" s="436">
        <f t="shared" si="11"/>
        <v>16280</v>
      </c>
      <c r="N22" s="436">
        <f t="shared" si="12"/>
        <v>-176</v>
      </c>
      <c r="P22" s="22">
        <v>4193</v>
      </c>
      <c r="Q22" s="436">
        <f>+Supplies!J22</f>
        <v>4193</v>
      </c>
      <c r="R22" s="436">
        <f t="shared" si="2"/>
        <v>0</v>
      </c>
      <c r="S22" s="436">
        <f t="shared" si="13"/>
        <v>71281</v>
      </c>
      <c r="T22" s="436">
        <f t="shared" si="14"/>
        <v>70696</v>
      </c>
      <c r="V22" s="436">
        <v>4000</v>
      </c>
      <c r="W22" s="436">
        <f>+Supplies!K22</f>
        <v>4000</v>
      </c>
      <c r="X22" s="436">
        <f t="shared" si="3"/>
        <v>0</v>
      </c>
      <c r="Y22" s="436">
        <f t="shared" si="15"/>
        <v>68000</v>
      </c>
      <c r="Z22" s="436">
        <f t="shared" si="16"/>
        <v>68000</v>
      </c>
      <c r="AB22" s="22">
        <v>10000</v>
      </c>
      <c r="AC22" s="436">
        <f>+Supplies!L22</f>
        <v>10000</v>
      </c>
      <c r="AD22" s="436">
        <f t="shared" si="4"/>
        <v>0</v>
      </c>
      <c r="AE22" s="436">
        <f t="shared" si="17"/>
        <v>170000</v>
      </c>
      <c r="AF22" s="436">
        <f t="shared" si="18"/>
        <v>170000</v>
      </c>
      <c r="AH22" s="436">
        <v>2500</v>
      </c>
      <c r="AI22" s="436">
        <f>+Supplies!N22</f>
        <v>0</v>
      </c>
      <c r="AJ22" s="436">
        <f t="shared" si="5"/>
        <v>-2500</v>
      </c>
      <c r="AK22" s="436">
        <f t="shared" si="19"/>
        <v>25000</v>
      </c>
      <c r="AL22" s="436">
        <f t="shared" si="20"/>
        <v>22278</v>
      </c>
      <c r="AN22" s="436">
        <v>5000</v>
      </c>
      <c r="AO22" s="436">
        <f>+BaseloadMarkets!S22</f>
        <v>5000</v>
      </c>
      <c r="AP22" s="436">
        <f t="shared" si="6"/>
        <v>0</v>
      </c>
      <c r="AQ22" s="436">
        <f t="shared" si="21"/>
        <v>85000</v>
      </c>
      <c r="AR22" s="436">
        <f t="shared" si="22"/>
        <v>85000</v>
      </c>
    </row>
    <row r="23" spans="1:44" x14ac:dyDescent="0.2">
      <c r="A23" s="464">
        <f>BaseloadMarkets!A23</f>
        <v>36725</v>
      </c>
      <c r="B23" s="22">
        <v>5000</v>
      </c>
      <c r="C23" s="436">
        <f>+Supplies!H23</f>
        <v>5000</v>
      </c>
      <c r="D23" s="436">
        <f t="shared" si="0"/>
        <v>0</v>
      </c>
      <c r="E23" s="436">
        <f t="shared" si="7"/>
        <v>90000</v>
      </c>
      <c r="F23" s="436">
        <f t="shared" si="8"/>
        <v>90000</v>
      </c>
      <c r="G23" s="436">
        <f t="shared" si="9"/>
        <v>0</v>
      </c>
      <c r="I23" s="22">
        <v>968</v>
      </c>
      <c r="J23" s="436">
        <f>+Supplies!I23</f>
        <v>968</v>
      </c>
      <c r="K23" s="436">
        <f t="shared" si="1"/>
        <v>0</v>
      </c>
      <c r="L23" s="436">
        <f t="shared" si="10"/>
        <v>17424</v>
      </c>
      <c r="M23" s="436">
        <f t="shared" si="11"/>
        <v>17248</v>
      </c>
      <c r="N23" s="436">
        <f t="shared" si="12"/>
        <v>-176</v>
      </c>
      <c r="P23" s="22">
        <v>4193</v>
      </c>
      <c r="Q23" s="436">
        <f>+Supplies!J23</f>
        <v>4193</v>
      </c>
      <c r="R23" s="436">
        <f t="shared" si="2"/>
        <v>0</v>
      </c>
      <c r="S23" s="436">
        <f t="shared" si="13"/>
        <v>75474</v>
      </c>
      <c r="T23" s="436">
        <f t="shared" si="14"/>
        <v>74889</v>
      </c>
      <c r="V23" s="436">
        <v>4000</v>
      </c>
      <c r="W23" s="436">
        <f>+Supplies!K23</f>
        <v>4000</v>
      </c>
      <c r="X23" s="436">
        <f t="shared" si="3"/>
        <v>0</v>
      </c>
      <c r="Y23" s="436">
        <f t="shared" si="15"/>
        <v>72000</v>
      </c>
      <c r="Z23" s="436">
        <f t="shared" si="16"/>
        <v>72000</v>
      </c>
      <c r="AB23" s="22">
        <v>10000</v>
      </c>
      <c r="AC23" s="436">
        <f>+Supplies!L23</f>
        <v>10000</v>
      </c>
      <c r="AD23" s="436">
        <f t="shared" si="4"/>
        <v>0</v>
      </c>
      <c r="AE23" s="436">
        <f t="shared" si="17"/>
        <v>180000</v>
      </c>
      <c r="AF23" s="436">
        <f t="shared" si="18"/>
        <v>180000</v>
      </c>
      <c r="AH23" s="436">
        <v>2500</v>
      </c>
      <c r="AI23" s="436">
        <f>+Supplies!N23</f>
        <v>2500</v>
      </c>
      <c r="AJ23" s="436">
        <f t="shared" si="5"/>
        <v>0</v>
      </c>
      <c r="AK23" s="436">
        <f t="shared" si="19"/>
        <v>27500</v>
      </c>
      <c r="AL23" s="436">
        <f t="shared" si="20"/>
        <v>24778</v>
      </c>
      <c r="AN23" s="436">
        <v>5000</v>
      </c>
      <c r="AO23" s="436">
        <f>+BaseloadMarkets!S23</f>
        <v>5000</v>
      </c>
      <c r="AP23" s="436">
        <f t="shared" si="6"/>
        <v>0</v>
      </c>
      <c r="AQ23" s="436">
        <f t="shared" si="21"/>
        <v>90000</v>
      </c>
      <c r="AR23" s="436">
        <f t="shared" si="22"/>
        <v>90000</v>
      </c>
    </row>
    <row r="24" spans="1:44" x14ac:dyDescent="0.2">
      <c r="A24" s="464">
        <f>BaseloadMarkets!A24</f>
        <v>36726</v>
      </c>
      <c r="B24" s="22">
        <v>5000</v>
      </c>
      <c r="C24" s="436">
        <f>+Supplies!H24</f>
        <v>5000</v>
      </c>
      <c r="D24" s="436">
        <f t="shared" si="0"/>
        <v>0</v>
      </c>
      <c r="E24" s="436">
        <f t="shared" si="7"/>
        <v>95000</v>
      </c>
      <c r="F24" s="436">
        <f t="shared" si="8"/>
        <v>95000</v>
      </c>
      <c r="G24" s="436">
        <f t="shared" si="9"/>
        <v>0</v>
      </c>
      <c r="I24" s="22">
        <v>968</v>
      </c>
      <c r="J24" s="436">
        <f>+Supplies!I24</f>
        <v>968</v>
      </c>
      <c r="K24" s="436">
        <f t="shared" si="1"/>
        <v>0</v>
      </c>
      <c r="L24" s="436">
        <f t="shared" si="10"/>
        <v>18392</v>
      </c>
      <c r="M24" s="436">
        <f t="shared" si="11"/>
        <v>18216</v>
      </c>
      <c r="N24" s="436">
        <f t="shared" si="12"/>
        <v>-176</v>
      </c>
      <c r="P24" s="22">
        <v>4193</v>
      </c>
      <c r="Q24" s="436">
        <f>+Supplies!J24</f>
        <v>4193</v>
      </c>
      <c r="R24" s="436">
        <f t="shared" si="2"/>
        <v>0</v>
      </c>
      <c r="S24" s="436">
        <f t="shared" si="13"/>
        <v>79667</v>
      </c>
      <c r="T24" s="436">
        <f t="shared" si="14"/>
        <v>79082</v>
      </c>
      <c r="V24" s="436">
        <v>4000</v>
      </c>
      <c r="W24" s="436">
        <f>+Supplies!K24</f>
        <v>4000</v>
      </c>
      <c r="X24" s="436">
        <f t="shared" si="3"/>
        <v>0</v>
      </c>
      <c r="Y24" s="436">
        <f t="shared" si="15"/>
        <v>76000</v>
      </c>
      <c r="Z24" s="436">
        <f t="shared" si="16"/>
        <v>76000</v>
      </c>
      <c r="AB24" s="22">
        <v>10000</v>
      </c>
      <c r="AC24" s="436">
        <f>+Supplies!L24</f>
        <v>10000</v>
      </c>
      <c r="AD24" s="436">
        <f t="shared" si="4"/>
        <v>0</v>
      </c>
      <c r="AE24" s="436">
        <f t="shared" si="17"/>
        <v>190000</v>
      </c>
      <c r="AF24" s="436">
        <f t="shared" si="18"/>
        <v>190000</v>
      </c>
      <c r="AH24" s="436">
        <v>2500</v>
      </c>
      <c r="AI24" s="436">
        <f>+Supplies!N24</f>
        <v>2500</v>
      </c>
      <c r="AJ24" s="436">
        <f t="shared" si="5"/>
        <v>0</v>
      </c>
      <c r="AK24" s="436">
        <f t="shared" si="19"/>
        <v>30000</v>
      </c>
      <c r="AL24" s="436">
        <f t="shared" si="20"/>
        <v>27278</v>
      </c>
      <c r="AN24" s="436">
        <v>5000</v>
      </c>
      <c r="AO24" s="436">
        <f>+BaseloadMarkets!S24</f>
        <v>5000</v>
      </c>
      <c r="AP24" s="436">
        <f t="shared" si="6"/>
        <v>0</v>
      </c>
      <c r="AQ24" s="436">
        <f t="shared" si="21"/>
        <v>95000</v>
      </c>
      <c r="AR24" s="436">
        <f t="shared" si="22"/>
        <v>95000</v>
      </c>
    </row>
    <row r="25" spans="1:44" x14ac:dyDescent="0.2">
      <c r="A25" s="464">
        <f>BaseloadMarkets!A25</f>
        <v>36727</v>
      </c>
      <c r="B25" s="22">
        <v>5000</v>
      </c>
      <c r="C25" s="436">
        <f>+Supplies!H25</f>
        <v>5000</v>
      </c>
      <c r="D25" s="436">
        <f t="shared" si="0"/>
        <v>0</v>
      </c>
      <c r="E25" s="436">
        <f t="shared" si="7"/>
        <v>100000</v>
      </c>
      <c r="F25" s="436">
        <f t="shared" si="8"/>
        <v>100000</v>
      </c>
      <c r="G25" s="436">
        <f t="shared" si="9"/>
        <v>0</v>
      </c>
      <c r="I25" s="22">
        <v>968</v>
      </c>
      <c r="J25" s="436">
        <f>+Supplies!I25</f>
        <v>968</v>
      </c>
      <c r="K25" s="436">
        <f t="shared" si="1"/>
        <v>0</v>
      </c>
      <c r="L25" s="436">
        <f t="shared" si="10"/>
        <v>19360</v>
      </c>
      <c r="M25" s="436">
        <f t="shared" si="11"/>
        <v>19184</v>
      </c>
      <c r="N25" s="436">
        <f t="shared" si="12"/>
        <v>-176</v>
      </c>
      <c r="P25" s="22">
        <v>4193</v>
      </c>
      <c r="Q25" s="436">
        <f>+Supplies!J25</f>
        <v>4193</v>
      </c>
      <c r="R25" s="436">
        <f t="shared" si="2"/>
        <v>0</v>
      </c>
      <c r="S25" s="436">
        <f t="shared" si="13"/>
        <v>83860</v>
      </c>
      <c r="T25" s="436">
        <f t="shared" si="14"/>
        <v>83275</v>
      </c>
      <c r="V25" s="436">
        <v>4000</v>
      </c>
      <c r="W25" s="436">
        <f>+Supplies!K25</f>
        <v>4000</v>
      </c>
      <c r="X25" s="436">
        <f t="shared" si="3"/>
        <v>0</v>
      </c>
      <c r="Y25" s="436">
        <f t="shared" si="15"/>
        <v>80000</v>
      </c>
      <c r="Z25" s="436">
        <f t="shared" si="16"/>
        <v>80000</v>
      </c>
      <c r="AB25" s="22">
        <v>10000</v>
      </c>
      <c r="AC25" s="436">
        <f>+Supplies!L25</f>
        <v>10000</v>
      </c>
      <c r="AD25" s="436">
        <f t="shared" si="4"/>
        <v>0</v>
      </c>
      <c r="AE25" s="436">
        <f t="shared" si="17"/>
        <v>200000</v>
      </c>
      <c r="AF25" s="436">
        <f t="shared" si="18"/>
        <v>200000</v>
      </c>
      <c r="AH25" s="436">
        <v>2500</v>
      </c>
      <c r="AI25" s="436">
        <f>+Supplies!N25</f>
        <v>2500</v>
      </c>
      <c r="AJ25" s="436">
        <f t="shared" si="5"/>
        <v>0</v>
      </c>
      <c r="AK25" s="436">
        <f t="shared" si="19"/>
        <v>32500</v>
      </c>
      <c r="AL25" s="436">
        <f t="shared" si="20"/>
        <v>29778</v>
      </c>
      <c r="AN25" s="436">
        <v>5000</v>
      </c>
      <c r="AO25" s="436">
        <f>+BaseloadMarkets!S25</f>
        <v>5000</v>
      </c>
      <c r="AP25" s="436">
        <f t="shared" si="6"/>
        <v>0</v>
      </c>
      <c r="AQ25" s="436">
        <f t="shared" si="21"/>
        <v>100000</v>
      </c>
      <c r="AR25" s="436">
        <f t="shared" si="22"/>
        <v>100000</v>
      </c>
    </row>
    <row r="26" spans="1:44" x14ac:dyDescent="0.2">
      <c r="A26" s="464">
        <f>BaseloadMarkets!A26</f>
        <v>36728</v>
      </c>
      <c r="B26" s="22">
        <v>5000</v>
      </c>
      <c r="C26" s="436">
        <f>+Supplies!H26</f>
        <v>5000</v>
      </c>
      <c r="D26" s="436">
        <f t="shared" si="0"/>
        <v>0</v>
      </c>
      <c r="E26" s="436">
        <f t="shared" si="7"/>
        <v>105000</v>
      </c>
      <c r="F26" s="436">
        <f t="shared" si="8"/>
        <v>105000</v>
      </c>
      <c r="G26" s="436">
        <f t="shared" si="9"/>
        <v>0</v>
      </c>
      <c r="I26" s="22">
        <v>968</v>
      </c>
      <c r="J26" s="436">
        <f>+Supplies!I26</f>
        <v>968</v>
      </c>
      <c r="K26" s="436">
        <f t="shared" si="1"/>
        <v>0</v>
      </c>
      <c r="L26" s="436">
        <f t="shared" si="10"/>
        <v>20328</v>
      </c>
      <c r="M26" s="436">
        <f t="shared" si="11"/>
        <v>20152</v>
      </c>
      <c r="N26" s="436">
        <f t="shared" si="12"/>
        <v>-176</v>
      </c>
      <c r="P26" s="22">
        <v>4193</v>
      </c>
      <c r="Q26" s="436">
        <f>+Supplies!J26</f>
        <v>4193</v>
      </c>
      <c r="R26" s="436">
        <f t="shared" si="2"/>
        <v>0</v>
      </c>
      <c r="S26" s="436">
        <f t="shared" si="13"/>
        <v>88053</v>
      </c>
      <c r="T26" s="436">
        <f t="shared" si="14"/>
        <v>87468</v>
      </c>
      <c r="V26" s="436">
        <v>4000</v>
      </c>
      <c r="W26" s="436">
        <f>+Supplies!K26</f>
        <v>4000</v>
      </c>
      <c r="X26" s="436">
        <f t="shared" si="3"/>
        <v>0</v>
      </c>
      <c r="Y26" s="436">
        <f t="shared" si="15"/>
        <v>84000</v>
      </c>
      <c r="Z26" s="436">
        <f t="shared" si="16"/>
        <v>84000</v>
      </c>
      <c r="AB26" s="22">
        <v>10000</v>
      </c>
      <c r="AC26" s="436">
        <f>+Supplies!L26</f>
        <v>10000</v>
      </c>
      <c r="AD26" s="436">
        <f t="shared" si="4"/>
        <v>0</v>
      </c>
      <c r="AE26" s="436">
        <f t="shared" si="17"/>
        <v>210000</v>
      </c>
      <c r="AF26" s="436">
        <f t="shared" si="18"/>
        <v>210000</v>
      </c>
      <c r="AH26" s="436">
        <v>2500</v>
      </c>
      <c r="AI26" s="436">
        <f>+Supplies!N26</f>
        <v>2500</v>
      </c>
      <c r="AJ26" s="436">
        <f t="shared" si="5"/>
        <v>0</v>
      </c>
      <c r="AK26" s="436">
        <f t="shared" si="19"/>
        <v>35000</v>
      </c>
      <c r="AL26" s="436">
        <f t="shared" si="20"/>
        <v>32278</v>
      </c>
      <c r="AN26" s="436">
        <v>5000</v>
      </c>
      <c r="AO26" s="436">
        <f>+BaseloadMarkets!S26</f>
        <v>5000</v>
      </c>
      <c r="AP26" s="436">
        <f t="shared" si="6"/>
        <v>0</v>
      </c>
      <c r="AQ26" s="436">
        <f t="shared" si="21"/>
        <v>105000</v>
      </c>
      <c r="AR26" s="436">
        <f t="shared" si="22"/>
        <v>105000</v>
      </c>
    </row>
    <row r="27" spans="1:44" x14ac:dyDescent="0.2">
      <c r="A27" s="464">
        <f>BaseloadMarkets!A27</f>
        <v>36729</v>
      </c>
      <c r="B27" s="22">
        <v>5000</v>
      </c>
      <c r="C27" s="436">
        <f>+Supplies!H27</f>
        <v>5000</v>
      </c>
      <c r="D27" s="436">
        <f t="shared" si="0"/>
        <v>0</v>
      </c>
      <c r="E27" s="436">
        <f t="shared" si="7"/>
        <v>110000</v>
      </c>
      <c r="F27" s="436">
        <f t="shared" si="8"/>
        <v>110000</v>
      </c>
      <c r="G27" s="436">
        <f t="shared" si="9"/>
        <v>0</v>
      </c>
      <c r="I27" s="22">
        <v>968</v>
      </c>
      <c r="J27" s="436">
        <f>+Supplies!I27</f>
        <v>968</v>
      </c>
      <c r="K27" s="436">
        <f t="shared" si="1"/>
        <v>0</v>
      </c>
      <c r="L27" s="436">
        <f t="shared" si="10"/>
        <v>21296</v>
      </c>
      <c r="M27" s="436">
        <f t="shared" si="11"/>
        <v>21120</v>
      </c>
      <c r="N27" s="436">
        <f t="shared" si="12"/>
        <v>-176</v>
      </c>
      <c r="P27" s="22">
        <v>4193</v>
      </c>
      <c r="Q27" s="436">
        <f>+Supplies!J27</f>
        <v>4193</v>
      </c>
      <c r="R27" s="436">
        <f t="shared" si="2"/>
        <v>0</v>
      </c>
      <c r="S27" s="436">
        <f t="shared" si="13"/>
        <v>92246</v>
      </c>
      <c r="T27" s="436">
        <f t="shared" si="14"/>
        <v>91661</v>
      </c>
      <c r="V27" s="436">
        <v>4000</v>
      </c>
      <c r="W27" s="436">
        <f>+Supplies!K27</f>
        <v>4000</v>
      </c>
      <c r="X27" s="436">
        <f t="shared" si="3"/>
        <v>0</v>
      </c>
      <c r="Y27" s="436">
        <f t="shared" si="15"/>
        <v>88000</v>
      </c>
      <c r="Z27" s="436">
        <f t="shared" si="16"/>
        <v>88000</v>
      </c>
      <c r="AB27" s="22">
        <v>10000</v>
      </c>
      <c r="AC27" s="436">
        <f>+Supplies!L27</f>
        <v>10000</v>
      </c>
      <c r="AD27" s="436">
        <f t="shared" si="4"/>
        <v>0</v>
      </c>
      <c r="AE27" s="436">
        <f t="shared" si="17"/>
        <v>220000</v>
      </c>
      <c r="AF27" s="436">
        <f t="shared" si="18"/>
        <v>220000</v>
      </c>
      <c r="AH27" s="436">
        <v>0</v>
      </c>
      <c r="AI27" s="436">
        <f>+Supplies!N27</f>
        <v>0</v>
      </c>
      <c r="AJ27" s="436">
        <f t="shared" si="5"/>
        <v>0</v>
      </c>
      <c r="AK27" s="436">
        <f t="shared" si="19"/>
        <v>35000</v>
      </c>
      <c r="AL27" s="436">
        <f t="shared" si="20"/>
        <v>32278</v>
      </c>
      <c r="AN27" s="436">
        <v>5000</v>
      </c>
      <c r="AO27" s="436">
        <f>+BaseloadMarkets!S27</f>
        <v>5000</v>
      </c>
      <c r="AP27" s="436">
        <f t="shared" si="6"/>
        <v>0</v>
      </c>
      <c r="AQ27" s="436">
        <f t="shared" si="21"/>
        <v>110000</v>
      </c>
      <c r="AR27" s="436">
        <f t="shared" si="22"/>
        <v>110000</v>
      </c>
    </row>
    <row r="28" spans="1:44" x14ac:dyDescent="0.2">
      <c r="A28" s="464">
        <f>BaseloadMarkets!A28</f>
        <v>36730</v>
      </c>
      <c r="B28" s="22">
        <v>5000</v>
      </c>
      <c r="C28" s="436">
        <f>+Supplies!H28</f>
        <v>5000</v>
      </c>
      <c r="D28" s="436">
        <f t="shared" si="0"/>
        <v>0</v>
      </c>
      <c r="E28" s="436">
        <f t="shared" si="7"/>
        <v>115000</v>
      </c>
      <c r="F28" s="436">
        <f t="shared" si="8"/>
        <v>115000</v>
      </c>
      <c r="G28" s="436">
        <f t="shared" si="9"/>
        <v>0</v>
      </c>
      <c r="I28" s="22">
        <v>968</v>
      </c>
      <c r="J28" s="436">
        <f>+Supplies!I28</f>
        <v>968</v>
      </c>
      <c r="K28" s="436">
        <f t="shared" si="1"/>
        <v>0</v>
      </c>
      <c r="L28" s="436">
        <f t="shared" si="10"/>
        <v>22264</v>
      </c>
      <c r="M28" s="436">
        <f t="shared" si="11"/>
        <v>22088</v>
      </c>
      <c r="N28" s="436">
        <f t="shared" si="12"/>
        <v>-176</v>
      </c>
      <c r="P28" s="22">
        <v>4193</v>
      </c>
      <c r="Q28" s="436">
        <f>+Supplies!J28</f>
        <v>4193</v>
      </c>
      <c r="R28" s="436">
        <f t="shared" si="2"/>
        <v>0</v>
      </c>
      <c r="S28" s="436">
        <f t="shared" si="13"/>
        <v>96439</v>
      </c>
      <c r="T28" s="436">
        <f t="shared" si="14"/>
        <v>95854</v>
      </c>
      <c r="V28" s="436">
        <v>4000</v>
      </c>
      <c r="W28" s="436">
        <f>+Supplies!K28</f>
        <v>4000</v>
      </c>
      <c r="X28" s="436">
        <f t="shared" si="3"/>
        <v>0</v>
      </c>
      <c r="Y28" s="436">
        <f t="shared" si="15"/>
        <v>92000</v>
      </c>
      <c r="Z28" s="436">
        <f t="shared" si="16"/>
        <v>92000</v>
      </c>
      <c r="AB28" s="22">
        <v>10000</v>
      </c>
      <c r="AC28" s="436">
        <f>+Supplies!L28</f>
        <v>10000</v>
      </c>
      <c r="AD28" s="436">
        <f t="shared" si="4"/>
        <v>0</v>
      </c>
      <c r="AE28" s="436">
        <f t="shared" si="17"/>
        <v>230000</v>
      </c>
      <c r="AF28" s="436">
        <f t="shared" si="18"/>
        <v>230000</v>
      </c>
      <c r="AH28" s="436">
        <v>0</v>
      </c>
      <c r="AI28" s="436">
        <f>+Supplies!N28</f>
        <v>0</v>
      </c>
      <c r="AJ28" s="436">
        <f t="shared" si="5"/>
        <v>0</v>
      </c>
      <c r="AK28" s="436">
        <f t="shared" si="19"/>
        <v>35000</v>
      </c>
      <c r="AL28" s="436">
        <f t="shared" si="20"/>
        <v>32278</v>
      </c>
      <c r="AN28" s="436">
        <v>5000</v>
      </c>
      <c r="AO28" s="436">
        <f>+BaseloadMarkets!S28</f>
        <v>5000</v>
      </c>
      <c r="AP28" s="436">
        <f t="shared" si="6"/>
        <v>0</v>
      </c>
      <c r="AQ28" s="436">
        <f t="shared" si="21"/>
        <v>115000</v>
      </c>
      <c r="AR28" s="436">
        <f t="shared" si="22"/>
        <v>115000</v>
      </c>
    </row>
    <row r="29" spans="1:44" x14ac:dyDescent="0.2">
      <c r="A29" s="464">
        <f>BaseloadMarkets!A29</f>
        <v>36731</v>
      </c>
      <c r="B29" s="22">
        <v>5000</v>
      </c>
      <c r="C29" s="436">
        <f>+Supplies!H29</f>
        <v>5000</v>
      </c>
      <c r="D29" s="436">
        <f t="shared" si="0"/>
        <v>0</v>
      </c>
      <c r="E29" s="436">
        <f t="shared" si="7"/>
        <v>120000</v>
      </c>
      <c r="F29" s="436">
        <f t="shared" si="8"/>
        <v>120000</v>
      </c>
      <c r="G29" s="436">
        <f t="shared" si="9"/>
        <v>0</v>
      </c>
      <c r="I29" s="22">
        <v>968</v>
      </c>
      <c r="J29" s="436">
        <f>+Supplies!I29</f>
        <v>923</v>
      </c>
      <c r="K29" s="436">
        <f t="shared" si="1"/>
        <v>-45</v>
      </c>
      <c r="L29" s="436">
        <f t="shared" si="10"/>
        <v>23232</v>
      </c>
      <c r="M29" s="436">
        <f t="shared" si="11"/>
        <v>23011</v>
      </c>
      <c r="N29" s="436">
        <f t="shared" si="12"/>
        <v>-221</v>
      </c>
      <c r="P29" s="22">
        <v>4193</v>
      </c>
      <c r="Q29" s="436">
        <f>+Supplies!J29</f>
        <v>4193</v>
      </c>
      <c r="R29" s="436">
        <f t="shared" si="2"/>
        <v>0</v>
      </c>
      <c r="S29" s="436">
        <f t="shared" si="13"/>
        <v>100632</v>
      </c>
      <c r="T29" s="436">
        <f t="shared" si="14"/>
        <v>100047</v>
      </c>
      <c r="V29" s="436">
        <v>4000</v>
      </c>
      <c r="W29" s="436">
        <f>+Supplies!K29</f>
        <v>4000</v>
      </c>
      <c r="X29" s="436">
        <f t="shared" si="3"/>
        <v>0</v>
      </c>
      <c r="Y29" s="436">
        <f t="shared" si="15"/>
        <v>96000</v>
      </c>
      <c r="Z29" s="436">
        <f t="shared" si="16"/>
        <v>96000</v>
      </c>
      <c r="AB29" s="22">
        <v>10000</v>
      </c>
      <c r="AC29" s="436">
        <f>+Supplies!L29</f>
        <v>10000</v>
      </c>
      <c r="AD29" s="436">
        <f t="shared" si="4"/>
        <v>0</v>
      </c>
      <c r="AE29" s="436">
        <f t="shared" si="17"/>
        <v>240000</v>
      </c>
      <c r="AF29" s="436">
        <f t="shared" si="18"/>
        <v>240000</v>
      </c>
      <c r="AH29" s="436">
        <v>2500</v>
      </c>
      <c r="AI29" s="436">
        <f>+Supplies!N29</f>
        <v>2500</v>
      </c>
      <c r="AJ29" s="436">
        <f t="shared" si="5"/>
        <v>0</v>
      </c>
      <c r="AK29" s="436">
        <f t="shared" si="19"/>
        <v>37500</v>
      </c>
      <c r="AL29" s="436">
        <f t="shared" si="20"/>
        <v>34778</v>
      </c>
      <c r="AN29" s="436">
        <v>5000</v>
      </c>
      <c r="AO29" s="436">
        <f>+BaseloadMarkets!S29</f>
        <v>5000</v>
      </c>
      <c r="AP29" s="436">
        <f t="shared" si="6"/>
        <v>0</v>
      </c>
      <c r="AQ29" s="436">
        <f t="shared" si="21"/>
        <v>120000</v>
      </c>
      <c r="AR29" s="436">
        <f t="shared" si="22"/>
        <v>120000</v>
      </c>
    </row>
    <row r="30" spans="1:44" x14ac:dyDescent="0.2">
      <c r="A30" s="464">
        <f>BaseloadMarkets!A30</f>
        <v>36732</v>
      </c>
      <c r="B30" s="22">
        <v>5000</v>
      </c>
      <c r="C30" s="436">
        <f>+Supplies!H30</f>
        <v>5000</v>
      </c>
      <c r="D30" s="436">
        <f t="shared" si="0"/>
        <v>0</v>
      </c>
      <c r="E30" s="436">
        <f t="shared" si="7"/>
        <v>125000</v>
      </c>
      <c r="F30" s="436">
        <f t="shared" si="8"/>
        <v>125000</v>
      </c>
      <c r="G30" s="436">
        <f t="shared" si="9"/>
        <v>0</v>
      </c>
      <c r="I30" s="22">
        <v>968</v>
      </c>
      <c r="J30" s="436">
        <f>+Supplies!I30</f>
        <v>968</v>
      </c>
      <c r="K30" s="436">
        <f t="shared" si="1"/>
        <v>0</v>
      </c>
      <c r="L30" s="436">
        <f t="shared" si="10"/>
        <v>24200</v>
      </c>
      <c r="M30" s="436">
        <f t="shared" si="11"/>
        <v>23979</v>
      </c>
      <c r="N30" s="436">
        <f t="shared" si="12"/>
        <v>-221</v>
      </c>
      <c r="P30" s="22">
        <v>4193</v>
      </c>
      <c r="Q30" s="436">
        <f>+Supplies!J30</f>
        <v>4193</v>
      </c>
      <c r="R30" s="436">
        <f t="shared" si="2"/>
        <v>0</v>
      </c>
      <c r="S30" s="436">
        <f t="shared" si="13"/>
        <v>104825</v>
      </c>
      <c r="T30" s="436">
        <f t="shared" si="14"/>
        <v>104240</v>
      </c>
      <c r="V30" s="436">
        <v>4000</v>
      </c>
      <c r="W30" s="436">
        <f>+Supplies!K30</f>
        <v>4000</v>
      </c>
      <c r="X30" s="436">
        <f t="shared" si="3"/>
        <v>0</v>
      </c>
      <c r="Y30" s="436">
        <f t="shared" si="15"/>
        <v>100000</v>
      </c>
      <c r="Z30" s="436">
        <f t="shared" si="16"/>
        <v>100000</v>
      </c>
      <c r="AB30" s="22">
        <v>10000</v>
      </c>
      <c r="AC30" s="436">
        <f>+Supplies!L30</f>
        <v>10000</v>
      </c>
      <c r="AD30" s="436">
        <f t="shared" si="4"/>
        <v>0</v>
      </c>
      <c r="AE30" s="436">
        <f t="shared" si="17"/>
        <v>250000</v>
      </c>
      <c r="AF30" s="436">
        <f t="shared" si="18"/>
        <v>250000</v>
      </c>
      <c r="AH30" s="436">
        <v>2500</v>
      </c>
      <c r="AI30" s="436">
        <f>+Supplies!N30</f>
        <v>2500</v>
      </c>
      <c r="AJ30" s="436">
        <f t="shared" si="5"/>
        <v>0</v>
      </c>
      <c r="AK30" s="436">
        <f t="shared" si="19"/>
        <v>40000</v>
      </c>
      <c r="AL30" s="436">
        <f t="shared" si="20"/>
        <v>37278</v>
      </c>
      <c r="AN30" s="436">
        <v>5000</v>
      </c>
      <c r="AO30" s="436">
        <f>+BaseloadMarkets!S30</f>
        <v>5000</v>
      </c>
      <c r="AP30" s="436">
        <f t="shared" si="6"/>
        <v>0</v>
      </c>
      <c r="AQ30" s="436">
        <f t="shared" si="21"/>
        <v>125000</v>
      </c>
      <c r="AR30" s="436">
        <f t="shared" si="22"/>
        <v>125000</v>
      </c>
    </row>
    <row r="31" spans="1:44" x14ac:dyDescent="0.2">
      <c r="A31" s="464">
        <f>BaseloadMarkets!A31</f>
        <v>36733</v>
      </c>
      <c r="B31" s="22">
        <v>5000</v>
      </c>
      <c r="C31" s="436">
        <f>+Supplies!H31</f>
        <v>5000</v>
      </c>
      <c r="D31" s="436">
        <f t="shared" si="0"/>
        <v>0</v>
      </c>
      <c r="E31" s="436">
        <f t="shared" si="7"/>
        <v>130000</v>
      </c>
      <c r="F31" s="436">
        <f t="shared" si="8"/>
        <v>130000</v>
      </c>
      <c r="G31" s="436">
        <f t="shared" si="9"/>
        <v>0</v>
      </c>
      <c r="I31" s="22">
        <v>968</v>
      </c>
      <c r="J31" s="436">
        <f>+Supplies!I31</f>
        <v>968</v>
      </c>
      <c r="K31" s="436">
        <f t="shared" si="1"/>
        <v>0</v>
      </c>
      <c r="L31" s="436">
        <f t="shared" si="10"/>
        <v>25168</v>
      </c>
      <c r="M31" s="436">
        <f t="shared" si="11"/>
        <v>24947</v>
      </c>
      <c r="N31" s="436">
        <f t="shared" si="12"/>
        <v>-221</v>
      </c>
      <c r="P31" s="22">
        <v>4193</v>
      </c>
      <c r="Q31" s="436">
        <f>+Supplies!J31</f>
        <v>4193</v>
      </c>
      <c r="R31" s="436">
        <f t="shared" si="2"/>
        <v>0</v>
      </c>
      <c r="S31" s="436">
        <f t="shared" si="13"/>
        <v>109018</v>
      </c>
      <c r="T31" s="436">
        <f t="shared" si="14"/>
        <v>108433</v>
      </c>
      <c r="V31" s="436">
        <v>4000</v>
      </c>
      <c r="W31" s="436">
        <f>+Supplies!K31</f>
        <v>4000</v>
      </c>
      <c r="X31" s="436">
        <f t="shared" si="3"/>
        <v>0</v>
      </c>
      <c r="Y31" s="436">
        <f t="shared" si="15"/>
        <v>104000</v>
      </c>
      <c r="Z31" s="436">
        <f t="shared" si="16"/>
        <v>104000</v>
      </c>
      <c r="AB31" s="22">
        <v>10000</v>
      </c>
      <c r="AC31" s="436">
        <f>+Supplies!L31</f>
        <v>10000</v>
      </c>
      <c r="AD31" s="436">
        <f t="shared" si="4"/>
        <v>0</v>
      </c>
      <c r="AE31" s="436">
        <f t="shared" si="17"/>
        <v>260000</v>
      </c>
      <c r="AF31" s="436">
        <f t="shared" si="18"/>
        <v>260000</v>
      </c>
      <c r="AH31" s="436">
        <v>2500</v>
      </c>
      <c r="AI31" s="436">
        <f>+Supplies!N31</f>
        <v>2500</v>
      </c>
      <c r="AJ31" s="436">
        <f t="shared" si="5"/>
        <v>0</v>
      </c>
      <c r="AK31" s="436">
        <f t="shared" si="19"/>
        <v>42500</v>
      </c>
      <c r="AL31" s="436">
        <f t="shared" si="20"/>
        <v>39778</v>
      </c>
      <c r="AN31" s="436">
        <v>5000</v>
      </c>
      <c r="AO31" s="436">
        <f>+BaseloadMarkets!S31</f>
        <v>5000</v>
      </c>
      <c r="AP31" s="436">
        <f t="shared" si="6"/>
        <v>0</v>
      </c>
      <c r="AQ31" s="436">
        <f t="shared" si="21"/>
        <v>130000</v>
      </c>
      <c r="AR31" s="436">
        <f t="shared" si="22"/>
        <v>130000</v>
      </c>
    </row>
    <row r="32" spans="1:44" x14ac:dyDescent="0.2">
      <c r="A32" s="464">
        <f>BaseloadMarkets!A32</f>
        <v>36734</v>
      </c>
      <c r="B32" s="22">
        <v>5000</v>
      </c>
      <c r="C32" s="436">
        <f>+Supplies!H32</f>
        <v>5000</v>
      </c>
      <c r="D32" s="436">
        <f t="shared" si="0"/>
        <v>0</v>
      </c>
      <c r="E32" s="436">
        <f t="shared" si="7"/>
        <v>135000</v>
      </c>
      <c r="F32" s="436">
        <f t="shared" si="8"/>
        <v>135000</v>
      </c>
      <c r="G32" s="436">
        <f t="shared" si="9"/>
        <v>0</v>
      </c>
      <c r="I32" s="22">
        <v>968</v>
      </c>
      <c r="J32" s="436">
        <f>+Supplies!I32</f>
        <v>950</v>
      </c>
      <c r="K32" s="436">
        <f t="shared" si="1"/>
        <v>-18</v>
      </c>
      <c r="L32" s="436">
        <f t="shared" si="10"/>
        <v>26136</v>
      </c>
      <c r="M32" s="436">
        <f t="shared" si="11"/>
        <v>25897</v>
      </c>
      <c r="N32" s="436">
        <f t="shared" si="12"/>
        <v>-239</v>
      </c>
      <c r="P32" s="22">
        <v>4193</v>
      </c>
      <c r="Q32" s="436">
        <f>+Supplies!J32</f>
        <v>4193</v>
      </c>
      <c r="R32" s="436">
        <f t="shared" si="2"/>
        <v>0</v>
      </c>
      <c r="S32" s="436">
        <f t="shared" si="13"/>
        <v>113211</v>
      </c>
      <c r="T32" s="436">
        <f t="shared" si="14"/>
        <v>112626</v>
      </c>
      <c r="V32" s="436">
        <v>4000</v>
      </c>
      <c r="W32" s="436">
        <f>+Supplies!K32</f>
        <v>4000</v>
      </c>
      <c r="X32" s="436">
        <f t="shared" si="3"/>
        <v>0</v>
      </c>
      <c r="Y32" s="436">
        <f t="shared" si="15"/>
        <v>108000</v>
      </c>
      <c r="Z32" s="436">
        <f t="shared" si="16"/>
        <v>108000</v>
      </c>
      <c r="AB32" s="22">
        <v>10000</v>
      </c>
      <c r="AC32" s="436">
        <f>+Supplies!L32</f>
        <v>10000</v>
      </c>
      <c r="AD32" s="436">
        <f t="shared" si="4"/>
        <v>0</v>
      </c>
      <c r="AE32" s="436">
        <f t="shared" si="17"/>
        <v>270000</v>
      </c>
      <c r="AF32" s="436">
        <f t="shared" si="18"/>
        <v>270000</v>
      </c>
      <c r="AH32" s="436">
        <v>2500</v>
      </c>
      <c r="AI32" s="436">
        <f>+Supplies!N32</f>
        <v>2500</v>
      </c>
      <c r="AJ32" s="436">
        <f t="shared" si="5"/>
        <v>0</v>
      </c>
      <c r="AK32" s="436">
        <f t="shared" si="19"/>
        <v>45000</v>
      </c>
      <c r="AL32" s="436">
        <f t="shared" si="20"/>
        <v>42278</v>
      </c>
      <c r="AN32" s="436">
        <v>5000</v>
      </c>
      <c r="AO32" s="436">
        <f>+BaseloadMarkets!S32</f>
        <v>5000</v>
      </c>
      <c r="AP32" s="436">
        <f t="shared" si="6"/>
        <v>0</v>
      </c>
      <c r="AQ32" s="436">
        <f t="shared" si="21"/>
        <v>135000</v>
      </c>
      <c r="AR32" s="436">
        <f t="shared" si="22"/>
        <v>135000</v>
      </c>
    </row>
    <row r="33" spans="1:121" x14ac:dyDescent="0.2">
      <c r="A33" s="464">
        <f>BaseloadMarkets!A33</f>
        <v>36735</v>
      </c>
      <c r="B33" s="22">
        <v>5000</v>
      </c>
      <c r="C33" s="436">
        <f>+Supplies!H33</f>
        <v>5000</v>
      </c>
      <c r="D33" s="436">
        <f t="shared" si="0"/>
        <v>0</v>
      </c>
      <c r="E33" s="436">
        <f t="shared" si="7"/>
        <v>140000</v>
      </c>
      <c r="F33" s="436">
        <f t="shared" si="8"/>
        <v>140000</v>
      </c>
      <c r="G33" s="436">
        <f t="shared" si="9"/>
        <v>0</v>
      </c>
      <c r="I33" s="22">
        <v>968</v>
      </c>
      <c r="J33" s="436">
        <f>+Supplies!I33</f>
        <v>968</v>
      </c>
      <c r="K33" s="436">
        <f t="shared" si="1"/>
        <v>0</v>
      </c>
      <c r="L33" s="436">
        <f t="shared" si="10"/>
        <v>27104</v>
      </c>
      <c r="M33" s="436">
        <f t="shared" si="11"/>
        <v>26865</v>
      </c>
      <c r="N33" s="436">
        <f t="shared" si="12"/>
        <v>-239</v>
      </c>
      <c r="P33" s="22">
        <v>4193</v>
      </c>
      <c r="Q33" s="436">
        <f>+Supplies!J33</f>
        <v>4193</v>
      </c>
      <c r="R33" s="436">
        <f t="shared" si="2"/>
        <v>0</v>
      </c>
      <c r="S33" s="436">
        <f t="shared" si="13"/>
        <v>117404</v>
      </c>
      <c r="T33" s="436">
        <f t="shared" si="14"/>
        <v>116819</v>
      </c>
      <c r="V33" s="436">
        <v>4000</v>
      </c>
      <c r="W33" s="436">
        <f>+Supplies!K33</f>
        <v>4000</v>
      </c>
      <c r="X33" s="436">
        <f t="shared" si="3"/>
        <v>0</v>
      </c>
      <c r="Y33" s="436">
        <f t="shared" si="15"/>
        <v>112000</v>
      </c>
      <c r="Z33" s="436">
        <f t="shared" si="16"/>
        <v>112000</v>
      </c>
      <c r="AB33" s="22">
        <v>10000</v>
      </c>
      <c r="AC33" s="436">
        <f>+Supplies!L33</f>
        <v>10000</v>
      </c>
      <c r="AD33" s="436">
        <f t="shared" si="4"/>
        <v>0</v>
      </c>
      <c r="AE33" s="436">
        <f t="shared" si="17"/>
        <v>280000</v>
      </c>
      <c r="AF33" s="436">
        <f t="shared" si="18"/>
        <v>280000</v>
      </c>
      <c r="AH33" s="436">
        <v>2500</v>
      </c>
      <c r="AI33" s="436">
        <f>+Supplies!N33</f>
        <v>2500</v>
      </c>
      <c r="AJ33" s="436">
        <f t="shared" si="5"/>
        <v>0</v>
      </c>
      <c r="AK33" s="436">
        <f t="shared" si="19"/>
        <v>47500</v>
      </c>
      <c r="AL33" s="436">
        <f t="shared" si="20"/>
        <v>44778</v>
      </c>
      <c r="AN33" s="436">
        <v>5000</v>
      </c>
      <c r="AO33" s="436">
        <f>+BaseloadMarkets!S33</f>
        <v>5000</v>
      </c>
      <c r="AP33" s="436">
        <f t="shared" si="6"/>
        <v>0</v>
      </c>
      <c r="AQ33" s="436">
        <f t="shared" si="21"/>
        <v>140000</v>
      </c>
      <c r="AR33" s="436">
        <f t="shared" si="22"/>
        <v>140000</v>
      </c>
    </row>
    <row r="34" spans="1:121" x14ac:dyDescent="0.2">
      <c r="A34" s="464">
        <f>BaseloadMarkets!A34</f>
        <v>36736</v>
      </c>
      <c r="B34" s="22">
        <v>5000</v>
      </c>
      <c r="C34" s="436">
        <f>+Supplies!H34</f>
        <v>5000</v>
      </c>
      <c r="D34" s="436">
        <f t="shared" si="0"/>
        <v>0</v>
      </c>
      <c r="E34" s="436">
        <f t="shared" si="7"/>
        <v>145000</v>
      </c>
      <c r="F34" s="436">
        <f t="shared" si="8"/>
        <v>145000</v>
      </c>
      <c r="G34" s="436">
        <f t="shared" si="9"/>
        <v>0</v>
      </c>
      <c r="I34" s="22">
        <v>968</v>
      </c>
      <c r="J34" s="436">
        <f>+Supplies!I34</f>
        <v>968</v>
      </c>
      <c r="K34" s="436">
        <f t="shared" si="1"/>
        <v>0</v>
      </c>
      <c r="L34" s="436">
        <f t="shared" si="10"/>
        <v>28072</v>
      </c>
      <c r="M34" s="436">
        <f t="shared" si="11"/>
        <v>27833</v>
      </c>
      <c r="N34" s="436">
        <f t="shared" si="12"/>
        <v>-239</v>
      </c>
      <c r="P34" s="22">
        <v>4193</v>
      </c>
      <c r="Q34" s="436">
        <f>+Supplies!J34</f>
        <v>4193</v>
      </c>
      <c r="R34" s="436">
        <f t="shared" si="2"/>
        <v>0</v>
      </c>
      <c r="S34" s="436">
        <f t="shared" si="13"/>
        <v>121597</v>
      </c>
      <c r="T34" s="436">
        <f t="shared" si="14"/>
        <v>121012</v>
      </c>
      <c r="V34" s="436">
        <v>4000</v>
      </c>
      <c r="W34" s="436">
        <f>+Supplies!K34</f>
        <v>4000</v>
      </c>
      <c r="X34" s="436">
        <f t="shared" si="3"/>
        <v>0</v>
      </c>
      <c r="Y34" s="436">
        <f t="shared" si="15"/>
        <v>116000</v>
      </c>
      <c r="Z34" s="436">
        <f t="shared" si="16"/>
        <v>116000</v>
      </c>
      <c r="AB34" s="22">
        <v>10000</v>
      </c>
      <c r="AC34" s="436">
        <f>+Supplies!L34</f>
        <v>10000</v>
      </c>
      <c r="AD34" s="436">
        <f t="shared" si="4"/>
        <v>0</v>
      </c>
      <c r="AE34" s="436">
        <f t="shared" si="17"/>
        <v>290000</v>
      </c>
      <c r="AF34" s="436">
        <f t="shared" si="18"/>
        <v>290000</v>
      </c>
      <c r="AH34" s="436">
        <v>0</v>
      </c>
      <c r="AI34" s="436">
        <f>+Supplies!N34</f>
        <v>0</v>
      </c>
      <c r="AJ34" s="436">
        <f t="shared" si="5"/>
        <v>0</v>
      </c>
      <c r="AK34" s="436">
        <f t="shared" si="19"/>
        <v>47500</v>
      </c>
      <c r="AL34" s="436">
        <f t="shared" si="20"/>
        <v>44778</v>
      </c>
      <c r="AN34" s="436">
        <v>5000</v>
      </c>
      <c r="AO34" s="436">
        <f>+BaseloadMarkets!S34</f>
        <v>5000</v>
      </c>
      <c r="AP34" s="436">
        <f t="shared" si="6"/>
        <v>0</v>
      </c>
      <c r="AQ34" s="436">
        <f t="shared" si="21"/>
        <v>145000</v>
      </c>
      <c r="AR34" s="436">
        <f t="shared" si="22"/>
        <v>145000</v>
      </c>
    </row>
    <row r="35" spans="1:121" x14ac:dyDescent="0.2">
      <c r="A35" s="464">
        <f>BaseloadMarkets!A35</f>
        <v>36737</v>
      </c>
      <c r="B35" s="22">
        <v>5000</v>
      </c>
      <c r="C35" s="436">
        <f>+Supplies!H35</f>
        <v>5000</v>
      </c>
      <c r="D35" s="436">
        <f t="shared" si="0"/>
        <v>0</v>
      </c>
      <c r="E35" s="436">
        <f t="shared" si="7"/>
        <v>150000</v>
      </c>
      <c r="F35" s="436">
        <f t="shared" si="8"/>
        <v>150000</v>
      </c>
      <c r="G35" s="436">
        <f t="shared" si="9"/>
        <v>0</v>
      </c>
      <c r="I35" s="22">
        <v>968</v>
      </c>
      <c r="J35" s="436">
        <f>+Supplies!I35</f>
        <v>968</v>
      </c>
      <c r="K35" s="436">
        <f t="shared" si="1"/>
        <v>0</v>
      </c>
      <c r="L35" s="436">
        <f t="shared" si="10"/>
        <v>29040</v>
      </c>
      <c r="M35" s="436">
        <f t="shared" si="11"/>
        <v>28801</v>
      </c>
      <c r="N35" s="436">
        <f t="shared" si="12"/>
        <v>-239</v>
      </c>
      <c r="P35" s="22">
        <v>4193</v>
      </c>
      <c r="Q35" s="436">
        <f>+Supplies!J35</f>
        <v>4193</v>
      </c>
      <c r="R35" s="436">
        <f t="shared" si="2"/>
        <v>0</v>
      </c>
      <c r="S35" s="436">
        <f t="shared" si="13"/>
        <v>125790</v>
      </c>
      <c r="T35" s="436">
        <f t="shared" si="14"/>
        <v>125205</v>
      </c>
      <c r="V35" s="436">
        <v>4000</v>
      </c>
      <c r="W35" s="436">
        <f>+Supplies!K35</f>
        <v>4000</v>
      </c>
      <c r="X35" s="436">
        <f t="shared" si="3"/>
        <v>0</v>
      </c>
      <c r="Y35" s="436">
        <f t="shared" si="15"/>
        <v>120000</v>
      </c>
      <c r="Z35" s="436">
        <f t="shared" si="16"/>
        <v>120000</v>
      </c>
      <c r="AB35" s="22">
        <v>10000</v>
      </c>
      <c r="AC35" s="436">
        <f>+Supplies!L35</f>
        <v>10000</v>
      </c>
      <c r="AD35" s="436">
        <f t="shared" si="4"/>
        <v>0</v>
      </c>
      <c r="AE35" s="436">
        <f t="shared" si="17"/>
        <v>300000</v>
      </c>
      <c r="AF35" s="436">
        <f t="shared" si="18"/>
        <v>300000</v>
      </c>
      <c r="AH35" s="436">
        <v>0</v>
      </c>
      <c r="AI35" s="436">
        <f>+Supplies!N35</f>
        <v>0</v>
      </c>
      <c r="AJ35" s="436">
        <f t="shared" si="5"/>
        <v>0</v>
      </c>
      <c r="AK35" s="436">
        <f t="shared" si="19"/>
        <v>47500</v>
      </c>
      <c r="AL35" s="436">
        <f t="shared" si="20"/>
        <v>44778</v>
      </c>
      <c r="AN35" s="436">
        <v>5000</v>
      </c>
      <c r="AO35" s="436">
        <f>+BaseloadMarkets!S35</f>
        <v>5000</v>
      </c>
      <c r="AP35" s="436">
        <f t="shared" si="6"/>
        <v>0</v>
      </c>
      <c r="AQ35" s="436">
        <f t="shared" si="21"/>
        <v>150000</v>
      </c>
      <c r="AR35" s="436">
        <f t="shared" si="22"/>
        <v>150000</v>
      </c>
    </row>
    <row r="36" spans="1:121" ht="13.5" thickBot="1" x14ac:dyDescent="0.25">
      <c r="A36" s="464">
        <f>BaseloadMarkets!A36</f>
        <v>36738</v>
      </c>
      <c r="B36" s="22">
        <v>5000</v>
      </c>
      <c r="C36" s="436">
        <f>+Supplies!H36</f>
        <v>5000</v>
      </c>
      <c r="D36" s="436">
        <f t="shared" si="0"/>
        <v>0</v>
      </c>
      <c r="E36" s="436">
        <f t="shared" si="7"/>
        <v>155000</v>
      </c>
      <c r="F36" s="436">
        <f t="shared" si="8"/>
        <v>155000</v>
      </c>
      <c r="G36" s="436">
        <f t="shared" si="9"/>
        <v>0</v>
      </c>
      <c r="I36" s="22">
        <v>968</v>
      </c>
      <c r="J36" s="436">
        <f>+Supplies!I36</f>
        <v>968</v>
      </c>
      <c r="K36" s="436">
        <f t="shared" si="1"/>
        <v>0</v>
      </c>
      <c r="L36" s="436">
        <f t="shared" si="10"/>
        <v>30008</v>
      </c>
      <c r="M36" s="436">
        <f t="shared" si="11"/>
        <v>29769</v>
      </c>
      <c r="N36" s="436">
        <f t="shared" si="12"/>
        <v>-239</v>
      </c>
      <c r="P36" s="22">
        <v>4193</v>
      </c>
      <c r="Q36" s="436">
        <f>+Supplies!J36</f>
        <v>4193</v>
      </c>
      <c r="R36" s="436">
        <f t="shared" si="2"/>
        <v>0</v>
      </c>
      <c r="S36" s="436">
        <f t="shared" si="13"/>
        <v>129983</v>
      </c>
      <c r="T36" s="436">
        <f t="shared" si="14"/>
        <v>129398</v>
      </c>
      <c r="V36" s="436">
        <v>4000</v>
      </c>
      <c r="W36" s="436">
        <f>+Supplies!K36</f>
        <v>4000</v>
      </c>
      <c r="X36" s="436">
        <f t="shared" si="3"/>
        <v>0</v>
      </c>
      <c r="Y36" s="436">
        <f t="shared" si="15"/>
        <v>124000</v>
      </c>
      <c r="Z36" s="436">
        <f t="shared" si="16"/>
        <v>124000</v>
      </c>
      <c r="AB36" s="22">
        <v>10000</v>
      </c>
      <c r="AC36" s="436">
        <f>+Supplies!L36</f>
        <v>10000</v>
      </c>
      <c r="AD36" s="436">
        <f t="shared" si="4"/>
        <v>0</v>
      </c>
      <c r="AE36" s="436">
        <f t="shared" si="17"/>
        <v>310000</v>
      </c>
      <c r="AF36" s="436">
        <f t="shared" si="18"/>
        <v>310000</v>
      </c>
      <c r="AH36" s="436">
        <v>2500</v>
      </c>
      <c r="AI36" s="436">
        <f>+Supplies!N36</f>
        <v>5000</v>
      </c>
      <c r="AJ36" s="436">
        <f t="shared" si="5"/>
        <v>2500</v>
      </c>
      <c r="AK36" s="436">
        <f t="shared" si="19"/>
        <v>50000</v>
      </c>
      <c r="AL36" s="436">
        <f t="shared" si="20"/>
        <v>49778</v>
      </c>
      <c r="AN36" s="436">
        <v>5000</v>
      </c>
      <c r="AO36" s="436">
        <f>+BaseloadMarkets!S36</f>
        <v>5000</v>
      </c>
      <c r="AP36" s="436">
        <f t="shared" si="6"/>
        <v>0</v>
      </c>
      <c r="AQ36" s="436">
        <f t="shared" si="21"/>
        <v>155000</v>
      </c>
      <c r="AR36" s="436">
        <f t="shared" si="22"/>
        <v>155000</v>
      </c>
    </row>
    <row r="37" spans="1:121" ht="13.5" thickTop="1" x14ac:dyDescent="0.2">
      <c r="A37" s="464" t="str">
        <f>BaseloadMarkets!A37</f>
        <v>Totals</v>
      </c>
      <c r="B37" s="465">
        <f>SUM(B6:B36)</f>
        <v>155000</v>
      </c>
      <c r="C37" s="465">
        <f>SUM(C6:C36)</f>
        <v>155000</v>
      </c>
      <c r="D37" s="465">
        <f>SUM(D6:D36)</f>
        <v>0</v>
      </c>
      <c r="E37" s="466"/>
      <c r="F37" s="436"/>
      <c r="G37" s="466"/>
      <c r="I37" s="465">
        <f>SUM(I6:I36)</f>
        <v>30008</v>
      </c>
      <c r="J37" s="465">
        <f>SUM(J6:J36)</f>
        <v>29769</v>
      </c>
      <c r="K37" s="465">
        <f>SUM(K6:K36)</f>
        <v>-239</v>
      </c>
      <c r="L37" s="466"/>
      <c r="M37" s="436"/>
      <c r="N37" s="466"/>
      <c r="P37" s="465">
        <f>SUM(P6:P36)</f>
        <v>129983</v>
      </c>
      <c r="Q37" s="465">
        <f>SUM(Q6:Q36)</f>
        <v>129398</v>
      </c>
      <c r="R37" s="465">
        <f>SUM(R6:R36)</f>
        <v>-585</v>
      </c>
      <c r="V37" s="465">
        <f>SUM(V6:V36)</f>
        <v>124000</v>
      </c>
      <c r="W37" s="465">
        <f>SUM(W6:W36)</f>
        <v>124000</v>
      </c>
      <c r="X37" s="465">
        <f>SUM(X6:X36)</f>
        <v>0</v>
      </c>
      <c r="AB37" s="465">
        <f>SUM(AB6:AB36)</f>
        <v>310000</v>
      </c>
      <c r="AC37" s="465">
        <f>SUM(AC6:AC36)</f>
        <v>310000</v>
      </c>
      <c r="AD37" s="465">
        <f>SUM(AD6:AD36)</f>
        <v>0</v>
      </c>
      <c r="AH37" s="465">
        <f>SUM(AH6:AH36)</f>
        <v>50000</v>
      </c>
      <c r="AI37" s="465">
        <f>SUM(AI6:AI36)</f>
        <v>49778</v>
      </c>
      <c r="AJ37" s="465">
        <f>SUM(AJ6:AJ36)</f>
        <v>-222</v>
      </c>
      <c r="AN37" s="465">
        <f>SUM(AN6:AN36)</f>
        <v>155000</v>
      </c>
      <c r="AO37" s="465">
        <f>SUM(AO6:AO36)</f>
        <v>155000</v>
      </c>
      <c r="AP37" s="465">
        <f>SUM(AP6:AP36)</f>
        <v>0</v>
      </c>
    </row>
    <row r="38" spans="1:121" x14ac:dyDescent="0.2">
      <c r="B38" s="32"/>
      <c r="I38" s="32"/>
      <c r="P38" s="32"/>
    </row>
    <row r="39" spans="1:121" x14ac:dyDescent="0.2">
      <c r="B39" s="38"/>
      <c r="H39" s="31"/>
      <c r="I39" s="38"/>
      <c r="O39" s="31"/>
      <c r="P39" s="38"/>
      <c r="U39" s="31"/>
      <c r="AA39" s="31"/>
    </row>
    <row r="40" spans="1:121" s="442" customFormat="1" x14ac:dyDescent="0.2">
      <c r="A40" s="442">
        <v>1</v>
      </c>
      <c r="B40" s="467">
        <f t="shared" ref="B40:AG40" si="23">+A40+1</f>
        <v>2</v>
      </c>
      <c r="C40" s="467">
        <f t="shared" si="23"/>
        <v>3</v>
      </c>
      <c r="D40" s="467">
        <f t="shared" si="23"/>
        <v>4</v>
      </c>
      <c r="E40" s="467">
        <f t="shared" si="23"/>
        <v>5</v>
      </c>
      <c r="F40" s="467">
        <f t="shared" si="23"/>
        <v>6</v>
      </c>
      <c r="G40" s="467">
        <f t="shared" si="23"/>
        <v>7</v>
      </c>
      <c r="H40" s="467">
        <f t="shared" si="23"/>
        <v>8</v>
      </c>
      <c r="I40" s="467">
        <f t="shared" si="23"/>
        <v>9</v>
      </c>
      <c r="J40" s="467">
        <f t="shared" si="23"/>
        <v>10</v>
      </c>
      <c r="K40" s="467">
        <f t="shared" si="23"/>
        <v>11</v>
      </c>
      <c r="L40" s="467">
        <f t="shared" si="23"/>
        <v>12</v>
      </c>
      <c r="M40" s="467">
        <f t="shared" si="23"/>
        <v>13</v>
      </c>
      <c r="N40" s="467">
        <f t="shared" si="23"/>
        <v>14</v>
      </c>
      <c r="O40" s="467">
        <f t="shared" si="23"/>
        <v>15</v>
      </c>
      <c r="P40" s="467">
        <f t="shared" si="23"/>
        <v>16</v>
      </c>
      <c r="Q40" s="467">
        <f t="shared" si="23"/>
        <v>17</v>
      </c>
      <c r="R40" s="467">
        <f t="shared" si="23"/>
        <v>18</v>
      </c>
      <c r="S40" s="467">
        <f t="shared" si="23"/>
        <v>19</v>
      </c>
      <c r="T40" s="467">
        <f t="shared" si="23"/>
        <v>20</v>
      </c>
      <c r="U40" s="467">
        <f t="shared" si="23"/>
        <v>21</v>
      </c>
      <c r="V40" s="467">
        <f t="shared" si="23"/>
        <v>22</v>
      </c>
      <c r="W40" s="467">
        <f t="shared" si="23"/>
        <v>23</v>
      </c>
      <c r="X40" s="467">
        <f t="shared" si="23"/>
        <v>24</v>
      </c>
      <c r="Y40" s="467">
        <f t="shared" si="23"/>
        <v>25</v>
      </c>
      <c r="Z40" s="467">
        <f t="shared" si="23"/>
        <v>26</v>
      </c>
      <c r="AA40" s="467">
        <f t="shared" si="23"/>
        <v>27</v>
      </c>
      <c r="AB40" s="467">
        <f t="shared" si="23"/>
        <v>28</v>
      </c>
      <c r="AC40" s="467">
        <f t="shared" si="23"/>
        <v>29</v>
      </c>
      <c r="AD40" s="467">
        <f t="shared" si="23"/>
        <v>30</v>
      </c>
      <c r="AE40" s="467">
        <f t="shared" si="23"/>
        <v>31</v>
      </c>
      <c r="AF40" s="467">
        <f t="shared" si="23"/>
        <v>32</v>
      </c>
      <c r="AG40" s="468">
        <f t="shared" si="23"/>
        <v>33</v>
      </c>
      <c r="AH40" s="467">
        <f t="shared" ref="AH40:BM40" si="24">+AG40+1</f>
        <v>34</v>
      </c>
      <c r="AI40" s="467">
        <f t="shared" si="24"/>
        <v>35</v>
      </c>
      <c r="AJ40" s="467">
        <f t="shared" si="24"/>
        <v>36</v>
      </c>
      <c r="AK40" s="467">
        <f t="shared" si="24"/>
        <v>37</v>
      </c>
      <c r="AL40" s="467">
        <f t="shared" si="24"/>
        <v>38</v>
      </c>
      <c r="AM40" s="468">
        <f t="shared" si="24"/>
        <v>39</v>
      </c>
      <c r="AN40" s="467">
        <f t="shared" si="24"/>
        <v>40</v>
      </c>
      <c r="AO40" s="467">
        <f t="shared" si="24"/>
        <v>41</v>
      </c>
      <c r="AP40" s="467">
        <f t="shared" si="24"/>
        <v>42</v>
      </c>
      <c r="AQ40" s="467">
        <f t="shared" si="24"/>
        <v>43</v>
      </c>
      <c r="AR40" s="467">
        <f t="shared" si="24"/>
        <v>44</v>
      </c>
      <c r="AS40" s="467">
        <f t="shared" si="24"/>
        <v>45</v>
      </c>
      <c r="AT40" s="467">
        <f t="shared" si="24"/>
        <v>46</v>
      </c>
      <c r="AU40" s="467">
        <f t="shared" si="24"/>
        <v>47</v>
      </c>
      <c r="AV40" s="467">
        <f t="shared" si="24"/>
        <v>48</v>
      </c>
      <c r="AW40" s="467">
        <f t="shared" si="24"/>
        <v>49</v>
      </c>
      <c r="AX40" s="467">
        <f t="shared" si="24"/>
        <v>50</v>
      </c>
      <c r="AY40" s="467">
        <f t="shared" si="24"/>
        <v>51</v>
      </c>
      <c r="AZ40" s="467">
        <f t="shared" si="24"/>
        <v>52</v>
      </c>
      <c r="BA40" s="467">
        <f t="shared" si="24"/>
        <v>53</v>
      </c>
      <c r="BB40" s="467">
        <f t="shared" si="24"/>
        <v>54</v>
      </c>
      <c r="BC40" s="467">
        <f t="shared" si="24"/>
        <v>55</v>
      </c>
      <c r="BD40" s="467">
        <f t="shared" si="24"/>
        <v>56</v>
      </c>
      <c r="BE40" s="467">
        <f t="shared" si="24"/>
        <v>57</v>
      </c>
      <c r="BF40" s="467">
        <f t="shared" si="24"/>
        <v>58</v>
      </c>
      <c r="BG40" s="467">
        <f t="shared" si="24"/>
        <v>59</v>
      </c>
      <c r="BH40" s="467">
        <f t="shared" si="24"/>
        <v>60</v>
      </c>
      <c r="BI40" s="467">
        <f t="shared" si="24"/>
        <v>61</v>
      </c>
      <c r="BJ40" s="467">
        <f t="shared" si="24"/>
        <v>62</v>
      </c>
      <c r="BK40" s="467">
        <f t="shared" si="24"/>
        <v>63</v>
      </c>
      <c r="BL40" s="467">
        <f t="shared" si="24"/>
        <v>64</v>
      </c>
      <c r="BM40" s="467">
        <f t="shared" si="24"/>
        <v>65</v>
      </c>
      <c r="BN40" s="467">
        <f t="shared" ref="BN40:CS40" si="25">+BM40+1</f>
        <v>66</v>
      </c>
      <c r="BO40" s="467">
        <f t="shared" si="25"/>
        <v>67</v>
      </c>
      <c r="BP40" s="467">
        <f t="shared" si="25"/>
        <v>68</v>
      </c>
      <c r="BQ40" s="467">
        <f t="shared" si="25"/>
        <v>69</v>
      </c>
      <c r="BR40" s="467">
        <f t="shared" si="25"/>
        <v>70</v>
      </c>
      <c r="BS40" s="467">
        <f t="shared" si="25"/>
        <v>71</v>
      </c>
      <c r="BT40" s="467">
        <f t="shared" si="25"/>
        <v>72</v>
      </c>
      <c r="BU40" s="467">
        <f t="shared" si="25"/>
        <v>73</v>
      </c>
      <c r="BV40" s="467">
        <f t="shared" si="25"/>
        <v>74</v>
      </c>
      <c r="BW40" s="467">
        <f t="shared" si="25"/>
        <v>75</v>
      </c>
      <c r="BX40" s="467">
        <f t="shared" si="25"/>
        <v>76</v>
      </c>
      <c r="BY40" s="467">
        <f t="shared" si="25"/>
        <v>77</v>
      </c>
      <c r="BZ40" s="467">
        <f t="shared" si="25"/>
        <v>78</v>
      </c>
      <c r="CA40" s="467">
        <f t="shared" si="25"/>
        <v>79</v>
      </c>
      <c r="CB40" s="467">
        <f t="shared" si="25"/>
        <v>80</v>
      </c>
      <c r="CC40" s="467">
        <f t="shared" si="25"/>
        <v>81</v>
      </c>
      <c r="CD40" s="467">
        <f t="shared" si="25"/>
        <v>82</v>
      </c>
      <c r="CE40" s="467">
        <f t="shared" si="25"/>
        <v>83</v>
      </c>
      <c r="CF40" s="467">
        <f t="shared" si="25"/>
        <v>84</v>
      </c>
      <c r="CG40" s="467">
        <f t="shared" si="25"/>
        <v>85</v>
      </c>
      <c r="CH40" s="467">
        <f t="shared" si="25"/>
        <v>86</v>
      </c>
      <c r="CI40" s="467">
        <f t="shared" si="25"/>
        <v>87</v>
      </c>
      <c r="CJ40" s="467">
        <f t="shared" si="25"/>
        <v>88</v>
      </c>
      <c r="CK40" s="467">
        <f t="shared" si="25"/>
        <v>89</v>
      </c>
      <c r="CL40" s="467">
        <f t="shared" si="25"/>
        <v>90</v>
      </c>
      <c r="CM40" s="467">
        <f t="shared" si="25"/>
        <v>91</v>
      </c>
      <c r="CN40" s="467">
        <f t="shared" si="25"/>
        <v>92</v>
      </c>
      <c r="CO40" s="467">
        <f t="shared" si="25"/>
        <v>93</v>
      </c>
      <c r="CP40" s="467">
        <f t="shared" si="25"/>
        <v>94</v>
      </c>
      <c r="CQ40" s="467">
        <f t="shared" si="25"/>
        <v>95</v>
      </c>
      <c r="CR40" s="467">
        <f t="shared" si="25"/>
        <v>96</v>
      </c>
      <c r="CS40" s="467">
        <f t="shared" si="25"/>
        <v>97</v>
      </c>
      <c r="CT40" s="467">
        <f t="shared" ref="CT40:DQ40" si="26">+CS40+1</f>
        <v>98</v>
      </c>
      <c r="CU40" s="467">
        <f t="shared" si="26"/>
        <v>99</v>
      </c>
      <c r="CV40" s="467">
        <f t="shared" si="26"/>
        <v>100</v>
      </c>
      <c r="CW40" s="467">
        <f t="shared" si="26"/>
        <v>101</v>
      </c>
      <c r="CX40" s="467">
        <f t="shared" si="26"/>
        <v>102</v>
      </c>
      <c r="CY40" s="467">
        <f t="shared" si="26"/>
        <v>103</v>
      </c>
      <c r="CZ40" s="467">
        <f t="shared" si="26"/>
        <v>104</v>
      </c>
      <c r="DA40" s="467">
        <f t="shared" si="26"/>
        <v>105</v>
      </c>
      <c r="DB40" s="467">
        <f t="shared" si="26"/>
        <v>106</v>
      </c>
      <c r="DC40" s="467">
        <f t="shared" si="26"/>
        <v>107</v>
      </c>
      <c r="DD40" s="467">
        <f t="shared" si="26"/>
        <v>108</v>
      </c>
      <c r="DE40" s="467">
        <f t="shared" si="26"/>
        <v>109</v>
      </c>
      <c r="DF40" s="467">
        <f t="shared" si="26"/>
        <v>110</v>
      </c>
      <c r="DG40" s="467">
        <f t="shared" si="26"/>
        <v>111</v>
      </c>
      <c r="DH40" s="467">
        <f t="shared" si="26"/>
        <v>112</v>
      </c>
      <c r="DI40" s="467">
        <f t="shared" si="26"/>
        <v>113</v>
      </c>
      <c r="DJ40" s="467">
        <f t="shared" si="26"/>
        <v>114</v>
      </c>
      <c r="DK40" s="467">
        <f t="shared" si="26"/>
        <v>115</v>
      </c>
      <c r="DL40" s="467">
        <f t="shared" si="26"/>
        <v>116</v>
      </c>
      <c r="DM40" s="467">
        <f t="shared" si="26"/>
        <v>117</v>
      </c>
      <c r="DN40" s="467">
        <f t="shared" si="26"/>
        <v>118</v>
      </c>
      <c r="DO40" s="467">
        <f t="shared" si="26"/>
        <v>119</v>
      </c>
      <c r="DP40" s="467">
        <f t="shared" si="26"/>
        <v>120</v>
      </c>
      <c r="DQ40" s="467">
        <f t="shared" si="26"/>
        <v>121</v>
      </c>
    </row>
    <row r="41" spans="1:121" x14ac:dyDescent="0.2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469"/>
      <c r="AH41" s="32"/>
      <c r="AI41" s="32"/>
      <c r="AJ41" s="32"/>
      <c r="AK41" s="32"/>
      <c r="AL41" s="32"/>
      <c r="AM41" s="469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</row>
    <row r="42" spans="1:121" x14ac:dyDescent="0.2">
      <c r="B42" s="32"/>
      <c r="I42" s="32"/>
      <c r="P42" s="32"/>
    </row>
    <row r="43" spans="1:121" x14ac:dyDescent="0.2">
      <c r="B43" s="32"/>
      <c r="I43" s="32"/>
      <c r="P43" s="32"/>
    </row>
    <row r="44" spans="1:121" x14ac:dyDescent="0.2">
      <c r="B44" s="32"/>
      <c r="I44" s="32"/>
      <c r="P44" s="32"/>
    </row>
    <row r="45" spans="1:121" x14ac:dyDescent="0.2">
      <c r="B45" s="32"/>
      <c r="I45" s="32"/>
      <c r="P45" s="32"/>
    </row>
    <row r="46" spans="1:121" x14ac:dyDescent="0.2">
      <c r="B46" s="32"/>
      <c r="I46" s="32"/>
      <c r="P46" s="32"/>
    </row>
    <row r="47" spans="1:121" x14ac:dyDescent="0.2">
      <c r="B47" s="32"/>
      <c r="I47" s="32"/>
      <c r="P47" s="32"/>
    </row>
    <row r="48" spans="1:121" x14ac:dyDescent="0.2">
      <c r="B48" s="32"/>
      <c r="I48" s="32"/>
      <c r="P48" s="32"/>
    </row>
    <row r="49" spans="2:16" x14ac:dyDescent="0.2">
      <c r="B49" s="32"/>
      <c r="I49" s="32"/>
      <c r="P49" s="32"/>
    </row>
    <row r="50" spans="2:16" x14ac:dyDescent="0.2">
      <c r="B50" s="32"/>
      <c r="I50" s="32"/>
      <c r="P50" s="32"/>
    </row>
  </sheetData>
  <pageMargins left="0.75" right="0.75" top="1" bottom="1" header="0.5" footer="0.5"/>
  <pageSetup paperSize="5" scale="6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selection activeCell="AT19" sqref="AT19"/>
    </sheetView>
  </sheetViews>
  <sheetFormatPr defaultRowHeight="12.75" x14ac:dyDescent="0.2"/>
  <cols>
    <col min="1" max="1" width="16.6640625" style="31" customWidth="1"/>
    <col min="2" max="2" width="16.5" style="31" customWidth="1"/>
    <col min="3" max="3" width="11.6640625" style="31" customWidth="1"/>
    <col min="4" max="4" width="14.5" style="31" customWidth="1"/>
    <col min="5" max="5" width="16.5" style="31" customWidth="1"/>
    <col min="6" max="6" width="17.83203125" style="31" customWidth="1"/>
    <col min="7" max="7" width="14.5" style="31" customWidth="1"/>
    <col min="8" max="16384" width="9.33203125" style="31"/>
  </cols>
  <sheetData>
    <row r="1" spans="1:7" ht="15.75" x14ac:dyDescent="0.25">
      <c r="A1" s="124" t="s">
        <v>291</v>
      </c>
      <c r="B1" s="437" t="s">
        <v>292</v>
      </c>
      <c r="C1" s="441">
        <v>107872</v>
      </c>
    </row>
    <row r="2" spans="1:7" x14ac:dyDescent="0.2">
      <c r="A2" s="178">
        <f>+BaseloadMarkets!B1</f>
        <v>36708</v>
      </c>
    </row>
    <row r="4" spans="1:7" x14ac:dyDescent="0.2">
      <c r="B4" s="441" t="s">
        <v>293</v>
      </c>
      <c r="C4" s="441" t="s">
        <v>129</v>
      </c>
      <c r="D4" s="441" t="s">
        <v>62</v>
      </c>
      <c r="E4" s="441" t="s">
        <v>186</v>
      </c>
      <c r="F4" s="441" t="s">
        <v>186</v>
      </c>
      <c r="G4" s="441" t="s">
        <v>63</v>
      </c>
    </row>
    <row r="5" spans="1:7" x14ac:dyDescent="0.2">
      <c r="B5" s="441" t="s">
        <v>294</v>
      </c>
      <c r="C5" s="441" t="s">
        <v>294</v>
      </c>
      <c r="D5" s="441" t="s">
        <v>288</v>
      </c>
      <c r="E5" s="441" t="s">
        <v>289</v>
      </c>
      <c r="F5" s="441" t="s">
        <v>129</v>
      </c>
      <c r="G5" s="441" t="s">
        <v>281</v>
      </c>
    </row>
    <row r="6" spans="1:7" x14ac:dyDescent="0.2">
      <c r="A6" s="464">
        <f>BaseloadMarkets!A6</f>
        <v>36708</v>
      </c>
      <c r="B6" s="436">
        <v>20000</v>
      </c>
      <c r="C6" s="436">
        <f>+Supplies!D6</f>
        <v>30000</v>
      </c>
      <c r="D6" s="436">
        <f t="shared" ref="D6:D36" si="0">+C6-B6</f>
        <v>10000</v>
      </c>
      <c r="E6" s="436">
        <f>+B6</f>
        <v>20000</v>
      </c>
      <c r="F6" s="436">
        <f>+C6</f>
        <v>30000</v>
      </c>
      <c r="G6" s="436">
        <f>+D6</f>
        <v>10000</v>
      </c>
    </row>
    <row r="7" spans="1:7" x14ac:dyDescent="0.2">
      <c r="A7" s="464">
        <f>BaseloadMarkets!A7</f>
        <v>36709</v>
      </c>
      <c r="B7" s="436">
        <v>20000</v>
      </c>
      <c r="C7" s="436">
        <f>+Supplies!D7</f>
        <v>0</v>
      </c>
      <c r="D7" s="436">
        <f t="shared" si="0"/>
        <v>-20000</v>
      </c>
      <c r="E7" s="436">
        <f t="shared" ref="E7:E36" si="1">+E6+B7</f>
        <v>40000</v>
      </c>
      <c r="F7" s="436">
        <f t="shared" ref="F7:F36" si="2">+F6+C7</f>
        <v>30000</v>
      </c>
      <c r="G7" s="436">
        <f t="shared" ref="G7:G36" si="3">+G6+D7</f>
        <v>-10000</v>
      </c>
    </row>
    <row r="8" spans="1:7" x14ac:dyDescent="0.2">
      <c r="A8" s="464">
        <f>BaseloadMarkets!A8</f>
        <v>36710</v>
      </c>
      <c r="B8" s="436">
        <v>20000</v>
      </c>
      <c r="C8" s="436">
        <f>+Supplies!D8</f>
        <v>10000</v>
      </c>
      <c r="D8" s="436">
        <f t="shared" si="0"/>
        <v>-10000</v>
      </c>
      <c r="E8" s="436">
        <f t="shared" si="1"/>
        <v>60000</v>
      </c>
      <c r="F8" s="436">
        <f t="shared" si="2"/>
        <v>40000</v>
      </c>
      <c r="G8" s="436">
        <f t="shared" si="3"/>
        <v>-20000</v>
      </c>
    </row>
    <row r="9" spans="1:7" x14ac:dyDescent="0.2">
      <c r="A9" s="464">
        <f>BaseloadMarkets!A9</f>
        <v>36711</v>
      </c>
      <c r="B9" s="436">
        <v>20000</v>
      </c>
      <c r="C9" s="436">
        <f>+Supplies!D9</f>
        <v>0</v>
      </c>
      <c r="D9" s="436">
        <f t="shared" si="0"/>
        <v>-20000</v>
      </c>
      <c r="E9" s="436">
        <f t="shared" si="1"/>
        <v>80000</v>
      </c>
      <c r="F9" s="436">
        <f t="shared" si="2"/>
        <v>40000</v>
      </c>
      <c r="G9" s="436">
        <f t="shared" si="3"/>
        <v>-40000</v>
      </c>
    </row>
    <row r="10" spans="1:7" x14ac:dyDescent="0.2">
      <c r="A10" s="464">
        <f>BaseloadMarkets!A10</f>
        <v>36712</v>
      </c>
      <c r="B10" s="436">
        <v>20000</v>
      </c>
      <c r="C10" s="436">
        <f>+Supplies!D10</f>
        <v>30000</v>
      </c>
      <c r="D10" s="436">
        <f t="shared" si="0"/>
        <v>10000</v>
      </c>
      <c r="E10" s="436">
        <f t="shared" si="1"/>
        <v>100000</v>
      </c>
      <c r="F10" s="436">
        <f t="shared" si="2"/>
        <v>70000</v>
      </c>
      <c r="G10" s="436">
        <f t="shared" si="3"/>
        <v>-30000</v>
      </c>
    </row>
    <row r="11" spans="1:7" x14ac:dyDescent="0.2">
      <c r="A11" s="464">
        <f>BaseloadMarkets!A11</f>
        <v>36713</v>
      </c>
      <c r="B11" s="436">
        <v>20000</v>
      </c>
      <c r="C11" s="436">
        <f>+Supplies!D11</f>
        <v>30000</v>
      </c>
      <c r="D11" s="436">
        <f t="shared" si="0"/>
        <v>10000</v>
      </c>
      <c r="E11" s="436">
        <f t="shared" si="1"/>
        <v>120000</v>
      </c>
      <c r="F11" s="436">
        <f t="shared" si="2"/>
        <v>100000</v>
      </c>
      <c r="G11" s="436">
        <f t="shared" si="3"/>
        <v>-20000</v>
      </c>
    </row>
    <row r="12" spans="1:7" x14ac:dyDescent="0.2">
      <c r="A12" s="464">
        <f>BaseloadMarkets!A12</f>
        <v>36714</v>
      </c>
      <c r="B12" s="436">
        <v>20000</v>
      </c>
      <c r="C12" s="436">
        <f>+Supplies!D12</f>
        <v>30000</v>
      </c>
      <c r="D12" s="436">
        <f t="shared" si="0"/>
        <v>10000</v>
      </c>
      <c r="E12" s="436">
        <f t="shared" si="1"/>
        <v>140000</v>
      </c>
      <c r="F12" s="436">
        <f t="shared" si="2"/>
        <v>130000</v>
      </c>
      <c r="G12" s="436">
        <f t="shared" si="3"/>
        <v>-10000</v>
      </c>
    </row>
    <row r="13" spans="1:7" x14ac:dyDescent="0.2">
      <c r="A13" s="464">
        <f>BaseloadMarkets!A13</f>
        <v>36715</v>
      </c>
      <c r="B13" s="436">
        <v>20000</v>
      </c>
      <c r="C13" s="436">
        <f>+Supplies!D13</f>
        <v>0</v>
      </c>
      <c r="D13" s="436">
        <f t="shared" si="0"/>
        <v>-20000</v>
      </c>
      <c r="E13" s="436">
        <f t="shared" si="1"/>
        <v>160000</v>
      </c>
      <c r="F13" s="436">
        <f t="shared" si="2"/>
        <v>130000</v>
      </c>
      <c r="G13" s="436">
        <f t="shared" si="3"/>
        <v>-30000</v>
      </c>
    </row>
    <row r="14" spans="1:7" x14ac:dyDescent="0.2">
      <c r="A14" s="464">
        <f>BaseloadMarkets!A14</f>
        <v>36716</v>
      </c>
      <c r="B14" s="436">
        <v>20000</v>
      </c>
      <c r="C14" s="436">
        <f>+Supplies!D14</f>
        <v>0</v>
      </c>
      <c r="D14" s="436">
        <f t="shared" si="0"/>
        <v>-20000</v>
      </c>
      <c r="E14" s="436">
        <f t="shared" si="1"/>
        <v>180000</v>
      </c>
      <c r="F14" s="436">
        <f t="shared" si="2"/>
        <v>130000</v>
      </c>
      <c r="G14" s="436">
        <f t="shared" si="3"/>
        <v>-50000</v>
      </c>
    </row>
    <row r="15" spans="1:7" x14ac:dyDescent="0.2">
      <c r="A15" s="464">
        <f>BaseloadMarkets!A15</f>
        <v>36717</v>
      </c>
      <c r="B15" s="436">
        <v>20000</v>
      </c>
      <c r="C15" s="436">
        <f>+Supplies!D15</f>
        <v>30000</v>
      </c>
      <c r="D15" s="436">
        <f t="shared" si="0"/>
        <v>10000</v>
      </c>
      <c r="E15" s="436">
        <f t="shared" si="1"/>
        <v>200000</v>
      </c>
      <c r="F15" s="436">
        <f t="shared" si="2"/>
        <v>160000</v>
      </c>
      <c r="G15" s="436">
        <f t="shared" si="3"/>
        <v>-40000</v>
      </c>
    </row>
    <row r="16" spans="1:7" x14ac:dyDescent="0.2">
      <c r="A16" s="464">
        <f>BaseloadMarkets!A16</f>
        <v>36718</v>
      </c>
      <c r="B16" s="436">
        <v>20000</v>
      </c>
      <c r="C16" s="436">
        <f>+Supplies!D16</f>
        <v>30000</v>
      </c>
      <c r="D16" s="436">
        <f t="shared" si="0"/>
        <v>10000</v>
      </c>
      <c r="E16" s="436">
        <f t="shared" si="1"/>
        <v>220000</v>
      </c>
      <c r="F16" s="436">
        <f t="shared" si="2"/>
        <v>190000</v>
      </c>
      <c r="G16" s="436">
        <f t="shared" si="3"/>
        <v>-30000</v>
      </c>
    </row>
    <row r="17" spans="1:7" x14ac:dyDescent="0.2">
      <c r="A17" s="464">
        <f>BaseloadMarkets!A17</f>
        <v>36719</v>
      </c>
      <c r="B17" s="436">
        <v>20000</v>
      </c>
      <c r="C17" s="436">
        <f>+Supplies!D17</f>
        <v>30000</v>
      </c>
      <c r="D17" s="436">
        <f t="shared" si="0"/>
        <v>10000</v>
      </c>
      <c r="E17" s="436">
        <f t="shared" si="1"/>
        <v>240000</v>
      </c>
      <c r="F17" s="436">
        <f t="shared" si="2"/>
        <v>220000</v>
      </c>
      <c r="G17" s="436">
        <f t="shared" si="3"/>
        <v>-20000</v>
      </c>
    </row>
    <row r="18" spans="1:7" x14ac:dyDescent="0.2">
      <c r="A18" s="464">
        <f>BaseloadMarkets!A18</f>
        <v>36720</v>
      </c>
      <c r="B18" s="436">
        <v>20000</v>
      </c>
      <c r="C18" s="436">
        <f>+Supplies!D18</f>
        <v>30000</v>
      </c>
      <c r="D18" s="436">
        <f t="shared" si="0"/>
        <v>10000</v>
      </c>
      <c r="E18" s="436">
        <f t="shared" si="1"/>
        <v>260000</v>
      </c>
      <c r="F18" s="436">
        <f t="shared" si="2"/>
        <v>250000</v>
      </c>
      <c r="G18" s="436">
        <f t="shared" si="3"/>
        <v>-10000</v>
      </c>
    </row>
    <row r="19" spans="1:7" x14ac:dyDescent="0.2">
      <c r="A19" s="464">
        <f>BaseloadMarkets!A19</f>
        <v>36721</v>
      </c>
      <c r="B19" s="436">
        <v>20000</v>
      </c>
      <c r="C19" s="436">
        <f>+Supplies!D19</f>
        <v>30000</v>
      </c>
      <c r="D19" s="436">
        <f t="shared" si="0"/>
        <v>10000</v>
      </c>
      <c r="E19" s="436">
        <f t="shared" si="1"/>
        <v>280000</v>
      </c>
      <c r="F19" s="436">
        <f t="shared" si="2"/>
        <v>280000</v>
      </c>
      <c r="G19" s="436">
        <f t="shared" si="3"/>
        <v>0</v>
      </c>
    </row>
    <row r="20" spans="1:7" x14ac:dyDescent="0.2">
      <c r="A20" s="464">
        <f>BaseloadMarkets!A20</f>
        <v>36722</v>
      </c>
      <c r="B20" s="436">
        <v>20000</v>
      </c>
      <c r="C20" s="436">
        <f>+Supplies!D20</f>
        <v>0</v>
      </c>
      <c r="D20" s="436">
        <f t="shared" si="0"/>
        <v>-20000</v>
      </c>
      <c r="E20" s="436">
        <f t="shared" si="1"/>
        <v>300000</v>
      </c>
      <c r="F20" s="436">
        <f t="shared" si="2"/>
        <v>280000</v>
      </c>
      <c r="G20" s="436">
        <f t="shared" si="3"/>
        <v>-20000</v>
      </c>
    </row>
    <row r="21" spans="1:7" x14ac:dyDescent="0.2">
      <c r="A21" s="464">
        <f>BaseloadMarkets!A21</f>
        <v>36723</v>
      </c>
      <c r="B21" s="436">
        <v>20000</v>
      </c>
      <c r="C21" s="436">
        <f>+Supplies!D21</f>
        <v>0</v>
      </c>
      <c r="D21" s="436">
        <f t="shared" si="0"/>
        <v>-20000</v>
      </c>
      <c r="E21" s="436">
        <f t="shared" si="1"/>
        <v>320000</v>
      </c>
      <c r="F21" s="436">
        <f t="shared" si="2"/>
        <v>280000</v>
      </c>
      <c r="G21" s="436">
        <f t="shared" si="3"/>
        <v>-40000</v>
      </c>
    </row>
    <row r="22" spans="1:7" x14ac:dyDescent="0.2">
      <c r="A22" s="464">
        <f>BaseloadMarkets!A22</f>
        <v>36724</v>
      </c>
      <c r="B22" s="436">
        <v>20000</v>
      </c>
      <c r="C22" s="436">
        <f>+Supplies!D22</f>
        <v>30000</v>
      </c>
      <c r="D22" s="436">
        <f t="shared" si="0"/>
        <v>10000</v>
      </c>
      <c r="E22" s="436">
        <f t="shared" si="1"/>
        <v>340000</v>
      </c>
      <c r="F22" s="436">
        <f t="shared" si="2"/>
        <v>310000</v>
      </c>
      <c r="G22" s="436">
        <f t="shared" si="3"/>
        <v>-30000</v>
      </c>
    </row>
    <row r="23" spans="1:7" x14ac:dyDescent="0.2">
      <c r="A23" s="464">
        <f>BaseloadMarkets!A23</f>
        <v>36725</v>
      </c>
      <c r="B23" s="436">
        <v>20000</v>
      </c>
      <c r="C23" s="436">
        <f>+Supplies!D23</f>
        <v>30000</v>
      </c>
      <c r="D23" s="436">
        <f t="shared" si="0"/>
        <v>10000</v>
      </c>
      <c r="E23" s="436">
        <f t="shared" si="1"/>
        <v>360000</v>
      </c>
      <c r="F23" s="436">
        <f t="shared" si="2"/>
        <v>340000</v>
      </c>
      <c r="G23" s="436">
        <f t="shared" si="3"/>
        <v>-20000</v>
      </c>
    </row>
    <row r="24" spans="1:7" x14ac:dyDescent="0.2">
      <c r="A24" s="464">
        <f>BaseloadMarkets!A24</f>
        <v>36726</v>
      </c>
      <c r="B24" s="436">
        <v>20000</v>
      </c>
      <c r="C24" s="436">
        <f>+Supplies!D24</f>
        <v>30000</v>
      </c>
      <c r="D24" s="436">
        <f t="shared" si="0"/>
        <v>10000</v>
      </c>
      <c r="E24" s="436">
        <f t="shared" si="1"/>
        <v>380000</v>
      </c>
      <c r="F24" s="436">
        <f t="shared" si="2"/>
        <v>370000</v>
      </c>
      <c r="G24" s="436">
        <f t="shared" si="3"/>
        <v>-10000</v>
      </c>
    </row>
    <row r="25" spans="1:7" x14ac:dyDescent="0.2">
      <c r="A25" s="464">
        <f>BaseloadMarkets!A25</f>
        <v>36727</v>
      </c>
      <c r="B25" s="436">
        <v>20000</v>
      </c>
      <c r="C25" s="436">
        <f>+Supplies!D25</f>
        <v>30000</v>
      </c>
      <c r="D25" s="436">
        <f t="shared" si="0"/>
        <v>10000</v>
      </c>
      <c r="E25" s="436">
        <f t="shared" si="1"/>
        <v>400000</v>
      </c>
      <c r="F25" s="436">
        <f t="shared" si="2"/>
        <v>400000</v>
      </c>
      <c r="G25" s="436">
        <f t="shared" si="3"/>
        <v>0</v>
      </c>
    </row>
    <row r="26" spans="1:7" x14ac:dyDescent="0.2">
      <c r="A26" s="464">
        <f>BaseloadMarkets!A26</f>
        <v>36728</v>
      </c>
      <c r="B26" s="436">
        <v>20000</v>
      </c>
      <c r="C26" s="436">
        <f>+Supplies!D26</f>
        <v>30000</v>
      </c>
      <c r="D26" s="436">
        <f t="shared" si="0"/>
        <v>10000</v>
      </c>
      <c r="E26" s="436">
        <f t="shared" si="1"/>
        <v>420000</v>
      </c>
      <c r="F26" s="436">
        <f t="shared" si="2"/>
        <v>430000</v>
      </c>
      <c r="G26" s="436">
        <f t="shared" si="3"/>
        <v>10000</v>
      </c>
    </row>
    <row r="27" spans="1:7" x14ac:dyDescent="0.2">
      <c r="A27" s="464">
        <f>BaseloadMarkets!A27</f>
        <v>36729</v>
      </c>
      <c r="B27" s="436">
        <v>20000</v>
      </c>
      <c r="C27" s="436">
        <f>+Supplies!D27</f>
        <v>0</v>
      </c>
      <c r="D27" s="436">
        <f t="shared" si="0"/>
        <v>-20000</v>
      </c>
      <c r="E27" s="436">
        <f t="shared" si="1"/>
        <v>440000</v>
      </c>
      <c r="F27" s="436">
        <f t="shared" si="2"/>
        <v>430000</v>
      </c>
      <c r="G27" s="436">
        <f t="shared" si="3"/>
        <v>-10000</v>
      </c>
    </row>
    <row r="28" spans="1:7" x14ac:dyDescent="0.2">
      <c r="A28" s="464">
        <f>BaseloadMarkets!A28</f>
        <v>36730</v>
      </c>
      <c r="B28" s="436">
        <v>20000</v>
      </c>
      <c r="C28" s="436">
        <f>+Supplies!D28</f>
        <v>0</v>
      </c>
      <c r="D28" s="436">
        <f t="shared" si="0"/>
        <v>-20000</v>
      </c>
      <c r="E28" s="436">
        <f t="shared" si="1"/>
        <v>460000</v>
      </c>
      <c r="F28" s="436">
        <f t="shared" si="2"/>
        <v>430000</v>
      </c>
      <c r="G28" s="436">
        <f t="shared" si="3"/>
        <v>-30000</v>
      </c>
    </row>
    <row r="29" spans="1:7" x14ac:dyDescent="0.2">
      <c r="A29" s="464">
        <f>BaseloadMarkets!A29</f>
        <v>36731</v>
      </c>
      <c r="B29" s="436">
        <v>20000</v>
      </c>
      <c r="C29" s="436">
        <f>+Supplies!D29</f>
        <v>30000</v>
      </c>
      <c r="D29" s="436">
        <f t="shared" si="0"/>
        <v>10000</v>
      </c>
      <c r="E29" s="436">
        <f t="shared" si="1"/>
        <v>480000</v>
      </c>
      <c r="F29" s="436">
        <f t="shared" si="2"/>
        <v>460000</v>
      </c>
      <c r="G29" s="436">
        <f t="shared" si="3"/>
        <v>-20000</v>
      </c>
    </row>
    <row r="30" spans="1:7" x14ac:dyDescent="0.2">
      <c r="A30" s="464">
        <f>BaseloadMarkets!A30</f>
        <v>36732</v>
      </c>
      <c r="B30" s="436">
        <v>20000</v>
      </c>
      <c r="C30" s="436">
        <f>+Supplies!D30</f>
        <v>30000</v>
      </c>
      <c r="D30" s="436">
        <f t="shared" si="0"/>
        <v>10000</v>
      </c>
      <c r="E30" s="436">
        <f t="shared" si="1"/>
        <v>500000</v>
      </c>
      <c r="F30" s="436">
        <f t="shared" si="2"/>
        <v>490000</v>
      </c>
      <c r="G30" s="436">
        <f t="shared" si="3"/>
        <v>-10000</v>
      </c>
    </row>
    <row r="31" spans="1:7" x14ac:dyDescent="0.2">
      <c r="A31" s="464">
        <f>BaseloadMarkets!A31</f>
        <v>36733</v>
      </c>
      <c r="B31" s="436">
        <v>20000</v>
      </c>
      <c r="C31" s="436">
        <f>+Supplies!D31</f>
        <v>30000</v>
      </c>
      <c r="D31" s="436">
        <f t="shared" si="0"/>
        <v>10000</v>
      </c>
      <c r="E31" s="436">
        <f t="shared" si="1"/>
        <v>520000</v>
      </c>
      <c r="F31" s="436">
        <f t="shared" si="2"/>
        <v>520000</v>
      </c>
      <c r="G31" s="436">
        <f t="shared" si="3"/>
        <v>0</v>
      </c>
    </row>
    <row r="32" spans="1:7" x14ac:dyDescent="0.2">
      <c r="A32" s="464">
        <f>BaseloadMarkets!A32</f>
        <v>36734</v>
      </c>
      <c r="B32" s="436">
        <v>20000</v>
      </c>
      <c r="C32" s="436">
        <f>+Supplies!D32</f>
        <v>30000</v>
      </c>
      <c r="D32" s="436">
        <f t="shared" si="0"/>
        <v>10000</v>
      </c>
      <c r="E32" s="436">
        <f t="shared" si="1"/>
        <v>540000</v>
      </c>
      <c r="F32" s="436">
        <f t="shared" si="2"/>
        <v>550000</v>
      </c>
      <c r="G32" s="436">
        <f t="shared" si="3"/>
        <v>10000</v>
      </c>
    </row>
    <row r="33" spans="1:7" x14ac:dyDescent="0.2">
      <c r="A33" s="464">
        <f>BaseloadMarkets!A33</f>
        <v>36735</v>
      </c>
      <c r="B33" s="436">
        <v>20000</v>
      </c>
      <c r="C33" s="436">
        <f>+Supplies!D33</f>
        <v>30000</v>
      </c>
      <c r="D33" s="436">
        <f t="shared" si="0"/>
        <v>10000</v>
      </c>
      <c r="E33" s="436">
        <f t="shared" si="1"/>
        <v>560000</v>
      </c>
      <c r="F33" s="436">
        <f t="shared" si="2"/>
        <v>580000</v>
      </c>
      <c r="G33" s="436">
        <f t="shared" si="3"/>
        <v>20000</v>
      </c>
    </row>
    <row r="34" spans="1:7" x14ac:dyDescent="0.2">
      <c r="A34" s="464">
        <f>BaseloadMarkets!A34</f>
        <v>36736</v>
      </c>
      <c r="B34" s="436">
        <v>20000</v>
      </c>
      <c r="C34" s="436">
        <f>+Supplies!D34</f>
        <v>5000</v>
      </c>
      <c r="D34" s="436">
        <f t="shared" si="0"/>
        <v>-15000</v>
      </c>
      <c r="E34" s="436">
        <f t="shared" si="1"/>
        <v>580000</v>
      </c>
      <c r="F34" s="436">
        <f t="shared" si="2"/>
        <v>585000</v>
      </c>
      <c r="G34" s="436">
        <f t="shared" si="3"/>
        <v>5000</v>
      </c>
    </row>
    <row r="35" spans="1:7" x14ac:dyDescent="0.2">
      <c r="A35" s="464">
        <f>BaseloadMarkets!A35</f>
        <v>36737</v>
      </c>
      <c r="B35" s="436">
        <v>20000</v>
      </c>
      <c r="C35" s="436">
        <f>+Supplies!D35</f>
        <v>5000</v>
      </c>
      <c r="D35" s="436">
        <f t="shared" si="0"/>
        <v>-15000</v>
      </c>
      <c r="E35" s="436">
        <f t="shared" si="1"/>
        <v>600000</v>
      </c>
      <c r="F35" s="436">
        <f t="shared" si="2"/>
        <v>590000</v>
      </c>
      <c r="G35" s="436">
        <f t="shared" si="3"/>
        <v>-10000</v>
      </c>
    </row>
    <row r="36" spans="1:7" ht="13.5" thickBot="1" x14ac:dyDescent="0.25">
      <c r="A36" s="464">
        <f>BaseloadMarkets!A36</f>
        <v>36738</v>
      </c>
      <c r="B36" s="436">
        <v>20000</v>
      </c>
      <c r="C36" s="436">
        <f>+Supplies!D36</f>
        <v>30000</v>
      </c>
      <c r="D36" s="436">
        <f t="shared" si="0"/>
        <v>10000</v>
      </c>
      <c r="E36" s="436">
        <f t="shared" si="1"/>
        <v>620000</v>
      </c>
      <c r="F36" s="436">
        <f t="shared" si="2"/>
        <v>620000</v>
      </c>
      <c r="G36" s="436">
        <f t="shared" si="3"/>
        <v>0</v>
      </c>
    </row>
    <row r="37" spans="1:7" ht="13.5" thickTop="1" x14ac:dyDescent="0.2">
      <c r="A37" s="464" t="str">
        <f>BaseloadMarkets!A37</f>
        <v>Totals</v>
      </c>
      <c r="B37" s="465">
        <f>SUM(B6:B36)</f>
        <v>620000</v>
      </c>
      <c r="C37" s="465">
        <f>SUM(C6:C36)</f>
        <v>620000</v>
      </c>
      <c r="D37" s="465">
        <f>SUM(D6:D36)</f>
        <v>0</v>
      </c>
      <c r="E37" s="466"/>
      <c r="F37" s="436"/>
      <c r="G37" s="466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D40"/>
  <sheetViews>
    <sheetView workbookViewId="0">
      <pane xSplit="1" ySplit="5" topLeftCell="AJ6" activePane="bottomRight" state="frozen"/>
      <selection activeCell="AT19" sqref="AT19"/>
      <selection pane="topRight" activeCell="AT19" sqref="AT19"/>
      <selection pane="bottomLeft" activeCell="AT19" sqref="AT19"/>
      <selection pane="bottomRight" activeCell="AT19" sqref="AT19"/>
    </sheetView>
  </sheetViews>
  <sheetFormatPr defaultColWidth="12.83203125" defaultRowHeight="12.75" x14ac:dyDescent="0.2"/>
  <cols>
    <col min="1" max="1" width="12.83203125" style="31" customWidth="1"/>
    <col min="2" max="2" width="12.83203125" style="436" customWidth="1"/>
    <col min="3" max="3" width="15.5" style="436" customWidth="1"/>
    <col min="4" max="53" width="12.83203125" style="436" customWidth="1"/>
    <col min="54" max="16384" width="12.83203125" style="31"/>
  </cols>
  <sheetData>
    <row r="1" spans="1:108" x14ac:dyDescent="0.2">
      <c r="A1" s="434" t="s">
        <v>295</v>
      </c>
      <c r="C1" s="435">
        <f>+BaseloadMarkets!B1</f>
        <v>36708</v>
      </c>
      <c r="D1" s="470"/>
    </row>
    <row r="3" spans="1:108" s="441" customFormat="1" x14ac:dyDescent="0.2">
      <c r="A3" s="437" t="str">
        <f>+OCCMarkets!A3</f>
        <v>OCC</v>
      </c>
      <c r="B3" s="471" t="str">
        <f>+OCCMarkets!AC3</f>
        <v>S18</v>
      </c>
      <c r="C3" s="471"/>
      <c r="D3" s="471"/>
      <c r="E3" s="471"/>
      <c r="F3" s="471" t="str">
        <f>+OCCMarkets!AG3</f>
        <v>Total</v>
      </c>
      <c r="G3" s="471"/>
      <c r="H3" s="471"/>
      <c r="I3" s="438" t="str">
        <f>+OCCMarkets!AJ3</f>
        <v>C01</v>
      </c>
      <c r="J3" s="438"/>
      <c r="K3" s="438"/>
      <c r="L3" s="438"/>
      <c r="M3" s="438" t="str">
        <f>+OCCMarkets!AN3</f>
        <v>Total</v>
      </c>
      <c r="N3" s="438"/>
      <c r="O3" s="438"/>
      <c r="P3" s="472" t="str">
        <f>+OCCMarkets!AQ3</f>
        <v>S07</v>
      </c>
      <c r="Q3" s="472"/>
      <c r="R3" s="472"/>
      <c r="S3" s="472"/>
      <c r="T3" s="472" t="str">
        <f>+OCCMarkets!AU3</f>
        <v>Total</v>
      </c>
      <c r="U3" s="472"/>
      <c r="V3" s="472"/>
      <c r="W3" s="473" t="str">
        <f>+OCCMarkets!AX3</f>
        <v>S19</v>
      </c>
      <c r="X3" s="473"/>
      <c r="Y3" s="473"/>
      <c r="Z3" s="473"/>
      <c r="AA3" s="473" t="str">
        <f>+OCCMarkets!BB3</f>
        <v>Total</v>
      </c>
      <c r="AB3" s="473"/>
      <c r="AC3" s="473"/>
      <c r="AD3" s="474" t="str">
        <f>+OCCMarkets!BE3</f>
        <v>S88</v>
      </c>
      <c r="AE3" s="474"/>
      <c r="AF3" s="474"/>
      <c r="AG3" s="474"/>
      <c r="AH3" s="474" t="str">
        <f>+OCCMarkets!BI3</f>
        <v>Total</v>
      </c>
      <c r="AI3" s="474"/>
      <c r="AJ3" s="474"/>
      <c r="AK3" s="446"/>
      <c r="AL3" s="446"/>
      <c r="AM3" s="446"/>
      <c r="AN3" s="446"/>
      <c r="AO3" s="446"/>
      <c r="AP3" s="446"/>
      <c r="AQ3" s="446"/>
      <c r="AR3" s="446"/>
      <c r="AS3" s="446"/>
      <c r="AT3" s="446"/>
      <c r="AU3" s="446"/>
      <c r="AV3" s="446"/>
      <c r="AW3" s="446"/>
      <c r="AX3" s="446"/>
      <c r="AY3" s="446"/>
      <c r="AZ3" s="446"/>
      <c r="BA3" s="446"/>
      <c r="BB3" s="440"/>
      <c r="BC3" s="440"/>
      <c r="BD3" s="440"/>
      <c r="BE3" s="440"/>
      <c r="BF3" s="440"/>
      <c r="BG3" s="440"/>
      <c r="BH3" s="440"/>
      <c r="BI3" s="440"/>
      <c r="BJ3" s="440"/>
      <c r="BK3" s="440"/>
      <c r="BL3" s="440"/>
      <c r="BM3" s="440"/>
      <c r="BN3" s="440"/>
      <c r="BO3" s="440"/>
      <c r="BP3" s="440"/>
      <c r="BQ3" s="440"/>
      <c r="BR3" s="440"/>
      <c r="BS3" s="440"/>
      <c r="BT3" s="440"/>
      <c r="BU3" s="440"/>
      <c r="BV3" s="440"/>
      <c r="BW3" s="440"/>
      <c r="BX3" s="440"/>
      <c r="BY3" s="440"/>
      <c r="BZ3" s="440"/>
      <c r="CA3" s="440"/>
      <c r="CB3" s="440"/>
      <c r="CC3" s="440"/>
      <c r="CD3" s="440"/>
      <c r="CE3" s="440"/>
      <c r="CF3" s="440"/>
      <c r="CG3" s="440"/>
      <c r="CH3" s="440"/>
      <c r="CI3" s="440"/>
      <c r="CJ3" s="440"/>
      <c r="CK3" s="440"/>
      <c r="CL3" s="440"/>
      <c r="CM3" s="440"/>
      <c r="CN3" s="440"/>
      <c r="CO3" s="440"/>
      <c r="CP3" s="440"/>
      <c r="CQ3" s="440"/>
      <c r="CR3" s="440"/>
      <c r="CS3" s="440"/>
      <c r="CT3" s="440"/>
      <c r="CU3" s="440"/>
      <c r="CV3" s="440"/>
      <c r="CW3" s="440"/>
      <c r="CX3" s="440"/>
      <c r="CY3" s="440"/>
      <c r="CZ3" s="440"/>
      <c r="DA3" s="440"/>
      <c r="DB3" s="440"/>
      <c r="DC3" s="440"/>
      <c r="DD3" s="440"/>
    </row>
    <row r="4" spans="1:108" s="441" customFormat="1" x14ac:dyDescent="0.2">
      <c r="A4" s="437" t="str">
        <f>+OCCMarkets!A4</f>
        <v>CounterParty</v>
      </c>
      <c r="B4" s="471" t="str">
        <f>+OCCMarkets!AC4</f>
        <v>Smurfit</v>
      </c>
      <c r="C4" s="471" t="str">
        <f>+OCCMarkets!AD4</f>
        <v>9KUB/9KUC</v>
      </c>
      <c r="D4" s="471"/>
      <c r="E4" s="471"/>
      <c r="F4" s="471" t="str">
        <f>+B3</f>
        <v>S18</v>
      </c>
      <c r="G4" s="471" t="str">
        <f>+OCCMarkets!AH4</f>
        <v>Daily</v>
      </c>
      <c r="H4" s="471" t="str">
        <f>+OCCMarkets!AI4</f>
        <v>Cumulative</v>
      </c>
      <c r="I4" s="438" t="str">
        <f>+OCCMarkets!AJ4</f>
        <v>Smurfit</v>
      </c>
      <c r="J4" s="438" t="str">
        <f>+OCCMarkets!AK4</f>
        <v>9KUB/9KUC</v>
      </c>
      <c r="K4" s="438">
        <f>+OCCMarkets!AL4</f>
        <v>0</v>
      </c>
      <c r="L4" s="438"/>
      <c r="M4" s="438" t="str">
        <f>+OCCMarkets!AN4</f>
        <v>Smurfit</v>
      </c>
      <c r="N4" s="438" t="str">
        <f>+OCCMarkets!AO4</f>
        <v>Daily</v>
      </c>
      <c r="O4" s="438" t="str">
        <f>+OCCMarkets!AP4</f>
        <v>Cumulative</v>
      </c>
      <c r="P4" s="472" t="str">
        <f>+OCCMarkets!AQ4</f>
        <v>Smurfit</v>
      </c>
      <c r="Q4" s="472" t="str">
        <f>+OCCMarkets!AR4</f>
        <v>9KUB</v>
      </c>
      <c r="R4" s="472"/>
      <c r="S4" s="472"/>
      <c r="T4" s="472" t="str">
        <f>+OCCMarkets!AU4</f>
        <v>Smurfit</v>
      </c>
      <c r="U4" s="472" t="str">
        <f>+OCCMarkets!AV4</f>
        <v>Daily</v>
      </c>
      <c r="V4" s="472" t="str">
        <f>+OCCMarkets!AW4</f>
        <v>Cumulative</v>
      </c>
      <c r="W4" s="473" t="str">
        <f>+OCCMarkets!AX4</f>
        <v>Smurfit</v>
      </c>
      <c r="X4" s="473"/>
      <c r="Y4" s="473"/>
      <c r="Z4" s="473"/>
      <c r="AA4" s="473" t="str">
        <f>+OCCMarkets!BB4</f>
        <v>Smurfit</v>
      </c>
      <c r="AB4" s="473" t="str">
        <f>+OCCMarkets!BC4</f>
        <v>Daily</v>
      </c>
      <c r="AC4" s="473" t="str">
        <f>+OCCMarkets!BD4</f>
        <v>Cumulative</v>
      </c>
      <c r="AD4" s="474" t="str">
        <f>+OCCMarkets!BE4</f>
        <v>Smurfit</v>
      </c>
      <c r="AE4" s="474"/>
      <c r="AF4" s="474"/>
      <c r="AG4" s="474"/>
      <c r="AH4" s="474" t="str">
        <f>+OCCMarkets!BI4</f>
        <v>Smurfit</v>
      </c>
      <c r="AI4" s="474" t="str">
        <f>+OCCMarkets!BJ4</f>
        <v>Daily</v>
      </c>
      <c r="AJ4" s="474" t="str">
        <f>+OCCMarkets!BK4</f>
        <v>Cumulative</v>
      </c>
      <c r="AK4" s="446"/>
      <c r="AL4" s="446" t="s">
        <v>40</v>
      </c>
      <c r="AM4" s="446" t="s">
        <v>40</v>
      </c>
      <c r="AN4" s="446" t="s">
        <v>62</v>
      </c>
      <c r="AO4" s="446" t="s">
        <v>63</v>
      </c>
      <c r="AP4" s="446"/>
      <c r="AQ4" s="446"/>
      <c r="AR4" s="446"/>
      <c r="AS4" s="446"/>
      <c r="AT4" s="446"/>
      <c r="AU4" s="446"/>
      <c r="AV4" s="446"/>
      <c r="AW4" s="446"/>
      <c r="AX4" s="446"/>
      <c r="AY4" s="446"/>
      <c r="AZ4" s="446"/>
      <c r="BA4" s="446"/>
      <c r="BB4" s="440"/>
      <c r="BC4" s="440"/>
      <c r="BD4" s="440"/>
      <c r="BE4" s="440"/>
      <c r="BF4" s="440"/>
      <c r="BG4" s="440"/>
      <c r="BH4" s="440"/>
      <c r="BI4" s="440"/>
      <c r="BJ4" s="440"/>
      <c r="BK4" s="440"/>
      <c r="BL4" s="440"/>
      <c r="BM4" s="440"/>
      <c r="BN4" s="440"/>
      <c r="BO4" s="440"/>
      <c r="BP4" s="440"/>
      <c r="BQ4" s="440"/>
      <c r="BR4" s="440"/>
      <c r="BS4" s="440"/>
      <c r="BT4" s="440"/>
      <c r="BU4" s="440"/>
      <c r="BV4" s="440"/>
      <c r="BW4" s="440"/>
      <c r="BX4" s="440"/>
      <c r="BY4" s="440"/>
      <c r="BZ4" s="440"/>
      <c r="CA4" s="440"/>
      <c r="CB4" s="440"/>
      <c r="CC4" s="440"/>
      <c r="CD4" s="440"/>
      <c r="CE4" s="440"/>
      <c r="CF4" s="440"/>
      <c r="CG4" s="440"/>
      <c r="CH4" s="440"/>
      <c r="CI4" s="440"/>
      <c r="CJ4" s="440"/>
      <c r="CK4" s="440"/>
      <c r="CL4" s="440"/>
      <c r="CM4" s="440"/>
      <c r="CN4" s="440"/>
      <c r="CO4" s="440"/>
      <c r="CP4" s="440"/>
      <c r="CQ4" s="440"/>
      <c r="CR4" s="440"/>
      <c r="CS4" s="440"/>
      <c r="CT4" s="440"/>
      <c r="CU4" s="440"/>
      <c r="CV4" s="440"/>
      <c r="CW4" s="440"/>
      <c r="CX4" s="440"/>
      <c r="CY4" s="440"/>
      <c r="CZ4" s="440"/>
      <c r="DA4" s="440"/>
      <c r="DB4" s="440"/>
      <c r="DC4" s="440"/>
      <c r="DD4" s="440"/>
    </row>
    <row r="5" spans="1:108" s="441" customFormat="1" x14ac:dyDescent="0.2">
      <c r="A5" s="437" t="str">
        <f>+OCCMarkets!A5</f>
        <v>Pipeline</v>
      </c>
      <c r="B5" s="471" t="str">
        <f>+OCCMarkets!AC5</f>
        <v>Demand</v>
      </c>
      <c r="C5" s="471" t="str">
        <f>+OCCMarkets!AD5</f>
        <v>Top/Ehr</v>
      </c>
      <c r="D5" s="471" t="str">
        <f>+OCCMarkets!AE5</f>
        <v>KRS</v>
      </c>
      <c r="E5" s="471">
        <f>+OCCMarkets!AF5</f>
        <v>0</v>
      </c>
      <c r="F5" s="471" t="str">
        <f>+OCCMarkets!AG5</f>
        <v>Scheduled</v>
      </c>
      <c r="G5" s="471" t="str">
        <f>+OCCMarkets!AH5</f>
        <v>Long/(Short)</v>
      </c>
      <c r="H5" s="471" t="str">
        <f>+OCCMarkets!AI5</f>
        <v>Imbalance</v>
      </c>
      <c r="I5" s="438" t="str">
        <f>+OCCMarkets!AJ5</f>
        <v>Demand</v>
      </c>
      <c r="J5" s="438" t="str">
        <f>+OCCMarkets!AK5</f>
        <v>Top/Ehr</v>
      </c>
      <c r="K5" s="438" t="str">
        <f>+OCCMarkets!AL5</f>
        <v>KS0202DD</v>
      </c>
      <c r="L5" s="438"/>
      <c r="M5" s="438" t="str">
        <f>+OCCMarkets!AN5</f>
        <v>Scheduled</v>
      </c>
      <c r="N5" s="438" t="str">
        <f>+OCCMarkets!AO5</f>
        <v>Long/(Short)</v>
      </c>
      <c r="O5" s="438" t="str">
        <f>+OCCMarkets!AP5</f>
        <v>Imbalance</v>
      </c>
      <c r="P5" s="472" t="str">
        <f>+OCCMarkets!AQ5</f>
        <v>Demand</v>
      </c>
      <c r="Q5" s="472" t="str">
        <f>+OCCMarkets!AR5</f>
        <v>TOP</v>
      </c>
      <c r="R5" s="472">
        <f>+OCCMarkets!AS5</f>
        <v>0</v>
      </c>
      <c r="S5" s="472"/>
      <c r="T5" s="472" t="str">
        <f>+OCCMarkets!AU5</f>
        <v>Scheduled</v>
      </c>
      <c r="U5" s="472" t="str">
        <f>+OCCMarkets!AV5</f>
        <v>Long/(Short)</v>
      </c>
      <c r="V5" s="472" t="str">
        <f>+OCCMarkets!AW5</f>
        <v>Imbalance</v>
      </c>
      <c r="W5" s="473" t="str">
        <f>+OCCMarkets!AX5</f>
        <v>Demand</v>
      </c>
      <c r="X5" s="473" t="str">
        <f>+OCCMarkets!AY5</f>
        <v>Top/Ehr</v>
      </c>
      <c r="Y5" s="473"/>
      <c r="Z5" s="473"/>
      <c r="AA5" s="473" t="str">
        <f>+OCCMarkets!BB5</f>
        <v>Scheduled</v>
      </c>
      <c r="AB5" s="473" t="str">
        <f>+OCCMarkets!BC5</f>
        <v>Long/(Short)</v>
      </c>
      <c r="AC5" s="473" t="str">
        <f>+OCCMarkets!BD5</f>
        <v>Imbalance</v>
      </c>
      <c r="AD5" s="474" t="str">
        <f>+OCCMarkets!BE5</f>
        <v>Demand</v>
      </c>
      <c r="AE5" s="474" t="str">
        <f>+OCCMarkets!BF5</f>
        <v>Top/Ehr</v>
      </c>
      <c r="AF5" s="474"/>
      <c r="AG5" s="474"/>
      <c r="AH5" s="474" t="str">
        <f>+OCCMarkets!BI5</f>
        <v>Scheduled</v>
      </c>
      <c r="AI5" s="474" t="str">
        <f>+OCCMarkets!BJ5</f>
        <v>Long/(Short)</v>
      </c>
      <c r="AJ5" s="474" t="str">
        <f>+OCCMarkets!BK5</f>
        <v>Imbalance</v>
      </c>
      <c r="AK5" s="446"/>
      <c r="AL5" s="446" t="s">
        <v>126</v>
      </c>
      <c r="AM5" s="446" t="s">
        <v>129</v>
      </c>
      <c r="AN5" s="446" t="s">
        <v>69</v>
      </c>
      <c r="AO5" s="446" t="s">
        <v>130</v>
      </c>
      <c r="AP5" s="446"/>
      <c r="AQ5" s="446"/>
      <c r="AR5" s="446"/>
      <c r="AS5" s="446"/>
      <c r="AT5" s="446"/>
      <c r="AU5" s="446"/>
      <c r="AV5" s="446"/>
      <c r="AW5" s="446"/>
      <c r="AX5" s="446"/>
      <c r="AY5" s="446"/>
      <c r="AZ5" s="446"/>
      <c r="BA5" s="446"/>
      <c r="BB5" s="440"/>
      <c r="BC5" s="440"/>
      <c r="BD5" s="440"/>
      <c r="BE5" s="440"/>
      <c r="BF5" s="440"/>
      <c r="BG5" s="440"/>
      <c r="BH5" s="440"/>
      <c r="BI5" s="440"/>
      <c r="BJ5" s="440"/>
      <c r="BK5" s="440"/>
      <c r="BL5" s="440"/>
      <c r="BM5" s="440"/>
      <c r="BN5" s="440"/>
      <c r="BO5" s="440"/>
      <c r="BP5" s="440"/>
      <c r="BQ5" s="440"/>
      <c r="BR5" s="440"/>
      <c r="BS5" s="440"/>
      <c r="BT5" s="440"/>
      <c r="BU5" s="440"/>
      <c r="BV5" s="440"/>
      <c r="BW5" s="440"/>
      <c r="BX5" s="440"/>
      <c r="BY5" s="440"/>
      <c r="BZ5" s="440"/>
      <c r="CA5" s="440"/>
      <c r="CB5" s="440"/>
      <c r="CC5" s="440"/>
      <c r="CD5" s="440"/>
      <c r="CE5" s="440"/>
      <c r="CF5" s="440"/>
      <c r="CG5" s="440"/>
      <c r="CH5" s="440"/>
      <c r="CI5" s="440"/>
      <c r="CJ5" s="440"/>
      <c r="CK5" s="440"/>
      <c r="CL5" s="440"/>
      <c r="CM5" s="440"/>
      <c r="CN5" s="440"/>
      <c r="CO5" s="440"/>
      <c r="CP5" s="440"/>
      <c r="CQ5" s="440"/>
      <c r="CR5" s="440"/>
      <c r="CS5" s="440"/>
      <c r="CT5" s="440"/>
      <c r="CU5" s="440"/>
      <c r="CV5" s="440"/>
      <c r="CW5" s="440"/>
      <c r="CX5" s="440"/>
      <c r="CY5" s="440"/>
      <c r="CZ5" s="440"/>
      <c r="DA5" s="440"/>
      <c r="DB5" s="440"/>
      <c r="DC5" s="440"/>
      <c r="DD5" s="440"/>
    </row>
    <row r="6" spans="1:108" x14ac:dyDescent="0.2">
      <c r="A6" s="383">
        <f>+BaseloadMarkets!A6</f>
        <v>36708</v>
      </c>
      <c r="B6" s="471">
        <f>+OCCMarkets!AC6</f>
        <v>181</v>
      </c>
      <c r="C6" s="471">
        <f>+OCCMarkets!AD6</f>
        <v>0</v>
      </c>
      <c r="D6" s="471">
        <f>+OCCMarkets!AE6</f>
        <v>0</v>
      </c>
      <c r="E6" s="471">
        <f>+OCCMarkets!AF6</f>
        <v>0</v>
      </c>
      <c r="F6" s="471">
        <f>+OCCMarkets!AG6</f>
        <v>0</v>
      </c>
      <c r="G6" s="471">
        <f>+OCCMarkets!AH6</f>
        <v>-181</v>
      </c>
      <c r="H6" s="471">
        <f>+OCCMarkets!AI6</f>
        <v>-181</v>
      </c>
      <c r="I6" s="438">
        <f>+OCCMarkets!AJ6</f>
        <v>2722</v>
      </c>
      <c r="J6" s="438">
        <f>+OCCMarkets!AK6</f>
        <v>4437</v>
      </c>
      <c r="K6" s="438">
        <f>+OCCMarkets!AL6</f>
        <v>7019</v>
      </c>
      <c r="L6" s="438">
        <f>+OCCMarkets!AM6</f>
        <v>0</v>
      </c>
      <c r="M6" s="438">
        <f>+OCCMarkets!AN6</f>
        <v>11456</v>
      </c>
      <c r="N6" s="438">
        <f>+OCCMarkets!AO6</f>
        <v>8734</v>
      </c>
      <c r="O6" s="438">
        <f>+OCCMarkets!AP6</f>
        <v>8734</v>
      </c>
      <c r="P6" s="472">
        <f>+OCCMarkets!AQ6</f>
        <v>0</v>
      </c>
      <c r="Q6" s="472">
        <f>+OCCMarkets!AR6</f>
        <v>0</v>
      </c>
      <c r="R6" s="472">
        <f>+OCCMarkets!AS6</f>
        <v>0</v>
      </c>
      <c r="S6" s="472">
        <f>+OCCMarkets!AT6</f>
        <v>0</v>
      </c>
      <c r="T6" s="472">
        <f>+OCCMarkets!AU6</f>
        <v>0</v>
      </c>
      <c r="U6" s="472">
        <f>+OCCMarkets!AV6</f>
        <v>0</v>
      </c>
      <c r="V6" s="472">
        <f>+OCCMarkets!AW6</f>
        <v>0</v>
      </c>
      <c r="W6" s="473">
        <f>+OCCMarkets!AX6</f>
        <v>22</v>
      </c>
      <c r="X6" s="473">
        <f>+OCCMarkets!AY6</f>
        <v>0</v>
      </c>
      <c r="Y6" s="473">
        <f>+OCCMarkets!AZ6</f>
        <v>0</v>
      </c>
      <c r="Z6" s="473">
        <f>+OCCMarkets!BA6</f>
        <v>0</v>
      </c>
      <c r="AA6" s="473">
        <f>+OCCMarkets!BB6</f>
        <v>0</v>
      </c>
      <c r="AB6" s="473">
        <f>+OCCMarkets!BC6</f>
        <v>-22</v>
      </c>
      <c r="AC6" s="473">
        <f>+OCCMarkets!BD6</f>
        <v>-22</v>
      </c>
      <c r="AD6" s="474">
        <f>+OCCMarkets!BE6</f>
        <v>140</v>
      </c>
      <c r="AE6" s="474">
        <f>+OCCMarkets!BF6</f>
        <v>0</v>
      </c>
      <c r="AF6" s="474">
        <f>+OCCMarkets!BG6</f>
        <v>0</v>
      </c>
      <c r="AG6" s="474">
        <f>+OCCMarkets!BH6</f>
        <v>0</v>
      </c>
      <c r="AH6" s="474">
        <f>+OCCMarkets!BI6</f>
        <v>0</v>
      </c>
      <c r="AI6" s="474">
        <f>+OCCMarkets!BJ6</f>
        <v>-140</v>
      </c>
      <c r="AJ6" s="474">
        <f>+OCCMarkets!BK6</f>
        <v>-140</v>
      </c>
      <c r="AL6" s="436">
        <f t="shared" ref="AL6:AL36" si="0">+B6+I6+P6+W6+AD6</f>
        <v>3065</v>
      </c>
      <c r="AM6" s="436">
        <f t="shared" ref="AM6:AM36" si="1">+F6+M6+T6+AA6+AH6</f>
        <v>11456</v>
      </c>
      <c r="AN6" s="436">
        <f t="shared" ref="AN6:AN36" si="2">+AM6-AL6</f>
        <v>8391</v>
      </c>
      <c r="AO6" s="436">
        <f t="shared" ref="AO6:AO36" si="3">+H6+O6+V6+AC6+AJ6</f>
        <v>8391</v>
      </c>
      <c r="BB6" s="442"/>
      <c r="BC6" s="442"/>
      <c r="BD6" s="442"/>
      <c r="BE6" s="442"/>
      <c r="BF6" s="442"/>
      <c r="BG6" s="442"/>
      <c r="BH6" s="442"/>
      <c r="BI6" s="442"/>
      <c r="BJ6" s="442"/>
      <c r="BK6" s="442"/>
      <c r="BL6" s="442"/>
      <c r="BM6" s="442"/>
      <c r="BN6" s="442"/>
      <c r="BO6" s="442"/>
      <c r="BP6" s="442"/>
      <c r="BQ6" s="442"/>
      <c r="BR6" s="442"/>
      <c r="BS6" s="442"/>
      <c r="BT6" s="442"/>
      <c r="BU6" s="442"/>
      <c r="BV6" s="442"/>
      <c r="BW6" s="442"/>
      <c r="BX6" s="442"/>
      <c r="BY6" s="442"/>
      <c r="BZ6" s="442"/>
      <c r="CA6" s="442"/>
      <c r="CB6" s="442"/>
      <c r="CC6" s="442"/>
      <c r="CD6" s="442"/>
      <c r="CE6" s="442"/>
      <c r="CF6" s="442"/>
      <c r="CG6" s="442"/>
      <c r="CH6" s="442"/>
      <c r="CI6" s="442"/>
      <c r="CJ6" s="442"/>
      <c r="CK6" s="442"/>
      <c r="CL6" s="442"/>
      <c r="CM6" s="442"/>
      <c r="CN6" s="442"/>
      <c r="CO6" s="442"/>
      <c r="CP6" s="442"/>
      <c r="CQ6" s="442"/>
      <c r="CR6" s="442"/>
      <c r="CS6" s="442"/>
      <c r="CT6" s="442"/>
      <c r="CU6" s="442"/>
      <c r="CV6" s="442"/>
      <c r="CW6" s="442"/>
      <c r="CX6" s="442"/>
      <c r="CY6" s="442"/>
      <c r="CZ6" s="442"/>
      <c r="DA6" s="442"/>
      <c r="DB6" s="442"/>
      <c r="DC6" s="442"/>
      <c r="DD6" s="442"/>
    </row>
    <row r="7" spans="1:108" x14ac:dyDescent="0.2">
      <c r="A7" s="383">
        <f>+BaseloadMarkets!A7</f>
        <v>36709</v>
      </c>
      <c r="B7" s="471">
        <f>+OCCMarkets!AC7</f>
        <v>28</v>
      </c>
      <c r="C7" s="471">
        <f>+OCCMarkets!AD7</f>
        <v>0</v>
      </c>
      <c r="D7" s="471">
        <f>+OCCMarkets!AE7</f>
        <v>0</v>
      </c>
      <c r="E7" s="471">
        <f>+OCCMarkets!AF7</f>
        <v>0</v>
      </c>
      <c r="F7" s="471">
        <f>+OCCMarkets!AG7</f>
        <v>0</v>
      </c>
      <c r="G7" s="471">
        <f>+OCCMarkets!AH7</f>
        <v>-28</v>
      </c>
      <c r="H7" s="471">
        <f>+OCCMarkets!AI7</f>
        <v>-209</v>
      </c>
      <c r="I7" s="438">
        <f>+OCCMarkets!AJ7</f>
        <v>7067</v>
      </c>
      <c r="J7" s="438">
        <f>+OCCMarkets!AK7</f>
        <v>3760</v>
      </c>
      <c r="K7" s="438">
        <f>+OCCMarkets!AL7</f>
        <v>8450</v>
      </c>
      <c r="L7" s="438">
        <f>+OCCMarkets!AM7</f>
        <v>0</v>
      </c>
      <c r="M7" s="438">
        <f>+OCCMarkets!AN7</f>
        <v>12210</v>
      </c>
      <c r="N7" s="438">
        <f>+OCCMarkets!AO7</f>
        <v>5143</v>
      </c>
      <c r="O7" s="438">
        <f>+OCCMarkets!AP7</f>
        <v>13877</v>
      </c>
      <c r="P7" s="472">
        <f>+OCCMarkets!AQ7</f>
        <v>0</v>
      </c>
      <c r="Q7" s="472">
        <f>+OCCMarkets!AR7</f>
        <v>0</v>
      </c>
      <c r="R7" s="472">
        <f>+OCCMarkets!AS7</f>
        <v>0</v>
      </c>
      <c r="S7" s="472">
        <f>+OCCMarkets!AT7</f>
        <v>0</v>
      </c>
      <c r="T7" s="472">
        <f>+OCCMarkets!AU7</f>
        <v>0</v>
      </c>
      <c r="U7" s="472">
        <f>+OCCMarkets!AV7</f>
        <v>0</v>
      </c>
      <c r="V7" s="472">
        <f>+OCCMarkets!AW7</f>
        <v>0</v>
      </c>
      <c r="W7" s="473">
        <f>+OCCMarkets!AX7</f>
        <v>0</v>
      </c>
      <c r="X7" s="473">
        <f>+OCCMarkets!AY7</f>
        <v>0</v>
      </c>
      <c r="Y7" s="473">
        <f>+OCCMarkets!AZ7</f>
        <v>0</v>
      </c>
      <c r="Z7" s="473">
        <f>+OCCMarkets!BA7</f>
        <v>0</v>
      </c>
      <c r="AA7" s="473">
        <f>+OCCMarkets!BB7</f>
        <v>0</v>
      </c>
      <c r="AB7" s="473">
        <f>+OCCMarkets!BC7</f>
        <v>0</v>
      </c>
      <c r="AC7" s="473">
        <f>+OCCMarkets!BD7</f>
        <v>-22</v>
      </c>
      <c r="AD7" s="474">
        <f>+OCCMarkets!BE7</f>
        <v>0</v>
      </c>
      <c r="AE7" s="474">
        <f>+OCCMarkets!BF7</f>
        <v>0</v>
      </c>
      <c r="AF7" s="474">
        <f>+OCCMarkets!BG7</f>
        <v>0</v>
      </c>
      <c r="AG7" s="474">
        <f>+OCCMarkets!BH7</f>
        <v>0</v>
      </c>
      <c r="AH7" s="474">
        <f>+OCCMarkets!BI7</f>
        <v>0</v>
      </c>
      <c r="AI7" s="474">
        <f>+OCCMarkets!BJ7</f>
        <v>0</v>
      </c>
      <c r="AJ7" s="474">
        <f>+OCCMarkets!BK7</f>
        <v>-140</v>
      </c>
      <c r="AL7" s="436">
        <f t="shared" si="0"/>
        <v>7095</v>
      </c>
      <c r="AM7" s="436">
        <f t="shared" si="1"/>
        <v>12210</v>
      </c>
      <c r="AN7" s="436">
        <f t="shared" si="2"/>
        <v>5115</v>
      </c>
      <c r="AO7" s="436">
        <f t="shared" si="3"/>
        <v>13506</v>
      </c>
      <c r="BB7" s="442"/>
      <c r="BC7" s="442"/>
      <c r="BD7" s="442"/>
      <c r="BE7" s="442"/>
      <c r="BF7" s="442"/>
      <c r="BG7" s="442"/>
      <c r="BH7" s="442"/>
      <c r="BI7" s="442"/>
      <c r="BJ7" s="442"/>
      <c r="BK7" s="442"/>
      <c r="BL7" s="442"/>
      <c r="BM7" s="442"/>
      <c r="BN7" s="442"/>
      <c r="BO7" s="442"/>
      <c r="BP7" s="442"/>
      <c r="BQ7" s="442"/>
      <c r="BR7" s="442"/>
      <c r="BS7" s="442"/>
      <c r="BT7" s="442"/>
      <c r="BU7" s="442"/>
      <c r="BV7" s="442"/>
      <c r="BW7" s="442"/>
      <c r="BX7" s="442"/>
      <c r="BY7" s="442"/>
      <c r="BZ7" s="442"/>
      <c r="CA7" s="442"/>
      <c r="CB7" s="442"/>
      <c r="CC7" s="442"/>
      <c r="CD7" s="442"/>
      <c r="CE7" s="442"/>
      <c r="CF7" s="442"/>
      <c r="CG7" s="442"/>
      <c r="CH7" s="442"/>
      <c r="CI7" s="442"/>
      <c r="CJ7" s="442"/>
      <c r="CK7" s="442"/>
      <c r="CL7" s="442"/>
      <c r="CM7" s="442"/>
      <c r="CN7" s="442"/>
      <c r="CO7" s="442"/>
      <c r="CP7" s="442"/>
      <c r="CQ7" s="442"/>
      <c r="CR7" s="442"/>
      <c r="CS7" s="442"/>
      <c r="CT7" s="442"/>
      <c r="CU7" s="442"/>
      <c r="CV7" s="442"/>
      <c r="CW7" s="442"/>
      <c r="CX7" s="442"/>
      <c r="CY7" s="442"/>
      <c r="CZ7" s="442"/>
      <c r="DA7" s="442"/>
      <c r="DB7" s="442"/>
      <c r="DC7" s="442"/>
      <c r="DD7" s="442"/>
    </row>
    <row r="8" spans="1:108" x14ac:dyDescent="0.2">
      <c r="A8" s="383">
        <f>+BaseloadMarkets!A8</f>
        <v>36710</v>
      </c>
      <c r="B8" s="471">
        <f>+OCCMarkets!AC8</f>
        <v>98</v>
      </c>
      <c r="C8" s="471">
        <f>+OCCMarkets!AD8</f>
        <v>0</v>
      </c>
      <c r="D8" s="471">
        <f>+OCCMarkets!AE8</f>
        <v>0</v>
      </c>
      <c r="E8" s="471">
        <f>+OCCMarkets!AF8</f>
        <v>0</v>
      </c>
      <c r="F8" s="471">
        <f>+OCCMarkets!AG8</f>
        <v>0</v>
      </c>
      <c r="G8" s="471">
        <f>+OCCMarkets!AH8</f>
        <v>-98</v>
      </c>
      <c r="H8" s="471">
        <f>+OCCMarkets!AI8</f>
        <v>-307</v>
      </c>
      <c r="I8" s="438">
        <f>+OCCMarkets!AJ8</f>
        <v>9261</v>
      </c>
      <c r="J8" s="438">
        <f>+OCCMarkets!AK8</f>
        <v>4845</v>
      </c>
      <c r="K8" s="438">
        <f>+OCCMarkets!AL8</f>
        <v>7810</v>
      </c>
      <c r="L8" s="438">
        <f>+OCCMarkets!AM8</f>
        <v>0</v>
      </c>
      <c r="M8" s="438">
        <f>+OCCMarkets!AN8</f>
        <v>12655</v>
      </c>
      <c r="N8" s="438">
        <f>+OCCMarkets!AO8</f>
        <v>3394</v>
      </c>
      <c r="O8" s="438">
        <f>+OCCMarkets!AP8</f>
        <v>17271</v>
      </c>
      <c r="P8" s="472">
        <f>+OCCMarkets!AQ8</f>
        <v>0</v>
      </c>
      <c r="Q8" s="472">
        <f>+OCCMarkets!AR8</f>
        <v>0</v>
      </c>
      <c r="R8" s="472">
        <f>+OCCMarkets!AS8</f>
        <v>0</v>
      </c>
      <c r="S8" s="472">
        <f>+OCCMarkets!AT8</f>
        <v>0</v>
      </c>
      <c r="T8" s="472">
        <f>+OCCMarkets!AU8</f>
        <v>0</v>
      </c>
      <c r="U8" s="472">
        <f>+OCCMarkets!AV8</f>
        <v>0</v>
      </c>
      <c r="V8" s="472">
        <f>+OCCMarkets!AW8</f>
        <v>0</v>
      </c>
      <c r="W8" s="473">
        <f>+OCCMarkets!AX8</f>
        <v>0</v>
      </c>
      <c r="X8" s="473">
        <f>+OCCMarkets!AY8</f>
        <v>0</v>
      </c>
      <c r="Y8" s="473">
        <f>+OCCMarkets!AZ8</f>
        <v>0</v>
      </c>
      <c r="Z8" s="473">
        <f>+OCCMarkets!BA8</f>
        <v>0</v>
      </c>
      <c r="AA8" s="473">
        <f>+OCCMarkets!BB8</f>
        <v>0</v>
      </c>
      <c r="AB8" s="473">
        <f>+OCCMarkets!BC8</f>
        <v>0</v>
      </c>
      <c r="AC8" s="473">
        <f>+OCCMarkets!BD8</f>
        <v>-22</v>
      </c>
      <c r="AD8" s="474">
        <f>+OCCMarkets!BE8</f>
        <v>162</v>
      </c>
      <c r="AE8" s="474">
        <f>+OCCMarkets!BF8</f>
        <v>0</v>
      </c>
      <c r="AF8" s="474">
        <f>+OCCMarkets!BG8</f>
        <v>0</v>
      </c>
      <c r="AG8" s="474">
        <f>+OCCMarkets!BH8</f>
        <v>0</v>
      </c>
      <c r="AH8" s="474">
        <f>+OCCMarkets!BI8</f>
        <v>0</v>
      </c>
      <c r="AI8" s="474">
        <f>+OCCMarkets!BJ8</f>
        <v>-162</v>
      </c>
      <c r="AJ8" s="474">
        <f>+OCCMarkets!BK8</f>
        <v>-302</v>
      </c>
      <c r="AL8" s="436">
        <f t="shared" si="0"/>
        <v>9521</v>
      </c>
      <c r="AM8" s="436">
        <f t="shared" si="1"/>
        <v>12655</v>
      </c>
      <c r="AN8" s="436">
        <f t="shared" si="2"/>
        <v>3134</v>
      </c>
      <c r="AO8" s="436">
        <f t="shared" si="3"/>
        <v>16640</v>
      </c>
      <c r="BB8" s="442"/>
      <c r="BC8" s="442"/>
      <c r="BD8" s="442"/>
      <c r="BE8" s="442"/>
      <c r="BF8" s="442"/>
      <c r="BG8" s="442"/>
      <c r="BH8" s="442"/>
      <c r="BI8" s="442"/>
      <c r="BJ8" s="442"/>
      <c r="BK8" s="442"/>
      <c r="BL8" s="442"/>
      <c r="BM8" s="442"/>
      <c r="BN8" s="442"/>
      <c r="BO8" s="442"/>
      <c r="BP8" s="442"/>
      <c r="BQ8" s="442"/>
      <c r="BR8" s="442"/>
      <c r="BS8" s="442"/>
      <c r="BT8" s="442"/>
      <c r="BU8" s="442"/>
      <c r="BV8" s="442"/>
      <c r="BW8" s="442"/>
      <c r="BX8" s="442"/>
      <c r="BY8" s="442"/>
      <c r="BZ8" s="442"/>
      <c r="CA8" s="442"/>
      <c r="CB8" s="442"/>
      <c r="CC8" s="442"/>
      <c r="CD8" s="442"/>
      <c r="CE8" s="442"/>
      <c r="CF8" s="442"/>
      <c r="CG8" s="442"/>
      <c r="CH8" s="442"/>
      <c r="CI8" s="442"/>
      <c r="CJ8" s="442"/>
      <c r="CK8" s="442"/>
      <c r="CL8" s="442"/>
      <c r="CM8" s="442"/>
      <c r="CN8" s="442"/>
      <c r="CO8" s="442"/>
      <c r="CP8" s="442"/>
      <c r="CQ8" s="442"/>
      <c r="CR8" s="442"/>
      <c r="CS8" s="442"/>
      <c r="CT8" s="442"/>
      <c r="CU8" s="442"/>
      <c r="CV8" s="442"/>
      <c r="CW8" s="442"/>
      <c r="CX8" s="442"/>
      <c r="CY8" s="442"/>
      <c r="CZ8" s="442"/>
      <c r="DA8" s="442"/>
      <c r="DB8" s="442"/>
      <c r="DC8" s="442"/>
      <c r="DD8" s="442"/>
    </row>
    <row r="9" spans="1:108" x14ac:dyDescent="0.2">
      <c r="A9" s="383">
        <f>+BaseloadMarkets!A9</f>
        <v>36711</v>
      </c>
      <c r="B9" s="471">
        <f>+OCCMarkets!AC9</f>
        <v>34</v>
      </c>
      <c r="C9" s="471">
        <f>+OCCMarkets!AD9</f>
        <v>0</v>
      </c>
      <c r="D9" s="471">
        <f>+OCCMarkets!AE9</f>
        <v>0</v>
      </c>
      <c r="E9" s="471">
        <f>+OCCMarkets!AF9</f>
        <v>0</v>
      </c>
      <c r="F9" s="471">
        <f>+OCCMarkets!AG9</f>
        <v>0</v>
      </c>
      <c r="G9" s="471">
        <f>+OCCMarkets!AH9</f>
        <v>-34</v>
      </c>
      <c r="H9" s="471">
        <f>+OCCMarkets!AI9</f>
        <v>-341</v>
      </c>
      <c r="I9" s="438">
        <f>+OCCMarkets!AJ9</f>
        <v>9234</v>
      </c>
      <c r="J9" s="438">
        <f>+OCCMarkets!AK9</f>
        <v>4018</v>
      </c>
      <c r="K9" s="438">
        <f>+OCCMarkets!AL9</f>
        <v>6432</v>
      </c>
      <c r="L9" s="438">
        <f>+OCCMarkets!AM9</f>
        <v>0</v>
      </c>
      <c r="M9" s="438">
        <f>+OCCMarkets!AN9</f>
        <v>10450</v>
      </c>
      <c r="N9" s="438">
        <f>+OCCMarkets!AO9</f>
        <v>1216</v>
      </c>
      <c r="O9" s="438">
        <f>+OCCMarkets!AP9</f>
        <v>18487</v>
      </c>
      <c r="P9" s="472">
        <f>+OCCMarkets!AQ9</f>
        <v>0</v>
      </c>
      <c r="Q9" s="472">
        <f>+OCCMarkets!AR9</f>
        <v>0</v>
      </c>
      <c r="R9" s="472">
        <f>+OCCMarkets!AS9</f>
        <v>0</v>
      </c>
      <c r="S9" s="472">
        <f>+OCCMarkets!AT9</f>
        <v>0</v>
      </c>
      <c r="T9" s="472">
        <f>+OCCMarkets!AU9</f>
        <v>0</v>
      </c>
      <c r="U9" s="472">
        <f>+OCCMarkets!AV9</f>
        <v>0</v>
      </c>
      <c r="V9" s="472">
        <f>+OCCMarkets!AW9</f>
        <v>0</v>
      </c>
      <c r="W9" s="473">
        <f>+OCCMarkets!AX9</f>
        <v>0</v>
      </c>
      <c r="X9" s="473">
        <f>+OCCMarkets!AY9</f>
        <v>0</v>
      </c>
      <c r="Y9" s="473">
        <f>+OCCMarkets!AZ9</f>
        <v>0</v>
      </c>
      <c r="Z9" s="473">
        <f>+OCCMarkets!BA9</f>
        <v>0</v>
      </c>
      <c r="AA9" s="473">
        <f>+OCCMarkets!BB9</f>
        <v>0</v>
      </c>
      <c r="AB9" s="473">
        <f>+OCCMarkets!BC9</f>
        <v>0</v>
      </c>
      <c r="AC9" s="473">
        <f>+OCCMarkets!BD9</f>
        <v>-22</v>
      </c>
      <c r="AD9" s="474">
        <f>+OCCMarkets!BE9</f>
        <v>22</v>
      </c>
      <c r="AE9" s="474">
        <f>+OCCMarkets!BF9</f>
        <v>0</v>
      </c>
      <c r="AF9" s="474">
        <f>+OCCMarkets!BG9</f>
        <v>0</v>
      </c>
      <c r="AG9" s="474">
        <f>+OCCMarkets!BH9</f>
        <v>0</v>
      </c>
      <c r="AH9" s="474">
        <f>+OCCMarkets!BI9</f>
        <v>0</v>
      </c>
      <c r="AI9" s="474">
        <f>+OCCMarkets!BJ9</f>
        <v>-22</v>
      </c>
      <c r="AJ9" s="474">
        <f>+OCCMarkets!BK9</f>
        <v>-324</v>
      </c>
      <c r="AL9" s="436">
        <f t="shared" si="0"/>
        <v>9290</v>
      </c>
      <c r="AM9" s="436">
        <f t="shared" si="1"/>
        <v>10450</v>
      </c>
      <c r="AN9" s="436">
        <f t="shared" si="2"/>
        <v>1160</v>
      </c>
      <c r="AO9" s="436">
        <f t="shared" si="3"/>
        <v>17800</v>
      </c>
      <c r="BB9" s="442"/>
      <c r="BC9" s="442"/>
      <c r="BD9" s="442"/>
      <c r="BE9" s="442"/>
      <c r="BF9" s="442"/>
      <c r="BG9" s="442"/>
      <c r="BH9" s="442"/>
      <c r="BI9" s="442"/>
      <c r="BJ9" s="442"/>
      <c r="BK9" s="442"/>
      <c r="BL9" s="442"/>
      <c r="BM9" s="442"/>
      <c r="BN9" s="442"/>
      <c r="BO9" s="442"/>
      <c r="BP9" s="442"/>
      <c r="BQ9" s="442"/>
      <c r="BR9" s="442"/>
      <c r="BS9" s="442"/>
      <c r="BT9" s="442"/>
      <c r="BU9" s="442"/>
      <c r="BV9" s="442"/>
      <c r="BW9" s="442"/>
      <c r="BX9" s="442"/>
      <c r="BY9" s="442"/>
      <c r="BZ9" s="442"/>
      <c r="CA9" s="442"/>
      <c r="CB9" s="442"/>
      <c r="CC9" s="442"/>
      <c r="CD9" s="442"/>
      <c r="CE9" s="442"/>
      <c r="CF9" s="442"/>
      <c r="CG9" s="442"/>
      <c r="CH9" s="442"/>
      <c r="CI9" s="442"/>
      <c r="CJ9" s="442"/>
      <c r="CK9" s="442"/>
      <c r="CL9" s="442"/>
      <c r="CM9" s="442"/>
      <c r="CN9" s="442"/>
      <c r="CO9" s="442"/>
      <c r="CP9" s="442"/>
      <c r="CQ9" s="442"/>
      <c r="CR9" s="442"/>
      <c r="CS9" s="442"/>
      <c r="CT9" s="442"/>
      <c r="CU9" s="442"/>
      <c r="CV9" s="442"/>
      <c r="CW9" s="442"/>
      <c r="CX9" s="442"/>
      <c r="CY9" s="442"/>
      <c r="CZ9" s="442"/>
      <c r="DA9" s="442"/>
      <c r="DB9" s="442"/>
      <c r="DC9" s="442"/>
      <c r="DD9" s="442"/>
    </row>
    <row r="10" spans="1:108" x14ac:dyDescent="0.2">
      <c r="A10" s="383">
        <f>+BaseloadMarkets!A10</f>
        <v>36712</v>
      </c>
      <c r="B10" s="471">
        <f>+OCCMarkets!AC10</f>
        <v>159</v>
      </c>
      <c r="C10" s="471">
        <f>+OCCMarkets!AD10</f>
        <v>0</v>
      </c>
      <c r="D10" s="471">
        <f>+OCCMarkets!AE10</f>
        <v>0</v>
      </c>
      <c r="E10" s="471">
        <f>+OCCMarkets!AF10</f>
        <v>0</v>
      </c>
      <c r="F10" s="471">
        <f>+OCCMarkets!AG10</f>
        <v>0</v>
      </c>
      <c r="G10" s="471">
        <f>+OCCMarkets!AH10</f>
        <v>-159</v>
      </c>
      <c r="H10" s="471">
        <f>+OCCMarkets!AI10</f>
        <v>-500</v>
      </c>
      <c r="I10" s="438">
        <f>+OCCMarkets!AJ10</f>
        <v>9411</v>
      </c>
      <c r="J10" s="438">
        <f>+OCCMarkets!AK10</f>
        <v>3034</v>
      </c>
      <c r="K10" s="438">
        <f>+OCCMarkets!AL10</f>
        <v>12876</v>
      </c>
      <c r="L10" s="438">
        <f>+OCCMarkets!AM10</f>
        <v>8469</v>
      </c>
      <c r="M10" s="438">
        <f>+OCCMarkets!AN10</f>
        <v>24379</v>
      </c>
      <c r="N10" s="438">
        <f>+OCCMarkets!AO10</f>
        <v>14968</v>
      </c>
      <c r="O10" s="438">
        <f>+OCCMarkets!AP10</f>
        <v>33455</v>
      </c>
      <c r="P10" s="472">
        <f>+OCCMarkets!AQ10</f>
        <v>0</v>
      </c>
      <c r="Q10" s="472">
        <f>+OCCMarkets!AR10</f>
        <v>0</v>
      </c>
      <c r="R10" s="472">
        <f>+OCCMarkets!AS10</f>
        <v>0</v>
      </c>
      <c r="S10" s="472">
        <f>+OCCMarkets!AT10</f>
        <v>0</v>
      </c>
      <c r="T10" s="472">
        <f>+OCCMarkets!AU10</f>
        <v>0</v>
      </c>
      <c r="U10" s="472">
        <f>+OCCMarkets!AV10</f>
        <v>0</v>
      </c>
      <c r="V10" s="472">
        <f>+OCCMarkets!AW10</f>
        <v>0</v>
      </c>
      <c r="W10" s="473">
        <f>+OCCMarkets!AX10</f>
        <v>153</v>
      </c>
      <c r="X10" s="473">
        <f>+OCCMarkets!AY10</f>
        <v>0</v>
      </c>
      <c r="Y10" s="473">
        <f>+OCCMarkets!AZ10</f>
        <v>0</v>
      </c>
      <c r="Z10" s="473">
        <f>+OCCMarkets!BA10</f>
        <v>0</v>
      </c>
      <c r="AA10" s="473">
        <f>+OCCMarkets!BB10</f>
        <v>0</v>
      </c>
      <c r="AB10" s="473">
        <f>+OCCMarkets!BC10</f>
        <v>-153</v>
      </c>
      <c r="AC10" s="473">
        <f>+OCCMarkets!BD10</f>
        <v>-175</v>
      </c>
      <c r="AD10" s="474">
        <f>+OCCMarkets!BE10</f>
        <v>221</v>
      </c>
      <c r="AE10" s="474">
        <f>+OCCMarkets!BF10</f>
        <v>0</v>
      </c>
      <c r="AF10" s="474">
        <f>+OCCMarkets!BG10</f>
        <v>0</v>
      </c>
      <c r="AG10" s="474">
        <f>+OCCMarkets!BH10</f>
        <v>0</v>
      </c>
      <c r="AH10" s="474">
        <f>+OCCMarkets!BI10</f>
        <v>0</v>
      </c>
      <c r="AI10" s="474">
        <f>+OCCMarkets!BJ10</f>
        <v>-221</v>
      </c>
      <c r="AJ10" s="474">
        <f>+OCCMarkets!BK10</f>
        <v>-545</v>
      </c>
      <c r="AL10" s="436">
        <f t="shared" si="0"/>
        <v>9944</v>
      </c>
      <c r="AM10" s="436">
        <f t="shared" si="1"/>
        <v>24379</v>
      </c>
      <c r="AN10" s="436">
        <f t="shared" si="2"/>
        <v>14435</v>
      </c>
      <c r="AO10" s="436">
        <f t="shared" si="3"/>
        <v>32235</v>
      </c>
      <c r="BB10" s="442"/>
      <c r="BC10" s="442"/>
      <c r="BD10" s="442"/>
      <c r="BE10" s="442"/>
      <c r="BF10" s="442"/>
      <c r="BG10" s="442"/>
      <c r="BH10" s="442"/>
      <c r="BI10" s="442"/>
      <c r="BJ10" s="442"/>
      <c r="BK10" s="442"/>
      <c r="BL10" s="442"/>
      <c r="BM10" s="442"/>
      <c r="BN10" s="442"/>
      <c r="BO10" s="442"/>
      <c r="BP10" s="442"/>
      <c r="BQ10" s="442"/>
      <c r="BR10" s="442"/>
      <c r="BS10" s="442"/>
      <c r="BT10" s="442"/>
      <c r="BU10" s="442"/>
      <c r="BV10" s="442"/>
      <c r="BW10" s="442"/>
      <c r="BX10" s="442"/>
      <c r="BY10" s="442"/>
      <c r="BZ10" s="442"/>
      <c r="CA10" s="442"/>
      <c r="CB10" s="442"/>
      <c r="CC10" s="442"/>
      <c r="CD10" s="442"/>
      <c r="CE10" s="442"/>
      <c r="CF10" s="442"/>
      <c r="CG10" s="442"/>
      <c r="CH10" s="442"/>
      <c r="CI10" s="442"/>
      <c r="CJ10" s="442"/>
      <c r="CK10" s="442"/>
      <c r="CL10" s="442"/>
      <c r="CM10" s="442"/>
      <c r="CN10" s="442"/>
      <c r="CO10" s="442"/>
      <c r="CP10" s="442"/>
      <c r="CQ10" s="442"/>
      <c r="CR10" s="442"/>
      <c r="CS10" s="442"/>
      <c r="CT10" s="442"/>
      <c r="CU10" s="442"/>
      <c r="CV10" s="442"/>
      <c r="CW10" s="442"/>
      <c r="CX10" s="442"/>
      <c r="CY10" s="442"/>
      <c r="CZ10" s="442"/>
      <c r="DA10" s="442"/>
      <c r="DB10" s="442"/>
      <c r="DC10" s="442"/>
      <c r="DD10" s="442"/>
    </row>
    <row r="11" spans="1:108" x14ac:dyDescent="0.2">
      <c r="A11" s="383">
        <f>+BaseloadMarkets!A11</f>
        <v>36713</v>
      </c>
      <c r="B11" s="471">
        <f>+OCCMarkets!AC11</f>
        <v>157</v>
      </c>
      <c r="C11" s="471">
        <f>+OCCMarkets!AD11</f>
        <v>595</v>
      </c>
      <c r="D11" s="471">
        <f>+OCCMarkets!AE11</f>
        <v>0</v>
      </c>
      <c r="E11" s="471">
        <f>+OCCMarkets!AF11</f>
        <v>0</v>
      </c>
      <c r="F11" s="471">
        <f>+OCCMarkets!AG11</f>
        <v>595</v>
      </c>
      <c r="G11" s="471">
        <f>+OCCMarkets!AH11</f>
        <v>438</v>
      </c>
      <c r="H11" s="471">
        <f>+OCCMarkets!AI11</f>
        <v>-62</v>
      </c>
      <c r="I11" s="438">
        <f>+OCCMarkets!AJ11</f>
        <v>9620</v>
      </c>
      <c r="J11" s="438">
        <f>+OCCMarkets!AK11</f>
        <v>17812</v>
      </c>
      <c r="K11" s="438">
        <f>+OCCMarkets!AL11</f>
        <v>3963</v>
      </c>
      <c r="L11" s="438">
        <f>+OCCMarkets!AM11</f>
        <v>0</v>
      </c>
      <c r="M11" s="438">
        <f>+OCCMarkets!AN11</f>
        <v>21775</v>
      </c>
      <c r="N11" s="438">
        <f>+OCCMarkets!AO11</f>
        <v>12155</v>
      </c>
      <c r="O11" s="438">
        <f>+OCCMarkets!AP11</f>
        <v>45610</v>
      </c>
      <c r="P11" s="472">
        <f>+OCCMarkets!AQ11</f>
        <v>0</v>
      </c>
      <c r="Q11" s="472">
        <f>+OCCMarkets!AR11</f>
        <v>0</v>
      </c>
      <c r="R11" s="472">
        <f>+OCCMarkets!AS11</f>
        <v>0</v>
      </c>
      <c r="S11" s="472">
        <f>+OCCMarkets!AT11</f>
        <v>0</v>
      </c>
      <c r="T11" s="472">
        <f>+OCCMarkets!AU11</f>
        <v>0</v>
      </c>
      <c r="U11" s="472">
        <f>+OCCMarkets!AV11</f>
        <v>0</v>
      </c>
      <c r="V11" s="472">
        <f>+OCCMarkets!AW11</f>
        <v>0</v>
      </c>
      <c r="W11" s="473">
        <f>+OCCMarkets!AX11</f>
        <v>162</v>
      </c>
      <c r="X11" s="473">
        <f>+OCCMarkets!AY11</f>
        <v>595</v>
      </c>
      <c r="Y11" s="473">
        <f>+OCCMarkets!AZ11</f>
        <v>0</v>
      </c>
      <c r="Z11" s="473">
        <f>+OCCMarkets!BA11</f>
        <v>0</v>
      </c>
      <c r="AA11" s="473">
        <f>+OCCMarkets!BB11</f>
        <v>595</v>
      </c>
      <c r="AB11" s="473">
        <f>+OCCMarkets!BC11</f>
        <v>433</v>
      </c>
      <c r="AC11" s="473">
        <f>+OCCMarkets!BD11</f>
        <v>258</v>
      </c>
      <c r="AD11" s="474">
        <f>+OCCMarkets!BE11</f>
        <v>315</v>
      </c>
      <c r="AE11" s="474">
        <f>+OCCMarkets!BF11</f>
        <v>1786</v>
      </c>
      <c r="AF11" s="474">
        <f>+OCCMarkets!BG11</f>
        <v>0</v>
      </c>
      <c r="AG11" s="474">
        <f>+OCCMarkets!BH11</f>
        <v>0</v>
      </c>
      <c r="AH11" s="474">
        <f>+OCCMarkets!BI11</f>
        <v>1786</v>
      </c>
      <c r="AI11" s="474">
        <f>+OCCMarkets!BJ11</f>
        <v>1471</v>
      </c>
      <c r="AJ11" s="474">
        <f>+OCCMarkets!BK11</f>
        <v>926</v>
      </c>
      <c r="AL11" s="436">
        <f t="shared" si="0"/>
        <v>10254</v>
      </c>
      <c r="AM11" s="436">
        <f t="shared" si="1"/>
        <v>24751</v>
      </c>
      <c r="AN11" s="436">
        <f t="shared" si="2"/>
        <v>14497</v>
      </c>
      <c r="AO11" s="436">
        <f t="shared" si="3"/>
        <v>46732</v>
      </c>
      <c r="BB11" s="442"/>
      <c r="BC11" s="442"/>
      <c r="BD11" s="442"/>
      <c r="BE11" s="442"/>
      <c r="BF11" s="442"/>
      <c r="BG11" s="442"/>
      <c r="BH11" s="442"/>
      <c r="BI11" s="442"/>
      <c r="BJ11" s="442"/>
      <c r="BK11" s="442"/>
      <c r="BL11" s="442"/>
      <c r="BM11" s="442"/>
      <c r="BN11" s="442"/>
      <c r="BO11" s="442"/>
      <c r="BP11" s="442"/>
      <c r="BQ11" s="442"/>
      <c r="BR11" s="442"/>
      <c r="BS11" s="442"/>
      <c r="BT11" s="442"/>
      <c r="BU11" s="442"/>
      <c r="BV11" s="442"/>
      <c r="BW11" s="442"/>
      <c r="BX11" s="442"/>
      <c r="BY11" s="442"/>
      <c r="BZ11" s="442"/>
      <c r="CA11" s="442"/>
      <c r="CB11" s="442"/>
      <c r="CC11" s="442"/>
      <c r="CD11" s="442"/>
      <c r="CE11" s="442"/>
      <c r="CF11" s="442"/>
      <c r="CG11" s="442"/>
      <c r="CH11" s="442"/>
      <c r="CI11" s="442"/>
      <c r="CJ11" s="442"/>
      <c r="CK11" s="442"/>
      <c r="CL11" s="442"/>
      <c r="CM11" s="442"/>
      <c r="CN11" s="442"/>
      <c r="CO11" s="442"/>
      <c r="CP11" s="442"/>
      <c r="CQ11" s="442"/>
      <c r="CR11" s="442"/>
      <c r="CS11" s="442"/>
      <c r="CT11" s="442"/>
      <c r="CU11" s="442"/>
      <c r="CV11" s="442"/>
      <c r="CW11" s="442"/>
      <c r="CX11" s="442"/>
      <c r="CY11" s="442"/>
      <c r="CZ11" s="442"/>
      <c r="DA11" s="442"/>
      <c r="DB11" s="442"/>
      <c r="DC11" s="442"/>
      <c r="DD11" s="442"/>
    </row>
    <row r="12" spans="1:108" x14ac:dyDescent="0.2">
      <c r="A12" s="383">
        <f>+BaseloadMarkets!A12</f>
        <v>36714</v>
      </c>
      <c r="B12" s="471">
        <f>+OCCMarkets!AC12</f>
        <v>167</v>
      </c>
      <c r="C12" s="471">
        <f>+OCCMarkets!AD12</f>
        <v>0</v>
      </c>
      <c r="D12" s="471">
        <f>+OCCMarkets!AE12</f>
        <v>0</v>
      </c>
      <c r="E12" s="471">
        <f>+OCCMarkets!AF12</f>
        <v>0</v>
      </c>
      <c r="F12" s="471">
        <f>+OCCMarkets!AG12</f>
        <v>0</v>
      </c>
      <c r="G12" s="471">
        <f>+OCCMarkets!AH12</f>
        <v>-167</v>
      </c>
      <c r="H12" s="471">
        <f>+OCCMarkets!AI12</f>
        <v>-229</v>
      </c>
      <c r="I12" s="438">
        <f>+OCCMarkets!AJ12</f>
        <v>9575</v>
      </c>
      <c r="J12" s="438">
        <f>+OCCMarkets!AK12</f>
        <v>2153</v>
      </c>
      <c r="K12" s="438">
        <f>+OCCMarkets!AL12</f>
        <v>9981</v>
      </c>
      <c r="L12" s="438">
        <f>+OCCMarkets!AM12</f>
        <v>0</v>
      </c>
      <c r="M12" s="438">
        <f>+OCCMarkets!AN12</f>
        <v>12134</v>
      </c>
      <c r="N12" s="438">
        <f>+OCCMarkets!AO12</f>
        <v>2559</v>
      </c>
      <c r="O12" s="438">
        <f>+OCCMarkets!AP12</f>
        <v>48169</v>
      </c>
      <c r="P12" s="472">
        <f>+OCCMarkets!AQ12</f>
        <v>0</v>
      </c>
      <c r="Q12" s="472">
        <f>+OCCMarkets!AR12</f>
        <v>0</v>
      </c>
      <c r="R12" s="472">
        <f>+OCCMarkets!AS12</f>
        <v>0</v>
      </c>
      <c r="S12" s="472">
        <f>+OCCMarkets!AT12</f>
        <v>0</v>
      </c>
      <c r="T12" s="472">
        <f>+OCCMarkets!AU12</f>
        <v>0</v>
      </c>
      <c r="U12" s="472">
        <f>+OCCMarkets!AV12</f>
        <v>0</v>
      </c>
      <c r="V12" s="472">
        <f>+OCCMarkets!AW12</f>
        <v>0</v>
      </c>
      <c r="W12" s="473">
        <f>+OCCMarkets!AX12</f>
        <v>204</v>
      </c>
      <c r="X12" s="473">
        <f>+OCCMarkets!AY12</f>
        <v>0</v>
      </c>
      <c r="Y12" s="473">
        <f>+OCCMarkets!AZ12</f>
        <v>0</v>
      </c>
      <c r="Z12" s="473">
        <f>+OCCMarkets!BA12</f>
        <v>0</v>
      </c>
      <c r="AA12" s="473">
        <f>+OCCMarkets!BB12</f>
        <v>0</v>
      </c>
      <c r="AB12" s="473">
        <f>+OCCMarkets!BC12</f>
        <v>-204</v>
      </c>
      <c r="AC12" s="473">
        <f>+OCCMarkets!BD12</f>
        <v>54</v>
      </c>
      <c r="AD12" s="474">
        <f>+OCCMarkets!BE12</f>
        <v>303</v>
      </c>
      <c r="AE12" s="474">
        <f>+OCCMarkets!BF12</f>
        <v>0</v>
      </c>
      <c r="AF12" s="474">
        <f>+OCCMarkets!BG12</f>
        <v>0</v>
      </c>
      <c r="AG12" s="474">
        <f>+OCCMarkets!BH12</f>
        <v>0</v>
      </c>
      <c r="AH12" s="474">
        <f>+OCCMarkets!BI12</f>
        <v>0</v>
      </c>
      <c r="AI12" s="474">
        <f>+OCCMarkets!BJ12</f>
        <v>-303</v>
      </c>
      <c r="AJ12" s="474">
        <f>+OCCMarkets!BK12</f>
        <v>623</v>
      </c>
      <c r="AL12" s="436">
        <f t="shared" si="0"/>
        <v>10249</v>
      </c>
      <c r="AM12" s="436">
        <f t="shared" si="1"/>
        <v>12134</v>
      </c>
      <c r="AN12" s="436">
        <f t="shared" si="2"/>
        <v>1885</v>
      </c>
      <c r="AO12" s="436">
        <f t="shared" si="3"/>
        <v>48617</v>
      </c>
      <c r="BB12" s="442"/>
      <c r="BC12" s="442"/>
      <c r="BD12" s="442"/>
      <c r="BE12" s="442"/>
      <c r="BF12" s="442"/>
      <c r="BG12" s="442"/>
      <c r="BH12" s="442"/>
      <c r="BI12" s="442"/>
      <c r="BJ12" s="442"/>
      <c r="BK12" s="442"/>
      <c r="BL12" s="442"/>
      <c r="BM12" s="442"/>
      <c r="BN12" s="442"/>
      <c r="BO12" s="442"/>
      <c r="BP12" s="442"/>
      <c r="BQ12" s="442"/>
      <c r="BR12" s="442"/>
      <c r="BS12" s="442"/>
      <c r="BT12" s="442"/>
      <c r="BU12" s="442"/>
      <c r="BV12" s="442"/>
      <c r="BW12" s="442"/>
      <c r="BX12" s="442"/>
      <c r="BY12" s="442"/>
      <c r="BZ12" s="442"/>
      <c r="CA12" s="442"/>
      <c r="CB12" s="442"/>
      <c r="CC12" s="442"/>
      <c r="CD12" s="442"/>
      <c r="CE12" s="442"/>
      <c r="CF12" s="442"/>
      <c r="CG12" s="442"/>
      <c r="CH12" s="442"/>
      <c r="CI12" s="442"/>
      <c r="CJ12" s="442"/>
      <c r="CK12" s="442"/>
      <c r="CL12" s="442"/>
      <c r="CM12" s="442"/>
      <c r="CN12" s="442"/>
      <c r="CO12" s="442"/>
      <c r="CP12" s="442"/>
      <c r="CQ12" s="442"/>
      <c r="CR12" s="442"/>
      <c r="CS12" s="442"/>
      <c r="CT12" s="442"/>
      <c r="CU12" s="442"/>
      <c r="CV12" s="442"/>
      <c r="CW12" s="442"/>
      <c r="CX12" s="442"/>
      <c r="CY12" s="442"/>
      <c r="CZ12" s="442"/>
      <c r="DA12" s="442"/>
      <c r="DB12" s="442"/>
      <c r="DC12" s="442"/>
      <c r="DD12" s="442"/>
    </row>
    <row r="13" spans="1:108" x14ac:dyDescent="0.2">
      <c r="A13" s="383">
        <f>+BaseloadMarkets!A13</f>
        <v>36715</v>
      </c>
      <c r="B13" s="471">
        <f>+OCCMarkets!AC13</f>
        <v>195</v>
      </c>
      <c r="C13" s="471">
        <f>+OCCMarkets!AD13</f>
        <v>0</v>
      </c>
      <c r="D13" s="471">
        <f>+OCCMarkets!AE13</f>
        <v>0</v>
      </c>
      <c r="E13" s="471">
        <f>+OCCMarkets!AF13</f>
        <v>0</v>
      </c>
      <c r="F13" s="471">
        <f>+OCCMarkets!AG13</f>
        <v>0</v>
      </c>
      <c r="G13" s="471">
        <f>+OCCMarkets!AH13</f>
        <v>-195</v>
      </c>
      <c r="H13" s="471">
        <f>+OCCMarkets!AI13</f>
        <v>-424</v>
      </c>
      <c r="I13" s="438">
        <f>+OCCMarkets!AJ13</f>
        <v>9254</v>
      </c>
      <c r="J13" s="438">
        <f>+OCCMarkets!AK13</f>
        <v>2700</v>
      </c>
      <c r="K13" s="438">
        <f>+OCCMarkets!AL13</f>
        <v>980</v>
      </c>
      <c r="L13" s="438">
        <f>+OCCMarkets!AM13</f>
        <v>0</v>
      </c>
      <c r="M13" s="438">
        <f>+OCCMarkets!AN13</f>
        <v>3680</v>
      </c>
      <c r="N13" s="438">
        <f>+OCCMarkets!AO13</f>
        <v>-5574</v>
      </c>
      <c r="O13" s="438">
        <f>+OCCMarkets!AP13</f>
        <v>42595</v>
      </c>
      <c r="P13" s="472">
        <f>+OCCMarkets!AQ13</f>
        <v>0</v>
      </c>
      <c r="Q13" s="472">
        <f>+OCCMarkets!AR13</f>
        <v>0</v>
      </c>
      <c r="R13" s="472">
        <f>+OCCMarkets!AS13</f>
        <v>0</v>
      </c>
      <c r="S13" s="472">
        <f>+OCCMarkets!AT13</f>
        <v>0</v>
      </c>
      <c r="T13" s="472">
        <f>+OCCMarkets!AU13</f>
        <v>0</v>
      </c>
      <c r="U13" s="472">
        <f>+OCCMarkets!AV13</f>
        <v>0</v>
      </c>
      <c r="V13" s="472">
        <f>+OCCMarkets!AW13</f>
        <v>0</v>
      </c>
      <c r="W13" s="473">
        <f>+OCCMarkets!AX13</f>
        <v>100</v>
      </c>
      <c r="X13" s="473">
        <f>+OCCMarkets!AY13</f>
        <v>0</v>
      </c>
      <c r="Y13" s="473">
        <f>+OCCMarkets!AZ13</f>
        <v>0</v>
      </c>
      <c r="Z13" s="473">
        <f>+OCCMarkets!BA13</f>
        <v>0</v>
      </c>
      <c r="AA13" s="473">
        <f>+OCCMarkets!BB13</f>
        <v>0</v>
      </c>
      <c r="AB13" s="473">
        <f>+OCCMarkets!BC13</f>
        <v>-100</v>
      </c>
      <c r="AC13" s="473">
        <f>+OCCMarkets!BD13</f>
        <v>-46</v>
      </c>
      <c r="AD13" s="474">
        <f>+OCCMarkets!BE13</f>
        <v>150</v>
      </c>
      <c r="AE13" s="474">
        <f>+OCCMarkets!BF13</f>
        <v>0</v>
      </c>
      <c r="AF13" s="474">
        <f>+OCCMarkets!BG13</f>
        <v>0</v>
      </c>
      <c r="AG13" s="474">
        <f>+OCCMarkets!BH13</f>
        <v>0</v>
      </c>
      <c r="AH13" s="474">
        <f>+OCCMarkets!BI13</f>
        <v>0</v>
      </c>
      <c r="AI13" s="474">
        <f>+OCCMarkets!BJ13</f>
        <v>-150</v>
      </c>
      <c r="AJ13" s="474">
        <f>+OCCMarkets!BK13</f>
        <v>473</v>
      </c>
      <c r="AL13" s="436">
        <f t="shared" si="0"/>
        <v>9699</v>
      </c>
      <c r="AM13" s="436">
        <f t="shared" si="1"/>
        <v>3680</v>
      </c>
      <c r="AN13" s="436">
        <f t="shared" si="2"/>
        <v>-6019</v>
      </c>
      <c r="AO13" s="436">
        <f t="shared" si="3"/>
        <v>42598</v>
      </c>
      <c r="BB13" s="442"/>
      <c r="BC13" s="442"/>
      <c r="BD13" s="442"/>
      <c r="BE13" s="442"/>
      <c r="BF13" s="442"/>
      <c r="BG13" s="442"/>
      <c r="BH13" s="442"/>
      <c r="BI13" s="442"/>
      <c r="BJ13" s="442"/>
      <c r="BK13" s="442"/>
      <c r="BL13" s="442"/>
      <c r="BM13" s="442"/>
      <c r="BN13" s="442"/>
      <c r="BO13" s="442"/>
      <c r="BP13" s="442"/>
      <c r="BQ13" s="442"/>
      <c r="BR13" s="442"/>
      <c r="BS13" s="442"/>
      <c r="BT13" s="442"/>
      <c r="BU13" s="442"/>
      <c r="BV13" s="442"/>
      <c r="BW13" s="442"/>
      <c r="BX13" s="442"/>
      <c r="BY13" s="442"/>
      <c r="BZ13" s="442"/>
      <c r="CA13" s="442"/>
      <c r="CB13" s="442"/>
      <c r="CC13" s="442"/>
      <c r="CD13" s="442"/>
      <c r="CE13" s="442"/>
      <c r="CF13" s="442"/>
      <c r="CG13" s="442"/>
      <c r="CH13" s="442"/>
      <c r="CI13" s="442"/>
      <c r="CJ13" s="442"/>
      <c r="CK13" s="442"/>
      <c r="CL13" s="442"/>
      <c r="CM13" s="442"/>
      <c r="CN13" s="442"/>
      <c r="CO13" s="442"/>
      <c r="CP13" s="442"/>
      <c r="CQ13" s="442"/>
      <c r="CR13" s="442"/>
      <c r="CS13" s="442"/>
      <c r="CT13" s="442"/>
      <c r="CU13" s="442"/>
      <c r="CV13" s="442"/>
      <c r="CW13" s="442"/>
      <c r="CX13" s="442"/>
      <c r="CY13" s="442"/>
      <c r="CZ13" s="442"/>
      <c r="DA13" s="442"/>
      <c r="DB13" s="442"/>
      <c r="DC13" s="442"/>
      <c r="DD13" s="442"/>
    </row>
    <row r="14" spans="1:108" x14ac:dyDescent="0.2">
      <c r="A14" s="383">
        <f>+BaseloadMarkets!A14</f>
        <v>36716</v>
      </c>
      <c r="B14" s="471">
        <f>+OCCMarkets!AC14</f>
        <v>32</v>
      </c>
      <c r="C14" s="471">
        <f>+OCCMarkets!AD14</f>
        <v>0</v>
      </c>
      <c r="D14" s="471">
        <f>+OCCMarkets!AE14</f>
        <v>0</v>
      </c>
      <c r="E14" s="471">
        <f>+OCCMarkets!AF14</f>
        <v>0</v>
      </c>
      <c r="F14" s="471">
        <f>+OCCMarkets!AG14</f>
        <v>0</v>
      </c>
      <c r="G14" s="471">
        <f>+OCCMarkets!AH14</f>
        <v>-32</v>
      </c>
      <c r="H14" s="471">
        <f>+OCCMarkets!AI14</f>
        <v>-456</v>
      </c>
      <c r="I14" s="438">
        <f>+OCCMarkets!AJ14</f>
        <v>9190</v>
      </c>
      <c r="J14" s="438">
        <f>+OCCMarkets!AK14</f>
        <v>0</v>
      </c>
      <c r="K14" s="438">
        <f>+OCCMarkets!AL14</f>
        <v>981</v>
      </c>
      <c r="L14" s="438">
        <f>+OCCMarkets!AM14</f>
        <v>0</v>
      </c>
      <c r="M14" s="438">
        <f>+OCCMarkets!AN14</f>
        <v>981</v>
      </c>
      <c r="N14" s="438">
        <f>+OCCMarkets!AO14</f>
        <v>-8209</v>
      </c>
      <c r="O14" s="438">
        <f>+OCCMarkets!AP14</f>
        <v>34386</v>
      </c>
      <c r="P14" s="472">
        <f>+OCCMarkets!AQ14</f>
        <v>0</v>
      </c>
      <c r="Q14" s="472">
        <f>+OCCMarkets!AR14</f>
        <v>0</v>
      </c>
      <c r="R14" s="472">
        <f>+OCCMarkets!AS14</f>
        <v>0</v>
      </c>
      <c r="S14" s="472">
        <f>+OCCMarkets!AT14</f>
        <v>0</v>
      </c>
      <c r="T14" s="472">
        <f>+OCCMarkets!AU14</f>
        <v>0</v>
      </c>
      <c r="U14" s="472">
        <f>+OCCMarkets!AV14</f>
        <v>0</v>
      </c>
      <c r="V14" s="472">
        <f>+OCCMarkets!AW14</f>
        <v>0</v>
      </c>
      <c r="W14" s="473">
        <f>+OCCMarkets!AX14</f>
        <v>37</v>
      </c>
      <c r="X14" s="473">
        <f>+OCCMarkets!AY14</f>
        <v>0</v>
      </c>
      <c r="Y14" s="473">
        <f>+OCCMarkets!AZ14</f>
        <v>0</v>
      </c>
      <c r="Z14" s="473">
        <f>+OCCMarkets!BA14</f>
        <v>0</v>
      </c>
      <c r="AA14" s="473">
        <f>+OCCMarkets!BB14</f>
        <v>0</v>
      </c>
      <c r="AB14" s="473">
        <f>+OCCMarkets!BC14</f>
        <v>-37</v>
      </c>
      <c r="AC14" s="473">
        <f>+OCCMarkets!BD14</f>
        <v>-83</v>
      </c>
      <c r="AD14" s="474">
        <f>+OCCMarkets!BE14</f>
        <v>26</v>
      </c>
      <c r="AE14" s="474">
        <f>+OCCMarkets!BF14</f>
        <v>0</v>
      </c>
      <c r="AF14" s="474">
        <f>+OCCMarkets!BG14</f>
        <v>0</v>
      </c>
      <c r="AG14" s="474">
        <f>+OCCMarkets!BH14</f>
        <v>0</v>
      </c>
      <c r="AH14" s="474">
        <f>+OCCMarkets!BI14</f>
        <v>0</v>
      </c>
      <c r="AI14" s="474">
        <f>+OCCMarkets!BJ14</f>
        <v>-26</v>
      </c>
      <c r="AJ14" s="474">
        <f>+OCCMarkets!BK14</f>
        <v>447</v>
      </c>
      <c r="AL14" s="436">
        <f t="shared" si="0"/>
        <v>9285</v>
      </c>
      <c r="AM14" s="436">
        <f t="shared" si="1"/>
        <v>981</v>
      </c>
      <c r="AN14" s="436">
        <f t="shared" si="2"/>
        <v>-8304</v>
      </c>
      <c r="AO14" s="436">
        <f t="shared" si="3"/>
        <v>34294</v>
      </c>
      <c r="BB14" s="442"/>
      <c r="BC14" s="442"/>
      <c r="BD14" s="442"/>
      <c r="BE14" s="442"/>
      <c r="BF14" s="442"/>
      <c r="BG14" s="442"/>
      <c r="BH14" s="442"/>
      <c r="BI14" s="442"/>
      <c r="BJ14" s="442"/>
      <c r="BK14" s="442"/>
      <c r="BL14" s="442"/>
      <c r="BM14" s="442"/>
      <c r="BN14" s="442"/>
      <c r="BO14" s="442"/>
      <c r="BP14" s="442"/>
      <c r="BQ14" s="442"/>
      <c r="BR14" s="442"/>
      <c r="BS14" s="442"/>
      <c r="BT14" s="442"/>
      <c r="BU14" s="442"/>
      <c r="BV14" s="442"/>
      <c r="BW14" s="442"/>
      <c r="BX14" s="442"/>
      <c r="BY14" s="442"/>
      <c r="BZ14" s="442"/>
      <c r="CA14" s="442"/>
      <c r="CB14" s="442"/>
      <c r="CC14" s="442"/>
      <c r="CD14" s="442"/>
      <c r="CE14" s="442"/>
      <c r="CF14" s="442"/>
      <c r="CG14" s="442"/>
      <c r="CH14" s="442"/>
      <c r="CI14" s="442"/>
      <c r="CJ14" s="442"/>
      <c r="CK14" s="442"/>
      <c r="CL14" s="442"/>
      <c r="CM14" s="442"/>
      <c r="CN14" s="442"/>
      <c r="CO14" s="442"/>
      <c r="CP14" s="442"/>
      <c r="CQ14" s="442"/>
      <c r="CR14" s="442"/>
      <c r="CS14" s="442"/>
      <c r="CT14" s="442"/>
      <c r="CU14" s="442"/>
      <c r="CV14" s="442"/>
      <c r="CW14" s="442"/>
      <c r="CX14" s="442"/>
      <c r="CY14" s="442"/>
      <c r="CZ14" s="442"/>
      <c r="DA14" s="442"/>
      <c r="DB14" s="442"/>
      <c r="DC14" s="442"/>
      <c r="DD14" s="442"/>
    </row>
    <row r="15" spans="1:108" x14ac:dyDescent="0.2">
      <c r="A15" s="383">
        <f>+BaseloadMarkets!A15</f>
        <v>36717</v>
      </c>
      <c r="B15" s="471">
        <f>+OCCMarkets!AC15</f>
        <v>167</v>
      </c>
      <c r="C15" s="471">
        <f>+OCCMarkets!AD15</f>
        <v>0</v>
      </c>
      <c r="D15" s="471">
        <f>+OCCMarkets!AE15</f>
        <v>0</v>
      </c>
      <c r="E15" s="471">
        <f>+OCCMarkets!AF15</f>
        <v>0</v>
      </c>
      <c r="F15" s="471">
        <f>+OCCMarkets!AG15</f>
        <v>0</v>
      </c>
      <c r="G15" s="471">
        <f>+OCCMarkets!AH15</f>
        <v>-167</v>
      </c>
      <c r="H15" s="471">
        <f>+OCCMarkets!AI15</f>
        <v>-623</v>
      </c>
      <c r="I15" s="438">
        <f>+OCCMarkets!AJ15</f>
        <v>9413</v>
      </c>
      <c r="J15" s="438">
        <f>+OCCMarkets!AK15</f>
        <v>0</v>
      </c>
      <c r="K15" s="438">
        <f>+OCCMarkets!AL15</f>
        <v>981</v>
      </c>
      <c r="L15" s="438">
        <f>+OCCMarkets!AM15</f>
        <v>0</v>
      </c>
      <c r="M15" s="438">
        <f>+OCCMarkets!AN15</f>
        <v>981</v>
      </c>
      <c r="N15" s="438">
        <f>+OCCMarkets!AO15</f>
        <v>-8432</v>
      </c>
      <c r="O15" s="438">
        <f>+OCCMarkets!AP15</f>
        <v>25954</v>
      </c>
      <c r="P15" s="472">
        <f>+OCCMarkets!AQ15</f>
        <v>0</v>
      </c>
      <c r="Q15" s="472">
        <f>+OCCMarkets!AR15</f>
        <v>0</v>
      </c>
      <c r="R15" s="472">
        <f>+OCCMarkets!AS15</f>
        <v>0</v>
      </c>
      <c r="S15" s="472">
        <f>+OCCMarkets!AT15</f>
        <v>0</v>
      </c>
      <c r="T15" s="472">
        <f>+OCCMarkets!AU15</f>
        <v>0</v>
      </c>
      <c r="U15" s="472">
        <f>+OCCMarkets!AV15</f>
        <v>0</v>
      </c>
      <c r="V15" s="472">
        <f>+OCCMarkets!AW15</f>
        <v>0</v>
      </c>
      <c r="W15" s="473">
        <f>+OCCMarkets!AX15</f>
        <v>207</v>
      </c>
      <c r="X15" s="473">
        <f>+OCCMarkets!AY15</f>
        <v>0</v>
      </c>
      <c r="Y15" s="473">
        <f>+OCCMarkets!AZ15</f>
        <v>0</v>
      </c>
      <c r="Z15" s="473">
        <f>+OCCMarkets!BA15</f>
        <v>0</v>
      </c>
      <c r="AA15" s="473">
        <f>+OCCMarkets!BB15</f>
        <v>0</v>
      </c>
      <c r="AB15" s="473">
        <f>+OCCMarkets!BC15</f>
        <v>-207</v>
      </c>
      <c r="AC15" s="473">
        <f>+OCCMarkets!BD15</f>
        <v>-290</v>
      </c>
      <c r="AD15" s="474">
        <f>+OCCMarkets!BE15</f>
        <v>227</v>
      </c>
      <c r="AE15" s="474">
        <f>+OCCMarkets!BF15</f>
        <v>0</v>
      </c>
      <c r="AF15" s="474">
        <f>+OCCMarkets!BG15</f>
        <v>0</v>
      </c>
      <c r="AG15" s="474">
        <f>+OCCMarkets!BH15</f>
        <v>0</v>
      </c>
      <c r="AH15" s="474">
        <f>+OCCMarkets!BI15</f>
        <v>0</v>
      </c>
      <c r="AI15" s="474">
        <f>+OCCMarkets!BJ15</f>
        <v>-227</v>
      </c>
      <c r="AJ15" s="474">
        <f>+OCCMarkets!BK15</f>
        <v>220</v>
      </c>
      <c r="AL15" s="436">
        <f t="shared" si="0"/>
        <v>10014</v>
      </c>
      <c r="AM15" s="436">
        <f t="shared" si="1"/>
        <v>981</v>
      </c>
      <c r="AN15" s="436">
        <f t="shared" si="2"/>
        <v>-9033</v>
      </c>
      <c r="AO15" s="436">
        <f t="shared" si="3"/>
        <v>25261</v>
      </c>
      <c r="BB15" s="442"/>
      <c r="BC15" s="442"/>
      <c r="BD15" s="442"/>
      <c r="BE15" s="442"/>
      <c r="BF15" s="442"/>
      <c r="BG15" s="442"/>
      <c r="BH15" s="442"/>
      <c r="BI15" s="442"/>
      <c r="BJ15" s="442"/>
      <c r="BK15" s="442"/>
      <c r="BL15" s="442"/>
      <c r="BM15" s="442"/>
      <c r="BN15" s="442"/>
      <c r="BO15" s="442"/>
      <c r="BP15" s="442"/>
      <c r="BQ15" s="442"/>
      <c r="BR15" s="442"/>
      <c r="BS15" s="442"/>
      <c r="BT15" s="442"/>
      <c r="BU15" s="442"/>
      <c r="BV15" s="442"/>
      <c r="BW15" s="442"/>
      <c r="BX15" s="442"/>
      <c r="BY15" s="442"/>
      <c r="BZ15" s="442"/>
      <c r="CA15" s="442"/>
      <c r="CB15" s="442"/>
      <c r="CC15" s="442"/>
      <c r="CD15" s="442"/>
      <c r="CE15" s="442"/>
      <c r="CF15" s="442"/>
      <c r="CG15" s="442"/>
      <c r="CH15" s="442"/>
      <c r="CI15" s="442"/>
      <c r="CJ15" s="442"/>
      <c r="CK15" s="442"/>
      <c r="CL15" s="442"/>
      <c r="CM15" s="442"/>
      <c r="CN15" s="442"/>
      <c r="CO15" s="442"/>
      <c r="CP15" s="442"/>
      <c r="CQ15" s="442"/>
      <c r="CR15" s="442"/>
      <c r="CS15" s="442"/>
      <c r="CT15" s="442"/>
      <c r="CU15" s="442"/>
      <c r="CV15" s="442"/>
      <c r="CW15" s="442"/>
      <c r="CX15" s="442"/>
      <c r="CY15" s="442"/>
      <c r="CZ15" s="442"/>
      <c r="DA15" s="442"/>
      <c r="DB15" s="442"/>
      <c r="DC15" s="442"/>
      <c r="DD15" s="442"/>
    </row>
    <row r="16" spans="1:108" x14ac:dyDescent="0.2">
      <c r="A16" s="383">
        <f>+BaseloadMarkets!A16</f>
        <v>36718</v>
      </c>
      <c r="B16" s="471">
        <f>+OCCMarkets!AC16</f>
        <v>178</v>
      </c>
      <c r="C16" s="471">
        <f>+OCCMarkets!AD16</f>
        <v>0</v>
      </c>
      <c r="D16" s="471">
        <f>+OCCMarkets!AE16</f>
        <v>0</v>
      </c>
      <c r="E16" s="471">
        <f>+OCCMarkets!AF16</f>
        <v>0</v>
      </c>
      <c r="F16" s="471">
        <f>+OCCMarkets!AG16</f>
        <v>0</v>
      </c>
      <c r="G16" s="471">
        <f>+OCCMarkets!AH16</f>
        <v>-178</v>
      </c>
      <c r="H16" s="471">
        <f>+OCCMarkets!AI16</f>
        <v>-801</v>
      </c>
      <c r="I16" s="438">
        <f>+OCCMarkets!AJ16</f>
        <v>9551</v>
      </c>
      <c r="J16" s="438">
        <f>+OCCMarkets!AK16</f>
        <v>3817</v>
      </c>
      <c r="K16" s="438">
        <f>+OCCMarkets!AL16</f>
        <v>1823</v>
      </c>
      <c r="L16" s="438">
        <f>+OCCMarkets!AM16</f>
        <v>8975</v>
      </c>
      <c r="M16" s="438">
        <f>+OCCMarkets!AN16</f>
        <v>14615</v>
      </c>
      <c r="N16" s="438">
        <f>+OCCMarkets!AO16</f>
        <v>5064</v>
      </c>
      <c r="O16" s="438">
        <f>+OCCMarkets!AP16</f>
        <v>31018</v>
      </c>
      <c r="P16" s="472">
        <f>+OCCMarkets!AQ16</f>
        <v>0</v>
      </c>
      <c r="Q16" s="472">
        <f>+OCCMarkets!AR16</f>
        <v>0</v>
      </c>
      <c r="R16" s="472">
        <f>+OCCMarkets!AS16</f>
        <v>0</v>
      </c>
      <c r="S16" s="472">
        <f>+OCCMarkets!AT16</f>
        <v>0</v>
      </c>
      <c r="T16" s="472">
        <f>+OCCMarkets!AU16</f>
        <v>0</v>
      </c>
      <c r="U16" s="472">
        <f>+OCCMarkets!AV16</f>
        <v>0</v>
      </c>
      <c r="V16" s="472">
        <f>+OCCMarkets!AW16</f>
        <v>0</v>
      </c>
      <c r="W16" s="473">
        <f>+OCCMarkets!AX16</f>
        <v>202</v>
      </c>
      <c r="X16" s="473">
        <f>+OCCMarkets!AY16</f>
        <v>0</v>
      </c>
      <c r="Y16" s="473">
        <f>+OCCMarkets!AZ16</f>
        <v>0</v>
      </c>
      <c r="Z16" s="473">
        <f>+OCCMarkets!BA16</f>
        <v>0</v>
      </c>
      <c r="AA16" s="473">
        <f>+OCCMarkets!BB16</f>
        <v>0</v>
      </c>
      <c r="AB16" s="473">
        <f>+OCCMarkets!BC16</f>
        <v>-202</v>
      </c>
      <c r="AC16" s="473">
        <f>+OCCMarkets!BD16</f>
        <v>-492</v>
      </c>
      <c r="AD16" s="474">
        <f>+OCCMarkets!BE16</f>
        <v>325</v>
      </c>
      <c r="AE16" s="474">
        <f>+OCCMarkets!BF16</f>
        <v>0</v>
      </c>
      <c r="AF16" s="474">
        <f>+OCCMarkets!BG16</f>
        <v>0</v>
      </c>
      <c r="AG16" s="474">
        <f>+OCCMarkets!BH16</f>
        <v>0</v>
      </c>
      <c r="AH16" s="474">
        <f>+OCCMarkets!BI16</f>
        <v>0</v>
      </c>
      <c r="AI16" s="474">
        <f>+OCCMarkets!BJ16</f>
        <v>-325</v>
      </c>
      <c r="AJ16" s="474">
        <f>+OCCMarkets!BK16</f>
        <v>-105</v>
      </c>
      <c r="AL16" s="436">
        <f t="shared" si="0"/>
        <v>10256</v>
      </c>
      <c r="AM16" s="436">
        <f t="shared" si="1"/>
        <v>14615</v>
      </c>
      <c r="AN16" s="436">
        <f t="shared" si="2"/>
        <v>4359</v>
      </c>
      <c r="AO16" s="436">
        <f t="shared" si="3"/>
        <v>29620</v>
      </c>
      <c r="BB16" s="442"/>
      <c r="BC16" s="442"/>
      <c r="BD16" s="442"/>
      <c r="BE16" s="442"/>
      <c r="BF16" s="442"/>
      <c r="BG16" s="442"/>
      <c r="BH16" s="442"/>
      <c r="BI16" s="442"/>
      <c r="BJ16" s="442"/>
      <c r="BK16" s="442"/>
      <c r="BL16" s="442"/>
      <c r="BM16" s="442"/>
      <c r="BN16" s="442"/>
      <c r="BO16" s="442"/>
      <c r="BP16" s="442"/>
      <c r="BQ16" s="442"/>
      <c r="BR16" s="442"/>
      <c r="BS16" s="442"/>
      <c r="BT16" s="442"/>
      <c r="BU16" s="442"/>
      <c r="BV16" s="442"/>
      <c r="BW16" s="442"/>
      <c r="BX16" s="442"/>
      <c r="BY16" s="442"/>
      <c r="BZ16" s="442"/>
      <c r="CA16" s="442"/>
      <c r="CB16" s="442"/>
      <c r="CC16" s="442"/>
      <c r="CD16" s="442"/>
      <c r="CE16" s="442"/>
      <c r="CF16" s="442"/>
      <c r="CG16" s="442"/>
      <c r="CH16" s="442"/>
      <c r="CI16" s="442"/>
      <c r="CJ16" s="442"/>
      <c r="CK16" s="442"/>
      <c r="CL16" s="442"/>
      <c r="CM16" s="442"/>
      <c r="CN16" s="442"/>
      <c r="CO16" s="442"/>
      <c r="CP16" s="442"/>
      <c r="CQ16" s="442"/>
      <c r="CR16" s="442"/>
      <c r="CS16" s="442"/>
      <c r="CT16" s="442"/>
      <c r="CU16" s="442"/>
      <c r="CV16" s="442"/>
      <c r="CW16" s="442"/>
      <c r="CX16" s="442"/>
      <c r="CY16" s="442"/>
      <c r="CZ16" s="442"/>
      <c r="DA16" s="442"/>
      <c r="DB16" s="442"/>
      <c r="DC16" s="442"/>
      <c r="DD16" s="442"/>
    </row>
    <row r="17" spans="1:108" x14ac:dyDescent="0.2">
      <c r="A17" s="383">
        <f>+BaseloadMarkets!A17</f>
        <v>36719</v>
      </c>
      <c r="B17" s="471">
        <f>+OCCMarkets!AC17</f>
        <v>181</v>
      </c>
      <c r="C17" s="471">
        <f>+OCCMarkets!AD17</f>
        <v>0</v>
      </c>
      <c r="D17" s="471">
        <f>+OCCMarkets!AE17</f>
        <v>0</v>
      </c>
      <c r="E17" s="471">
        <f>+OCCMarkets!AF17</f>
        <v>0</v>
      </c>
      <c r="F17" s="471">
        <f>+OCCMarkets!AG17</f>
        <v>0</v>
      </c>
      <c r="G17" s="471">
        <f>+OCCMarkets!AH17</f>
        <v>-181</v>
      </c>
      <c r="H17" s="471">
        <f>+OCCMarkets!AI17</f>
        <v>-982</v>
      </c>
      <c r="I17" s="438">
        <f>+OCCMarkets!AJ17</f>
        <v>9646</v>
      </c>
      <c r="J17" s="438">
        <f>+OCCMarkets!AK17</f>
        <v>5705</v>
      </c>
      <c r="K17" s="438">
        <f>+OCCMarkets!AL17</f>
        <v>980</v>
      </c>
      <c r="L17" s="438">
        <f>+OCCMarkets!AM17</f>
        <v>0</v>
      </c>
      <c r="M17" s="438">
        <f>+OCCMarkets!AN17</f>
        <v>6685</v>
      </c>
      <c r="N17" s="438">
        <f>+OCCMarkets!AO17</f>
        <v>-2961</v>
      </c>
      <c r="O17" s="438">
        <f>+OCCMarkets!AP17</f>
        <v>28057</v>
      </c>
      <c r="P17" s="472">
        <f>+OCCMarkets!AQ17</f>
        <v>0</v>
      </c>
      <c r="Q17" s="472">
        <f>+OCCMarkets!AR17</f>
        <v>0</v>
      </c>
      <c r="R17" s="472">
        <f>+OCCMarkets!AS17</f>
        <v>0</v>
      </c>
      <c r="S17" s="472">
        <f>+OCCMarkets!AT17</f>
        <v>0</v>
      </c>
      <c r="T17" s="472">
        <f>+OCCMarkets!AU17</f>
        <v>0</v>
      </c>
      <c r="U17" s="472">
        <f>+OCCMarkets!AV17</f>
        <v>0</v>
      </c>
      <c r="V17" s="472">
        <f>+OCCMarkets!AW17</f>
        <v>0</v>
      </c>
      <c r="W17" s="473">
        <f>+OCCMarkets!AX17</f>
        <v>200</v>
      </c>
      <c r="X17" s="473">
        <f>+OCCMarkets!AY17</f>
        <v>0</v>
      </c>
      <c r="Y17" s="473">
        <f>+OCCMarkets!AZ17</f>
        <v>0</v>
      </c>
      <c r="Z17" s="473">
        <f>+OCCMarkets!BA17</f>
        <v>0</v>
      </c>
      <c r="AA17" s="473">
        <f>+OCCMarkets!BB17</f>
        <v>0</v>
      </c>
      <c r="AB17" s="473">
        <f>+OCCMarkets!BC17</f>
        <v>-200</v>
      </c>
      <c r="AC17" s="473">
        <f>+OCCMarkets!BD17</f>
        <v>-692</v>
      </c>
      <c r="AD17" s="474">
        <f>+OCCMarkets!BE17</f>
        <v>288</v>
      </c>
      <c r="AE17" s="474">
        <f>+OCCMarkets!BF17</f>
        <v>0</v>
      </c>
      <c r="AF17" s="474">
        <f>+OCCMarkets!BG17</f>
        <v>0</v>
      </c>
      <c r="AG17" s="474">
        <f>+OCCMarkets!BH17</f>
        <v>0</v>
      </c>
      <c r="AH17" s="474">
        <f>+OCCMarkets!BI17</f>
        <v>0</v>
      </c>
      <c r="AI17" s="474">
        <f>+OCCMarkets!BJ17</f>
        <v>-288</v>
      </c>
      <c r="AJ17" s="474">
        <f>+OCCMarkets!BK17</f>
        <v>-393</v>
      </c>
      <c r="AL17" s="436">
        <f t="shared" si="0"/>
        <v>10315</v>
      </c>
      <c r="AM17" s="436">
        <f t="shared" si="1"/>
        <v>6685</v>
      </c>
      <c r="AN17" s="436">
        <f t="shared" si="2"/>
        <v>-3630</v>
      </c>
      <c r="AO17" s="436">
        <f t="shared" si="3"/>
        <v>25990</v>
      </c>
      <c r="BB17" s="442"/>
      <c r="BC17" s="442"/>
      <c r="BD17" s="442"/>
      <c r="BE17" s="442"/>
      <c r="BF17" s="442"/>
      <c r="BG17" s="442"/>
      <c r="BH17" s="442"/>
      <c r="BI17" s="442"/>
      <c r="BJ17" s="442"/>
      <c r="BK17" s="442"/>
      <c r="BL17" s="442"/>
      <c r="BM17" s="442"/>
      <c r="BN17" s="442"/>
      <c r="BO17" s="442"/>
      <c r="BP17" s="442"/>
      <c r="BQ17" s="442"/>
      <c r="BR17" s="442"/>
      <c r="BS17" s="442"/>
      <c r="BT17" s="442"/>
      <c r="BU17" s="442"/>
      <c r="BV17" s="442"/>
      <c r="BW17" s="442"/>
      <c r="BX17" s="442"/>
      <c r="BY17" s="442"/>
      <c r="BZ17" s="442"/>
      <c r="CA17" s="442"/>
      <c r="CB17" s="442"/>
      <c r="CC17" s="442"/>
      <c r="CD17" s="442"/>
      <c r="CE17" s="442"/>
      <c r="CF17" s="442"/>
      <c r="CG17" s="442"/>
      <c r="CH17" s="442"/>
      <c r="CI17" s="442"/>
      <c r="CJ17" s="442"/>
      <c r="CK17" s="442"/>
      <c r="CL17" s="442"/>
      <c r="CM17" s="442"/>
      <c r="CN17" s="442"/>
      <c r="CO17" s="442"/>
      <c r="CP17" s="442"/>
      <c r="CQ17" s="442"/>
      <c r="CR17" s="442"/>
      <c r="CS17" s="442"/>
      <c r="CT17" s="442"/>
      <c r="CU17" s="442"/>
      <c r="CV17" s="442"/>
      <c r="CW17" s="442"/>
      <c r="CX17" s="442"/>
      <c r="CY17" s="442"/>
      <c r="CZ17" s="442"/>
      <c r="DA17" s="442"/>
      <c r="DB17" s="442"/>
      <c r="DC17" s="442"/>
      <c r="DD17" s="442"/>
    </row>
    <row r="18" spans="1:108" x14ac:dyDescent="0.2">
      <c r="A18" s="383">
        <f>+BaseloadMarkets!A18</f>
        <v>36720</v>
      </c>
      <c r="B18" s="471">
        <f>+OCCMarkets!AC18</f>
        <v>177</v>
      </c>
      <c r="C18" s="471">
        <f>+OCCMarkets!AD18</f>
        <v>361</v>
      </c>
      <c r="D18" s="471">
        <f>+OCCMarkets!AE18</f>
        <v>0</v>
      </c>
      <c r="E18" s="471">
        <f>+OCCMarkets!AF18</f>
        <v>0</v>
      </c>
      <c r="F18" s="471">
        <f>+OCCMarkets!AG18</f>
        <v>361</v>
      </c>
      <c r="G18" s="471">
        <f>+OCCMarkets!AH18</f>
        <v>184</v>
      </c>
      <c r="H18" s="471">
        <f>+OCCMarkets!AI18</f>
        <v>-798</v>
      </c>
      <c r="I18" s="438">
        <f>+OCCMarkets!AJ18</f>
        <v>9422</v>
      </c>
      <c r="J18" s="438">
        <f>+OCCMarkets!AK18</f>
        <v>27197</v>
      </c>
      <c r="K18" s="438">
        <f>+OCCMarkets!AL18</f>
        <v>1503</v>
      </c>
      <c r="L18" s="438">
        <f>+OCCMarkets!AM18</f>
        <v>10000</v>
      </c>
      <c r="M18" s="438">
        <f>+OCCMarkets!AN18</f>
        <v>38700</v>
      </c>
      <c r="N18" s="438">
        <f>+OCCMarkets!AO18</f>
        <v>29278</v>
      </c>
      <c r="O18" s="438">
        <f>+OCCMarkets!AP18</f>
        <v>57335</v>
      </c>
      <c r="P18" s="472">
        <f>+OCCMarkets!AQ18</f>
        <v>0</v>
      </c>
      <c r="Q18" s="472">
        <f>+OCCMarkets!AR18</f>
        <v>0</v>
      </c>
      <c r="R18" s="472">
        <f>+OCCMarkets!AS18</f>
        <v>0</v>
      </c>
      <c r="S18" s="472">
        <f>+OCCMarkets!AT18</f>
        <v>0</v>
      </c>
      <c r="T18" s="472">
        <f>+OCCMarkets!AU18</f>
        <v>0</v>
      </c>
      <c r="U18" s="472">
        <f>+OCCMarkets!AV18</f>
        <v>0</v>
      </c>
      <c r="V18" s="472">
        <f>+OCCMarkets!AW18</f>
        <v>0</v>
      </c>
      <c r="W18" s="473">
        <f>+OCCMarkets!AX18</f>
        <v>204</v>
      </c>
      <c r="X18" s="473">
        <f>+OCCMarkets!AY18</f>
        <v>886</v>
      </c>
      <c r="Y18" s="473">
        <f>+OCCMarkets!AZ18</f>
        <v>0</v>
      </c>
      <c r="Z18" s="473">
        <f>+OCCMarkets!BA18</f>
        <v>0</v>
      </c>
      <c r="AA18" s="473">
        <f>+OCCMarkets!BB18</f>
        <v>886</v>
      </c>
      <c r="AB18" s="473">
        <f>+OCCMarkets!BC18</f>
        <v>682</v>
      </c>
      <c r="AC18" s="473">
        <f>+OCCMarkets!BD18</f>
        <v>-10</v>
      </c>
      <c r="AD18" s="474">
        <f>+OCCMarkets!BE18</f>
        <v>308</v>
      </c>
      <c r="AE18" s="474">
        <f>+OCCMarkets!BF18</f>
        <v>904</v>
      </c>
      <c r="AF18" s="474">
        <f>+OCCMarkets!BG18</f>
        <v>0</v>
      </c>
      <c r="AG18" s="474">
        <f>+OCCMarkets!BH18</f>
        <v>0</v>
      </c>
      <c r="AH18" s="474">
        <f>+OCCMarkets!BI18</f>
        <v>904</v>
      </c>
      <c r="AI18" s="474">
        <f>+OCCMarkets!BJ18</f>
        <v>596</v>
      </c>
      <c r="AJ18" s="474">
        <f>+OCCMarkets!BK18</f>
        <v>203</v>
      </c>
      <c r="AL18" s="436">
        <f t="shared" si="0"/>
        <v>10111</v>
      </c>
      <c r="AM18" s="436">
        <f t="shared" si="1"/>
        <v>40851</v>
      </c>
      <c r="AN18" s="436">
        <f t="shared" si="2"/>
        <v>30740</v>
      </c>
      <c r="AO18" s="436">
        <f t="shared" si="3"/>
        <v>56730</v>
      </c>
      <c r="BB18" s="442"/>
      <c r="BC18" s="442"/>
      <c r="BD18" s="442"/>
      <c r="BE18" s="442"/>
      <c r="BF18" s="442"/>
      <c r="BG18" s="442"/>
      <c r="BH18" s="442"/>
      <c r="BI18" s="442"/>
      <c r="BJ18" s="442"/>
      <c r="BK18" s="442"/>
      <c r="BL18" s="442"/>
      <c r="BM18" s="442"/>
      <c r="BN18" s="442"/>
      <c r="BO18" s="442"/>
      <c r="BP18" s="442"/>
      <c r="BQ18" s="442"/>
      <c r="BR18" s="442"/>
      <c r="BS18" s="442"/>
      <c r="BT18" s="442"/>
      <c r="BU18" s="442"/>
      <c r="BV18" s="442"/>
      <c r="BW18" s="442"/>
      <c r="BX18" s="442"/>
      <c r="BY18" s="442"/>
      <c r="BZ18" s="442"/>
      <c r="CA18" s="442"/>
      <c r="CB18" s="442"/>
      <c r="CC18" s="442"/>
      <c r="CD18" s="442"/>
      <c r="CE18" s="442"/>
      <c r="CF18" s="442"/>
      <c r="CG18" s="442"/>
      <c r="CH18" s="442"/>
      <c r="CI18" s="442"/>
      <c r="CJ18" s="442"/>
      <c r="CK18" s="442"/>
      <c r="CL18" s="442"/>
      <c r="CM18" s="442"/>
      <c r="CN18" s="442"/>
      <c r="CO18" s="442"/>
      <c r="CP18" s="442"/>
      <c r="CQ18" s="442"/>
      <c r="CR18" s="442"/>
      <c r="CS18" s="442"/>
      <c r="CT18" s="442"/>
      <c r="CU18" s="442"/>
      <c r="CV18" s="442"/>
      <c r="CW18" s="442"/>
      <c r="CX18" s="442"/>
      <c r="CY18" s="442"/>
      <c r="CZ18" s="442"/>
      <c r="DA18" s="442"/>
      <c r="DB18" s="442"/>
      <c r="DC18" s="442"/>
      <c r="DD18" s="442"/>
    </row>
    <row r="19" spans="1:108" x14ac:dyDescent="0.2">
      <c r="A19" s="383">
        <f>+BaseloadMarkets!A19</f>
        <v>36721</v>
      </c>
      <c r="B19" s="471">
        <f>+OCCMarkets!AC19</f>
        <v>157</v>
      </c>
      <c r="C19" s="471">
        <f>+OCCMarkets!AD19</f>
        <v>1397</v>
      </c>
      <c r="D19" s="471">
        <f>+OCCMarkets!AE19</f>
        <v>0</v>
      </c>
      <c r="E19" s="471">
        <f>+OCCMarkets!AF19</f>
        <v>0</v>
      </c>
      <c r="F19" s="471">
        <f>+OCCMarkets!AG19</f>
        <v>1397</v>
      </c>
      <c r="G19" s="471">
        <f>+OCCMarkets!AH19</f>
        <v>1240</v>
      </c>
      <c r="H19" s="471">
        <f>+OCCMarkets!AI19</f>
        <v>442</v>
      </c>
      <c r="I19" s="438">
        <f>+OCCMarkets!AJ19</f>
        <v>8534</v>
      </c>
      <c r="J19" s="438">
        <f>+OCCMarkets!AK19</f>
        <v>2259</v>
      </c>
      <c r="K19" s="438">
        <f>+OCCMarkets!AL19</f>
        <v>10980</v>
      </c>
      <c r="L19" s="438">
        <f>+OCCMarkets!AM19</f>
        <v>0</v>
      </c>
      <c r="M19" s="438">
        <f>+OCCMarkets!AN19</f>
        <v>13239</v>
      </c>
      <c r="N19" s="438">
        <f>+OCCMarkets!AO19</f>
        <v>4705</v>
      </c>
      <c r="O19" s="438">
        <f>+OCCMarkets!AP19</f>
        <v>62040</v>
      </c>
      <c r="P19" s="472">
        <f>+OCCMarkets!AQ19</f>
        <v>0</v>
      </c>
      <c r="Q19" s="472">
        <f>+OCCMarkets!AR19</f>
        <v>0</v>
      </c>
      <c r="R19" s="472">
        <f>+OCCMarkets!AS19</f>
        <v>0</v>
      </c>
      <c r="S19" s="472">
        <f>+OCCMarkets!AT19</f>
        <v>0</v>
      </c>
      <c r="T19" s="472">
        <f>+OCCMarkets!AU19</f>
        <v>0</v>
      </c>
      <c r="U19" s="472">
        <f>+OCCMarkets!AV19</f>
        <v>0</v>
      </c>
      <c r="V19" s="472">
        <f>+OCCMarkets!AW19</f>
        <v>0</v>
      </c>
      <c r="W19" s="473">
        <f>+OCCMarkets!AX19</f>
        <v>213</v>
      </c>
      <c r="X19" s="473">
        <f>+OCCMarkets!AY19</f>
        <v>1397</v>
      </c>
      <c r="Y19" s="473">
        <f>+OCCMarkets!AZ19</f>
        <v>0</v>
      </c>
      <c r="Z19" s="473">
        <f>+OCCMarkets!BA19</f>
        <v>0</v>
      </c>
      <c r="AA19" s="473">
        <f>+OCCMarkets!BB19</f>
        <v>1397</v>
      </c>
      <c r="AB19" s="473">
        <f>+OCCMarkets!BC19</f>
        <v>1184</v>
      </c>
      <c r="AC19" s="473">
        <f>+OCCMarkets!BD19</f>
        <v>1174</v>
      </c>
      <c r="AD19" s="474">
        <f>+OCCMarkets!BE19</f>
        <v>286</v>
      </c>
      <c r="AE19" s="474">
        <f>+OCCMarkets!BF19</f>
        <v>1862</v>
      </c>
      <c r="AF19" s="474">
        <f>+OCCMarkets!BG19</f>
        <v>0</v>
      </c>
      <c r="AG19" s="474">
        <f>+OCCMarkets!BH19</f>
        <v>0</v>
      </c>
      <c r="AH19" s="474">
        <f>+OCCMarkets!BI19</f>
        <v>1862</v>
      </c>
      <c r="AI19" s="474">
        <f>+OCCMarkets!BJ19</f>
        <v>1576</v>
      </c>
      <c r="AJ19" s="474">
        <f>+OCCMarkets!BK19</f>
        <v>1779</v>
      </c>
      <c r="AL19" s="436">
        <f t="shared" si="0"/>
        <v>9190</v>
      </c>
      <c r="AM19" s="436">
        <f t="shared" si="1"/>
        <v>17895</v>
      </c>
      <c r="AN19" s="436">
        <f t="shared" si="2"/>
        <v>8705</v>
      </c>
      <c r="AO19" s="436">
        <f t="shared" si="3"/>
        <v>65435</v>
      </c>
      <c r="BB19" s="442"/>
      <c r="BC19" s="442"/>
      <c r="BD19" s="442"/>
      <c r="BE19" s="442"/>
      <c r="BF19" s="442"/>
      <c r="BG19" s="442"/>
      <c r="BH19" s="442"/>
      <c r="BI19" s="442"/>
      <c r="BJ19" s="442"/>
      <c r="BK19" s="442"/>
      <c r="BL19" s="442"/>
      <c r="BM19" s="442"/>
      <c r="BN19" s="442"/>
      <c r="BO19" s="442"/>
      <c r="BP19" s="442"/>
      <c r="BQ19" s="442"/>
      <c r="BR19" s="442"/>
      <c r="BS19" s="442"/>
      <c r="BT19" s="442"/>
      <c r="BU19" s="442"/>
      <c r="BV19" s="442"/>
      <c r="BW19" s="442"/>
      <c r="BX19" s="442"/>
      <c r="BY19" s="442"/>
      <c r="BZ19" s="442"/>
      <c r="CA19" s="442"/>
      <c r="CB19" s="442"/>
      <c r="CC19" s="442"/>
      <c r="CD19" s="442"/>
      <c r="CE19" s="442"/>
      <c r="CF19" s="442"/>
      <c r="CG19" s="442"/>
      <c r="CH19" s="442"/>
      <c r="CI19" s="442"/>
      <c r="CJ19" s="442"/>
      <c r="CK19" s="442"/>
      <c r="CL19" s="442"/>
      <c r="CM19" s="442"/>
      <c r="CN19" s="442"/>
      <c r="CO19" s="442"/>
      <c r="CP19" s="442"/>
      <c r="CQ19" s="442"/>
      <c r="CR19" s="442"/>
      <c r="CS19" s="442"/>
      <c r="CT19" s="442"/>
      <c r="CU19" s="442"/>
      <c r="CV19" s="442"/>
      <c r="CW19" s="442"/>
      <c r="CX19" s="442"/>
      <c r="CY19" s="442"/>
      <c r="CZ19" s="442"/>
      <c r="DA19" s="442"/>
      <c r="DB19" s="442"/>
      <c r="DC19" s="442"/>
      <c r="DD19" s="442"/>
    </row>
    <row r="20" spans="1:108" x14ac:dyDescent="0.2">
      <c r="A20" s="383">
        <f>+BaseloadMarkets!A20</f>
        <v>36722</v>
      </c>
      <c r="B20" s="471">
        <f>+OCCMarkets!AC20</f>
        <v>170</v>
      </c>
      <c r="C20" s="471">
        <f>+OCCMarkets!AD20</f>
        <v>0</v>
      </c>
      <c r="D20" s="471">
        <f>+OCCMarkets!AE20</f>
        <v>0</v>
      </c>
      <c r="E20" s="471">
        <f>+OCCMarkets!AF20</f>
        <v>0</v>
      </c>
      <c r="F20" s="471">
        <f>+OCCMarkets!AG20</f>
        <v>0</v>
      </c>
      <c r="G20" s="471">
        <f>+OCCMarkets!AH20</f>
        <v>-170</v>
      </c>
      <c r="H20" s="471">
        <f>+OCCMarkets!AI20</f>
        <v>272</v>
      </c>
      <c r="I20" s="438">
        <f>+OCCMarkets!AJ20</f>
        <v>6025</v>
      </c>
      <c r="J20" s="438">
        <f>+OCCMarkets!AK20</f>
        <v>8469</v>
      </c>
      <c r="K20" s="438">
        <f>+OCCMarkets!AL20</f>
        <v>980</v>
      </c>
      <c r="L20" s="438">
        <f>+OCCMarkets!AM20</f>
        <v>0</v>
      </c>
      <c r="M20" s="438">
        <f>+OCCMarkets!AN20</f>
        <v>9449</v>
      </c>
      <c r="N20" s="438">
        <f>+OCCMarkets!AO20</f>
        <v>3424</v>
      </c>
      <c r="O20" s="438">
        <f>+OCCMarkets!AP20</f>
        <v>65464</v>
      </c>
      <c r="P20" s="472">
        <f>+OCCMarkets!AQ20</f>
        <v>0</v>
      </c>
      <c r="Q20" s="472">
        <f>+OCCMarkets!AR20</f>
        <v>0</v>
      </c>
      <c r="R20" s="472">
        <f>+OCCMarkets!AS20</f>
        <v>0</v>
      </c>
      <c r="S20" s="472">
        <f>+OCCMarkets!AT20</f>
        <v>0</v>
      </c>
      <c r="T20" s="472">
        <f>+OCCMarkets!AU20</f>
        <v>0</v>
      </c>
      <c r="U20" s="472">
        <f>+OCCMarkets!AV20</f>
        <v>0</v>
      </c>
      <c r="V20" s="472">
        <f>+OCCMarkets!AW20</f>
        <v>0</v>
      </c>
      <c r="W20" s="473">
        <f>+OCCMarkets!AX20</f>
        <v>31</v>
      </c>
      <c r="X20" s="473">
        <f>+OCCMarkets!AY20</f>
        <v>0</v>
      </c>
      <c r="Y20" s="473">
        <f>+OCCMarkets!AZ20</f>
        <v>0</v>
      </c>
      <c r="Z20" s="473">
        <f>+OCCMarkets!BA20</f>
        <v>0</v>
      </c>
      <c r="AA20" s="473">
        <f>+OCCMarkets!BB20</f>
        <v>0</v>
      </c>
      <c r="AB20" s="473">
        <f>+OCCMarkets!BC20</f>
        <v>-31</v>
      </c>
      <c r="AC20" s="473">
        <f>+OCCMarkets!BD20</f>
        <v>1143</v>
      </c>
      <c r="AD20" s="474">
        <f>+OCCMarkets!BE20</f>
        <v>132</v>
      </c>
      <c r="AE20" s="474">
        <f>+OCCMarkets!BF20</f>
        <v>0</v>
      </c>
      <c r="AF20" s="474">
        <f>+OCCMarkets!BG20</f>
        <v>0</v>
      </c>
      <c r="AG20" s="474">
        <f>+OCCMarkets!BH20</f>
        <v>0</v>
      </c>
      <c r="AH20" s="474">
        <f>+OCCMarkets!BI20</f>
        <v>0</v>
      </c>
      <c r="AI20" s="474">
        <f>+OCCMarkets!BJ20</f>
        <v>-132</v>
      </c>
      <c r="AJ20" s="474">
        <f>+OCCMarkets!BK20</f>
        <v>1647</v>
      </c>
      <c r="AL20" s="436">
        <f t="shared" si="0"/>
        <v>6358</v>
      </c>
      <c r="AM20" s="436">
        <f t="shared" si="1"/>
        <v>9449</v>
      </c>
      <c r="AN20" s="436">
        <f t="shared" si="2"/>
        <v>3091</v>
      </c>
      <c r="AO20" s="436">
        <f t="shared" si="3"/>
        <v>68526</v>
      </c>
      <c r="BB20" s="442"/>
      <c r="BC20" s="442"/>
      <c r="BD20" s="442"/>
      <c r="BE20" s="442"/>
      <c r="BF20" s="442"/>
      <c r="BG20" s="442"/>
      <c r="BH20" s="442"/>
      <c r="BI20" s="442"/>
      <c r="BJ20" s="442"/>
      <c r="BK20" s="442"/>
      <c r="BL20" s="442"/>
      <c r="BM20" s="442"/>
      <c r="BN20" s="442"/>
      <c r="BO20" s="442"/>
      <c r="BP20" s="442"/>
      <c r="BQ20" s="442"/>
      <c r="BR20" s="442"/>
      <c r="BS20" s="442"/>
      <c r="BT20" s="442"/>
      <c r="BU20" s="442"/>
      <c r="BV20" s="442"/>
      <c r="BW20" s="442"/>
      <c r="BX20" s="442"/>
      <c r="BY20" s="442"/>
      <c r="BZ20" s="442"/>
      <c r="CA20" s="442"/>
      <c r="CB20" s="442"/>
      <c r="CC20" s="442"/>
      <c r="CD20" s="442"/>
      <c r="CE20" s="442"/>
      <c r="CF20" s="442"/>
      <c r="CG20" s="442"/>
      <c r="CH20" s="442"/>
      <c r="CI20" s="442"/>
      <c r="CJ20" s="442"/>
      <c r="CK20" s="442"/>
      <c r="CL20" s="442"/>
      <c r="CM20" s="442"/>
      <c r="CN20" s="442"/>
      <c r="CO20" s="442"/>
      <c r="CP20" s="442"/>
      <c r="CQ20" s="442"/>
      <c r="CR20" s="442"/>
      <c r="CS20" s="442"/>
      <c r="CT20" s="442"/>
      <c r="CU20" s="442"/>
      <c r="CV20" s="442"/>
      <c r="CW20" s="442"/>
      <c r="CX20" s="442"/>
      <c r="CY20" s="442"/>
      <c r="CZ20" s="442"/>
      <c r="DA20" s="442"/>
      <c r="DB20" s="442"/>
      <c r="DC20" s="442"/>
      <c r="DD20" s="442"/>
    </row>
    <row r="21" spans="1:108" x14ac:dyDescent="0.2">
      <c r="A21" s="383">
        <f>+BaseloadMarkets!A21</f>
        <v>36723</v>
      </c>
      <c r="B21" s="471">
        <f>+OCCMarkets!AC21</f>
        <v>28</v>
      </c>
      <c r="C21" s="471">
        <f>+OCCMarkets!AD21</f>
        <v>0</v>
      </c>
      <c r="D21" s="471">
        <f>+OCCMarkets!AE21</f>
        <v>0</v>
      </c>
      <c r="E21" s="471">
        <f>+OCCMarkets!AF21</f>
        <v>0</v>
      </c>
      <c r="F21" s="471">
        <f>+OCCMarkets!AG21</f>
        <v>0</v>
      </c>
      <c r="G21" s="471">
        <f>+OCCMarkets!AH21</f>
        <v>-28</v>
      </c>
      <c r="H21" s="471">
        <f>+OCCMarkets!AI21</f>
        <v>244</v>
      </c>
      <c r="I21" s="438">
        <f>+OCCMarkets!AJ21</f>
        <v>9078</v>
      </c>
      <c r="J21" s="438">
        <f>+OCCMarkets!AK21</f>
        <v>8139</v>
      </c>
      <c r="K21" s="438">
        <f>+OCCMarkets!AL21</f>
        <v>980</v>
      </c>
      <c r="L21" s="438">
        <f>+OCCMarkets!AM21</f>
        <v>0</v>
      </c>
      <c r="M21" s="438">
        <f>+OCCMarkets!AN21</f>
        <v>9119</v>
      </c>
      <c r="N21" s="438">
        <f>+OCCMarkets!AO21</f>
        <v>41</v>
      </c>
      <c r="O21" s="438">
        <f>+OCCMarkets!AP21</f>
        <v>65505</v>
      </c>
      <c r="P21" s="472">
        <f>+OCCMarkets!AQ21</f>
        <v>0</v>
      </c>
      <c r="Q21" s="472">
        <f>+OCCMarkets!AR21</f>
        <v>0</v>
      </c>
      <c r="R21" s="472">
        <f>+OCCMarkets!AS21</f>
        <v>0</v>
      </c>
      <c r="S21" s="472">
        <f>+OCCMarkets!AT21</f>
        <v>0</v>
      </c>
      <c r="T21" s="472">
        <f>+OCCMarkets!AU21</f>
        <v>0</v>
      </c>
      <c r="U21" s="472">
        <f>+OCCMarkets!AV21</f>
        <v>0</v>
      </c>
      <c r="V21" s="472">
        <f>+OCCMarkets!AW21</f>
        <v>0</v>
      </c>
      <c r="W21" s="473">
        <f>+OCCMarkets!AX21</f>
        <v>0</v>
      </c>
      <c r="X21" s="473">
        <f>+OCCMarkets!AY21</f>
        <v>0</v>
      </c>
      <c r="Y21" s="473">
        <f>+OCCMarkets!AZ21</f>
        <v>0</v>
      </c>
      <c r="Z21" s="473">
        <f>+OCCMarkets!BA21</f>
        <v>0</v>
      </c>
      <c r="AA21" s="473">
        <f>+OCCMarkets!BB21</f>
        <v>0</v>
      </c>
      <c r="AB21" s="473">
        <f>+OCCMarkets!BC21</f>
        <v>0</v>
      </c>
      <c r="AC21" s="473">
        <f>+OCCMarkets!BD21</f>
        <v>1143</v>
      </c>
      <c r="AD21" s="474">
        <f>+OCCMarkets!BE21</f>
        <v>25</v>
      </c>
      <c r="AE21" s="474">
        <f>+OCCMarkets!BF21</f>
        <v>0</v>
      </c>
      <c r="AF21" s="474">
        <f>+OCCMarkets!BG21</f>
        <v>0</v>
      </c>
      <c r="AG21" s="474">
        <f>+OCCMarkets!BH21</f>
        <v>0</v>
      </c>
      <c r="AH21" s="474">
        <f>+OCCMarkets!BI21</f>
        <v>0</v>
      </c>
      <c r="AI21" s="474">
        <f>+OCCMarkets!BJ21</f>
        <v>-25</v>
      </c>
      <c r="AJ21" s="474">
        <f>+OCCMarkets!BK21</f>
        <v>1622</v>
      </c>
      <c r="AL21" s="436">
        <f t="shared" si="0"/>
        <v>9131</v>
      </c>
      <c r="AM21" s="436">
        <f t="shared" si="1"/>
        <v>9119</v>
      </c>
      <c r="AN21" s="436">
        <f t="shared" si="2"/>
        <v>-12</v>
      </c>
      <c r="AO21" s="436">
        <f t="shared" si="3"/>
        <v>68514</v>
      </c>
      <c r="BB21" s="442"/>
      <c r="BC21" s="442"/>
      <c r="BD21" s="442"/>
      <c r="BE21" s="442"/>
      <c r="BF21" s="442"/>
      <c r="BG21" s="442"/>
      <c r="BH21" s="442"/>
      <c r="BI21" s="442"/>
      <c r="BJ21" s="442"/>
      <c r="BK21" s="442"/>
      <c r="BL21" s="442"/>
      <c r="BM21" s="442"/>
      <c r="BN21" s="442"/>
      <c r="BO21" s="442"/>
      <c r="BP21" s="442"/>
      <c r="BQ21" s="442"/>
      <c r="BR21" s="442"/>
      <c r="BS21" s="442"/>
      <c r="BT21" s="442"/>
      <c r="BU21" s="442"/>
      <c r="BV21" s="442"/>
      <c r="BW21" s="442"/>
      <c r="BX21" s="442"/>
      <c r="BY21" s="442"/>
      <c r="BZ21" s="442"/>
      <c r="CA21" s="442"/>
      <c r="CB21" s="442"/>
      <c r="CC21" s="442"/>
      <c r="CD21" s="442"/>
      <c r="CE21" s="442"/>
      <c r="CF21" s="442"/>
      <c r="CG21" s="442"/>
      <c r="CH21" s="442"/>
      <c r="CI21" s="442"/>
      <c r="CJ21" s="442"/>
      <c r="CK21" s="442"/>
      <c r="CL21" s="442"/>
      <c r="CM21" s="442"/>
      <c r="CN21" s="442"/>
      <c r="CO21" s="442"/>
      <c r="CP21" s="442"/>
      <c r="CQ21" s="442"/>
      <c r="CR21" s="442"/>
      <c r="CS21" s="442"/>
      <c r="CT21" s="442"/>
      <c r="CU21" s="442"/>
      <c r="CV21" s="442"/>
      <c r="CW21" s="442"/>
      <c r="CX21" s="442"/>
      <c r="CY21" s="442"/>
      <c r="CZ21" s="442"/>
      <c r="DA21" s="442"/>
      <c r="DB21" s="442"/>
      <c r="DC21" s="442"/>
      <c r="DD21" s="442"/>
    </row>
    <row r="22" spans="1:108" x14ac:dyDescent="0.2">
      <c r="A22" s="383">
        <f>+BaseloadMarkets!A22</f>
        <v>36724</v>
      </c>
      <c r="B22" s="471">
        <f>+OCCMarkets!AC22</f>
        <v>96</v>
      </c>
      <c r="C22" s="471">
        <f>+OCCMarkets!AD22</f>
        <v>0</v>
      </c>
      <c r="D22" s="471">
        <f>+OCCMarkets!AE22</f>
        <v>0</v>
      </c>
      <c r="E22" s="471">
        <f>+OCCMarkets!AF22</f>
        <v>0</v>
      </c>
      <c r="F22" s="471">
        <f>+OCCMarkets!AG22</f>
        <v>0</v>
      </c>
      <c r="G22" s="471">
        <f>+OCCMarkets!AH22</f>
        <v>-96</v>
      </c>
      <c r="H22" s="471">
        <f>+OCCMarkets!AI22</f>
        <v>148</v>
      </c>
      <c r="I22" s="438">
        <f>+OCCMarkets!AJ22</f>
        <v>9378</v>
      </c>
      <c r="J22" s="438">
        <f>+OCCMarkets!AK22</f>
        <v>7989</v>
      </c>
      <c r="K22" s="438">
        <f>+OCCMarkets!AL22</f>
        <v>980</v>
      </c>
      <c r="L22" s="438">
        <f>+OCCMarkets!AM22</f>
        <v>0</v>
      </c>
      <c r="M22" s="438">
        <f>+OCCMarkets!AN22</f>
        <v>8969</v>
      </c>
      <c r="N22" s="438">
        <f>+OCCMarkets!AO22</f>
        <v>-409</v>
      </c>
      <c r="O22" s="438">
        <f>+OCCMarkets!AP22</f>
        <v>65096</v>
      </c>
      <c r="P22" s="472">
        <f>+OCCMarkets!AQ22</f>
        <v>0</v>
      </c>
      <c r="Q22" s="472">
        <f>+OCCMarkets!AR22</f>
        <v>0</v>
      </c>
      <c r="R22" s="472">
        <f>+OCCMarkets!AS22</f>
        <v>0</v>
      </c>
      <c r="S22" s="472">
        <f>+OCCMarkets!AT22</f>
        <v>0</v>
      </c>
      <c r="T22" s="472">
        <f>+OCCMarkets!AU22</f>
        <v>0</v>
      </c>
      <c r="U22" s="472">
        <f>+OCCMarkets!AV22</f>
        <v>0</v>
      </c>
      <c r="V22" s="472">
        <f>+OCCMarkets!AW22</f>
        <v>0</v>
      </c>
      <c r="W22" s="473">
        <f>+OCCMarkets!AX22</f>
        <v>135</v>
      </c>
      <c r="X22" s="473">
        <f>+OCCMarkets!AY22</f>
        <v>0</v>
      </c>
      <c r="Y22" s="473">
        <f>+OCCMarkets!AZ22</f>
        <v>0</v>
      </c>
      <c r="Z22" s="473">
        <f>+OCCMarkets!BA22</f>
        <v>0</v>
      </c>
      <c r="AA22" s="473">
        <f>+OCCMarkets!BB22</f>
        <v>0</v>
      </c>
      <c r="AB22" s="473">
        <f>+OCCMarkets!BC22</f>
        <v>-135</v>
      </c>
      <c r="AC22" s="473">
        <f>+OCCMarkets!BD22</f>
        <v>1008</v>
      </c>
      <c r="AD22" s="474">
        <f>+OCCMarkets!BE22</f>
        <v>246</v>
      </c>
      <c r="AE22" s="474">
        <f>+OCCMarkets!BF22</f>
        <v>0</v>
      </c>
      <c r="AF22" s="474">
        <f>+OCCMarkets!BG22</f>
        <v>0</v>
      </c>
      <c r="AG22" s="474">
        <f>+OCCMarkets!BH22</f>
        <v>0</v>
      </c>
      <c r="AH22" s="474">
        <f>+OCCMarkets!BI22</f>
        <v>0</v>
      </c>
      <c r="AI22" s="474">
        <f>+OCCMarkets!BJ22</f>
        <v>-246</v>
      </c>
      <c r="AJ22" s="474">
        <f>+OCCMarkets!BK22</f>
        <v>1376</v>
      </c>
      <c r="AL22" s="436">
        <f t="shared" si="0"/>
        <v>9855</v>
      </c>
      <c r="AM22" s="436">
        <f t="shared" si="1"/>
        <v>8969</v>
      </c>
      <c r="AN22" s="436">
        <f t="shared" si="2"/>
        <v>-886</v>
      </c>
      <c r="AO22" s="436">
        <f t="shared" si="3"/>
        <v>67628</v>
      </c>
      <c r="BB22" s="442"/>
      <c r="BC22" s="442"/>
      <c r="BD22" s="442"/>
      <c r="BE22" s="442"/>
      <c r="BF22" s="442"/>
      <c r="BG22" s="442"/>
      <c r="BH22" s="442"/>
      <c r="BI22" s="442"/>
      <c r="BJ22" s="442"/>
      <c r="BK22" s="442"/>
      <c r="BL22" s="442"/>
      <c r="BM22" s="442"/>
      <c r="BN22" s="442"/>
      <c r="BO22" s="442"/>
      <c r="BP22" s="442"/>
      <c r="BQ22" s="442"/>
      <c r="BR22" s="442"/>
      <c r="BS22" s="442"/>
      <c r="BT22" s="442"/>
      <c r="BU22" s="442"/>
      <c r="BV22" s="442"/>
      <c r="BW22" s="442"/>
      <c r="BX22" s="442"/>
      <c r="BY22" s="442"/>
      <c r="BZ22" s="442"/>
      <c r="CA22" s="442"/>
      <c r="CB22" s="442"/>
      <c r="CC22" s="442"/>
      <c r="CD22" s="442"/>
      <c r="CE22" s="442"/>
      <c r="CF22" s="442"/>
      <c r="CG22" s="442"/>
      <c r="CH22" s="442"/>
      <c r="CI22" s="442"/>
      <c r="CJ22" s="442"/>
      <c r="CK22" s="442"/>
      <c r="CL22" s="442"/>
      <c r="CM22" s="442"/>
      <c r="CN22" s="442"/>
      <c r="CO22" s="442"/>
      <c r="CP22" s="442"/>
      <c r="CQ22" s="442"/>
      <c r="CR22" s="442"/>
      <c r="CS22" s="442"/>
      <c r="CT22" s="442"/>
      <c r="CU22" s="442"/>
      <c r="CV22" s="442"/>
      <c r="CW22" s="442"/>
      <c r="CX22" s="442"/>
      <c r="CY22" s="442"/>
      <c r="CZ22" s="442"/>
      <c r="DA22" s="442"/>
      <c r="DB22" s="442"/>
      <c r="DC22" s="442"/>
      <c r="DD22" s="442"/>
    </row>
    <row r="23" spans="1:108" x14ac:dyDescent="0.2">
      <c r="A23" s="383">
        <f>+BaseloadMarkets!A23</f>
        <v>36725</v>
      </c>
      <c r="B23" s="471">
        <f>+OCCMarkets!AC23</f>
        <v>173</v>
      </c>
      <c r="C23" s="471">
        <f>+OCCMarkets!AD23</f>
        <v>0</v>
      </c>
      <c r="D23" s="471">
        <f>+OCCMarkets!AE23</f>
        <v>0</v>
      </c>
      <c r="E23" s="471">
        <f>+OCCMarkets!AF23</f>
        <v>0</v>
      </c>
      <c r="F23" s="471">
        <f>+OCCMarkets!AG23</f>
        <v>0</v>
      </c>
      <c r="G23" s="471">
        <f>+OCCMarkets!AH23</f>
        <v>-173</v>
      </c>
      <c r="H23" s="471">
        <f>+OCCMarkets!AI23</f>
        <v>-25</v>
      </c>
      <c r="I23" s="438">
        <f>+OCCMarkets!AJ23</f>
        <v>9444</v>
      </c>
      <c r="J23" s="438">
        <f>+OCCMarkets!AK23</f>
        <v>2259</v>
      </c>
      <c r="K23" s="438">
        <f>+OCCMarkets!AL23</f>
        <v>8528</v>
      </c>
      <c r="L23" s="438">
        <f>+OCCMarkets!AM23</f>
        <v>0</v>
      </c>
      <c r="M23" s="438">
        <f>+OCCMarkets!AN23</f>
        <v>10787</v>
      </c>
      <c r="N23" s="438">
        <f>+OCCMarkets!AO23</f>
        <v>1343</v>
      </c>
      <c r="O23" s="438">
        <f>+OCCMarkets!AP23</f>
        <v>66439</v>
      </c>
      <c r="P23" s="472">
        <f>+OCCMarkets!AQ23</f>
        <v>0</v>
      </c>
      <c r="Q23" s="472">
        <f>+OCCMarkets!AR23</f>
        <v>0</v>
      </c>
      <c r="R23" s="472">
        <f>+OCCMarkets!AS23</f>
        <v>0</v>
      </c>
      <c r="S23" s="472">
        <f>+OCCMarkets!AT23</f>
        <v>0</v>
      </c>
      <c r="T23" s="472">
        <f>+OCCMarkets!AU23</f>
        <v>0</v>
      </c>
      <c r="U23" s="472">
        <f>+OCCMarkets!AV23</f>
        <v>0</v>
      </c>
      <c r="V23" s="472">
        <f>+OCCMarkets!AW23</f>
        <v>0</v>
      </c>
      <c r="W23" s="473">
        <f>+OCCMarkets!AX23</f>
        <v>197</v>
      </c>
      <c r="X23" s="473">
        <f>+OCCMarkets!AY23</f>
        <v>0</v>
      </c>
      <c r="Y23" s="473">
        <f>+OCCMarkets!AZ23</f>
        <v>0</v>
      </c>
      <c r="Z23" s="473">
        <f>+OCCMarkets!BA23</f>
        <v>0</v>
      </c>
      <c r="AA23" s="473">
        <f>+OCCMarkets!BB23</f>
        <v>0</v>
      </c>
      <c r="AB23" s="473">
        <f>+OCCMarkets!BC23</f>
        <v>-197</v>
      </c>
      <c r="AC23" s="473">
        <f>+OCCMarkets!BD23</f>
        <v>811</v>
      </c>
      <c r="AD23" s="474">
        <f>+OCCMarkets!BE23</f>
        <v>306</v>
      </c>
      <c r="AE23" s="474">
        <f>+OCCMarkets!BF23</f>
        <v>0</v>
      </c>
      <c r="AF23" s="474">
        <f>+OCCMarkets!BG23</f>
        <v>0</v>
      </c>
      <c r="AG23" s="474">
        <f>+OCCMarkets!BH23</f>
        <v>0</v>
      </c>
      <c r="AH23" s="474">
        <f>+OCCMarkets!BI23</f>
        <v>0</v>
      </c>
      <c r="AI23" s="474">
        <f>+OCCMarkets!BJ23</f>
        <v>-306</v>
      </c>
      <c r="AJ23" s="474">
        <f>+OCCMarkets!BK23</f>
        <v>1070</v>
      </c>
      <c r="AL23" s="436">
        <f t="shared" si="0"/>
        <v>10120</v>
      </c>
      <c r="AM23" s="436">
        <f t="shared" si="1"/>
        <v>10787</v>
      </c>
      <c r="AN23" s="436">
        <f t="shared" si="2"/>
        <v>667</v>
      </c>
      <c r="AO23" s="436">
        <f t="shared" si="3"/>
        <v>68295</v>
      </c>
      <c r="BB23" s="442"/>
      <c r="BC23" s="442"/>
      <c r="BD23" s="442"/>
      <c r="BE23" s="442"/>
      <c r="BF23" s="442"/>
      <c r="BG23" s="442"/>
      <c r="BH23" s="442"/>
      <c r="BI23" s="442"/>
      <c r="BJ23" s="442"/>
      <c r="BK23" s="442"/>
      <c r="BL23" s="442"/>
      <c r="BM23" s="442"/>
      <c r="BN23" s="442"/>
      <c r="BO23" s="442"/>
      <c r="BP23" s="442"/>
      <c r="BQ23" s="442"/>
      <c r="BR23" s="442"/>
      <c r="BS23" s="442"/>
      <c r="BT23" s="442"/>
      <c r="BU23" s="442"/>
      <c r="BV23" s="442"/>
      <c r="BW23" s="442"/>
      <c r="BX23" s="442"/>
      <c r="BY23" s="442"/>
      <c r="BZ23" s="442"/>
      <c r="CA23" s="442"/>
      <c r="CB23" s="442"/>
      <c r="CC23" s="442"/>
      <c r="CD23" s="442"/>
      <c r="CE23" s="442"/>
      <c r="CF23" s="442"/>
      <c r="CG23" s="442"/>
      <c r="CH23" s="442"/>
      <c r="CI23" s="442"/>
      <c r="CJ23" s="442"/>
      <c r="CK23" s="442"/>
      <c r="CL23" s="442"/>
      <c r="CM23" s="442"/>
      <c r="CN23" s="442"/>
      <c r="CO23" s="442"/>
      <c r="CP23" s="442"/>
      <c r="CQ23" s="442"/>
      <c r="CR23" s="442"/>
      <c r="CS23" s="442"/>
      <c r="CT23" s="442"/>
      <c r="CU23" s="442"/>
      <c r="CV23" s="442"/>
      <c r="CW23" s="442"/>
      <c r="CX23" s="442"/>
      <c r="CY23" s="442"/>
      <c r="CZ23" s="442"/>
      <c r="DA23" s="442"/>
      <c r="DB23" s="442"/>
      <c r="DC23" s="442"/>
      <c r="DD23" s="442"/>
    </row>
    <row r="24" spans="1:108" x14ac:dyDescent="0.2">
      <c r="A24" s="383">
        <f>+BaseloadMarkets!A24</f>
        <v>36726</v>
      </c>
      <c r="B24" s="471">
        <f>+OCCMarkets!AC24</f>
        <v>132</v>
      </c>
      <c r="C24" s="471">
        <f>+OCCMarkets!AD24</f>
        <v>0</v>
      </c>
      <c r="D24" s="471">
        <f>+OCCMarkets!AE24</f>
        <v>0</v>
      </c>
      <c r="E24" s="471">
        <f>+OCCMarkets!AF24</f>
        <v>0</v>
      </c>
      <c r="F24" s="471">
        <f>+OCCMarkets!AG24</f>
        <v>0</v>
      </c>
      <c r="G24" s="471">
        <f>+OCCMarkets!AH24</f>
        <v>-132</v>
      </c>
      <c r="H24" s="471">
        <f>+OCCMarkets!AI24</f>
        <v>-157</v>
      </c>
      <c r="I24" s="438">
        <f>+OCCMarkets!AJ24</f>
        <v>9446</v>
      </c>
      <c r="J24" s="438">
        <f>+OCCMarkets!AK24</f>
        <v>0</v>
      </c>
      <c r="K24" s="438">
        <f>+OCCMarkets!AL24</f>
        <v>980</v>
      </c>
      <c r="L24" s="438">
        <f>+OCCMarkets!AM24</f>
        <v>0</v>
      </c>
      <c r="M24" s="438">
        <f>+OCCMarkets!AN24</f>
        <v>980</v>
      </c>
      <c r="N24" s="438">
        <f>+OCCMarkets!AO24</f>
        <v>-8466</v>
      </c>
      <c r="O24" s="438">
        <f>+OCCMarkets!AP24</f>
        <v>57973</v>
      </c>
      <c r="P24" s="472">
        <f>+OCCMarkets!AQ24</f>
        <v>0</v>
      </c>
      <c r="Q24" s="472">
        <f>+OCCMarkets!AR24</f>
        <v>0</v>
      </c>
      <c r="R24" s="472">
        <f>+OCCMarkets!AS24</f>
        <v>0</v>
      </c>
      <c r="S24" s="472">
        <f>+OCCMarkets!AT24</f>
        <v>0</v>
      </c>
      <c r="T24" s="472">
        <f>+OCCMarkets!AU24</f>
        <v>0</v>
      </c>
      <c r="U24" s="472">
        <f>+OCCMarkets!AV24</f>
        <v>0</v>
      </c>
      <c r="V24" s="472">
        <f>+OCCMarkets!AW24</f>
        <v>0</v>
      </c>
      <c r="W24" s="473">
        <f>+OCCMarkets!AX24</f>
        <v>186</v>
      </c>
      <c r="X24" s="473">
        <f>+OCCMarkets!AY24</f>
        <v>0</v>
      </c>
      <c r="Y24" s="473">
        <f>+OCCMarkets!AZ24</f>
        <v>0</v>
      </c>
      <c r="Z24" s="473">
        <f>+OCCMarkets!BA24</f>
        <v>0</v>
      </c>
      <c r="AA24" s="473">
        <f>+OCCMarkets!BB24</f>
        <v>0</v>
      </c>
      <c r="AB24" s="473">
        <f>+OCCMarkets!BC24</f>
        <v>-186</v>
      </c>
      <c r="AC24" s="473">
        <f>+OCCMarkets!BD24</f>
        <v>625</v>
      </c>
      <c r="AD24" s="474">
        <f>+OCCMarkets!BE24</f>
        <v>262</v>
      </c>
      <c r="AE24" s="474">
        <f>+OCCMarkets!BF24</f>
        <v>0</v>
      </c>
      <c r="AF24" s="474">
        <f>+OCCMarkets!BG24</f>
        <v>0</v>
      </c>
      <c r="AG24" s="474">
        <f>+OCCMarkets!BH24</f>
        <v>0</v>
      </c>
      <c r="AH24" s="474">
        <f>+OCCMarkets!BI24</f>
        <v>0</v>
      </c>
      <c r="AI24" s="474">
        <f>+OCCMarkets!BJ24</f>
        <v>-262</v>
      </c>
      <c r="AJ24" s="474">
        <f>+OCCMarkets!BK24</f>
        <v>808</v>
      </c>
      <c r="AL24" s="436">
        <f t="shared" si="0"/>
        <v>10026</v>
      </c>
      <c r="AM24" s="436">
        <f t="shared" si="1"/>
        <v>980</v>
      </c>
      <c r="AN24" s="436">
        <f t="shared" si="2"/>
        <v>-9046</v>
      </c>
      <c r="AO24" s="436">
        <f t="shared" si="3"/>
        <v>59249</v>
      </c>
      <c r="BB24" s="442"/>
      <c r="BC24" s="442"/>
      <c r="BD24" s="442"/>
      <c r="BE24" s="442"/>
      <c r="BF24" s="442"/>
      <c r="BG24" s="442"/>
      <c r="BH24" s="442"/>
      <c r="BI24" s="442"/>
      <c r="BJ24" s="442"/>
      <c r="BK24" s="442"/>
      <c r="BL24" s="442"/>
      <c r="BM24" s="442"/>
      <c r="BN24" s="442"/>
      <c r="BO24" s="442"/>
      <c r="BP24" s="442"/>
      <c r="BQ24" s="442"/>
      <c r="BR24" s="442"/>
      <c r="BS24" s="442"/>
      <c r="BT24" s="442"/>
      <c r="BU24" s="442"/>
      <c r="BV24" s="442"/>
      <c r="BW24" s="442"/>
      <c r="BX24" s="442"/>
      <c r="BY24" s="442"/>
      <c r="BZ24" s="442"/>
      <c r="CA24" s="442"/>
      <c r="CB24" s="442"/>
      <c r="CC24" s="442"/>
      <c r="CD24" s="442"/>
      <c r="CE24" s="442"/>
      <c r="CF24" s="442"/>
      <c r="CG24" s="442"/>
      <c r="CH24" s="442"/>
      <c r="CI24" s="442"/>
      <c r="CJ24" s="442"/>
      <c r="CK24" s="442"/>
      <c r="CL24" s="442"/>
      <c r="CM24" s="442"/>
      <c r="CN24" s="442"/>
      <c r="CO24" s="442"/>
      <c r="CP24" s="442"/>
      <c r="CQ24" s="442"/>
      <c r="CR24" s="442"/>
      <c r="CS24" s="442"/>
      <c r="CT24" s="442"/>
      <c r="CU24" s="442"/>
      <c r="CV24" s="442"/>
      <c r="CW24" s="442"/>
      <c r="CX24" s="442"/>
      <c r="CY24" s="442"/>
      <c r="CZ24" s="442"/>
      <c r="DA24" s="442"/>
      <c r="DB24" s="442"/>
      <c r="DC24" s="442"/>
      <c r="DD24" s="442"/>
    </row>
    <row r="25" spans="1:108" x14ac:dyDescent="0.2">
      <c r="A25" s="383">
        <f>+BaseloadMarkets!A25</f>
        <v>36727</v>
      </c>
      <c r="B25" s="471">
        <f>+OCCMarkets!AC25</f>
        <v>174</v>
      </c>
      <c r="C25" s="471">
        <f>+OCCMarkets!AD25</f>
        <v>0</v>
      </c>
      <c r="D25" s="471">
        <f>+OCCMarkets!AE25</f>
        <v>0</v>
      </c>
      <c r="E25" s="471">
        <f>+OCCMarkets!AF25</f>
        <v>0</v>
      </c>
      <c r="F25" s="471">
        <f>+OCCMarkets!AG25</f>
        <v>0</v>
      </c>
      <c r="G25" s="471">
        <f>+OCCMarkets!AH25</f>
        <v>-174</v>
      </c>
      <c r="H25" s="471">
        <f>+OCCMarkets!AI25</f>
        <v>-331</v>
      </c>
      <c r="I25" s="438">
        <f>+OCCMarkets!AJ25</f>
        <v>9798</v>
      </c>
      <c r="J25" s="438">
        <f>+OCCMarkets!AK25</f>
        <v>0</v>
      </c>
      <c r="K25" s="438">
        <f>+OCCMarkets!AL25</f>
        <v>1514</v>
      </c>
      <c r="L25" s="438">
        <f>+OCCMarkets!AM25</f>
        <v>0</v>
      </c>
      <c r="M25" s="438">
        <f>+OCCMarkets!AN25</f>
        <v>1514</v>
      </c>
      <c r="N25" s="438">
        <f>+OCCMarkets!AO25</f>
        <v>-8284</v>
      </c>
      <c r="O25" s="438">
        <f>+OCCMarkets!AP25</f>
        <v>49689</v>
      </c>
      <c r="P25" s="472">
        <f>+OCCMarkets!AQ25</f>
        <v>0</v>
      </c>
      <c r="Q25" s="472">
        <f>+OCCMarkets!AR25</f>
        <v>0</v>
      </c>
      <c r="R25" s="472">
        <f>+OCCMarkets!AS25</f>
        <v>0</v>
      </c>
      <c r="S25" s="472">
        <f>+OCCMarkets!AT25</f>
        <v>0</v>
      </c>
      <c r="T25" s="472">
        <f>+OCCMarkets!AU25</f>
        <v>0</v>
      </c>
      <c r="U25" s="472">
        <f>+OCCMarkets!AV25</f>
        <v>0</v>
      </c>
      <c r="V25" s="472">
        <f>+OCCMarkets!AW25</f>
        <v>0</v>
      </c>
      <c r="W25" s="473">
        <f>+OCCMarkets!AX25</f>
        <v>202</v>
      </c>
      <c r="X25" s="473">
        <f>+OCCMarkets!AY25</f>
        <v>0</v>
      </c>
      <c r="Y25" s="473">
        <f>+OCCMarkets!AZ25</f>
        <v>0</v>
      </c>
      <c r="Z25" s="473">
        <f>+OCCMarkets!BA25</f>
        <v>0</v>
      </c>
      <c r="AA25" s="473">
        <f>+OCCMarkets!BB25</f>
        <v>0</v>
      </c>
      <c r="AB25" s="473">
        <f>+OCCMarkets!BC25</f>
        <v>-202</v>
      </c>
      <c r="AC25" s="473">
        <f>+OCCMarkets!BD25</f>
        <v>423</v>
      </c>
      <c r="AD25" s="474">
        <f>+OCCMarkets!BE25</f>
        <v>300</v>
      </c>
      <c r="AE25" s="474">
        <f>+OCCMarkets!BF25</f>
        <v>0</v>
      </c>
      <c r="AF25" s="474">
        <f>+OCCMarkets!BG25</f>
        <v>0</v>
      </c>
      <c r="AG25" s="474">
        <f>+OCCMarkets!BH25</f>
        <v>0</v>
      </c>
      <c r="AH25" s="474">
        <f>+OCCMarkets!BI25</f>
        <v>0</v>
      </c>
      <c r="AI25" s="474">
        <f>+OCCMarkets!BJ25</f>
        <v>-300</v>
      </c>
      <c r="AJ25" s="474">
        <f>+OCCMarkets!BK25</f>
        <v>508</v>
      </c>
      <c r="AL25" s="436">
        <f t="shared" si="0"/>
        <v>10474</v>
      </c>
      <c r="AM25" s="436">
        <f t="shared" si="1"/>
        <v>1514</v>
      </c>
      <c r="AN25" s="436">
        <f t="shared" si="2"/>
        <v>-8960</v>
      </c>
      <c r="AO25" s="436">
        <f t="shared" si="3"/>
        <v>50289</v>
      </c>
      <c r="BB25" s="442"/>
      <c r="BC25" s="442"/>
      <c r="BD25" s="442"/>
      <c r="BE25" s="442"/>
      <c r="BF25" s="442"/>
      <c r="BG25" s="442"/>
      <c r="BH25" s="442"/>
      <c r="BI25" s="442"/>
      <c r="BJ25" s="442"/>
      <c r="BK25" s="442"/>
      <c r="BL25" s="442"/>
      <c r="BM25" s="442"/>
      <c r="BN25" s="442"/>
      <c r="BO25" s="442"/>
      <c r="BP25" s="442"/>
      <c r="BQ25" s="442"/>
      <c r="BR25" s="442"/>
      <c r="BS25" s="442"/>
      <c r="BT25" s="442"/>
      <c r="BU25" s="442"/>
      <c r="BV25" s="442"/>
      <c r="BW25" s="442"/>
      <c r="BX25" s="442"/>
      <c r="BY25" s="442"/>
      <c r="BZ25" s="442"/>
      <c r="CA25" s="442"/>
      <c r="CB25" s="442"/>
      <c r="CC25" s="442"/>
      <c r="CD25" s="442"/>
      <c r="CE25" s="442"/>
      <c r="CF25" s="442"/>
      <c r="CG25" s="442"/>
      <c r="CH25" s="442"/>
      <c r="CI25" s="442"/>
      <c r="CJ25" s="442"/>
      <c r="CK25" s="442"/>
      <c r="CL25" s="442"/>
      <c r="CM25" s="442"/>
      <c r="CN25" s="442"/>
      <c r="CO25" s="442"/>
      <c r="CP25" s="442"/>
      <c r="CQ25" s="442"/>
      <c r="CR25" s="442"/>
      <c r="CS25" s="442"/>
      <c r="CT25" s="442"/>
      <c r="CU25" s="442"/>
      <c r="CV25" s="442"/>
      <c r="CW25" s="442"/>
      <c r="CX25" s="442"/>
      <c r="CY25" s="442"/>
      <c r="CZ25" s="442"/>
      <c r="DA25" s="442"/>
      <c r="DB25" s="442"/>
      <c r="DC25" s="442"/>
      <c r="DD25" s="442"/>
    </row>
    <row r="26" spans="1:108" x14ac:dyDescent="0.2">
      <c r="A26" s="383">
        <f>+BaseloadMarkets!A26</f>
        <v>36728</v>
      </c>
      <c r="B26" s="471">
        <f>+OCCMarkets!AC26</f>
        <v>178</v>
      </c>
      <c r="C26" s="471">
        <f>+OCCMarkets!AD26</f>
        <v>1289</v>
      </c>
      <c r="D26" s="471">
        <f>+OCCMarkets!AE26</f>
        <v>0</v>
      </c>
      <c r="E26" s="471">
        <f>+OCCMarkets!AF26</f>
        <v>0</v>
      </c>
      <c r="F26" s="471">
        <f>+OCCMarkets!AG26</f>
        <v>1289</v>
      </c>
      <c r="G26" s="471">
        <f>+OCCMarkets!AH26</f>
        <v>1111</v>
      </c>
      <c r="H26" s="471">
        <f>+OCCMarkets!AI26</f>
        <v>780</v>
      </c>
      <c r="I26" s="438">
        <f>+OCCMarkets!AJ26</f>
        <v>9740</v>
      </c>
      <c r="J26" s="438">
        <f>+OCCMarkets!AK26</f>
        <v>1289</v>
      </c>
      <c r="K26" s="438">
        <f>+OCCMarkets!AL26</f>
        <v>980</v>
      </c>
      <c r="L26" s="438">
        <f>+OCCMarkets!AM26</f>
        <v>0</v>
      </c>
      <c r="M26" s="438">
        <f>+OCCMarkets!AN26</f>
        <v>2269</v>
      </c>
      <c r="N26" s="438">
        <f>+OCCMarkets!AO26</f>
        <v>-7471</v>
      </c>
      <c r="O26" s="438">
        <f>+OCCMarkets!AP26</f>
        <v>42218</v>
      </c>
      <c r="P26" s="472">
        <f>+OCCMarkets!AQ26</f>
        <v>0</v>
      </c>
      <c r="Q26" s="472">
        <f>+OCCMarkets!AR26</f>
        <v>0</v>
      </c>
      <c r="R26" s="472">
        <f>+OCCMarkets!AS26</f>
        <v>0</v>
      </c>
      <c r="S26" s="472">
        <f>+OCCMarkets!AT26</f>
        <v>0</v>
      </c>
      <c r="T26" s="472">
        <f>+OCCMarkets!AU26</f>
        <v>0</v>
      </c>
      <c r="U26" s="472">
        <f>+OCCMarkets!AV26</f>
        <v>0</v>
      </c>
      <c r="V26" s="472">
        <f>+OCCMarkets!AW26</f>
        <v>0</v>
      </c>
      <c r="W26" s="473">
        <f>+OCCMarkets!AX26</f>
        <v>198</v>
      </c>
      <c r="X26" s="473">
        <f>+OCCMarkets!AY26</f>
        <v>1289</v>
      </c>
      <c r="Y26" s="473">
        <f>+OCCMarkets!AZ26</f>
        <v>0</v>
      </c>
      <c r="Z26" s="473">
        <f>+OCCMarkets!BA26</f>
        <v>0</v>
      </c>
      <c r="AA26" s="473">
        <f>+OCCMarkets!BB26</f>
        <v>1289</v>
      </c>
      <c r="AB26" s="473">
        <f>+OCCMarkets!BC26</f>
        <v>1091</v>
      </c>
      <c r="AC26" s="473">
        <f>+OCCMarkets!BD26</f>
        <v>1514</v>
      </c>
      <c r="AD26" s="474">
        <f>+OCCMarkets!BE26</f>
        <v>298</v>
      </c>
      <c r="AE26" s="474">
        <f>+OCCMarkets!BF26</f>
        <v>1289</v>
      </c>
      <c r="AF26" s="474">
        <f>+OCCMarkets!BG26</f>
        <v>0</v>
      </c>
      <c r="AG26" s="474">
        <f>+OCCMarkets!BH26</f>
        <v>0</v>
      </c>
      <c r="AH26" s="474">
        <f>+OCCMarkets!BI26</f>
        <v>1289</v>
      </c>
      <c r="AI26" s="474">
        <f>+OCCMarkets!BJ26</f>
        <v>991</v>
      </c>
      <c r="AJ26" s="474">
        <f>+OCCMarkets!BK26</f>
        <v>1499</v>
      </c>
      <c r="AL26" s="436">
        <f t="shared" si="0"/>
        <v>10414</v>
      </c>
      <c r="AM26" s="436">
        <f t="shared" si="1"/>
        <v>6136</v>
      </c>
      <c r="AN26" s="436">
        <f t="shared" si="2"/>
        <v>-4278</v>
      </c>
      <c r="AO26" s="436">
        <f t="shared" si="3"/>
        <v>46011</v>
      </c>
      <c r="BB26" s="442"/>
      <c r="BC26" s="442"/>
      <c r="BD26" s="442"/>
      <c r="BE26" s="442"/>
      <c r="BF26" s="442"/>
      <c r="BG26" s="442"/>
      <c r="BH26" s="442"/>
      <c r="BI26" s="442"/>
      <c r="BJ26" s="442"/>
      <c r="BK26" s="442"/>
      <c r="BL26" s="442"/>
      <c r="BM26" s="442"/>
      <c r="BN26" s="442"/>
      <c r="BO26" s="442"/>
      <c r="BP26" s="442"/>
      <c r="BQ26" s="442"/>
      <c r="BR26" s="442"/>
      <c r="BS26" s="442"/>
      <c r="BT26" s="442"/>
      <c r="BU26" s="442"/>
      <c r="BV26" s="442"/>
      <c r="BW26" s="442"/>
      <c r="BX26" s="442"/>
      <c r="BY26" s="442"/>
      <c r="BZ26" s="442"/>
      <c r="CA26" s="442"/>
      <c r="CB26" s="442"/>
      <c r="CC26" s="442"/>
      <c r="CD26" s="442"/>
      <c r="CE26" s="442"/>
      <c r="CF26" s="442"/>
      <c r="CG26" s="442"/>
      <c r="CH26" s="442"/>
      <c r="CI26" s="442"/>
      <c r="CJ26" s="442"/>
      <c r="CK26" s="442"/>
      <c r="CL26" s="442"/>
      <c r="CM26" s="442"/>
      <c r="CN26" s="442"/>
      <c r="CO26" s="442"/>
      <c r="CP26" s="442"/>
      <c r="CQ26" s="442"/>
      <c r="CR26" s="442"/>
      <c r="CS26" s="442"/>
      <c r="CT26" s="442"/>
      <c r="CU26" s="442"/>
      <c r="CV26" s="442"/>
      <c r="CW26" s="442"/>
      <c r="CX26" s="442"/>
      <c r="CY26" s="442"/>
      <c r="CZ26" s="442"/>
      <c r="DA26" s="442"/>
      <c r="DB26" s="442"/>
      <c r="DC26" s="442"/>
      <c r="DD26" s="442"/>
    </row>
    <row r="27" spans="1:108" x14ac:dyDescent="0.2">
      <c r="A27" s="383">
        <f>+BaseloadMarkets!A27</f>
        <v>36729</v>
      </c>
      <c r="B27" s="471">
        <f>+OCCMarkets!AC27</f>
        <v>193.9</v>
      </c>
      <c r="C27" s="471">
        <f>+OCCMarkets!AD27</f>
        <v>0</v>
      </c>
      <c r="D27" s="471">
        <f>+OCCMarkets!AE27</f>
        <v>0</v>
      </c>
      <c r="E27" s="471">
        <f>+OCCMarkets!AF27</f>
        <v>0</v>
      </c>
      <c r="F27" s="471">
        <f>+OCCMarkets!AG27</f>
        <v>0</v>
      </c>
      <c r="G27" s="471">
        <f>+OCCMarkets!AH27</f>
        <v>-193.9</v>
      </c>
      <c r="H27" s="471">
        <f>+OCCMarkets!AI27</f>
        <v>586.1</v>
      </c>
      <c r="I27" s="438">
        <f>+OCCMarkets!AJ27</f>
        <v>9232.2999999999993</v>
      </c>
      <c r="J27" s="438">
        <f>+OCCMarkets!AK27</f>
        <v>0</v>
      </c>
      <c r="K27" s="438">
        <f>+OCCMarkets!AL27</f>
        <v>9253</v>
      </c>
      <c r="L27" s="438">
        <f>+OCCMarkets!AM27</f>
        <v>0</v>
      </c>
      <c r="M27" s="438">
        <f>+OCCMarkets!AN27</f>
        <v>9253</v>
      </c>
      <c r="N27" s="438">
        <f>+OCCMarkets!AO27</f>
        <v>20.700000000000728</v>
      </c>
      <c r="O27" s="438">
        <f>+OCCMarkets!AP27</f>
        <v>42238.7</v>
      </c>
      <c r="P27" s="472">
        <f>+OCCMarkets!AQ27</f>
        <v>0</v>
      </c>
      <c r="Q27" s="472">
        <f>+OCCMarkets!AR27</f>
        <v>0</v>
      </c>
      <c r="R27" s="472">
        <f>+OCCMarkets!AS27</f>
        <v>0</v>
      </c>
      <c r="S27" s="472">
        <f>+OCCMarkets!AT27</f>
        <v>0</v>
      </c>
      <c r="T27" s="472">
        <f>+OCCMarkets!AU27</f>
        <v>0</v>
      </c>
      <c r="U27" s="472">
        <f>+OCCMarkets!AV27</f>
        <v>0</v>
      </c>
      <c r="V27" s="472">
        <f>+OCCMarkets!AW27</f>
        <v>0</v>
      </c>
      <c r="W27" s="473">
        <f>+OCCMarkets!AX27</f>
        <v>25.9</v>
      </c>
      <c r="X27" s="473">
        <f>+OCCMarkets!AY27</f>
        <v>0</v>
      </c>
      <c r="Y27" s="473">
        <f>+OCCMarkets!AZ27</f>
        <v>0</v>
      </c>
      <c r="Z27" s="473">
        <f>+OCCMarkets!BA27</f>
        <v>0</v>
      </c>
      <c r="AA27" s="473">
        <f>+OCCMarkets!BB27</f>
        <v>0</v>
      </c>
      <c r="AB27" s="473">
        <f>+OCCMarkets!BC27</f>
        <v>-25.9</v>
      </c>
      <c r="AC27" s="473">
        <f>+OCCMarkets!BD27</f>
        <v>1488.1</v>
      </c>
      <c r="AD27" s="474">
        <f>+OCCMarkets!BE27</f>
        <v>168</v>
      </c>
      <c r="AE27" s="474">
        <f>+OCCMarkets!BF27</f>
        <v>0</v>
      </c>
      <c r="AF27" s="474">
        <f>+OCCMarkets!BG27</f>
        <v>0</v>
      </c>
      <c r="AG27" s="474">
        <f>+OCCMarkets!BH27</f>
        <v>0</v>
      </c>
      <c r="AH27" s="474">
        <f>+OCCMarkets!BI27</f>
        <v>0</v>
      </c>
      <c r="AI27" s="474">
        <f>+OCCMarkets!BJ27</f>
        <v>-168</v>
      </c>
      <c r="AJ27" s="474">
        <f>+OCCMarkets!BK27</f>
        <v>1331</v>
      </c>
      <c r="AL27" s="436">
        <f t="shared" si="0"/>
        <v>9620.0999999999985</v>
      </c>
      <c r="AM27" s="436">
        <f t="shared" si="1"/>
        <v>9253</v>
      </c>
      <c r="AN27" s="436">
        <f t="shared" si="2"/>
        <v>-367.09999999999854</v>
      </c>
      <c r="AO27" s="436">
        <f t="shared" si="3"/>
        <v>45643.899999999994</v>
      </c>
      <c r="BB27" s="442"/>
      <c r="BC27" s="442"/>
      <c r="BD27" s="442"/>
      <c r="BE27" s="442"/>
      <c r="BF27" s="442"/>
      <c r="BG27" s="442"/>
      <c r="BH27" s="442"/>
      <c r="BI27" s="442"/>
      <c r="BJ27" s="442"/>
      <c r="BK27" s="442"/>
      <c r="BL27" s="442"/>
      <c r="BM27" s="442"/>
      <c r="BN27" s="442"/>
      <c r="BO27" s="442"/>
      <c r="BP27" s="442"/>
      <c r="BQ27" s="442"/>
      <c r="BR27" s="442"/>
      <c r="BS27" s="442"/>
      <c r="BT27" s="442"/>
      <c r="BU27" s="442"/>
      <c r="BV27" s="442"/>
      <c r="BW27" s="442"/>
      <c r="BX27" s="442"/>
      <c r="BY27" s="442"/>
      <c r="BZ27" s="442"/>
      <c r="CA27" s="442"/>
      <c r="CB27" s="442"/>
      <c r="CC27" s="442"/>
      <c r="CD27" s="442"/>
      <c r="CE27" s="442"/>
      <c r="CF27" s="442"/>
      <c r="CG27" s="442"/>
      <c r="CH27" s="442"/>
      <c r="CI27" s="442"/>
      <c r="CJ27" s="442"/>
      <c r="CK27" s="442"/>
      <c r="CL27" s="442"/>
      <c r="CM27" s="442"/>
      <c r="CN27" s="442"/>
      <c r="CO27" s="442"/>
      <c r="CP27" s="442"/>
      <c r="CQ27" s="442"/>
      <c r="CR27" s="442"/>
      <c r="CS27" s="442"/>
      <c r="CT27" s="442"/>
      <c r="CU27" s="442"/>
      <c r="CV27" s="442"/>
      <c r="CW27" s="442"/>
      <c r="CX27" s="442"/>
      <c r="CY27" s="442"/>
      <c r="CZ27" s="442"/>
      <c r="DA27" s="442"/>
      <c r="DB27" s="442"/>
      <c r="DC27" s="442"/>
      <c r="DD27" s="442"/>
    </row>
    <row r="28" spans="1:108" x14ac:dyDescent="0.2">
      <c r="A28" s="383">
        <f>+BaseloadMarkets!A28</f>
        <v>36730</v>
      </c>
      <c r="B28" s="471">
        <f>+OCCMarkets!AC28</f>
        <v>27</v>
      </c>
      <c r="C28" s="471">
        <f>+OCCMarkets!AD28</f>
        <v>0</v>
      </c>
      <c r="D28" s="471">
        <f>+OCCMarkets!AE28</f>
        <v>0</v>
      </c>
      <c r="E28" s="471">
        <f>+OCCMarkets!AF28</f>
        <v>0</v>
      </c>
      <c r="F28" s="471">
        <f>+OCCMarkets!AG28</f>
        <v>0</v>
      </c>
      <c r="G28" s="471">
        <f>+OCCMarkets!AH28</f>
        <v>-27</v>
      </c>
      <c r="H28" s="471">
        <f>+OCCMarkets!AI28</f>
        <v>559.1</v>
      </c>
      <c r="I28" s="438">
        <f>+OCCMarkets!AJ28</f>
        <v>9146.6</v>
      </c>
      <c r="J28" s="438">
        <f>+OCCMarkets!AK28</f>
        <v>0</v>
      </c>
      <c r="K28" s="438">
        <f>+OCCMarkets!AL28</f>
        <v>12662</v>
      </c>
      <c r="L28" s="438">
        <f>+OCCMarkets!AM28</f>
        <v>0</v>
      </c>
      <c r="M28" s="438">
        <f>+OCCMarkets!AN28</f>
        <v>12662</v>
      </c>
      <c r="N28" s="438">
        <f>+OCCMarkets!AO28</f>
        <v>3515.3999999999996</v>
      </c>
      <c r="O28" s="438">
        <f>+OCCMarkets!AP28</f>
        <v>45754.1</v>
      </c>
      <c r="P28" s="472">
        <f>+OCCMarkets!AQ28</f>
        <v>0</v>
      </c>
      <c r="Q28" s="472">
        <f>+OCCMarkets!AR28</f>
        <v>0</v>
      </c>
      <c r="R28" s="472">
        <f>+OCCMarkets!AS28</f>
        <v>0</v>
      </c>
      <c r="S28" s="472">
        <f>+OCCMarkets!AT28</f>
        <v>0</v>
      </c>
      <c r="T28" s="472">
        <f>+OCCMarkets!AU28</f>
        <v>0</v>
      </c>
      <c r="U28" s="472">
        <f>+OCCMarkets!AV28</f>
        <v>0</v>
      </c>
      <c r="V28" s="472">
        <f>+OCCMarkets!AW28</f>
        <v>0</v>
      </c>
      <c r="W28" s="473">
        <f>+OCCMarkets!AX28</f>
        <v>23.2</v>
      </c>
      <c r="X28" s="473">
        <f>+OCCMarkets!AY28</f>
        <v>0</v>
      </c>
      <c r="Y28" s="473">
        <f>+OCCMarkets!AZ28</f>
        <v>0</v>
      </c>
      <c r="Z28" s="473">
        <f>+OCCMarkets!BA28</f>
        <v>0</v>
      </c>
      <c r="AA28" s="473">
        <f>+OCCMarkets!BB28</f>
        <v>0</v>
      </c>
      <c r="AB28" s="473">
        <f>+OCCMarkets!BC28</f>
        <v>-23.2</v>
      </c>
      <c r="AC28" s="473">
        <f>+OCCMarkets!BD28</f>
        <v>1464.8999999999999</v>
      </c>
      <c r="AD28" s="474">
        <f>+OCCMarkets!BE28</f>
        <v>0</v>
      </c>
      <c r="AE28" s="474">
        <f>+OCCMarkets!BF28</f>
        <v>0</v>
      </c>
      <c r="AF28" s="474">
        <f>+OCCMarkets!BG28</f>
        <v>0</v>
      </c>
      <c r="AG28" s="474">
        <f>+OCCMarkets!BH28</f>
        <v>0</v>
      </c>
      <c r="AH28" s="474">
        <f>+OCCMarkets!BI28</f>
        <v>0</v>
      </c>
      <c r="AI28" s="474">
        <f>+OCCMarkets!BJ28</f>
        <v>0</v>
      </c>
      <c r="AJ28" s="474">
        <f>+OCCMarkets!BK28</f>
        <v>1331</v>
      </c>
      <c r="AL28" s="436">
        <f t="shared" si="0"/>
        <v>9196.8000000000011</v>
      </c>
      <c r="AM28" s="436">
        <f t="shared" si="1"/>
        <v>12662</v>
      </c>
      <c r="AN28" s="436">
        <f t="shared" si="2"/>
        <v>3465.1999999999989</v>
      </c>
      <c r="AO28" s="436">
        <f t="shared" si="3"/>
        <v>49109.1</v>
      </c>
      <c r="BB28" s="442"/>
      <c r="BC28" s="442"/>
      <c r="BD28" s="442"/>
      <c r="BE28" s="442"/>
      <c r="BF28" s="442"/>
      <c r="BG28" s="442"/>
      <c r="BH28" s="442"/>
      <c r="BI28" s="442"/>
      <c r="BJ28" s="442"/>
      <c r="BK28" s="442"/>
      <c r="BL28" s="442"/>
      <c r="BM28" s="442"/>
      <c r="BN28" s="442"/>
      <c r="BO28" s="442"/>
      <c r="BP28" s="442"/>
      <c r="BQ28" s="442"/>
      <c r="BR28" s="442"/>
      <c r="BS28" s="442"/>
      <c r="BT28" s="442"/>
      <c r="BU28" s="442"/>
      <c r="BV28" s="442"/>
      <c r="BW28" s="442"/>
      <c r="BX28" s="442"/>
      <c r="BY28" s="442"/>
      <c r="BZ28" s="442"/>
      <c r="CA28" s="442"/>
      <c r="CB28" s="442"/>
      <c r="CC28" s="442"/>
      <c r="CD28" s="442"/>
      <c r="CE28" s="442"/>
      <c r="CF28" s="442"/>
      <c r="CG28" s="442"/>
      <c r="CH28" s="442"/>
      <c r="CI28" s="442"/>
      <c r="CJ28" s="442"/>
      <c r="CK28" s="442"/>
      <c r="CL28" s="442"/>
      <c r="CM28" s="442"/>
      <c r="CN28" s="442"/>
      <c r="CO28" s="442"/>
      <c r="CP28" s="442"/>
      <c r="CQ28" s="442"/>
      <c r="CR28" s="442"/>
      <c r="CS28" s="442"/>
      <c r="CT28" s="442"/>
      <c r="CU28" s="442"/>
      <c r="CV28" s="442"/>
      <c r="CW28" s="442"/>
      <c r="CX28" s="442"/>
      <c r="CY28" s="442"/>
      <c r="CZ28" s="442"/>
      <c r="DA28" s="442"/>
      <c r="DB28" s="442"/>
      <c r="DC28" s="442"/>
      <c r="DD28" s="442"/>
    </row>
    <row r="29" spans="1:108" x14ac:dyDescent="0.2">
      <c r="A29" s="383">
        <f>+BaseloadMarkets!A29</f>
        <v>36731</v>
      </c>
      <c r="B29" s="471">
        <f>+OCCMarkets!AC29</f>
        <v>143.5</v>
      </c>
      <c r="C29" s="471">
        <f>+OCCMarkets!AD29</f>
        <v>0</v>
      </c>
      <c r="D29" s="471">
        <f>+OCCMarkets!AE29</f>
        <v>0</v>
      </c>
      <c r="E29" s="471">
        <f>+OCCMarkets!AF29</f>
        <v>0</v>
      </c>
      <c r="F29" s="471">
        <f>+OCCMarkets!AG29</f>
        <v>0</v>
      </c>
      <c r="G29" s="471">
        <f>+OCCMarkets!AH29</f>
        <v>-143.5</v>
      </c>
      <c r="H29" s="471">
        <f>+OCCMarkets!AI29</f>
        <v>415.6</v>
      </c>
      <c r="I29" s="438">
        <f>+OCCMarkets!AJ29</f>
        <v>9274.1</v>
      </c>
      <c r="J29" s="438">
        <f>+OCCMarkets!AK29</f>
        <v>0</v>
      </c>
      <c r="K29" s="438">
        <f>+OCCMarkets!AL29</f>
        <v>9891</v>
      </c>
      <c r="L29" s="438">
        <f>+OCCMarkets!AM29</f>
        <v>0</v>
      </c>
      <c r="M29" s="438">
        <f>+OCCMarkets!AN29</f>
        <v>9891</v>
      </c>
      <c r="N29" s="438">
        <f>+OCCMarkets!AO29</f>
        <v>616.89999999999964</v>
      </c>
      <c r="O29" s="438">
        <f>+OCCMarkets!AP29</f>
        <v>46371</v>
      </c>
      <c r="P29" s="472">
        <f>+OCCMarkets!AQ29</f>
        <v>0</v>
      </c>
      <c r="Q29" s="472">
        <f>+OCCMarkets!AR29</f>
        <v>0</v>
      </c>
      <c r="R29" s="472">
        <f>+OCCMarkets!AS29</f>
        <v>0</v>
      </c>
      <c r="S29" s="472">
        <f>+OCCMarkets!AT29</f>
        <v>0</v>
      </c>
      <c r="T29" s="472">
        <f>+OCCMarkets!AU29</f>
        <v>0</v>
      </c>
      <c r="U29" s="472">
        <f>+OCCMarkets!AV29</f>
        <v>0</v>
      </c>
      <c r="V29" s="472">
        <f>+OCCMarkets!AW29</f>
        <v>0</v>
      </c>
      <c r="W29" s="473">
        <f>+OCCMarkets!AX29</f>
        <v>191.4</v>
      </c>
      <c r="X29" s="473">
        <f>+OCCMarkets!AY29</f>
        <v>0</v>
      </c>
      <c r="Y29" s="473">
        <f>+OCCMarkets!AZ29</f>
        <v>0</v>
      </c>
      <c r="Z29" s="473">
        <f>+OCCMarkets!BA29</f>
        <v>0</v>
      </c>
      <c r="AA29" s="473">
        <f>+OCCMarkets!BB29</f>
        <v>0</v>
      </c>
      <c r="AB29" s="473">
        <f>+OCCMarkets!BC29</f>
        <v>-191.4</v>
      </c>
      <c r="AC29" s="473">
        <f>+OCCMarkets!BD29</f>
        <v>1273.4999999999998</v>
      </c>
      <c r="AD29" s="474">
        <f>+OCCMarkets!BE29</f>
        <v>225.5</v>
      </c>
      <c r="AE29" s="474">
        <f>+OCCMarkets!BF29</f>
        <v>0</v>
      </c>
      <c r="AF29" s="474">
        <f>+OCCMarkets!BG29</f>
        <v>0</v>
      </c>
      <c r="AG29" s="474">
        <f>+OCCMarkets!BH29</f>
        <v>0</v>
      </c>
      <c r="AH29" s="474">
        <f>+OCCMarkets!BI29</f>
        <v>0</v>
      </c>
      <c r="AI29" s="474">
        <f>+OCCMarkets!BJ29</f>
        <v>-225.5</v>
      </c>
      <c r="AJ29" s="474">
        <f>+OCCMarkets!BK29</f>
        <v>1105.5</v>
      </c>
      <c r="AL29" s="436">
        <f t="shared" si="0"/>
        <v>9834.5</v>
      </c>
      <c r="AM29" s="436">
        <f t="shared" si="1"/>
        <v>9891</v>
      </c>
      <c r="AN29" s="436">
        <f t="shared" si="2"/>
        <v>56.5</v>
      </c>
      <c r="AO29" s="436">
        <f t="shared" si="3"/>
        <v>49165.599999999999</v>
      </c>
      <c r="BB29" s="442"/>
      <c r="BC29" s="442"/>
      <c r="BD29" s="442"/>
      <c r="BE29" s="442"/>
      <c r="BF29" s="442"/>
      <c r="BG29" s="442"/>
      <c r="BH29" s="442"/>
      <c r="BI29" s="442"/>
      <c r="BJ29" s="442"/>
      <c r="BK29" s="442"/>
      <c r="BL29" s="442"/>
      <c r="BM29" s="442"/>
      <c r="BN29" s="442"/>
      <c r="BO29" s="442"/>
      <c r="BP29" s="442"/>
      <c r="BQ29" s="442"/>
      <c r="BR29" s="442"/>
      <c r="BS29" s="442"/>
      <c r="BT29" s="442"/>
      <c r="BU29" s="442"/>
      <c r="BV29" s="442"/>
      <c r="BW29" s="442"/>
      <c r="BX29" s="442"/>
      <c r="BY29" s="442"/>
      <c r="BZ29" s="442"/>
      <c r="CA29" s="442"/>
      <c r="CB29" s="442"/>
      <c r="CC29" s="442"/>
      <c r="CD29" s="442"/>
      <c r="CE29" s="442"/>
      <c r="CF29" s="442"/>
      <c r="CG29" s="442"/>
      <c r="CH29" s="442"/>
      <c r="CI29" s="442"/>
      <c r="CJ29" s="442"/>
      <c r="CK29" s="442"/>
      <c r="CL29" s="442"/>
      <c r="CM29" s="442"/>
      <c r="CN29" s="442"/>
      <c r="CO29" s="442"/>
      <c r="CP29" s="442"/>
      <c r="CQ29" s="442"/>
      <c r="CR29" s="442"/>
      <c r="CS29" s="442"/>
      <c r="CT29" s="442"/>
      <c r="CU29" s="442"/>
      <c r="CV29" s="442"/>
      <c r="CW29" s="442"/>
      <c r="CX29" s="442"/>
      <c r="CY29" s="442"/>
      <c r="CZ29" s="442"/>
      <c r="DA29" s="442"/>
      <c r="DB29" s="442"/>
      <c r="DC29" s="442"/>
      <c r="DD29" s="442"/>
    </row>
    <row r="30" spans="1:108" x14ac:dyDescent="0.2">
      <c r="A30" s="383">
        <f>+BaseloadMarkets!A30</f>
        <v>36732</v>
      </c>
      <c r="B30" s="471">
        <f>+OCCMarkets!AC30</f>
        <v>180.6</v>
      </c>
      <c r="C30" s="471">
        <f>+OCCMarkets!AD30</f>
        <v>0</v>
      </c>
      <c r="D30" s="471">
        <f>+OCCMarkets!AE30</f>
        <v>0</v>
      </c>
      <c r="E30" s="471">
        <f>+OCCMarkets!AF30</f>
        <v>0</v>
      </c>
      <c r="F30" s="471">
        <f>+OCCMarkets!AG30</f>
        <v>0</v>
      </c>
      <c r="G30" s="471">
        <f>+OCCMarkets!AH30</f>
        <v>-180.6</v>
      </c>
      <c r="H30" s="471">
        <f>+OCCMarkets!AI30</f>
        <v>235.00000000000003</v>
      </c>
      <c r="I30" s="438">
        <f>+OCCMarkets!AJ30</f>
        <v>9303.7999999999993</v>
      </c>
      <c r="J30" s="438">
        <f>+OCCMarkets!AK30</f>
        <v>3096</v>
      </c>
      <c r="K30" s="438">
        <f>+OCCMarkets!AL30</f>
        <v>4267</v>
      </c>
      <c r="L30" s="438">
        <f>+OCCMarkets!AM30</f>
        <v>0</v>
      </c>
      <c r="M30" s="438">
        <f>+OCCMarkets!AN30</f>
        <v>7363</v>
      </c>
      <c r="N30" s="438">
        <f>+OCCMarkets!AO30</f>
        <v>-1940.7999999999993</v>
      </c>
      <c r="O30" s="438">
        <f>+OCCMarkets!AP30</f>
        <v>44430.2</v>
      </c>
      <c r="P30" s="472">
        <f>+OCCMarkets!AQ30</f>
        <v>0</v>
      </c>
      <c r="Q30" s="472">
        <f>+OCCMarkets!AR30</f>
        <v>0</v>
      </c>
      <c r="R30" s="472">
        <f>+OCCMarkets!AS30</f>
        <v>0</v>
      </c>
      <c r="S30" s="472">
        <f>+OCCMarkets!AT30</f>
        <v>0</v>
      </c>
      <c r="T30" s="472">
        <f>+OCCMarkets!AU30</f>
        <v>0</v>
      </c>
      <c r="U30" s="472">
        <f>+OCCMarkets!AV30</f>
        <v>0</v>
      </c>
      <c r="V30" s="472">
        <f>+OCCMarkets!AW30</f>
        <v>0</v>
      </c>
      <c r="W30" s="473">
        <f>+OCCMarkets!AX30</f>
        <v>202.7</v>
      </c>
      <c r="X30" s="473">
        <f>+OCCMarkets!AY30</f>
        <v>0</v>
      </c>
      <c r="Y30" s="473">
        <f>+OCCMarkets!AZ30</f>
        <v>0</v>
      </c>
      <c r="Z30" s="473">
        <f>+OCCMarkets!BA30</f>
        <v>0</v>
      </c>
      <c r="AA30" s="473">
        <f>+OCCMarkets!BB30</f>
        <v>0</v>
      </c>
      <c r="AB30" s="473">
        <f>+OCCMarkets!BC30</f>
        <v>-202.7</v>
      </c>
      <c r="AC30" s="473">
        <f>+OCCMarkets!BD30</f>
        <v>1070.7999999999997</v>
      </c>
      <c r="AD30" s="474">
        <f>+OCCMarkets!BE30</f>
        <v>311.60000000000002</v>
      </c>
      <c r="AE30" s="474">
        <f>+OCCMarkets!BF30</f>
        <v>0</v>
      </c>
      <c r="AF30" s="474">
        <f>+OCCMarkets!BG30</f>
        <v>0</v>
      </c>
      <c r="AG30" s="474">
        <f>+OCCMarkets!BH30</f>
        <v>0</v>
      </c>
      <c r="AH30" s="474">
        <f>+OCCMarkets!BI30</f>
        <v>0</v>
      </c>
      <c r="AI30" s="474">
        <f>+OCCMarkets!BJ30</f>
        <v>-311.60000000000002</v>
      </c>
      <c r="AJ30" s="474">
        <f>+OCCMarkets!BK30</f>
        <v>793.9</v>
      </c>
      <c r="AL30" s="436">
        <f t="shared" si="0"/>
        <v>9998.7000000000007</v>
      </c>
      <c r="AM30" s="436">
        <f t="shared" si="1"/>
        <v>7363</v>
      </c>
      <c r="AN30" s="436">
        <f t="shared" si="2"/>
        <v>-2635.7000000000007</v>
      </c>
      <c r="AO30" s="436">
        <f t="shared" si="3"/>
        <v>46529.9</v>
      </c>
      <c r="BB30" s="442"/>
      <c r="BC30" s="442"/>
      <c r="BD30" s="442"/>
      <c r="BE30" s="442"/>
      <c r="BF30" s="442"/>
      <c r="BG30" s="442"/>
      <c r="BH30" s="442"/>
      <c r="BI30" s="442"/>
      <c r="BJ30" s="442"/>
      <c r="BK30" s="442"/>
      <c r="BL30" s="442"/>
      <c r="BM30" s="442"/>
      <c r="BN30" s="442"/>
      <c r="BO30" s="442"/>
      <c r="BP30" s="442"/>
      <c r="BQ30" s="442"/>
      <c r="BR30" s="442"/>
      <c r="BS30" s="442"/>
      <c r="BT30" s="442"/>
      <c r="BU30" s="442"/>
      <c r="BV30" s="442"/>
      <c r="BW30" s="442"/>
      <c r="BX30" s="442"/>
      <c r="BY30" s="442"/>
      <c r="BZ30" s="442"/>
      <c r="CA30" s="442"/>
      <c r="CB30" s="442"/>
      <c r="CC30" s="442"/>
      <c r="CD30" s="442"/>
      <c r="CE30" s="442"/>
      <c r="CF30" s="442"/>
      <c r="CG30" s="442"/>
      <c r="CH30" s="442"/>
      <c r="CI30" s="442"/>
      <c r="CJ30" s="442"/>
      <c r="CK30" s="442"/>
      <c r="CL30" s="442"/>
      <c r="CM30" s="442"/>
      <c r="CN30" s="442"/>
      <c r="CO30" s="442"/>
      <c r="CP30" s="442"/>
      <c r="CQ30" s="442"/>
      <c r="CR30" s="442"/>
      <c r="CS30" s="442"/>
      <c r="CT30" s="442"/>
      <c r="CU30" s="442"/>
      <c r="CV30" s="442"/>
      <c r="CW30" s="442"/>
      <c r="CX30" s="442"/>
      <c r="CY30" s="442"/>
      <c r="CZ30" s="442"/>
      <c r="DA30" s="442"/>
      <c r="DB30" s="442"/>
      <c r="DC30" s="442"/>
      <c r="DD30" s="442"/>
    </row>
    <row r="31" spans="1:108" x14ac:dyDescent="0.2">
      <c r="A31" s="383">
        <f>+BaseloadMarkets!A31</f>
        <v>36733</v>
      </c>
      <c r="B31" s="471">
        <f>+OCCMarkets!AC31</f>
        <v>189</v>
      </c>
      <c r="C31" s="471">
        <f>+OCCMarkets!AD31</f>
        <v>0</v>
      </c>
      <c r="D31" s="471">
        <f>+OCCMarkets!AE31</f>
        <v>0</v>
      </c>
      <c r="E31" s="471">
        <f>+OCCMarkets!AF31</f>
        <v>0</v>
      </c>
      <c r="F31" s="471">
        <f>+OCCMarkets!AG31</f>
        <v>0</v>
      </c>
      <c r="G31" s="471">
        <f>+OCCMarkets!AH31</f>
        <v>-189</v>
      </c>
      <c r="H31" s="471">
        <f>+OCCMarkets!AI31</f>
        <v>46.000000000000028</v>
      </c>
      <c r="I31" s="438">
        <f>+OCCMarkets!AJ31</f>
        <v>9267</v>
      </c>
      <c r="J31" s="438">
        <f>+OCCMarkets!AK31</f>
        <v>5434</v>
      </c>
      <c r="K31" s="438">
        <f>+OCCMarkets!AL31</f>
        <v>980</v>
      </c>
      <c r="L31" s="438">
        <f>+OCCMarkets!AM31</f>
        <v>0</v>
      </c>
      <c r="M31" s="438">
        <f>+OCCMarkets!AN31</f>
        <v>6414</v>
      </c>
      <c r="N31" s="438">
        <f>+OCCMarkets!AO31</f>
        <v>-2853</v>
      </c>
      <c r="O31" s="438">
        <f>+OCCMarkets!AP31</f>
        <v>41577.199999999997</v>
      </c>
      <c r="P31" s="472">
        <f>+OCCMarkets!AQ31</f>
        <v>0</v>
      </c>
      <c r="Q31" s="472">
        <f>+OCCMarkets!AR31</f>
        <v>0</v>
      </c>
      <c r="R31" s="472">
        <f>+OCCMarkets!AS31</f>
        <v>0</v>
      </c>
      <c r="S31" s="472">
        <f>+OCCMarkets!AT31</f>
        <v>0</v>
      </c>
      <c r="T31" s="472">
        <f>+OCCMarkets!AU31</f>
        <v>0</v>
      </c>
      <c r="U31" s="472">
        <f>+OCCMarkets!AV31</f>
        <v>0</v>
      </c>
      <c r="V31" s="472">
        <f>+OCCMarkets!AW31</f>
        <v>0</v>
      </c>
      <c r="W31" s="473">
        <f>+OCCMarkets!AX31</f>
        <v>200</v>
      </c>
      <c r="X31" s="473">
        <f>+OCCMarkets!AY31</f>
        <v>0</v>
      </c>
      <c r="Y31" s="473">
        <f>+OCCMarkets!AZ31</f>
        <v>0</v>
      </c>
      <c r="Z31" s="473">
        <f>+OCCMarkets!BA31</f>
        <v>0</v>
      </c>
      <c r="AA31" s="473">
        <f>+OCCMarkets!BB31</f>
        <v>0</v>
      </c>
      <c r="AB31" s="473">
        <f>+OCCMarkets!BC31</f>
        <v>-200</v>
      </c>
      <c r="AC31" s="473">
        <f>+OCCMarkets!BD31</f>
        <v>870.79999999999973</v>
      </c>
      <c r="AD31" s="474">
        <f>+OCCMarkets!BE31</f>
        <v>303</v>
      </c>
      <c r="AE31" s="474">
        <f>+OCCMarkets!BF31</f>
        <v>0</v>
      </c>
      <c r="AF31" s="474">
        <f>+OCCMarkets!BG31</f>
        <v>0</v>
      </c>
      <c r="AG31" s="474">
        <f>+OCCMarkets!BH31</f>
        <v>0</v>
      </c>
      <c r="AH31" s="474">
        <f>+OCCMarkets!BI31</f>
        <v>0</v>
      </c>
      <c r="AI31" s="474">
        <f>+OCCMarkets!BJ31</f>
        <v>-303</v>
      </c>
      <c r="AJ31" s="474">
        <f>+OCCMarkets!BK31</f>
        <v>490.9</v>
      </c>
      <c r="AL31" s="436">
        <f t="shared" si="0"/>
        <v>9959</v>
      </c>
      <c r="AM31" s="436">
        <f t="shared" si="1"/>
        <v>6414</v>
      </c>
      <c r="AN31" s="436">
        <f t="shared" si="2"/>
        <v>-3545</v>
      </c>
      <c r="AO31" s="436">
        <f t="shared" si="3"/>
        <v>42984.9</v>
      </c>
      <c r="BB31" s="442"/>
      <c r="BC31" s="442"/>
      <c r="BD31" s="442"/>
      <c r="BE31" s="442"/>
      <c r="BF31" s="442"/>
      <c r="BG31" s="442"/>
      <c r="BH31" s="442"/>
      <c r="BI31" s="442"/>
      <c r="BJ31" s="442"/>
      <c r="BK31" s="442"/>
      <c r="BL31" s="442"/>
      <c r="BM31" s="442"/>
      <c r="BN31" s="442"/>
      <c r="BO31" s="442"/>
      <c r="BP31" s="442"/>
      <c r="BQ31" s="442"/>
      <c r="BR31" s="442"/>
      <c r="BS31" s="442"/>
      <c r="BT31" s="442"/>
      <c r="BU31" s="442"/>
      <c r="BV31" s="442"/>
      <c r="BW31" s="442"/>
      <c r="BX31" s="442"/>
      <c r="BY31" s="442"/>
      <c r="BZ31" s="442"/>
      <c r="CA31" s="442"/>
      <c r="CB31" s="442"/>
      <c r="CC31" s="442"/>
      <c r="CD31" s="442"/>
      <c r="CE31" s="442"/>
      <c r="CF31" s="442"/>
      <c r="CG31" s="442"/>
      <c r="CH31" s="442"/>
      <c r="CI31" s="442"/>
      <c r="CJ31" s="442"/>
      <c r="CK31" s="442"/>
      <c r="CL31" s="442"/>
      <c r="CM31" s="442"/>
      <c r="CN31" s="442"/>
      <c r="CO31" s="442"/>
      <c r="CP31" s="442"/>
      <c r="CQ31" s="442"/>
      <c r="CR31" s="442"/>
      <c r="CS31" s="442"/>
      <c r="CT31" s="442"/>
      <c r="CU31" s="442"/>
      <c r="CV31" s="442"/>
      <c r="CW31" s="442"/>
      <c r="CX31" s="442"/>
      <c r="CY31" s="442"/>
      <c r="CZ31" s="442"/>
      <c r="DA31" s="442"/>
      <c r="DB31" s="442"/>
      <c r="DC31" s="442"/>
      <c r="DD31" s="442"/>
    </row>
    <row r="32" spans="1:108" x14ac:dyDescent="0.2">
      <c r="A32" s="383">
        <f>+BaseloadMarkets!A32</f>
        <v>36734</v>
      </c>
      <c r="B32" s="471">
        <f>+OCCMarkets!AC32</f>
        <v>183</v>
      </c>
      <c r="C32" s="471">
        <f>+OCCMarkets!AD32</f>
        <v>0</v>
      </c>
      <c r="D32" s="471">
        <f>+OCCMarkets!AE32</f>
        <v>0</v>
      </c>
      <c r="E32" s="471">
        <f>+OCCMarkets!AF32</f>
        <v>0</v>
      </c>
      <c r="F32" s="471">
        <f>+OCCMarkets!AG32</f>
        <v>0</v>
      </c>
      <c r="G32" s="471">
        <f>+OCCMarkets!AH32</f>
        <v>-183</v>
      </c>
      <c r="H32" s="471">
        <f>+OCCMarkets!AI32</f>
        <v>-136.99999999999997</v>
      </c>
      <c r="I32" s="438">
        <f>+OCCMarkets!AJ32</f>
        <v>9338</v>
      </c>
      <c r="J32" s="438">
        <f>+OCCMarkets!AK32</f>
        <v>9338</v>
      </c>
      <c r="K32" s="438">
        <f>+OCCMarkets!AL32</f>
        <v>2784</v>
      </c>
      <c r="L32" s="438">
        <f>+OCCMarkets!AM32</f>
        <v>0</v>
      </c>
      <c r="M32" s="438">
        <f>+OCCMarkets!AN32</f>
        <v>12122</v>
      </c>
      <c r="N32" s="438">
        <f>+OCCMarkets!AO32</f>
        <v>2784</v>
      </c>
      <c r="O32" s="438">
        <f>+OCCMarkets!AP32</f>
        <v>44361.2</v>
      </c>
      <c r="P32" s="472">
        <f>+OCCMarkets!AQ32</f>
        <v>0</v>
      </c>
      <c r="Q32" s="472">
        <f>+OCCMarkets!AR32</f>
        <v>0</v>
      </c>
      <c r="R32" s="472">
        <f>+OCCMarkets!AS32</f>
        <v>0</v>
      </c>
      <c r="S32" s="472">
        <f>+OCCMarkets!AT32</f>
        <v>0</v>
      </c>
      <c r="T32" s="472">
        <f>+OCCMarkets!AU32</f>
        <v>0</v>
      </c>
      <c r="U32" s="472">
        <f>+OCCMarkets!AV32</f>
        <v>0</v>
      </c>
      <c r="V32" s="472">
        <f>+OCCMarkets!AW32</f>
        <v>0</v>
      </c>
      <c r="W32" s="473">
        <f>+OCCMarkets!AX32</f>
        <v>204</v>
      </c>
      <c r="X32" s="473">
        <f>+OCCMarkets!AY32</f>
        <v>0</v>
      </c>
      <c r="Y32" s="473">
        <f>+OCCMarkets!AZ32</f>
        <v>0</v>
      </c>
      <c r="Z32" s="473">
        <f>+OCCMarkets!BA32</f>
        <v>0</v>
      </c>
      <c r="AA32" s="473">
        <f>+OCCMarkets!BB32</f>
        <v>0</v>
      </c>
      <c r="AB32" s="473">
        <f>+OCCMarkets!BC32</f>
        <v>-204</v>
      </c>
      <c r="AC32" s="473">
        <f>+OCCMarkets!BD32</f>
        <v>666.79999999999973</v>
      </c>
      <c r="AD32" s="474">
        <f>+OCCMarkets!BE32</f>
        <v>287</v>
      </c>
      <c r="AE32" s="474">
        <f>+OCCMarkets!BF32</f>
        <v>0</v>
      </c>
      <c r="AF32" s="474">
        <f>+OCCMarkets!BG32</f>
        <v>0</v>
      </c>
      <c r="AG32" s="474">
        <f>+OCCMarkets!BH32</f>
        <v>0</v>
      </c>
      <c r="AH32" s="474">
        <f>+OCCMarkets!BI32</f>
        <v>0</v>
      </c>
      <c r="AI32" s="474">
        <f>+OCCMarkets!BJ32</f>
        <v>-287</v>
      </c>
      <c r="AJ32" s="474">
        <f>+OCCMarkets!BK32</f>
        <v>203.89999999999998</v>
      </c>
      <c r="AL32" s="436">
        <f t="shared" si="0"/>
        <v>10012</v>
      </c>
      <c r="AM32" s="436">
        <f t="shared" si="1"/>
        <v>12122</v>
      </c>
      <c r="AN32" s="436">
        <f t="shared" si="2"/>
        <v>2110</v>
      </c>
      <c r="AO32" s="436">
        <f t="shared" si="3"/>
        <v>45094.9</v>
      </c>
      <c r="BB32" s="442"/>
      <c r="BC32" s="442"/>
      <c r="BD32" s="442"/>
      <c r="BE32" s="442"/>
      <c r="BF32" s="442"/>
      <c r="BG32" s="442"/>
      <c r="BH32" s="442"/>
      <c r="BI32" s="442"/>
      <c r="BJ32" s="442"/>
      <c r="BK32" s="442"/>
      <c r="BL32" s="442"/>
      <c r="BM32" s="442"/>
      <c r="BN32" s="442"/>
      <c r="BO32" s="442"/>
      <c r="BP32" s="442"/>
      <c r="BQ32" s="442"/>
      <c r="BR32" s="442"/>
      <c r="BS32" s="442"/>
      <c r="BT32" s="442"/>
      <c r="BU32" s="442"/>
      <c r="BV32" s="442"/>
      <c r="BW32" s="442"/>
      <c r="BX32" s="442"/>
      <c r="BY32" s="442"/>
      <c r="BZ32" s="442"/>
      <c r="CA32" s="442"/>
      <c r="CB32" s="442"/>
      <c r="CC32" s="442"/>
      <c r="CD32" s="442"/>
      <c r="CE32" s="442"/>
      <c r="CF32" s="442"/>
      <c r="CG32" s="442"/>
      <c r="CH32" s="442"/>
      <c r="CI32" s="442"/>
      <c r="CJ32" s="442"/>
      <c r="CK32" s="442"/>
      <c r="CL32" s="442"/>
      <c r="CM32" s="442"/>
      <c r="CN32" s="442"/>
      <c r="CO32" s="442"/>
      <c r="CP32" s="442"/>
      <c r="CQ32" s="442"/>
      <c r="CR32" s="442"/>
      <c r="CS32" s="442"/>
      <c r="CT32" s="442"/>
      <c r="CU32" s="442"/>
      <c r="CV32" s="442"/>
      <c r="CW32" s="442"/>
      <c r="CX32" s="442"/>
      <c r="CY32" s="442"/>
      <c r="CZ32" s="442"/>
      <c r="DA32" s="442"/>
      <c r="DB32" s="442"/>
      <c r="DC32" s="442"/>
      <c r="DD32" s="442"/>
    </row>
    <row r="33" spans="1:108" x14ac:dyDescent="0.2">
      <c r="A33" s="383">
        <f>+BaseloadMarkets!A33</f>
        <v>36735</v>
      </c>
      <c r="B33" s="471">
        <f>+OCCMarkets!AC33</f>
        <v>194</v>
      </c>
      <c r="C33" s="471">
        <f>+OCCMarkets!AD33</f>
        <v>0</v>
      </c>
      <c r="D33" s="471">
        <f>+OCCMarkets!AE33</f>
        <v>0</v>
      </c>
      <c r="E33" s="471">
        <f>+OCCMarkets!AF33</f>
        <v>0</v>
      </c>
      <c r="F33" s="471">
        <f>+OCCMarkets!AG33</f>
        <v>0</v>
      </c>
      <c r="G33" s="471">
        <f>+OCCMarkets!AH33</f>
        <v>-194</v>
      </c>
      <c r="H33" s="471">
        <f>+OCCMarkets!AI33</f>
        <v>-331</v>
      </c>
      <c r="I33" s="438">
        <f>+OCCMarkets!AJ33</f>
        <v>9493</v>
      </c>
      <c r="J33" s="438">
        <f>+OCCMarkets!AK33</f>
        <v>11643</v>
      </c>
      <c r="K33" s="438">
        <f>+OCCMarkets!AL33</f>
        <v>11053</v>
      </c>
      <c r="L33" s="438">
        <f>+OCCMarkets!AM33</f>
        <v>0</v>
      </c>
      <c r="M33" s="438">
        <f>+OCCMarkets!AN33</f>
        <v>22696</v>
      </c>
      <c r="N33" s="438">
        <f>+OCCMarkets!AO33</f>
        <v>13203</v>
      </c>
      <c r="O33" s="438">
        <f>+OCCMarkets!AP33</f>
        <v>57564.2</v>
      </c>
      <c r="P33" s="472">
        <f>+OCCMarkets!AQ33</f>
        <v>0</v>
      </c>
      <c r="Q33" s="472">
        <f>+OCCMarkets!AR33</f>
        <v>0</v>
      </c>
      <c r="R33" s="472">
        <f>+OCCMarkets!AS33</f>
        <v>0</v>
      </c>
      <c r="S33" s="472">
        <f>+OCCMarkets!AT33</f>
        <v>0</v>
      </c>
      <c r="T33" s="472">
        <f>+OCCMarkets!AU33</f>
        <v>0</v>
      </c>
      <c r="U33" s="472">
        <f>+OCCMarkets!AV33</f>
        <v>0</v>
      </c>
      <c r="V33" s="472">
        <f>+OCCMarkets!AW33</f>
        <v>0</v>
      </c>
      <c r="W33" s="473">
        <f>+OCCMarkets!AX33</f>
        <v>198</v>
      </c>
      <c r="X33" s="473">
        <f>+OCCMarkets!AY33</f>
        <v>0</v>
      </c>
      <c r="Y33" s="473">
        <f>+OCCMarkets!AZ33</f>
        <v>0</v>
      </c>
      <c r="Z33" s="473">
        <f>+OCCMarkets!BA33</f>
        <v>0</v>
      </c>
      <c r="AA33" s="473">
        <f>+OCCMarkets!BB33</f>
        <v>0</v>
      </c>
      <c r="AB33" s="473">
        <f>+OCCMarkets!BC33</f>
        <v>-198</v>
      </c>
      <c r="AC33" s="473">
        <f>+OCCMarkets!BD33</f>
        <v>468.79999999999973</v>
      </c>
      <c r="AD33" s="474">
        <f>+OCCMarkets!BE33</f>
        <v>313</v>
      </c>
      <c r="AE33" s="474">
        <f>+OCCMarkets!BF33</f>
        <v>0</v>
      </c>
      <c r="AF33" s="474">
        <f>+OCCMarkets!BG33</f>
        <v>0</v>
      </c>
      <c r="AG33" s="474">
        <f>+OCCMarkets!BH33</f>
        <v>0</v>
      </c>
      <c r="AH33" s="474">
        <f>+OCCMarkets!BI33</f>
        <v>0</v>
      </c>
      <c r="AI33" s="474">
        <f>+OCCMarkets!BJ33</f>
        <v>-313</v>
      </c>
      <c r="AJ33" s="474">
        <f>+OCCMarkets!BK33</f>
        <v>-109.10000000000002</v>
      </c>
      <c r="AL33" s="436">
        <f t="shared" si="0"/>
        <v>10198</v>
      </c>
      <c r="AM33" s="436">
        <f t="shared" si="1"/>
        <v>22696</v>
      </c>
      <c r="AN33" s="436">
        <f t="shared" si="2"/>
        <v>12498</v>
      </c>
      <c r="AO33" s="436">
        <f t="shared" si="3"/>
        <v>57592.9</v>
      </c>
      <c r="BB33" s="442"/>
      <c r="BC33" s="442"/>
      <c r="BD33" s="442"/>
      <c r="BE33" s="442"/>
      <c r="BF33" s="442"/>
      <c r="BG33" s="442"/>
      <c r="BH33" s="442"/>
      <c r="BI33" s="442"/>
      <c r="BJ33" s="442"/>
      <c r="BK33" s="442"/>
      <c r="BL33" s="442"/>
      <c r="BM33" s="442"/>
      <c r="BN33" s="442"/>
      <c r="BO33" s="442"/>
      <c r="BP33" s="442"/>
      <c r="BQ33" s="442"/>
      <c r="BR33" s="442"/>
      <c r="BS33" s="442"/>
      <c r="BT33" s="442"/>
      <c r="BU33" s="442"/>
      <c r="BV33" s="442"/>
      <c r="BW33" s="442"/>
      <c r="BX33" s="442"/>
      <c r="BY33" s="442"/>
      <c r="BZ33" s="442"/>
      <c r="CA33" s="442"/>
      <c r="CB33" s="442"/>
      <c r="CC33" s="442"/>
      <c r="CD33" s="442"/>
      <c r="CE33" s="442"/>
      <c r="CF33" s="442"/>
      <c r="CG33" s="442"/>
      <c r="CH33" s="442"/>
      <c r="CI33" s="442"/>
      <c r="CJ33" s="442"/>
      <c r="CK33" s="442"/>
      <c r="CL33" s="442"/>
      <c r="CM33" s="442"/>
      <c r="CN33" s="442"/>
      <c r="CO33" s="442"/>
      <c r="CP33" s="442"/>
      <c r="CQ33" s="442"/>
      <c r="CR33" s="442"/>
      <c r="CS33" s="442"/>
      <c r="CT33" s="442"/>
      <c r="CU33" s="442"/>
      <c r="CV33" s="442"/>
      <c r="CW33" s="442"/>
      <c r="CX33" s="442"/>
      <c r="CY33" s="442"/>
      <c r="CZ33" s="442"/>
      <c r="DA33" s="442"/>
      <c r="DB33" s="442"/>
      <c r="DC33" s="442"/>
      <c r="DD33" s="442"/>
    </row>
    <row r="34" spans="1:108" x14ac:dyDescent="0.2">
      <c r="A34" s="383">
        <f>+BaseloadMarkets!A34</f>
        <v>36736</v>
      </c>
      <c r="B34" s="471">
        <f>+OCCMarkets!AC34</f>
        <v>158</v>
      </c>
      <c r="C34" s="471">
        <f>+OCCMarkets!AD34</f>
        <v>277</v>
      </c>
      <c r="D34" s="471">
        <f>+OCCMarkets!AE34</f>
        <v>541</v>
      </c>
      <c r="E34" s="471">
        <f>+OCCMarkets!AF34</f>
        <v>0</v>
      </c>
      <c r="F34" s="471">
        <f>+OCCMarkets!AG34</f>
        <v>818</v>
      </c>
      <c r="G34" s="471">
        <f>+OCCMarkets!AH34</f>
        <v>660</v>
      </c>
      <c r="H34" s="471">
        <f>+OCCMarkets!AI34</f>
        <v>329</v>
      </c>
      <c r="I34" s="438">
        <f>+OCCMarkets!AJ34</f>
        <v>9183</v>
      </c>
      <c r="J34" s="438">
        <f>+OCCMarkets!AK34</f>
        <v>0</v>
      </c>
      <c r="K34" s="438">
        <f>+OCCMarkets!AL34</f>
        <v>0</v>
      </c>
      <c r="L34" s="438">
        <f>+OCCMarkets!AM34</f>
        <v>0</v>
      </c>
      <c r="M34" s="438">
        <f>+OCCMarkets!AN34</f>
        <v>0</v>
      </c>
      <c r="N34" s="438">
        <f>+OCCMarkets!AO34</f>
        <v>-9183</v>
      </c>
      <c r="O34" s="438">
        <f>+OCCMarkets!AP34</f>
        <v>48381.2</v>
      </c>
      <c r="P34" s="472">
        <f>+OCCMarkets!AQ34</f>
        <v>0</v>
      </c>
      <c r="Q34" s="472">
        <f>+OCCMarkets!AR34</f>
        <v>0</v>
      </c>
      <c r="R34" s="472">
        <f>+OCCMarkets!AS34</f>
        <v>0</v>
      </c>
      <c r="S34" s="472">
        <f>+OCCMarkets!AT34</f>
        <v>0</v>
      </c>
      <c r="T34" s="472">
        <f>+OCCMarkets!AU34</f>
        <v>0</v>
      </c>
      <c r="U34" s="472">
        <f>+OCCMarkets!AV34</f>
        <v>0</v>
      </c>
      <c r="V34" s="472">
        <f>+OCCMarkets!AW34</f>
        <v>0</v>
      </c>
      <c r="W34" s="473">
        <f>+OCCMarkets!AX34</f>
        <v>26</v>
      </c>
      <c r="X34" s="473">
        <f>+OCCMarkets!AY34</f>
        <v>67</v>
      </c>
      <c r="Y34" s="473">
        <f>+OCCMarkets!AZ34</f>
        <v>541</v>
      </c>
      <c r="Z34" s="473">
        <f>+OCCMarkets!BA34</f>
        <v>0</v>
      </c>
      <c r="AA34" s="473">
        <f>+OCCMarkets!BB34</f>
        <v>608</v>
      </c>
      <c r="AB34" s="473">
        <f>+OCCMarkets!BC34</f>
        <v>582</v>
      </c>
      <c r="AC34" s="473">
        <f>+OCCMarkets!BD34</f>
        <v>1050.7999999999997</v>
      </c>
      <c r="AD34" s="474">
        <f>+OCCMarkets!BE34</f>
        <v>500</v>
      </c>
      <c r="AE34" s="474">
        <f>+OCCMarkets!BF34</f>
        <v>277</v>
      </c>
      <c r="AF34" s="474">
        <f>+OCCMarkets!BG34</f>
        <v>541</v>
      </c>
      <c r="AG34" s="474">
        <f>+OCCMarkets!BH34</f>
        <v>0</v>
      </c>
      <c r="AH34" s="474">
        <f>+OCCMarkets!BI34</f>
        <v>818</v>
      </c>
      <c r="AI34" s="474">
        <f>+OCCMarkets!BJ34</f>
        <v>318</v>
      </c>
      <c r="AJ34" s="474">
        <f>+OCCMarkets!BK34</f>
        <v>208.89999999999998</v>
      </c>
      <c r="AL34" s="436">
        <f t="shared" si="0"/>
        <v>9867</v>
      </c>
      <c r="AM34" s="436">
        <f t="shared" si="1"/>
        <v>2244</v>
      </c>
      <c r="AN34" s="436">
        <f t="shared" si="2"/>
        <v>-7623</v>
      </c>
      <c r="AO34" s="436">
        <f t="shared" si="3"/>
        <v>49969.9</v>
      </c>
      <c r="BB34" s="442"/>
      <c r="BC34" s="442"/>
      <c r="BD34" s="442"/>
      <c r="BE34" s="442"/>
      <c r="BF34" s="442"/>
      <c r="BG34" s="442"/>
      <c r="BH34" s="442"/>
      <c r="BI34" s="442"/>
      <c r="BJ34" s="442"/>
      <c r="BK34" s="442"/>
      <c r="BL34" s="442"/>
      <c r="BM34" s="442"/>
      <c r="BN34" s="442"/>
      <c r="BO34" s="442"/>
      <c r="BP34" s="442"/>
      <c r="BQ34" s="442"/>
      <c r="BR34" s="442"/>
      <c r="BS34" s="442"/>
      <c r="BT34" s="442"/>
      <c r="BU34" s="442"/>
      <c r="BV34" s="442"/>
      <c r="BW34" s="442"/>
      <c r="BX34" s="442"/>
      <c r="BY34" s="442"/>
      <c r="BZ34" s="442"/>
      <c r="CA34" s="442"/>
      <c r="CB34" s="442"/>
      <c r="CC34" s="442"/>
      <c r="CD34" s="442"/>
      <c r="CE34" s="442"/>
      <c r="CF34" s="442"/>
      <c r="CG34" s="442"/>
      <c r="CH34" s="442"/>
      <c r="CI34" s="442"/>
      <c r="CJ34" s="442"/>
      <c r="CK34" s="442"/>
      <c r="CL34" s="442"/>
      <c r="CM34" s="442"/>
      <c r="CN34" s="442"/>
      <c r="CO34" s="442"/>
      <c r="CP34" s="442"/>
      <c r="CQ34" s="442"/>
      <c r="CR34" s="442"/>
      <c r="CS34" s="442"/>
      <c r="CT34" s="442"/>
      <c r="CU34" s="442"/>
      <c r="CV34" s="442"/>
      <c r="CW34" s="442"/>
      <c r="CX34" s="442"/>
      <c r="CY34" s="442"/>
      <c r="CZ34" s="442"/>
      <c r="DA34" s="442"/>
      <c r="DB34" s="442"/>
      <c r="DC34" s="442"/>
      <c r="DD34" s="442"/>
    </row>
    <row r="35" spans="1:108" x14ac:dyDescent="0.2">
      <c r="A35" s="383">
        <f>+BaseloadMarkets!A35</f>
        <v>36737</v>
      </c>
      <c r="B35" s="471">
        <f>+OCCMarkets!AC35</f>
        <v>38</v>
      </c>
      <c r="C35" s="471">
        <f>+OCCMarkets!AD35</f>
        <v>296</v>
      </c>
      <c r="D35" s="471">
        <f>+OCCMarkets!AE35</f>
        <v>1000</v>
      </c>
      <c r="E35" s="471">
        <f>+OCCMarkets!AF35</f>
        <v>0</v>
      </c>
      <c r="F35" s="471">
        <f>+OCCMarkets!AG35</f>
        <v>1296</v>
      </c>
      <c r="G35" s="471">
        <f>+OCCMarkets!AH35</f>
        <v>1258</v>
      </c>
      <c r="H35" s="471">
        <f>+OCCMarkets!AI35</f>
        <v>1587</v>
      </c>
      <c r="I35" s="438">
        <f>+OCCMarkets!AJ35</f>
        <v>8858</v>
      </c>
      <c r="J35" s="438">
        <f>+OCCMarkets!AK35</f>
        <v>0</v>
      </c>
      <c r="K35" s="438">
        <f>+OCCMarkets!AL35</f>
        <v>5950</v>
      </c>
      <c r="L35" s="438">
        <f>+OCCMarkets!AM35</f>
        <v>0</v>
      </c>
      <c r="M35" s="438">
        <f>+OCCMarkets!AN35</f>
        <v>5950</v>
      </c>
      <c r="N35" s="438">
        <f>+OCCMarkets!AO35</f>
        <v>-2908</v>
      </c>
      <c r="O35" s="438">
        <f>+OCCMarkets!AP35</f>
        <v>45473.2</v>
      </c>
      <c r="P35" s="472">
        <f>+OCCMarkets!AQ35</f>
        <v>0</v>
      </c>
      <c r="Q35" s="472">
        <f>+OCCMarkets!AR35</f>
        <v>0</v>
      </c>
      <c r="R35" s="472">
        <f>+OCCMarkets!AS35</f>
        <v>0</v>
      </c>
      <c r="S35" s="472">
        <f>+OCCMarkets!AT35</f>
        <v>0</v>
      </c>
      <c r="T35" s="472">
        <f>+OCCMarkets!AU35</f>
        <v>0</v>
      </c>
      <c r="U35" s="472">
        <f>+OCCMarkets!AV35</f>
        <v>0</v>
      </c>
      <c r="V35" s="472">
        <f>+OCCMarkets!AW35</f>
        <v>0</v>
      </c>
      <c r="W35" s="473">
        <f>+OCCMarkets!AX35</f>
        <v>0</v>
      </c>
      <c r="X35" s="473">
        <f>+OCCMarkets!AY35</f>
        <v>71</v>
      </c>
      <c r="Y35" s="473">
        <f>+OCCMarkets!AZ35</f>
        <v>1000</v>
      </c>
      <c r="Z35" s="473">
        <f>+OCCMarkets!BA35</f>
        <v>0</v>
      </c>
      <c r="AA35" s="473">
        <f>+OCCMarkets!BB35</f>
        <v>1071</v>
      </c>
      <c r="AB35" s="473">
        <f>+OCCMarkets!BC35</f>
        <v>1071</v>
      </c>
      <c r="AC35" s="473">
        <f>+OCCMarkets!BD35</f>
        <v>2121.7999999999997</v>
      </c>
      <c r="AD35" s="474">
        <f>+OCCMarkets!BE35</f>
        <v>500</v>
      </c>
      <c r="AE35" s="474">
        <f>+OCCMarkets!BF35</f>
        <v>296</v>
      </c>
      <c r="AF35" s="474">
        <f>+OCCMarkets!BG35</f>
        <v>1000</v>
      </c>
      <c r="AG35" s="474">
        <f>+OCCMarkets!BH35</f>
        <v>0</v>
      </c>
      <c r="AH35" s="474">
        <f>+OCCMarkets!BI35</f>
        <v>1296</v>
      </c>
      <c r="AI35" s="474">
        <f>+OCCMarkets!BJ35</f>
        <v>796</v>
      </c>
      <c r="AJ35" s="474">
        <f>+OCCMarkets!BK35</f>
        <v>1004.9</v>
      </c>
      <c r="AL35" s="436">
        <f t="shared" si="0"/>
        <v>9396</v>
      </c>
      <c r="AM35" s="436">
        <f t="shared" si="1"/>
        <v>9613</v>
      </c>
      <c r="AN35" s="436">
        <f t="shared" si="2"/>
        <v>217</v>
      </c>
      <c r="AO35" s="436">
        <f t="shared" si="3"/>
        <v>50186.9</v>
      </c>
      <c r="BB35" s="442"/>
      <c r="BC35" s="442"/>
      <c r="BD35" s="442"/>
      <c r="BE35" s="442"/>
      <c r="BF35" s="442"/>
      <c r="BG35" s="442"/>
      <c r="BH35" s="442"/>
      <c r="BI35" s="442"/>
      <c r="BJ35" s="442"/>
      <c r="BK35" s="442"/>
      <c r="BL35" s="442"/>
      <c r="BM35" s="442"/>
      <c r="BN35" s="442"/>
      <c r="BO35" s="442"/>
      <c r="BP35" s="442"/>
      <c r="BQ35" s="442"/>
      <c r="BR35" s="442"/>
      <c r="BS35" s="442"/>
      <c r="BT35" s="442"/>
      <c r="BU35" s="442"/>
      <c r="BV35" s="442"/>
      <c r="BW35" s="442"/>
      <c r="BX35" s="442"/>
      <c r="BY35" s="442"/>
      <c r="BZ35" s="442"/>
      <c r="CA35" s="442"/>
      <c r="CB35" s="442"/>
      <c r="CC35" s="442"/>
      <c r="CD35" s="442"/>
      <c r="CE35" s="442"/>
      <c r="CF35" s="442"/>
      <c r="CG35" s="442"/>
      <c r="CH35" s="442"/>
      <c r="CI35" s="442"/>
      <c r="CJ35" s="442"/>
      <c r="CK35" s="442"/>
      <c r="CL35" s="442"/>
      <c r="CM35" s="442"/>
      <c r="CN35" s="442"/>
      <c r="CO35" s="442"/>
      <c r="CP35" s="442"/>
      <c r="CQ35" s="442"/>
      <c r="CR35" s="442"/>
      <c r="CS35" s="442"/>
      <c r="CT35" s="442"/>
      <c r="CU35" s="442"/>
      <c r="CV35" s="442"/>
      <c r="CW35" s="442"/>
      <c r="CX35" s="442"/>
      <c r="CY35" s="442"/>
      <c r="CZ35" s="442"/>
      <c r="DA35" s="442"/>
      <c r="DB35" s="442"/>
      <c r="DC35" s="442"/>
      <c r="DD35" s="442"/>
    </row>
    <row r="36" spans="1:108" x14ac:dyDescent="0.2">
      <c r="A36" s="383">
        <f>+BaseloadMarkets!A36</f>
        <v>36738</v>
      </c>
      <c r="B36" s="471">
        <f>+OCCMarkets!AC36</f>
        <v>81</v>
      </c>
      <c r="C36" s="471">
        <f>+OCCMarkets!AD36</f>
        <v>297</v>
      </c>
      <c r="D36" s="471">
        <f>+OCCMarkets!AE36</f>
        <v>1000</v>
      </c>
      <c r="E36" s="471">
        <f>+OCCMarkets!AF36</f>
        <v>0</v>
      </c>
      <c r="F36" s="471">
        <f>+OCCMarkets!AG36</f>
        <v>1297</v>
      </c>
      <c r="G36" s="471">
        <f>+OCCMarkets!AH36</f>
        <v>1216</v>
      </c>
      <c r="H36" s="471">
        <f>+OCCMarkets!AI36</f>
        <v>2803</v>
      </c>
      <c r="I36" s="438">
        <f>+OCCMarkets!AJ36</f>
        <v>9078</v>
      </c>
      <c r="J36" s="438">
        <f>+OCCMarkets!AK36</f>
        <v>0</v>
      </c>
      <c r="K36" s="438">
        <f>+OCCMarkets!AL36</f>
        <v>6603</v>
      </c>
      <c r="L36" s="438">
        <f>+OCCMarkets!AM36</f>
        <v>0</v>
      </c>
      <c r="M36" s="438">
        <f>+OCCMarkets!AN36</f>
        <v>6603</v>
      </c>
      <c r="N36" s="438">
        <f>+OCCMarkets!AO36</f>
        <v>-2475</v>
      </c>
      <c r="O36" s="438">
        <f>+OCCMarkets!AP36</f>
        <v>42998.2</v>
      </c>
      <c r="P36" s="472">
        <f>+OCCMarkets!AQ36</f>
        <v>0</v>
      </c>
      <c r="Q36" s="472">
        <f>+OCCMarkets!AR36</f>
        <v>0</v>
      </c>
      <c r="R36" s="472">
        <f>+OCCMarkets!AS36</f>
        <v>0</v>
      </c>
      <c r="S36" s="472">
        <f>+OCCMarkets!AT36</f>
        <v>0</v>
      </c>
      <c r="T36" s="472">
        <f>+OCCMarkets!AU36</f>
        <v>0</v>
      </c>
      <c r="U36" s="472">
        <f>+OCCMarkets!AV36</f>
        <v>0</v>
      </c>
      <c r="V36" s="472">
        <f>+OCCMarkets!AW36</f>
        <v>0</v>
      </c>
      <c r="W36" s="473">
        <f>+OCCMarkets!AX36</f>
        <v>118</v>
      </c>
      <c r="X36" s="473">
        <f>+OCCMarkets!AY36</f>
        <v>71</v>
      </c>
      <c r="Y36" s="473">
        <f>+OCCMarkets!AZ36</f>
        <v>1000</v>
      </c>
      <c r="Z36" s="473">
        <f>+OCCMarkets!BA36</f>
        <v>0</v>
      </c>
      <c r="AA36" s="473">
        <f>+OCCMarkets!BB36</f>
        <v>1071</v>
      </c>
      <c r="AB36" s="473">
        <f>+OCCMarkets!BC36</f>
        <v>953</v>
      </c>
      <c r="AC36" s="473">
        <f>+OCCMarkets!BD36</f>
        <v>3074.7999999999997</v>
      </c>
      <c r="AD36" s="474">
        <f>+OCCMarkets!BE36</f>
        <v>500</v>
      </c>
      <c r="AE36" s="474">
        <f>+OCCMarkets!BF36</f>
        <v>297</v>
      </c>
      <c r="AF36" s="474">
        <f>+OCCMarkets!BG36</f>
        <v>1000</v>
      </c>
      <c r="AG36" s="474">
        <f>+OCCMarkets!BH36</f>
        <v>0</v>
      </c>
      <c r="AH36" s="474">
        <f>+OCCMarkets!BI36</f>
        <v>1297</v>
      </c>
      <c r="AI36" s="474">
        <f>+OCCMarkets!BJ36</f>
        <v>797</v>
      </c>
      <c r="AJ36" s="474">
        <f>+OCCMarkets!BK36</f>
        <v>1801.9</v>
      </c>
      <c r="AL36" s="436">
        <f t="shared" si="0"/>
        <v>9777</v>
      </c>
      <c r="AM36" s="436">
        <f t="shared" si="1"/>
        <v>10268</v>
      </c>
      <c r="AN36" s="436">
        <f t="shared" si="2"/>
        <v>491</v>
      </c>
      <c r="AO36" s="436">
        <f t="shared" si="3"/>
        <v>50677.9</v>
      </c>
      <c r="BB36" s="442"/>
      <c r="BC36" s="442"/>
      <c r="BD36" s="442"/>
      <c r="BE36" s="442"/>
      <c r="BF36" s="442"/>
      <c r="BG36" s="442"/>
      <c r="BH36" s="442"/>
      <c r="BI36" s="442"/>
      <c r="BJ36" s="442"/>
      <c r="BK36" s="442"/>
      <c r="BL36" s="442"/>
      <c r="BM36" s="442"/>
      <c r="BN36" s="442"/>
      <c r="BO36" s="442"/>
      <c r="BP36" s="442"/>
      <c r="BQ36" s="442"/>
      <c r="BR36" s="442"/>
      <c r="BS36" s="442"/>
      <c r="BT36" s="442"/>
      <c r="BU36" s="442"/>
      <c r="BV36" s="442"/>
      <c r="BW36" s="442"/>
      <c r="BX36" s="442"/>
      <c r="BY36" s="442"/>
      <c r="BZ36" s="442"/>
      <c r="CA36" s="442"/>
      <c r="CB36" s="442"/>
      <c r="CC36" s="442"/>
      <c r="CD36" s="442"/>
      <c r="CE36" s="442"/>
      <c r="CF36" s="442"/>
      <c r="CG36" s="442"/>
      <c r="CH36" s="442"/>
      <c r="CI36" s="442"/>
      <c r="CJ36" s="442"/>
      <c r="CK36" s="442"/>
      <c r="CL36" s="442"/>
      <c r="CM36" s="442"/>
      <c r="CN36" s="442"/>
      <c r="CO36" s="442"/>
      <c r="CP36" s="442"/>
      <c r="CQ36" s="442"/>
      <c r="CR36" s="442"/>
      <c r="CS36" s="442"/>
      <c r="CT36" s="442"/>
      <c r="CU36" s="442"/>
      <c r="CV36" s="442"/>
      <c r="CW36" s="442"/>
      <c r="CX36" s="442"/>
      <c r="CY36" s="442"/>
      <c r="CZ36" s="442"/>
      <c r="DA36" s="442"/>
      <c r="DB36" s="442"/>
      <c r="DC36" s="442"/>
      <c r="DD36" s="442"/>
    </row>
    <row r="37" spans="1:108" ht="13.5" thickBot="1" x14ac:dyDescent="0.25">
      <c r="B37" s="475"/>
      <c r="C37" s="475"/>
      <c r="D37" s="475"/>
      <c r="E37" s="475"/>
      <c r="F37" s="475"/>
      <c r="G37" s="475"/>
      <c r="H37" s="475"/>
      <c r="I37" s="443"/>
      <c r="J37" s="443"/>
      <c r="K37" s="443"/>
      <c r="L37" s="443"/>
      <c r="M37" s="443"/>
      <c r="N37" s="443"/>
      <c r="O37" s="443"/>
      <c r="P37" s="472">
        <f>+OCCMarkets!AQ37</f>
        <v>0</v>
      </c>
      <c r="Q37" s="472">
        <f>+OCCMarkets!AR37</f>
        <v>0</v>
      </c>
      <c r="R37" s="472">
        <f>+OCCMarkets!AS37</f>
        <v>0</v>
      </c>
      <c r="S37" s="472">
        <f>+OCCMarkets!AT37</f>
        <v>0</v>
      </c>
      <c r="T37" s="472">
        <f>+OCCMarkets!AU37</f>
        <v>0</v>
      </c>
      <c r="U37" s="472">
        <f>+OCCMarkets!AV37</f>
        <v>0</v>
      </c>
      <c r="V37" s="472">
        <f>+OCCMarkets!AW37</f>
        <v>0</v>
      </c>
      <c r="W37" s="476"/>
      <c r="X37" s="476"/>
      <c r="Y37" s="476"/>
      <c r="Z37" s="476"/>
      <c r="AA37" s="476"/>
      <c r="AB37" s="476"/>
      <c r="AC37" s="476"/>
      <c r="AD37" s="477"/>
      <c r="AE37" s="477"/>
      <c r="AF37" s="477"/>
      <c r="AG37" s="477"/>
      <c r="AH37" s="477"/>
      <c r="AI37" s="477"/>
      <c r="AJ37" s="477"/>
    </row>
    <row r="38" spans="1:108" ht="13.5" thickTop="1" x14ac:dyDescent="0.2">
      <c r="B38" s="478">
        <f t="shared" ref="B38:G38" si="4">SUM(B6:B36)</f>
        <v>4250</v>
      </c>
      <c r="C38" s="478">
        <f t="shared" si="4"/>
        <v>4512</v>
      </c>
      <c r="D38" s="478">
        <f t="shared" si="4"/>
        <v>2541</v>
      </c>
      <c r="E38" s="478">
        <f t="shared" si="4"/>
        <v>0</v>
      </c>
      <c r="F38" s="478">
        <f t="shared" si="4"/>
        <v>7053</v>
      </c>
      <c r="G38" s="478">
        <f t="shared" si="4"/>
        <v>2803</v>
      </c>
      <c r="H38" s="475"/>
      <c r="I38" s="444">
        <f t="shared" ref="I38:N38" si="5">SUM(I6:I36)</f>
        <v>276982.8</v>
      </c>
      <c r="J38" s="444">
        <f t="shared" si="5"/>
        <v>139393</v>
      </c>
      <c r="K38" s="444">
        <f t="shared" si="5"/>
        <v>153144</v>
      </c>
      <c r="L38" s="444">
        <f t="shared" si="5"/>
        <v>27444</v>
      </c>
      <c r="M38" s="444">
        <f t="shared" si="5"/>
        <v>319981</v>
      </c>
      <c r="N38" s="444">
        <f t="shared" si="5"/>
        <v>42998.2</v>
      </c>
      <c r="O38" s="443"/>
      <c r="P38" s="479">
        <f t="shared" ref="P38:U38" si="6">SUM(P6:P36)</f>
        <v>0</v>
      </c>
      <c r="Q38" s="479">
        <f t="shared" si="6"/>
        <v>0</v>
      </c>
      <c r="R38" s="479">
        <f t="shared" si="6"/>
        <v>0</v>
      </c>
      <c r="S38" s="479">
        <f t="shared" si="6"/>
        <v>0</v>
      </c>
      <c r="T38" s="479">
        <f t="shared" si="6"/>
        <v>0</v>
      </c>
      <c r="U38" s="479">
        <f t="shared" si="6"/>
        <v>0</v>
      </c>
      <c r="V38" s="480"/>
      <c r="W38" s="481">
        <f t="shared" ref="W38:AB38" si="7">SUM(W6:W36)</f>
        <v>3842.2</v>
      </c>
      <c r="X38" s="481">
        <f t="shared" si="7"/>
        <v>4376</v>
      </c>
      <c r="Y38" s="481">
        <f t="shared" si="7"/>
        <v>2541</v>
      </c>
      <c r="Z38" s="481">
        <f t="shared" si="7"/>
        <v>0</v>
      </c>
      <c r="AA38" s="481">
        <f t="shared" si="7"/>
        <v>6917</v>
      </c>
      <c r="AB38" s="481">
        <f t="shared" si="7"/>
        <v>3074.7999999999997</v>
      </c>
      <c r="AC38" s="476"/>
      <c r="AD38" s="482">
        <f t="shared" ref="AD38:AI38" si="8">SUM(AD6:AD36)</f>
        <v>7450.1</v>
      </c>
      <c r="AE38" s="482">
        <f t="shared" si="8"/>
        <v>6711</v>
      </c>
      <c r="AF38" s="482">
        <f t="shared" si="8"/>
        <v>2541</v>
      </c>
      <c r="AG38" s="482">
        <f t="shared" si="8"/>
        <v>0</v>
      </c>
      <c r="AH38" s="482">
        <f t="shared" si="8"/>
        <v>9252</v>
      </c>
      <c r="AI38" s="482">
        <f t="shared" si="8"/>
        <v>1801.9</v>
      </c>
      <c r="AJ38" s="477"/>
      <c r="AL38" s="465">
        <f>SUM(AL6:AL36)</f>
        <v>292525.09999999998</v>
      </c>
      <c r="AM38" s="465">
        <f>SUM(AM6:AM36)</f>
        <v>343203</v>
      </c>
      <c r="AN38" s="465">
        <f>SUM(AN6:AN36)</f>
        <v>50677.899999999994</v>
      </c>
    </row>
    <row r="40" spans="1:108" x14ac:dyDescent="0.2">
      <c r="A40" s="31">
        <v>1</v>
      </c>
      <c r="B40" s="436">
        <f t="shared" ref="B40:AO40" si="9">+A40+1</f>
        <v>2</v>
      </c>
      <c r="C40" s="436">
        <f t="shared" si="9"/>
        <v>3</v>
      </c>
      <c r="D40" s="436">
        <f t="shared" si="9"/>
        <v>4</v>
      </c>
      <c r="E40" s="436">
        <f t="shared" si="9"/>
        <v>5</v>
      </c>
      <c r="F40" s="436">
        <f t="shared" si="9"/>
        <v>6</v>
      </c>
      <c r="G40" s="436">
        <f t="shared" si="9"/>
        <v>7</v>
      </c>
      <c r="H40" s="436">
        <f t="shared" si="9"/>
        <v>8</v>
      </c>
      <c r="I40" s="436">
        <f t="shared" si="9"/>
        <v>9</v>
      </c>
      <c r="J40" s="436">
        <f t="shared" si="9"/>
        <v>10</v>
      </c>
      <c r="K40" s="436">
        <f t="shared" si="9"/>
        <v>11</v>
      </c>
      <c r="L40" s="436">
        <f t="shared" si="9"/>
        <v>12</v>
      </c>
      <c r="M40" s="436">
        <f t="shared" si="9"/>
        <v>13</v>
      </c>
      <c r="N40" s="436">
        <f t="shared" si="9"/>
        <v>14</v>
      </c>
      <c r="O40" s="436">
        <f t="shared" si="9"/>
        <v>15</v>
      </c>
      <c r="P40" s="436">
        <f t="shared" si="9"/>
        <v>16</v>
      </c>
      <c r="Q40" s="436">
        <f t="shared" si="9"/>
        <v>17</v>
      </c>
      <c r="R40" s="436">
        <f t="shared" si="9"/>
        <v>18</v>
      </c>
      <c r="S40" s="436">
        <f t="shared" si="9"/>
        <v>19</v>
      </c>
      <c r="T40" s="436">
        <f t="shared" si="9"/>
        <v>20</v>
      </c>
      <c r="U40" s="436">
        <f t="shared" si="9"/>
        <v>21</v>
      </c>
      <c r="V40" s="436">
        <f t="shared" si="9"/>
        <v>22</v>
      </c>
      <c r="W40" s="436">
        <f t="shared" si="9"/>
        <v>23</v>
      </c>
      <c r="X40" s="436">
        <f t="shared" si="9"/>
        <v>24</v>
      </c>
      <c r="Y40" s="436">
        <f t="shared" si="9"/>
        <v>25</v>
      </c>
      <c r="Z40" s="436">
        <f t="shared" si="9"/>
        <v>26</v>
      </c>
      <c r="AA40" s="436">
        <f t="shared" si="9"/>
        <v>27</v>
      </c>
      <c r="AB40" s="436">
        <f t="shared" si="9"/>
        <v>28</v>
      </c>
      <c r="AC40" s="436">
        <f t="shared" si="9"/>
        <v>29</v>
      </c>
      <c r="AD40" s="436">
        <f t="shared" si="9"/>
        <v>30</v>
      </c>
      <c r="AE40" s="436">
        <f t="shared" si="9"/>
        <v>31</v>
      </c>
      <c r="AF40" s="436">
        <f t="shared" si="9"/>
        <v>32</v>
      </c>
      <c r="AG40" s="436">
        <f t="shared" si="9"/>
        <v>33</v>
      </c>
      <c r="AH40" s="436">
        <f t="shared" si="9"/>
        <v>34</v>
      </c>
      <c r="AI40" s="436">
        <f t="shared" si="9"/>
        <v>35</v>
      </c>
      <c r="AJ40" s="436">
        <f t="shared" si="9"/>
        <v>36</v>
      </c>
      <c r="AK40" s="436">
        <f t="shared" si="9"/>
        <v>37</v>
      </c>
      <c r="AL40" s="436">
        <f t="shared" si="9"/>
        <v>38</v>
      </c>
      <c r="AM40" s="436">
        <f t="shared" si="9"/>
        <v>39</v>
      </c>
      <c r="AN40" s="436">
        <f t="shared" si="9"/>
        <v>40</v>
      </c>
      <c r="AO40" s="436">
        <f t="shared" si="9"/>
        <v>41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"/>
  <dimension ref="A1:HP515"/>
  <sheetViews>
    <sheetView zoomScale="90" workbookViewId="0">
      <pane xSplit="2" ySplit="5" topLeftCell="AU10" activePane="bottomRight" state="frozen"/>
      <selection activeCell="AT19" sqref="AT19"/>
      <selection pane="topRight" activeCell="AT19" sqref="AT19"/>
      <selection pane="bottomLeft" activeCell="AT19" sqref="AT19"/>
      <selection pane="bottomRight" activeCell="AW35" sqref="AW35"/>
    </sheetView>
  </sheetViews>
  <sheetFormatPr defaultColWidth="15.1640625" defaultRowHeight="12.75" x14ac:dyDescent="0.2"/>
  <cols>
    <col min="1" max="1" width="15.1640625" style="106" customWidth="1"/>
    <col min="2" max="2" width="15.1640625" style="84" customWidth="1"/>
    <col min="3" max="3" width="17.5" style="28" customWidth="1"/>
    <col min="4" max="5" width="15.1640625" style="43" customWidth="1"/>
    <col min="6" max="6" width="14.5" style="28" customWidth="1"/>
    <col min="7" max="8" width="15.1640625" style="43" customWidth="1"/>
    <col min="9" max="9" width="17.1640625" style="28" customWidth="1"/>
    <col min="10" max="11" width="15.1640625" style="43" customWidth="1"/>
    <col min="12" max="12" width="14.5" style="28" customWidth="1"/>
    <col min="13" max="14" width="15.1640625" style="43" customWidth="1"/>
    <col min="15" max="15" width="14.5" style="28" customWidth="1"/>
    <col min="16" max="17" width="15.1640625" style="43" customWidth="1"/>
    <col min="18" max="18" width="14.5" style="28" customWidth="1"/>
    <col min="19" max="20" width="15.1640625" style="43" customWidth="1"/>
    <col min="21" max="21" width="14.5" style="28" customWidth="1"/>
    <col min="22" max="23" width="15.1640625" style="43" customWidth="1"/>
    <col min="24" max="24" width="14.5" style="28" customWidth="1"/>
    <col min="25" max="26" width="15.1640625" style="43" customWidth="1"/>
    <col min="27" max="27" width="14.5" style="28" customWidth="1"/>
    <col min="28" max="29" width="15.1640625" style="43" customWidth="1"/>
    <col min="30" max="30" width="14.5" style="28" customWidth="1"/>
    <col min="31" max="32" width="15.1640625" style="43" customWidth="1"/>
    <col min="33" max="33" width="14.5" style="28" customWidth="1"/>
    <col min="34" max="35" width="15.1640625" style="43" customWidth="1"/>
    <col min="36" max="36" width="14.5" style="28" customWidth="1"/>
    <col min="37" max="38" width="15.1640625" style="43" customWidth="1"/>
    <col min="39" max="39" width="14.5" style="28" customWidth="1"/>
    <col min="40" max="41" width="15.1640625" style="43" customWidth="1"/>
    <col min="42" max="42" width="14.5" style="28" customWidth="1"/>
    <col min="43" max="44" width="15.1640625" style="43" customWidth="1"/>
    <col min="45" max="45" width="14.5" style="28" customWidth="1"/>
    <col min="46" max="47" width="15.1640625" style="43" customWidth="1"/>
    <col min="48" max="48" width="14.5" style="94" customWidth="1"/>
    <col min="49" max="49" width="15.1640625" style="103" customWidth="1"/>
    <col min="50" max="50" width="15.1640625" style="43" customWidth="1"/>
    <col min="51" max="51" width="14.5" style="28" customWidth="1"/>
    <col min="52" max="53" width="15.1640625" style="43" customWidth="1"/>
    <col min="54" max="54" width="14.5" style="28" customWidth="1"/>
    <col min="55" max="56" width="15.1640625" style="43" customWidth="1"/>
    <col min="57" max="57" width="14.5" style="28" customWidth="1"/>
    <col min="58" max="59" width="15.1640625" style="43" customWidth="1"/>
    <col min="60" max="60" width="14.5" style="28" customWidth="1"/>
    <col min="61" max="62" width="15.1640625" style="43" customWidth="1"/>
    <col min="63" max="63" width="14.5" style="28" customWidth="1"/>
    <col min="64" max="65" width="15.1640625" style="43" customWidth="1"/>
    <col min="66" max="66" width="14.5" style="28" customWidth="1"/>
    <col min="67" max="68" width="15.1640625" style="43" customWidth="1"/>
    <col min="69" max="69" width="14.5" style="28" customWidth="1"/>
    <col min="70" max="71" width="15.1640625" style="43" customWidth="1"/>
    <col min="72" max="72" width="14.5" style="28" customWidth="1"/>
    <col min="73" max="74" width="15.1640625" style="43" customWidth="1"/>
    <col min="75" max="75" width="14.5" style="28" customWidth="1"/>
    <col min="76" max="77" width="15.1640625" style="43" customWidth="1"/>
    <col min="78" max="78" width="14.5" style="28" customWidth="1"/>
    <col min="79" max="80" width="15.1640625" style="43" customWidth="1"/>
    <col min="81" max="81" width="14.5" style="28" customWidth="1"/>
    <col min="82" max="83" width="15.1640625" style="43" customWidth="1"/>
    <col min="84" max="84" width="14.5" style="28" customWidth="1"/>
    <col min="85" max="86" width="15.1640625" style="43" customWidth="1"/>
    <col min="87" max="87" width="14.5" style="28" customWidth="1"/>
    <col min="88" max="89" width="15.1640625" style="43" customWidth="1"/>
    <col min="90" max="90" width="14.5" style="28" customWidth="1"/>
    <col min="91" max="92" width="15.1640625" style="43" customWidth="1"/>
    <col min="93" max="93" width="14.5" style="28" customWidth="1"/>
    <col min="94" max="95" width="15.1640625" style="43" customWidth="1"/>
    <col min="96" max="96" width="14.5" style="28" customWidth="1"/>
    <col min="97" max="98" width="15.1640625" style="43" customWidth="1"/>
    <col min="99" max="99" width="14.5" style="28" customWidth="1"/>
    <col min="100" max="101" width="15.1640625" style="43" customWidth="1"/>
    <col min="102" max="102" width="14.5" style="28" customWidth="1"/>
    <col min="103" max="104" width="15.1640625" style="43" customWidth="1"/>
    <col min="105" max="105" width="14.5" style="28" customWidth="1"/>
    <col min="106" max="107" width="15.1640625" style="43" customWidth="1"/>
    <col min="108" max="108" width="14.5" style="28" customWidth="1"/>
    <col min="109" max="110" width="15.1640625" style="43" customWidth="1"/>
    <col min="111" max="111" width="14.5" style="28" customWidth="1"/>
    <col min="112" max="113" width="15.1640625" style="43" customWidth="1"/>
    <col min="114" max="114" width="14.5" style="28" customWidth="1"/>
    <col min="115" max="116" width="15.1640625" style="43" customWidth="1"/>
    <col min="117" max="117" width="14.5" style="28" customWidth="1"/>
    <col min="118" max="119" width="15.1640625" style="43" customWidth="1"/>
    <col min="120" max="120" width="14.5" style="28" customWidth="1"/>
    <col min="121" max="122" width="15.1640625" style="43" customWidth="1"/>
    <col min="123" max="123" width="15.1640625" style="104" customWidth="1"/>
    <col min="124" max="126" width="15.1640625" style="42" customWidth="1"/>
    <col min="127" max="128" width="15.1640625" style="43" customWidth="1"/>
    <col min="129" max="129" width="15.1640625" style="104" customWidth="1"/>
    <col min="130" max="141" width="15.1640625" style="43" customWidth="1"/>
    <col min="142" max="149" width="15.1640625" style="80" customWidth="1"/>
    <col min="150" max="171" width="15.1640625" style="81" customWidth="1"/>
    <col min="172" max="178" width="15.1640625" style="82" customWidth="1"/>
    <col min="179" max="16384" width="15.1640625" style="28"/>
  </cols>
  <sheetData>
    <row r="1" spans="1:178" s="52" customFormat="1" ht="15.75" x14ac:dyDescent="0.25">
      <c r="A1" s="45" t="s">
        <v>58</v>
      </c>
      <c r="B1" s="46">
        <f>+BaseloadMarkets!B1</f>
        <v>36708</v>
      </c>
      <c r="C1" s="1" t="s">
        <v>59</v>
      </c>
      <c r="D1" s="47"/>
      <c r="E1" s="47"/>
      <c r="F1" s="1">
        <v>5.04</v>
      </c>
      <c r="G1" s="47"/>
      <c r="H1" s="47"/>
      <c r="I1" s="1">
        <v>5.0199999999999996</v>
      </c>
      <c r="J1" s="47"/>
      <c r="K1" s="47"/>
      <c r="L1" s="1"/>
      <c r="M1" s="47"/>
      <c r="N1" s="47"/>
      <c r="O1" s="1"/>
      <c r="P1" s="47"/>
      <c r="Q1" s="47"/>
      <c r="R1" s="1"/>
      <c r="S1" s="47"/>
      <c r="T1" s="47"/>
      <c r="U1" s="1"/>
      <c r="V1" s="47"/>
      <c r="W1" s="47"/>
      <c r="X1" s="1"/>
      <c r="Y1" s="47"/>
      <c r="Z1" s="47"/>
      <c r="AA1" s="1"/>
      <c r="AB1" s="47"/>
      <c r="AC1" s="47"/>
      <c r="AD1" s="1"/>
      <c r="AE1" s="47"/>
      <c r="AF1" s="47"/>
      <c r="AG1" s="1"/>
      <c r="AH1" s="47"/>
      <c r="AI1" s="47"/>
      <c r="AJ1" s="1"/>
      <c r="AK1" s="47"/>
      <c r="AL1" s="47"/>
      <c r="AM1" s="1"/>
      <c r="AN1" s="47"/>
      <c r="AO1" s="47"/>
      <c r="AP1" s="1"/>
      <c r="AQ1" s="47"/>
      <c r="AR1" s="47"/>
      <c r="AS1" s="1"/>
      <c r="AT1" s="47"/>
      <c r="AU1" s="47"/>
      <c r="AV1" s="48"/>
      <c r="AW1" s="49"/>
      <c r="AX1" s="47"/>
      <c r="AY1" s="2"/>
      <c r="AZ1" s="47"/>
      <c r="BA1" s="47"/>
      <c r="BB1" s="2"/>
      <c r="BC1" s="47"/>
      <c r="BD1" s="47"/>
      <c r="BE1" s="2"/>
      <c r="BF1" s="47"/>
      <c r="BG1" s="47"/>
      <c r="BH1" s="2"/>
      <c r="BI1" s="47"/>
      <c r="BJ1" s="47"/>
      <c r="BK1" s="2"/>
      <c r="BL1" s="47"/>
      <c r="BM1" s="47"/>
      <c r="BN1" s="2"/>
      <c r="BO1" s="47"/>
      <c r="BP1" s="47"/>
      <c r="BQ1" s="2"/>
      <c r="BR1" s="47"/>
      <c r="BS1" s="47"/>
      <c r="BT1" s="2"/>
      <c r="BU1" s="47"/>
      <c r="BV1" s="47"/>
      <c r="BW1" s="2"/>
      <c r="BX1" s="47"/>
      <c r="BY1" s="47"/>
      <c r="BZ1" s="2"/>
      <c r="CA1" s="47"/>
      <c r="CB1" s="47"/>
      <c r="CC1" s="2"/>
      <c r="CD1" s="47"/>
      <c r="CE1" s="47"/>
      <c r="CF1" s="2"/>
      <c r="CG1" s="47"/>
      <c r="CH1" s="47"/>
      <c r="CI1" s="2"/>
      <c r="CJ1" s="47"/>
      <c r="CK1" s="47"/>
      <c r="CL1" s="2"/>
      <c r="CM1" s="47"/>
      <c r="CN1" s="47"/>
      <c r="CO1" s="2"/>
      <c r="CP1" s="47"/>
      <c r="CQ1" s="47"/>
      <c r="CR1" s="2"/>
      <c r="CS1" s="47"/>
      <c r="CT1" s="47"/>
      <c r="CU1" s="2"/>
      <c r="CV1" s="47"/>
      <c r="CW1" s="47"/>
      <c r="CX1" s="2"/>
      <c r="CY1" s="47"/>
      <c r="CZ1" s="47"/>
      <c r="DA1" s="2"/>
      <c r="DB1" s="47"/>
      <c r="DC1" s="47"/>
      <c r="DD1" s="2"/>
      <c r="DE1" s="47"/>
      <c r="DF1" s="47"/>
      <c r="DG1" s="2"/>
      <c r="DH1" s="47"/>
      <c r="DI1" s="47"/>
      <c r="DJ1" s="2"/>
      <c r="DK1" s="47"/>
      <c r="DL1" s="47"/>
      <c r="DM1" s="2"/>
      <c r="DN1" s="47"/>
      <c r="DO1" s="47"/>
      <c r="DP1" s="2"/>
      <c r="DQ1" s="47"/>
      <c r="DR1" s="47"/>
      <c r="DS1" s="50"/>
      <c r="DT1" s="50"/>
      <c r="DU1" s="50"/>
      <c r="DV1" s="50"/>
      <c r="DW1" s="47"/>
      <c r="DX1" s="47"/>
      <c r="DY1" s="51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</row>
    <row r="2" spans="1:178" s="16" customFormat="1" ht="12.75" customHeight="1" x14ac:dyDescent="0.2">
      <c r="A2" s="6" t="s">
        <v>35</v>
      </c>
      <c r="B2" s="6"/>
      <c r="C2" s="7">
        <v>299022</v>
      </c>
      <c r="D2" s="9"/>
      <c r="E2" s="9"/>
      <c r="F2" s="7">
        <v>314512</v>
      </c>
      <c r="G2" s="9"/>
      <c r="H2" s="9"/>
      <c r="I2" s="7" t="s">
        <v>60</v>
      </c>
      <c r="J2" s="9"/>
      <c r="K2" s="9"/>
      <c r="L2" s="7"/>
      <c r="M2" s="9"/>
      <c r="N2" s="9"/>
      <c r="O2" s="7"/>
      <c r="P2" s="9"/>
      <c r="Q2" s="9"/>
      <c r="R2" s="7"/>
      <c r="S2" s="9"/>
      <c r="T2" s="9"/>
      <c r="U2" s="7"/>
      <c r="V2" s="9"/>
      <c r="W2" s="9"/>
      <c r="X2" s="7"/>
      <c r="Y2" s="9"/>
      <c r="Z2" s="9"/>
      <c r="AA2" s="7"/>
      <c r="AB2" s="9"/>
      <c r="AC2" s="9"/>
      <c r="AD2" s="7"/>
      <c r="AE2" s="9"/>
      <c r="AF2" s="9"/>
      <c r="AG2" s="7"/>
      <c r="AH2" s="9"/>
      <c r="AI2" s="9"/>
      <c r="AJ2" s="7"/>
      <c r="AK2" s="9"/>
      <c r="AL2" s="9"/>
      <c r="AM2" s="7"/>
      <c r="AN2" s="9"/>
      <c r="AO2" s="9"/>
      <c r="AP2" s="7"/>
      <c r="AQ2" s="9"/>
      <c r="AR2" s="9"/>
      <c r="AS2" s="7"/>
      <c r="AT2" s="9"/>
      <c r="AU2" s="9"/>
      <c r="AV2" s="53" t="s">
        <v>61</v>
      </c>
      <c r="AW2" s="54"/>
      <c r="AX2" s="9"/>
      <c r="AY2" s="7"/>
      <c r="AZ2" s="9"/>
      <c r="BA2" s="9"/>
      <c r="BB2" s="7"/>
      <c r="BC2" s="9"/>
      <c r="BD2" s="9"/>
      <c r="BE2" s="7"/>
      <c r="BF2" s="9"/>
      <c r="BG2" s="9"/>
      <c r="BH2" s="7"/>
      <c r="BI2" s="9"/>
      <c r="BJ2" s="9"/>
      <c r="BK2" s="7"/>
      <c r="BL2" s="9"/>
      <c r="BM2" s="9"/>
      <c r="BN2" s="7"/>
      <c r="BO2" s="9"/>
      <c r="BP2" s="9"/>
      <c r="BQ2" s="7"/>
      <c r="BR2" s="9"/>
      <c r="BS2" s="9"/>
      <c r="BT2" s="7"/>
      <c r="BU2" s="9"/>
      <c r="BV2" s="9"/>
      <c r="BW2" s="7"/>
      <c r="BX2" s="9"/>
      <c r="BY2" s="9"/>
      <c r="BZ2" s="7"/>
      <c r="CA2" s="9"/>
      <c r="CB2" s="9"/>
      <c r="CC2" s="7"/>
      <c r="CD2" s="9"/>
      <c r="CE2" s="9"/>
      <c r="CF2" s="7"/>
      <c r="CG2" s="9"/>
      <c r="CH2" s="9"/>
      <c r="CI2" s="7"/>
      <c r="CJ2" s="9"/>
      <c r="CK2" s="9"/>
      <c r="CL2" s="7"/>
      <c r="CM2" s="9"/>
      <c r="CN2" s="9"/>
      <c r="CO2" s="7"/>
      <c r="CP2" s="9"/>
      <c r="CQ2" s="9"/>
      <c r="CR2" s="7"/>
      <c r="CS2" s="9"/>
      <c r="CT2" s="9"/>
      <c r="CU2" s="7"/>
      <c r="CV2" s="9"/>
      <c r="CW2" s="9"/>
      <c r="CX2" s="7"/>
      <c r="CY2" s="9"/>
      <c r="CZ2" s="9"/>
      <c r="DA2" s="7"/>
      <c r="DB2" s="9"/>
      <c r="DC2" s="9"/>
      <c r="DD2" s="7"/>
      <c r="DE2" s="9"/>
      <c r="DF2" s="9"/>
      <c r="DG2" s="7"/>
      <c r="DH2" s="9"/>
      <c r="DI2" s="9"/>
      <c r="DJ2" s="7"/>
      <c r="DK2" s="9"/>
      <c r="DL2" s="9"/>
      <c r="DM2" s="7"/>
      <c r="DN2" s="9"/>
      <c r="DO2" s="9"/>
      <c r="DP2" s="7"/>
      <c r="DQ2" s="9"/>
      <c r="DR2" s="9"/>
      <c r="DS2" s="55"/>
      <c r="DV2" s="56"/>
      <c r="DW2" s="9"/>
      <c r="DX2" s="9" t="s">
        <v>40</v>
      </c>
      <c r="DY2" s="9" t="s">
        <v>40</v>
      </c>
      <c r="DZ2" s="9" t="s">
        <v>62</v>
      </c>
      <c r="EA2" s="9" t="s">
        <v>63</v>
      </c>
      <c r="EB2" s="9"/>
      <c r="EC2" s="9" t="s">
        <v>62</v>
      </c>
      <c r="ED2" s="9" t="s">
        <v>63</v>
      </c>
      <c r="EE2" s="9"/>
      <c r="EF2" s="9"/>
      <c r="EG2" s="9"/>
      <c r="EH2" s="9"/>
      <c r="EI2" s="9"/>
      <c r="EJ2" s="9"/>
      <c r="EK2" s="9"/>
      <c r="EL2" s="57"/>
      <c r="EM2" s="57"/>
      <c r="EN2" s="57"/>
      <c r="EO2" s="57"/>
      <c r="EP2" s="57"/>
      <c r="EQ2" s="57"/>
      <c r="ER2" s="57"/>
      <c r="ES2" s="57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9"/>
      <c r="FQ2" s="59"/>
      <c r="FR2" s="59"/>
      <c r="FS2" s="59"/>
      <c r="FT2" s="59"/>
      <c r="FU2" s="59"/>
      <c r="FV2" s="59"/>
    </row>
    <row r="3" spans="1:178" s="13" customFormat="1" ht="12.75" customHeight="1" x14ac:dyDescent="0.2">
      <c r="A3" s="11"/>
      <c r="B3" s="11"/>
      <c r="C3" s="12" t="s">
        <v>64</v>
      </c>
      <c r="D3" s="15"/>
      <c r="E3" s="15"/>
      <c r="F3" s="12" t="s">
        <v>64</v>
      </c>
      <c r="G3" s="15"/>
      <c r="H3" s="15"/>
      <c r="I3" s="12" t="s">
        <v>64</v>
      </c>
      <c r="J3" s="15"/>
      <c r="K3" s="15"/>
      <c r="L3" s="12"/>
      <c r="M3" s="15"/>
      <c r="N3" s="15"/>
      <c r="O3" s="12"/>
      <c r="P3" s="15"/>
      <c r="Q3" s="15"/>
      <c r="R3" s="12"/>
      <c r="S3" s="15"/>
      <c r="T3" s="15"/>
      <c r="U3" s="12"/>
      <c r="V3" s="15"/>
      <c r="W3" s="15"/>
      <c r="X3" s="12"/>
      <c r="Y3" s="15"/>
      <c r="Z3" s="15"/>
      <c r="AA3" s="12"/>
      <c r="AB3" s="15"/>
      <c r="AC3" s="15"/>
      <c r="AD3" s="12"/>
      <c r="AE3" s="15"/>
      <c r="AF3" s="15"/>
      <c r="AG3" s="12"/>
      <c r="AH3" s="15"/>
      <c r="AI3" s="15"/>
      <c r="AJ3" s="12"/>
      <c r="AK3" s="15"/>
      <c r="AL3" s="15"/>
      <c r="AM3" s="12"/>
      <c r="AN3" s="15"/>
      <c r="AO3" s="15"/>
      <c r="AP3" s="12"/>
      <c r="AQ3" s="15"/>
      <c r="AR3" s="15"/>
      <c r="AS3" s="12"/>
      <c r="AT3" s="15"/>
      <c r="AU3" s="15"/>
      <c r="AV3" s="60" t="s">
        <v>33</v>
      </c>
      <c r="AW3" s="61"/>
      <c r="AX3" s="15"/>
      <c r="AY3" s="12"/>
      <c r="AZ3" s="15"/>
      <c r="BA3" s="15"/>
      <c r="BB3" s="12"/>
      <c r="BC3" s="15"/>
      <c r="BD3" s="15"/>
      <c r="BE3" s="12"/>
      <c r="BF3" s="15"/>
      <c r="BG3" s="15"/>
      <c r="BH3" s="12"/>
      <c r="BI3" s="15"/>
      <c r="BJ3" s="15"/>
      <c r="BK3" s="12"/>
      <c r="BL3" s="15"/>
      <c r="BM3" s="15"/>
      <c r="BN3" s="12"/>
      <c r="BO3" s="15"/>
      <c r="BP3" s="15"/>
      <c r="BQ3" s="12"/>
      <c r="BR3" s="15"/>
      <c r="BS3" s="15"/>
      <c r="BT3" s="12"/>
      <c r="BU3" s="15"/>
      <c r="BV3" s="15"/>
      <c r="BW3" s="12"/>
      <c r="BX3" s="15"/>
      <c r="BY3" s="15"/>
      <c r="BZ3" s="12"/>
      <c r="CA3" s="15"/>
      <c r="CB3" s="15"/>
      <c r="CC3" s="12"/>
      <c r="CD3" s="15"/>
      <c r="CE3" s="15"/>
      <c r="CF3" s="12"/>
      <c r="CG3" s="15"/>
      <c r="CH3" s="15"/>
      <c r="CI3" s="12"/>
      <c r="CJ3" s="15"/>
      <c r="CK3" s="15"/>
      <c r="CL3" s="12"/>
      <c r="CM3" s="15"/>
      <c r="CN3" s="15"/>
      <c r="CO3" s="12"/>
      <c r="CP3" s="15"/>
      <c r="CQ3" s="15"/>
      <c r="CR3" s="12"/>
      <c r="CS3" s="15"/>
      <c r="CT3" s="15"/>
      <c r="CU3" s="12"/>
      <c r="CV3" s="15"/>
      <c r="CW3" s="15"/>
      <c r="CX3" s="12"/>
      <c r="CY3" s="15"/>
      <c r="CZ3" s="15"/>
      <c r="DA3" s="12"/>
      <c r="DB3" s="15"/>
      <c r="DC3" s="15"/>
      <c r="DD3" s="12"/>
      <c r="DE3" s="15"/>
      <c r="DF3" s="15"/>
      <c r="DG3" s="12"/>
      <c r="DH3" s="15"/>
      <c r="DI3" s="15"/>
      <c r="DJ3" s="12"/>
      <c r="DK3" s="15"/>
      <c r="DL3" s="15"/>
      <c r="DM3" s="12"/>
      <c r="DN3" s="15"/>
      <c r="DO3" s="15"/>
      <c r="DP3" s="12"/>
      <c r="DQ3" s="15"/>
      <c r="DR3" s="15"/>
      <c r="DS3" s="11"/>
      <c r="DV3" s="62"/>
      <c r="DW3" s="15"/>
      <c r="DX3" s="15" t="s">
        <v>64</v>
      </c>
      <c r="DY3" s="15" t="s">
        <v>64</v>
      </c>
      <c r="DZ3" s="15" t="s">
        <v>64</v>
      </c>
      <c r="EA3" s="15" t="s">
        <v>64</v>
      </c>
      <c r="EB3" s="15"/>
      <c r="EC3" s="15" t="s">
        <v>33</v>
      </c>
      <c r="ED3" s="15" t="s">
        <v>33</v>
      </c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4"/>
      <c r="FQ3" s="64"/>
      <c r="FR3" s="64"/>
      <c r="FS3" s="64"/>
      <c r="FT3" s="64"/>
      <c r="FU3" s="64"/>
      <c r="FV3" s="64"/>
    </row>
    <row r="4" spans="1:178" s="16" customFormat="1" ht="12.75" customHeight="1" x14ac:dyDescent="0.2">
      <c r="A4" s="6" t="s">
        <v>65</v>
      </c>
      <c r="B4" s="6" t="s">
        <v>66</v>
      </c>
      <c r="C4" s="8" t="s">
        <v>26</v>
      </c>
      <c r="D4" s="9"/>
      <c r="E4" s="9" t="s">
        <v>62</v>
      </c>
      <c r="F4" s="8" t="s">
        <v>12</v>
      </c>
      <c r="G4" s="9"/>
      <c r="H4" s="9" t="s">
        <v>62</v>
      </c>
      <c r="I4" s="8" t="s">
        <v>12</v>
      </c>
      <c r="J4" s="9"/>
      <c r="K4" s="9" t="s">
        <v>62</v>
      </c>
      <c r="L4" s="8"/>
      <c r="M4" s="9"/>
      <c r="N4" s="9" t="s">
        <v>62</v>
      </c>
      <c r="O4" s="8"/>
      <c r="P4" s="9"/>
      <c r="Q4" s="9" t="s">
        <v>62</v>
      </c>
      <c r="R4" s="8"/>
      <c r="S4" s="9"/>
      <c r="T4" s="9" t="s">
        <v>62</v>
      </c>
      <c r="U4" s="8"/>
      <c r="V4" s="9"/>
      <c r="W4" s="9" t="s">
        <v>62</v>
      </c>
      <c r="X4" s="8"/>
      <c r="Y4" s="9"/>
      <c r="Z4" s="9" t="s">
        <v>62</v>
      </c>
      <c r="AA4" s="8"/>
      <c r="AB4" s="9"/>
      <c r="AC4" s="9" t="s">
        <v>62</v>
      </c>
      <c r="AD4" s="8"/>
      <c r="AE4" s="9"/>
      <c r="AF4" s="9" t="s">
        <v>62</v>
      </c>
      <c r="AG4" s="8"/>
      <c r="AH4" s="9"/>
      <c r="AI4" s="9" t="s">
        <v>62</v>
      </c>
      <c r="AJ4" s="8"/>
      <c r="AK4" s="9"/>
      <c r="AL4" s="9" t="s">
        <v>62</v>
      </c>
      <c r="AM4" s="8"/>
      <c r="AN4" s="9"/>
      <c r="AO4" s="9" t="s">
        <v>62</v>
      </c>
      <c r="AP4" s="8"/>
      <c r="AQ4" s="9"/>
      <c r="AR4" s="9" t="s">
        <v>62</v>
      </c>
      <c r="AS4" s="8"/>
      <c r="AT4" s="9"/>
      <c r="AU4" s="9" t="s">
        <v>62</v>
      </c>
      <c r="AV4" s="65"/>
      <c r="AW4" s="54"/>
      <c r="AX4" s="9" t="s">
        <v>62</v>
      </c>
      <c r="AY4" s="8"/>
      <c r="AZ4" s="9"/>
      <c r="BA4" s="9" t="s">
        <v>62</v>
      </c>
      <c r="BB4" s="8"/>
      <c r="BC4" s="9"/>
      <c r="BD4" s="9" t="s">
        <v>62</v>
      </c>
      <c r="BE4" s="8"/>
      <c r="BF4" s="9"/>
      <c r="BG4" s="9" t="s">
        <v>62</v>
      </c>
      <c r="BH4" s="8"/>
      <c r="BI4" s="9"/>
      <c r="BJ4" s="9" t="s">
        <v>62</v>
      </c>
      <c r="BK4" s="8"/>
      <c r="BL4" s="9"/>
      <c r="BM4" s="9" t="s">
        <v>62</v>
      </c>
      <c r="BN4" s="8"/>
      <c r="BO4" s="9"/>
      <c r="BP4" s="9" t="s">
        <v>62</v>
      </c>
      <c r="BQ4" s="8"/>
      <c r="BR4" s="9"/>
      <c r="BS4" s="9" t="s">
        <v>62</v>
      </c>
      <c r="BT4" s="8"/>
      <c r="BU4" s="9"/>
      <c r="BV4" s="9" t="s">
        <v>62</v>
      </c>
      <c r="BW4" s="8"/>
      <c r="BX4" s="9"/>
      <c r="BY4" s="9" t="s">
        <v>62</v>
      </c>
      <c r="BZ4" s="8"/>
      <c r="CA4" s="9"/>
      <c r="CB4" s="9" t="s">
        <v>62</v>
      </c>
      <c r="CC4" s="8"/>
      <c r="CD4" s="9"/>
      <c r="CE4" s="9" t="s">
        <v>62</v>
      </c>
      <c r="CF4" s="8"/>
      <c r="CG4" s="9"/>
      <c r="CH4" s="9" t="s">
        <v>62</v>
      </c>
      <c r="CI4" s="8"/>
      <c r="CJ4" s="9"/>
      <c r="CK4" s="9" t="s">
        <v>62</v>
      </c>
      <c r="CL4" s="8"/>
      <c r="CM4" s="9"/>
      <c r="CN4" s="9" t="s">
        <v>62</v>
      </c>
      <c r="CO4" s="8"/>
      <c r="CP4" s="9"/>
      <c r="CQ4" s="9" t="s">
        <v>62</v>
      </c>
      <c r="CR4" s="8"/>
      <c r="CS4" s="9"/>
      <c r="CT4" s="9" t="s">
        <v>62</v>
      </c>
      <c r="CU4" s="8"/>
      <c r="CV4" s="9"/>
      <c r="CW4" s="9" t="s">
        <v>62</v>
      </c>
      <c r="CX4" s="8"/>
      <c r="CY4" s="9"/>
      <c r="CZ4" s="9" t="s">
        <v>62</v>
      </c>
      <c r="DA4" s="8"/>
      <c r="DB4" s="9"/>
      <c r="DC4" s="9" t="s">
        <v>62</v>
      </c>
      <c r="DD4" s="8"/>
      <c r="DE4" s="9"/>
      <c r="DF4" s="9" t="s">
        <v>62</v>
      </c>
      <c r="DG4" s="8"/>
      <c r="DH4" s="9"/>
      <c r="DI4" s="9" t="s">
        <v>62</v>
      </c>
      <c r="DJ4" s="8"/>
      <c r="DK4" s="9"/>
      <c r="DL4" s="9" t="s">
        <v>62</v>
      </c>
      <c r="DM4" s="8"/>
      <c r="DN4" s="9"/>
      <c r="DO4" s="9" t="s">
        <v>62</v>
      </c>
      <c r="DP4" s="8"/>
      <c r="DQ4" s="9"/>
      <c r="DR4" s="9" t="s">
        <v>62</v>
      </c>
      <c r="DS4" s="6" t="s">
        <v>40</v>
      </c>
      <c r="DT4" s="7" t="s">
        <v>40</v>
      </c>
      <c r="DV4" s="56" t="s">
        <v>67</v>
      </c>
      <c r="DW4" s="9"/>
      <c r="DX4" s="9" t="s">
        <v>0</v>
      </c>
      <c r="DY4" s="9" t="s">
        <v>0</v>
      </c>
      <c r="DZ4" s="9" t="s">
        <v>61</v>
      </c>
      <c r="EA4" s="9" t="s">
        <v>61</v>
      </c>
      <c r="EB4" s="9"/>
      <c r="EC4" s="9" t="s">
        <v>61</v>
      </c>
      <c r="ED4" s="9" t="s">
        <v>61</v>
      </c>
      <c r="EE4" s="9"/>
      <c r="EF4" s="9"/>
      <c r="EG4" s="9"/>
      <c r="EH4" s="9"/>
      <c r="EI4" s="9"/>
      <c r="EJ4" s="9"/>
      <c r="EK4" s="9"/>
      <c r="EL4" s="57"/>
      <c r="EM4" s="57"/>
      <c r="EN4" s="57"/>
      <c r="EO4" s="57"/>
      <c r="EP4" s="57"/>
      <c r="EQ4" s="57"/>
      <c r="ER4" s="57"/>
      <c r="ES4" s="57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9"/>
      <c r="FQ4" s="59"/>
      <c r="FR4" s="59"/>
      <c r="FS4" s="59"/>
      <c r="FT4" s="59"/>
      <c r="FU4" s="59"/>
      <c r="FV4" s="59"/>
    </row>
    <row r="5" spans="1:178" s="71" customFormat="1" ht="12.75" customHeight="1" x14ac:dyDescent="0.2">
      <c r="A5" s="6" t="s">
        <v>41</v>
      </c>
      <c r="B5" s="6" t="s">
        <v>68</v>
      </c>
      <c r="C5" s="19" t="s">
        <v>44</v>
      </c>
      <c r="D5" s="20"/>
      <c r="E5" s="20" t="s">
        <v>69</v>
      </c>
      <c r="F5" s="19" t="s">
        <v>44</v>
      </c>
      <c r="G5" s="20"/>
      <c r="H5" s="20" t="s">
        <v>69</v>
      </c>
      <c r="I5" s="19" t="s">
        <v>44</v>
      </c>
      <c r="J5" s="20"/>
      <c r="K5" s="20" t="s">
        <v>69</v>
      </c>
      <c r="L5" s="19"/>
      <c r="M5" s="20"/>
      <c r="N5" s="20" t="s">
        <v>69</v>
      </c>
      <c r="O5" s="19"/>
      <c r="P5" s="20"/>
      <c r="Q5" s="20" t="s">
        <v>69</v>
      </c>
      <c r="R5" s="19"/>
      <c r="S5" s="20"/>
      <c r="T5" s="20" t="s">
        <v>69</v>
      </c>
      <c r="U5" s="19"/>
      <c r="V5" s="20"/>
      <c r="W5" s="20" t="s">
        <v>69</v>
      </c>
      <c r="X5" s="19"/>
      <c r="Y5" s="20"/>
      <c r="Z5" s="20" t="s">
        <v>69</v>
      </c>
      <c r="AA5" s="19"/>
      <c r="AB5" s="20"/>
      <c r="AC5" s="20" t="s">
        <v>69</v>
      </c>
      <c r="AD5" s="19"/>
      <c r="AE5" s="20"/>
      <c r="AF5" s="20" t="s">
        <v>69</v>
      </c>
      <c r="AG5" s="19"/>
      <c r="AH5" s="20"/>
      <c r="AI5" s="20" t="s">
        <v>69</v>
      </c>
      <c r="AJ5" s="19"/>
      <c r="AK5" s="20"/>
      <c r="AL5" s="20" t="s">
        <v>69</v>
      </c>
      <c r="AM5" s="19"/>
      <c r="AN5" s="20"/>
      <c r="AO5" s="20" t="s">
        <v>69</v>
      </c>
      <c r="AP5" s="19"/>
      <c r="AQ5" s="20"/>
      <c r="AR5" s="20" t="s">
        <v>69</v>
      </c>
      <c r="AS5" s="19"/>
      <c r="AT5" s="20"/>
      <c r="AU5" s="20" t="s">
        <v>69</v>
      </c>
      <c r="AV5" s="66"/>
      <c r="AW5" s="67"/>
      <c r="AX5" s="20" t="s">
        <v>69</v>
      </c>
      <c r="AY5" s="19"/>
      <c r="AZ5" s="20"/>
      <c r="BA5" s="20" t="s">
        <v>69</v>
      </c>
      <c r="BB5" s="19"/>
      <c r="BC5" s="20"/>
      <c r="BD5" s="20" t="s">
        <v>69</v>
      </c>
      <c r="BE5" s="19"/>
      <c r="BF5" s="20"/>
      <c r="BG5" s="20" t="s">
        <v>69</v>
      </c>
      <c r="BH5" s="19"/>
      <c r="BI5" s="20"/>
      <c r="BJ5" s="20" t="s">
        <v>69</v>
      </c>
      <c r="BK5" s="19"/>
      <c r="BL5" s="20"/>
      <c r="BM5" s="20" t="s">
        <v>69</v>
      </c>
      <c r="BN5" s="19"/>
      <c r="BO5" s="20"/>
      <c r="BP5" s="20" t="s">
        <v>69</v>
      </c>
      <c r="BQ5" s="19"/>
      <c r="BR5" s="20"/>
      <c r="BS5" s="20" t="s">
        <v>69</v>
      </c>
      <c r="BT5" s="19"/>
      <c r="BU5" s="20"/>
      <c r="BV5" s="20" t="s">
        <v>69</v>
      </c>
      <c r="BW5" s="19"/>
      <c r="BX5" s="20"/>
      <c r="BY5" s="20" t="s">
        <v>69</v>
      </c>
      <c r="BZ5" s="19"/>
      <c r="CA5" s="20"/>
      <c r="CB5" s="20" t="s">
        <v>69</v>
      </c>
      <c r="CC5" s="19"/>
      <c r="CD5" s="20"/>
      <c r="CE5" s="20" t="s">
        <v>69</v>
      </c>
      <c r="CF5" s="19"/>
      <c r="CG5" s="20"/>
      <c r="CH5" s="20" t="s">
        <v>69</v>
      </c>
      <c r="CI5" s="19"/>
      <c r="CJ5" s="20"/>
      <c r="CK5" s="20" t="s">
        <v>69</v>
      </c>
      <c r="CL5" s="19"/>
      <c r="CM5" s="20"/>
      <c r="CN5" s="20" t="s">
        <v>69</v>
      </c>
      <c r="CO5" s="19"/>
      <c r="CP5" s="20"/>
      <c r="CQ5" s="20" t="s">
        <v>69</v>
      </c>
      <c r="CR5" s="19"/>
      <c r="CS5" s="20"/>
      <c r="CT5" s="20" t="s">
        <v>69</v>
      </c>
      <c r="CU5" s="19"/>
      <c r="CV5" s="20"/>
      <c r="CW5" s="20" t="s">
        <v>69</v>
      </c>
      <c r="CX5" s="19"/>
      <c r="CY5" s="20"/>
      <c r="CZ5" s="20" t="s">
        <v>69</v>
      </c>
      <c r="DA5" s="19"/>
      <c r="DB5" s="20"/>
      <c r="DC5" s="20" t="s">
        <v>69</v>
      </c>
      <c r="DD5" s="19"/>
      <c r="DE5" s="20"/>
      <c r="DF5" s="20" t="s">
        <v>69</v>
      </c>
      <c r="DG5" s="19"/>
      <c r="DH5" s="20"/>
      <c r="DI5" s="20" t="s">
        <v>69</v>
      </c>
      <c r="DJ5" s="19"/>
      <c r="DK5" s="20"/>
      <c r="DL5" s="20" t="s">
        <v>69</v>
      </c>
      <c r="DM5" s="19"/>
      <c r="DN5" s="20"/>
      <c r="DO5" s="20" t="s">
        <v>69</v>
      </c>
      <c r="DP5" s="19"/>
      <c r="DQ5" s="20"/>
      <c r="DR5" s="20" t="s">
        <v>69</v>
      </c>
      <c r="DS5" s="56" t="s">
        <v>0</v>
      </c>
      <c r="DT5" s="56" t="s">
        <v>70</v>
      </c>
      <c r="DU5" s="56" t="s">
        <v>69</v>
      </c>
      <c r="DV5" s="20" t="s">
        <v>69</v>
      </c>
      <c r="DW5" s="20"/>
      <c r="DX5" s="20" t="s">
        <v>71</v>
      </c>
      <c r="DY5" s="20" t="s">
        <v>72</v>
      </c>
      <c r="DZ5" s="20" t="s">
        <v>73</v>
      </c>
      <c r="EA5" s="20" t="s">
        <v>73</v>
      </c>
      <c r="EB5" s="20"/>
      <c r="EC5" s="20" t="s">
        <v>73</v>
      </c>
      <c r="ED5" s="20" t="s">
        <v>73</v>
      </c>
      <c r="EE5" s="20"/>
      <c r="EF5" s="20"/>
      <c r="EG5" s="20"/>
      <c r="EH5" s="20"/>
      <c r="EI5" s="20"/>
      <c r="EJ5" s="20"/>
      <c r="EK5" s="20"/>
      <c r="EL5" s="68"/>
      <c r="EM5" s="68"/>
      <c r="EN5" s="68"/>
      <c r="EO5" s="68"/>
      <c r="EP5" s="68"/>
      <c r="EQ5" s="68"/>
      <c r="ER5" s="68"/>
      <c r="ES5" s="68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70"/>
      <c r="FQ5" s="70"/>
      <c r="FR5" s="70"/>
      <c r="FS5" s="70"/>
      <c r="FT5" s="70"/>
      <c r="FU5" s="70"/>
      <c r="FV5" s="70"/>
    </row>
    <row r="6" spans="1:178" s="78" customFormat="1" x14ac:dyDescent="0.2">
      <c r="A6" s="72">
        <f>+BaseloadMarkets!A6</f>
        <v>36708</v>
      </c>
      <c r="B6" s="72" t="str">
        <f>+BaseloadMarkets!B6</f>
        <v>Sat</v>
      </c>
      <c r="C6" s="22">
        <v>5000</v>
      </c>
      <c r="D6" s="23">
        <v>5000</v>
      </c>
      <c r="E6" s="73">
        <f t="shared" ref="E6:E36" si="0">D6-C6</f>
        <v>0</v>
      </c>
      <c r="F6" s="22">
        <v>10000</v>
      </c>
      <c r="G6" s="23">
        <v>10000</v>
      </c>
      <c r="H6" s="73">
        <f t="shared" ref="H6:H36" si="1">G6-F6</f>
        <v>0</v>
      </c>
      <c r="I6" s="22">
        <f t="shared" ref="I6:J36" si="2">10000+10000</f>
        <v>20000</v>
      </c>
      <c r="J6" s="22">
        <f t="shared" si="2"/>
        <v>20000</v>
      </c>
      <c r="K6" s="73">
        <f t="shared" ref="K6:K36" si="3">J6-I6</f>
        <v>0</v>
      </c>
      <c r="L6" s="22"/>
      <c r="M6" s="23"/>
      <c r="N6" s="73">
        <f t="shared" ref="N6:N36" si="4">M6-L6</f>
        <v>0</v>
      </c>
      <c r="O6" s="22"/>
      <c r="P6" s="23"/>
      <c r="Q6" s="73">
        <f t="shared" ref="Q6:Q36" si="5">P6-O6</f>
        <v>0</v>
      </c>
      <c r="R6" s="22"/>
      <c r="S6" s="23"/>
      <c r="T6" s="73">
        <f t="shared" ref="T6:T36" si="6">S6-R6</f>
        <v>0</v>
      </c>
      <c r="U6" s="22"/>
      <c r="V6" s="23"/>
      <c r="W6" s="73">
        <f t="shared" ref="W6:W36" si="7">V6-U6</f>
        <v>0</v>
      </c>
      <c r="X6" s="22"/>
      <c r="Y6" s="23"/>
      <c r="Z6" s="73">
        <f t="shared" ref="Z6:Z36" si="8">Y6-X6</f>
        <v>0</v>
      </c>
      <c r="AA6" s="22"/>
      <c r="AB6" s="23"/>
      <c r="AC6" s="73">
        <f t="shared" ref="AC6:AC36" si="9">AB6-AA6</f>
        <v>0</v>
      </c>
      <c r="AD6" s="22"/>
      <c r="AE6" s="23"/>
      <c r="AF6" s="73">
        <f t="shared" ref="AF6:AF36" si="10">AE6-AD6</f>
        <v>0</v>
      </c>
      <c r="AG6" s="22"/>
      <c r="AH6" s="23"/>
      <c r="AI6" s="73">
        <f t="shared" ref="AI6:AI36" si="11">AH6-AG6</f>
        <v>0</v>
      </c>
      <c r="AJ6" s="22"/>
      <c r="AK6" s="23"/>
      <c r="AL6" s="73">
        <f t="shared" ref="AL6:AL36" si="12">AK6-AJ6</f>
        <v>0</v>
      </c>
      <c r="AM6" s="22"/>
      <c r="AN6" s="23"/>
      <c r="AO6" s="73">
        <f t="shared" ref="AO6:AO36" si="13">AN6-AM6</f>
        <v>0</v>
      </c>
      <c r="AP6" s="22"/>
      <c r="AQ6" s="23"/>
      <c r="AR6" s="73">
        <f t="shared" ref="AR6:AR36" si="14">AQ6-AP6</f>
        <v>0</v>
      </c>
      <c r="AS6" s="22"/>
      <c r="AT6" s="23"/>
      <c r="AU6" s="73">
        <f t="shared" ref="AU6:AU36" si="15">AT6-AS6</f>
        <v>0</v>
      </c>
      <c r="AV6" s="74">
        <f>170000-35000</f>
        <v>135000</v>
      </c>
      <c r="AW6" s="75">
        <v>119643</v>
      </c>
      <c r="AX6" s="73">
        <f t="shared" ref="AX6:AX36" si="16">AW6-AV6</f>
        <v>-15357</v>
      </c>
      <c r="AY6" s="22"/>
      <c r="AZ6" s="23"/>
      <c r="BA6" s="73">
        <f t="shared" ref="BA6:BA36" si="17">AZ6-AY6</f>
        <v>0</v>
      </c>
      <c r="BB6" s="22"/>
      <c r="BC6" s="23"/>
      <c r="BD6" s="73">
        <f t="shared" ref="BD6:BD36" si="18">BC6-BB6</f>
        <v>0</v>
      </c>
      <c r="BE6" s="22"/>
      <c r="BF6" s="23"/>
      <c r="BG6" s="73">
        <f t="shared" ref="BG6:BG36" si="19">BF6-BE6</f>
        <v>0</v>
      </c>
      <c r="BH6" s="22"/>
      <c r="BI6" s="23"/>
      <c r="BJ6" s="73">
        <f t="shared" ref="BJ6:BJ36" si="20">BI6-BH6</f>
        <v>0</v>
      </c>
      <c r="BK6" s="22"/>
      <c r="BL6" s="23"/>
      <c r="BM6" s="73">
        <f t="shared" ref="BM6:BM36" si="21">BL6-BK6</f>
        <v>0</v>
      </c>
      <c r="BN6" s="22"/>
      <c r="BO6" s="23"/>
      <c r="BP6" s="73">
        <f t="shared" ref="BP6:BP36" si="22">BO6-BN6</f>
        <v>0</v>
      </c>
      <c r="BQ6" s="22"/>
      <c r="BR6" s="23"/>
      <c r="BS6" s="73">
        <f t="shared" ref="BS6:BS36" si="23">BR6-BQ6</f>
        <v>0</v>
      </c>
      <c r="BT6" s="22"/>
      <c r="BU6" s="23"/>
      <c r="BV6" s="73">
        <f t="shared" ref="BV6:BV36" si="24">BU6-BT6</f>
        <v>0</v>
      </c>
      <c r="BW6" s="22"/>
      <c r="BX6" s="23"/>
      <c r="BY6" s="73">
        <f t="shared" ref="BY6:BY36" si="25">BX6-BW6</f>
        <v>0</v>
      </c>
      <c r="BZ6" s="22"/>
      <c r="CA6" s="23"/>
      <c r="CB6" s="73">
        <f t="shared" ref="CB6:CB36" si="26">CA6-BZ6</f>
        <v>0</v>
      </c>
      <c r="CC6" s="22"/>
      <c r="CD6" s="23"/>
      <c r="CE6" s="73">
        <f t="shared" ref="CE6:CE36" si="27">CD6-CC6</f>
        <v>0</v>
      </c>
      <c r="CF6" s="22"/>
      <c r="CG6" s="23"/>
      <c r="CH6" s="73">
        <f t="shared" ref="CH6:CH36" si="28">CG6-CF6</f>
        <v>0</v>
      </c>
      <c r="CI6" s="22"/>
      <c r="CJ6" s="23"/>
      <c r="CK6" s="73">
        <f t="shared" ref="CK6:CK36" si="29">CJ6-CI6</f>
        <v>0</v>
      </c>
      <c r="CL6" s="22"/>
      <c r="CM6" s="23"/>
      <c r="CN6" s="73">
        <f t="shared" ref="CN6:CN36" si="30">CM6-CL6</f>
        <v>0</v>
      </c>
      <c r="CO6" s="22"/>
      <c r="CP6" s="23"/>
      <c r="CQ6" s="73">
        <f t="shared" ref="CQ6:CQ36" si="31">CP6-CO6</f>
        <v>0</v>
      </c>
      <c r="CR6" s="22"/>
      <c r="CS6" s="23"/>
      <c r="CT6" s="73">
        <f t="shared" ref="CT6:CT36" si="32">CS6-CR6</f>
        <v>0</v>
      </c>
      <c r="CU6" s="22"/>
      <c r="CV6" s="23"/>
      <c r="CW6" s="73">
        <f t="shared" ref="CW6:CW36" si="33">CV6-CU6</f>
        <v>0</v>
      </c>
      <c r="CX6" s="22"/>
      <c r="CY6" s="23"/>
      <c r="CZ6" s="73">
        <f t="shared" ref="CZ6:CZ36" si="34">CY6-CX6</f>
        <v>0</v>
      </c>
      <c r="DA6" s="22"/>
      <c r="DB6" s="23"/>
      <c r="DC6" s="73">
        <f t="shared" ref="DC6:DC36" si="35">DB6-DA6</f>
        <v>0</v>
      </c>
      <c r="DD6" s="22"/>
      <c r="DE6" s="23"/>
      <c r="DF6" s="73">
        <f t="shared" ref="DF6:DF36" si="36">DE6-DD6</f>
        <v>0</v>
      </c>
      <c r="DG6" s="22"/>
      <c r="DH6" s="23"/>
      <c r="DI6" s="73">
        <f t="shared" ref="DI6:DI36" si="37">DH6-DG6</f>
        <v>0</v>
      </c>
      <c r="DJ6" s="22"/>
      <c r="DK6" s="23"/>
      <c r="DL6" s="73">
        <f t="shared" ref="DL6:DL36" si="38">DK6-DJ6</f>
        <v>0</v>
      </c>
      <c r="DM6" s="22"/>
      <c r="DN6" s="23"/>
      <c r="DO6" s="73">
        <f t="shared" ref="DO6:DO36" si="39">DN6-DM6</f>
        <v>0</v>
      </c>
      <c r="DP6" s="22"/>
      <c r="DQ6" s="23"/>
      <c r="DR6" s="73">
        <f t="shared" ref="DR6:DR36" si="40">DQ6-DP6</f>
        <v>0</v>
      </c>
      <c r="DS6" s="73">
        <f t="shared" ref="DS6:DS36" si="41">+C6+F6+I6+L6+O6+R6+U6+X6+AA6+AD6+AG6+AJ6+AM6+AP6+AS6+AV6+AY6+BB6+BE6+BH6+BK6+BN6+BQ6+BT6+BW6+BZ6+CC6+CF6+CI6+CL6+CO6+CR6+CU6+CX6+DA6+DD6+DG6+DJ6+DM6+DP6</f>
        <v>170000</v>
      </c>
      <c r="DT6" s="73">
        <f t="shared" ref="DT6:DT36" si="42">+D6+G6+J6+M6+P6+S6+V6+Y6+AB6+AE6+AH6+AK6+AN6+AQ6+AT6+AW6+AZ6+BC6+BF6+BI6+BL6+BO6+BR6+BU6+BX6+CA6+CD6+CG6+CJ6+CM6+CP6+CS6+CV6+CY6+DB6+DE6+DH6+DK6+DN6+DQ6</f>
        <v>154643</v>
      </c>
      <c r="DU6" s="73">
        <f t="shared" ref="DU6:DU36" si="43">DT6-DS6</f>
        <v>-15357</v>
      </c>
      <c r="DV6" s="23">
        <f>+DU6</f>
        <v>-15357</v>
      </c>
      <c r="DW6" s="23"/>
      <c r="DX6" s="73">
        <f t="shared" ref="DX6:DX36" si="44">+DS6-AV6</f>
        <v>35000</v>
      </c>
      <c r="DY6" s="73">
        <f t="shared" ref="DY6:DY36" si="45">+DT6-AW6</f>
        <v>35000</v>
      </c>
      <c r="DZ6" s="23">
        <f t="shared" ref="DZ6:DZ36" si="46">+DY6-DX6</f>
        <v>0</v>
      </c>
      <c r="EA6" s="23">
        <f>+DZ6</f>
        <v>0</v>
      </c>
      <c r="EB6" s="23"/>
      <c r="EC6" s="23">
        <f t="shared" ref="EC6:EC36" si="47">+AX6</f>
        <v>-15357</v>
      </c>
      <c r="ED6" s="23">
        <f t="shared" ref="ED6:ED36" si="48">+EC6</f>
        <v>-15357</v>
      </c>
      <c r="EE6" s="23"/>
      <c r="EF6" s="23"/>
      <c r="EG6" s="23"/>
      <c r="EH6" s="23"/>
      <c r="EI6" s="23"/>
      <c r="EJ6" s="23"/>
      <c r="EK6" s="23"/>
      <c r="EL6" s="40"/>
      <c r="EM6" s="40"/>
      <c r="EN6" s="40"/>
      <c r="EO6" s="40"/>
      <c r="EP6" s="40"/>
      <c r="EQ6" s="40"/>
      <c r="ER6" s="40"/>
      <c r="ES6" s="40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/>
      <c r="FF6" s="76"/>
      <c r="FG6" s="76"/>
      <c r="FH6" s="76"/>
      <c r="FI6" s="76"/>
      <c r="FJ6" s="76"/>
      <c r="FK6" s="76"/>
      <c r="FL6" s="76"/>
      <c r="FM6" s="76"/>
      <c r="FN6" s="76"/>
      <c r="FO6" s="76"/>
      <c r="FP6" s="77"/>
      <c r="FQ6" s="77"/>
      <c r="FR6" s="77"/>
      <c r="FS6" s="77"/>
      <c r="FT6" s="77"/>
      <c r="FU6" s="77"/>
      <c r="FV6" s="77"/>
    </row>
    <row r="7" spans="1:178" s="78" customFormat="1" x14ac:dyDescent="0.2">
      <c r="A7" s="72">
        <f>+BaseloadMarkets!A7</f>
        <v>36709</v>
      </c>
      <c r="B7" s="72" t="str">
        <f>+BaseloadMarkets!B7</f>
        <v>Sun</v>
      </c>
      <c r="C7" s="22">
        <v>5000</v>
      </c>
      <c r="D7" s="23">
        <v>5000</v>
      </c>
      <c r="E7" s="73">
        <f t="shared" si="0"/>
        <v>0</v>
      </c>
      <c r="F7" s="22">
        <v>10000</v>
      </c>
      <c r="G7" s="23">
        <v>10000</v>
      </c>
      <c r="H7" s="73">
        <f t="shared" si="1"/>
        <v>0</v>
      </c>
      <c r="I7" s="22">
        <f t="shared" si="2"/>
        <v>20000</v>
      </c>
      <c r="J7" s="22">
        <f t="shared" si="2"/>
        <v>20000</v>
      </c>
      <c r="K7" s="73">
        <f t="shared" si="3"/>
        <v>0</v>
      </c>
      <c r="L7" s="22"/>
      <c r="M7" s="23"/>
      <c r="N7" s="73">
        <f t="shared" si="4"/>
        <v>0</v>
      </c>
      <c r="O7" s="22"/>
      <c r="P7" s="23"/>
      <c r="Q7" s="73">
        <f t="shared" si="5"/>
        <v>0</v>
      </c>
      <c r="R7" s="22"/>
      <c r="S7" s="23"/>
      <c r="T7" s="73">
        <f t="shared" si="6"/>
        <v>0</v>
      </c>
      <c r="U7" s="22"/>
      <c r="V7" s="23"/>
      <c r="W7" s="73">
        <f t="shared" si="7"/>
        <v>0</v>
      </c>
      <c r="X7" s="22"/>
      <c r="Y7" s="23"/>
      <c r="Z7" s="73">
        <f t="shared" si="8"/>
        <v>0</v>
      </c>
      <c r="AA7" s="22"/>
      <c r="AB7" s="23"/>
      <c r="AC7" s="73">
        <f t="shared" si="9"/>
        <v>0</v>
      </c>
      <c r="AD7" s="22"/>
      <c r="AE7" s="23"/>
      <c r="AF7" s="73">
        <f t="shared" si="10"/>
        <v>0</v>
      </c>
      <c r="AG7" s="22"/>
      <c r="AH7" s="23"/>
      <c r="AI7" s="73">
        <f t="shared" si="11"/>
        <v>0</v>
      </c>
      <c r="AJ7" s="22"/>
      <c r="AK7" s="23"/>
      <c r="AL7" s="73">
        <f t="shared" si="12"/>
        <v>0</v>
      </c>
      <c r="AM7" s="22"/>
      <c r="AN7" s="23"/>
      <c r="AO7" s="73">
        <f t="shared" si="13"/>
        <v>0</v>
      </c>
      <c r="AP7" s="22"/>
      <c r="AQ7" s="23"/>
      <c r="AR7" s="73">
        <f t="shared" si="14"/>
        <v>0</v>
      </c>
      <c r="AS7" s="22"/>
      <c r="AT7" s="23"/>
      <c r="AU7" s="73">
        <f t="shared" si="15"/>
        <v>0</v>
      </c>
      <c r="AV7" s="74">
        <f>170000-35000</f>
        <v>135000</v>
      </c>
      <c r="AW7" s="75">
        <v>118323</v>
      </c>
      <c r="AX7" s="73">
        <f t="shared" si="16"/>
        <v>-16677</v>
      </c>
      <c r="AY7" s="22"/>
      <c r="AZ7" s="23"/>
      <c r="BA7" s="73">
        <f t="shared" si="17"/>
        <v>0</v>
      </c>
      <c r="BB7" s="22"/>
      <c r="BC7" s="23"/>
      <c r="BD7" s="73">
        <f t="shared" si="18"/>
        <v>0</v>
      </c>
      <c r="BE7" s="22"/>
      <c r="BF7" s="23"/>
      <c r="BG7" s="73">
        <f t="shared" si="19"/>
        <v>0</v>
      </c>
      <c r="BH7" s="22"/>
      <c r="BI7" s="23"/>
      <c r="BJ7" s="73">
        <f t="shared" si="20"/>
        <v>0</v>
      </c>
      <c r="BK7" s="22"/>
      <c r="BL7" s="23"/>
      <c r="BM7" s="73">
        <f t="shared" si="21"/>
        <v>0</v>
      </c>
      <c r="BN7" s="22"/>
      <c r="BO7" s="23"/>
      <c r="BP7" s="73">
        <f t="shared" si="22"/>
        <v>0</v>
      </c>
      <c r="BQ7" s="22"/>
      <c r="BR7" s="23"/>
      <c r="BS7" s="73">
        <f t="shared" si="23"/>
        <v>0</v>
      </c>
      <c r="BT7" s="22"/>
      <c r="BU7" s="23"/>
      <c r="BV7" s="73">
        <f t="shared" si="24"/>
        <v>0</v>
      </c>
      <c r="BW7" s="22"/>
      <c r="BX7" s="23"/>
      <c r="BY7" s="73">
        <f t="shared" si="25"/>
        <v>0</v>
      </c>
      <c r="BZ7" s="22"/>
      <c r="CA7" s="23"/>
      <c r="CB7" s="73">
        <f t="shared" si="26"/>
        <v>0</v>
      </c>
      <c r="CC7" s="22"/>
      <c r="CD7" s="23"/>
      <c r="CE7" s="73">
        <f t="shared" si="27"/>
        <v>0</v>
      </c>
      <c r="CF7" s="22"/>
      <c r="CG7" s="23"/>
      <c r="CH7" s="73">
        <f t="shared" si="28"/>
        <v>0</v>
      </c>
      <c r="CI7" s="22"/>
      <c r="CJ7" s="23"/>
      <c r="CK7" s="73">
        <f t="shared" si="29"/>
        <v>0</v>
      </c>
      <c r="CL7" s="22"/>
      <c r="CM7" s="23"/>
      <c r="CN7" s="73">
        <f t="shared" si="30"/>
        <v>0</v>
      </c>
      <c r="CO7" s="22"/>
      <c r="CP7" s="23"/>
      <c r="CQ7" s="73">
        <f t="shared" si="31"/>
        <v>0</v>
      </c>
      <c r="CR7" s="22"/>
      <c r="CS7" s="23"/>
      <c r="CT7" s="73">
        <f t="shared" si="32"/>
        <v>0</v>
      </c>
      <c r="CU7" s="22"/>
      <c r="CV7" s="23"/>
      <c r="CW7" s="73">
        <f t="shared" si="33"/>
        <v>0</v>
      </c>
      <c r="CX7" s="22"/>
      <c r="CY7" s="23"/>
      <c r="CZ7" s="73">
        <f t="shared" si="34"/>
        <v>0</v>
      </c>
      <c r="DA7" s="22"/>
      <c r="DB7" s="23"/>
      <c r="DC7" s="73">
        <f t="shared" si="35"/>
        <v>0</v>
      </c>
      <c r="DD7" s="22"/>
      <c r="DE7" s="23"/>
      <c r="DF7" s="73">
        <f t="shared" si="36"/>
        <v>0</v>
      </c>
      <c r="DG7" s="22"/>
      <c r="DH7" s="23"/>
      <c r="DI7" s="73">
        <f t="shared" si="37"/>
        <v>0</v>
      </c>
      <c r="DJ7" s="22"/>
      <c r="DK7" s="23"/>
      <c r="DL7" s="73">
        <f t="shared" si="38"/>
        <v>0</v>
      </c>
      <c r="DM7" s="22"/>
      <c r="DN7" s="23"/>
      <c r="DO7" s="73">
        <f t="shared" si="39"/>
        <v>0</v>
      </c>
      <c r="DP7" s="22"/>
      <c r="DQ7" s="23"/>
      <c r="DR7" s="73">
        <f t="shared" si="40"/>
        <v>0</v>
      </c>
      <c r="DS7" s="73">
        <f t="shared" si="41"/>
        <v>170000</v>
      </c>
      <c r="DT7" s="73">
        <f t="shared" si="42"/>
        <v>153323</v>
      </c>
      <c r="DU7" s="73">
        <f t="shared" si="43"/>
        <v>-16677</v>
      </c>
      <c r="DV7" s="23">
        <f t="shared" ref="DV7:DV36" si="49">+DV6+DU7</f>
        <v>-32034</v>
      </c>
      <c r="DW7" s="23"/>
      <c r="DX7" s="73">
        <f t="shared" si="44"/>
        <v>35000</v>
      </c>
      <c r="DY7" s="73">
        <f t="shared" si="45"/>
        <v>35000</v>
      </c>
      <c r="DZ7" s="23">
        <f t="shared" si="46"/>
        <v>0</v>
      </c>
      <c r="EA7" s="23">
        <f t="shared" ref="EA7:EA36" si="50">+EA6+DZ7</f>
        <v>0</v>
      </c>
      <c r="EB7" s="23"/>
      <c r="EC7" s="23">
        <f t="shared" si="47"/>
        <v>-16677</v>
      </c>
      <c r="ED7" s="23">
        <f t="shared" si="48"/>
        <v>-16677</v>
      </c>
      <c r="EE7" s="23"/>
      <c r="EF7" s="23"/>
      <c r="EG7" s="23"/>
      <c r="EH7" s="23"/>
      <c r="EI7" s="23"/>
      <c r="EJ7" s="23"/>
      <c r="EK7" s="23"/>
      <c r="EL7" s="40"/>
      <c r="EM7" s="40"/>
      <c r="EN7" s="40"/>
      <c r="EO7" s="40"/>
      <c r="EP7" s="40"/>
      <c r="EQ7" s="40"/>
      <c r="ER7" s="40"/>
      <c r="ES7" s="40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7"/>
      <c r="FQ7" s="77"/>
      <c r="FR7" s="77"/>
      <c r="FS7" s="77"/>
      <c r="FT7" s="77"/>
      <c r="FU7" s="77"/>
      <c r="FV7" s="77"/>
    </row>
    <row r="8" spans="1:178" x14ac:dyDescent="0.2">
      <c r="A8" s="72">
        <f>+BaseloadMarkets!A8</f>
        <v>36710</v>
      </c>
      <c r="B8" s="72" t="str">
        <f>+BaseloadMarkets!B8</f>
        <v>Mon</v>
      </c>
      <c r="C8" s="22">
        <v>5000</v>
      </c>
      <c r="D8" s="23">
        <v>5000</v>
      </c>
      <c r="E8" s="73">
        <f t="shared" si="0"/>
        <v>0</v>
      </c>
      <c r="F8" s="22">
        <v>10000</v>
      </c>
      <c r="G8" s="23">
        <v>10000</v>
      </c>
      <c r="H8" s="73">
        <f t="shared" si="1"/>
        <v>0</v>
      </c>
      <c r="I8" s="22">
        <f t="shared" si="2"/>
        <v>20000</v>
      </c>
      <c r="J8" s="22">
        <f t="shared" si="2"/>
        <v>20000</v>
      </c>
      <c r="K8" s="73">
        <f t="shared" si="3"/>
        <v>0</v>
      </c>
      <c r="L8" s="22"/>
      <c r="M8" s="23"/>
      <c r="N8" s="73">
        <f t="shared" si="4"/>
        <v>0</v>
      </c>
      <c r="O8" s="22"/>
      <c r="P8" s="23"/>
      <c r="Q8" s="73">
        <f t="shared" si="5"/>
        <v>0</v>
      </c>
      <c r="R8" s="22"/>
      <c r="S8" s="23"/>
      <c r="T8" s="73">
        <f t="shared" si="6"/>
        <v>0</v>
      </c>
      <c r="U8" s="22"/>
      <c r="V8" s="23"/>
      <c r="W8" s="73">
        <f t="shared" si="7"/>
        <v>0</v>
      </c>
      <c r="X8" s="22"/>
      <c r="Y8" s="23"/>
      <c r="Z8" s="73">
        <f t="shared" si="8"/>
        <v>0</v>
      </c>
      <c r="AA8" s="22"/>
      <c r="AB8" s="23"/>
      <c r="AC8" s="73">
        <f t="shared" si="9"/>
        <v>0</v>
      </c>
      <c r="AD8" s="22"/>
      <c r="AE8" s="23"/>
      <c r="AF8" s="73">
        <f t="shared" si="10"/>
        <v>0</v>
      </c>
      <c r="AG8" s="22"/>
      <c r="AH8" s="23"/>
      <c r="AI8" s="73">
        <f t="shared" si="11"/>
        <v>0</v>
      </c>
      <c r="AJ8" s="22"/>
      <c r="AK8" s="23"/>
      <c r="AL8" s="73">
        <f t="shared" si="12"/>
        <v>0</v>
      </c>
      <c r="AM8" s="22"/>
      <c r="AN8" s="23"/>
      <c r="AO8" s="73">
        <f t="shared" si="13"/>
        <v>0</v>
      </c>
      <c r="AP8" s="22"/>
      <c r="AQ8" s="23"/>
      <c r="AR8" s="73">
        <f t="shared" si="14"/>
        <v>0</v>
      </c>
      <c r="AS8" s="22"/>
      <c r="AT8" s="23"/>
      <c r="AU8" s="73">
        <f t="shared" si="15"/>
        <v>0</v>
      </c>
      <c r="AV8" s="74">
        <f>170000-35000</f>
        <v>135000</v>
      </c>
      <c r="AW8" s="75">
        <v>118999</v>
      </c>
      <c r="AX8" s="73">
        <f t="shared" si="16"/>
        <v>-16001</v>
      </c>
      <c r="AY8" s="22"/>
      <c r="AZ8" s="23"/>
      <c r="BA8" s="73">
        <f t="shared" si="17"/>
        <v>0</v>
      </c>
      <c r="BB8" s="22"/>
      <c r="BC8" s="23"/>
      <c r="BD8" s="73">
        <f t="shared" si="18"/>
        <v>0</v>
      </c>
      <c r="BE8" s="22"/>
      <c r="BF8" s="23"/>
      <c r="BG8" s="73">
        <f t="shared" si="19"/>
        <v>0</v>
      </c>
      <c r="BH8" s="22"/>
      <c r="BI8" s="23"/>
      <c r="BJ8" s="73">
        <f t="shared" si="20"/>
        <v>0</v>
      </c>
      <c r="BK8" s="22"/>
      <c r="BL8" s="23"/>
      <c r="BM8" s="73">
        <f t="shared" si="21"/>
        <v>0</v>
      </c>
      <c r="BN8" s="22"/>
      <c r="BO8" s="23"/>
      <c r="BP8" s="73">
        <f t="shared" si="22"/>
        <v>0</v>
      </c>
      <c r="BQ8" s="22"/>
      <c r="BR8" s="23"/>
      <c r="BS8" s="73">
        <f t="shared" si="23"/>
        <v>0</v>
      </c>
      <c r="BT8" s="22"/>
      <c r="BU8" s="23"/>
      <c r="BV8" s="73">
        <f t="shared" si="24"/>
        <v>0</v>
      </c>
      <c r="BW8" s="22"/>
      <c r="BX8" s="23"/>
      <c r="BY8" s="73">
        <f t="shared" si="25"/>
        <v>0</v>
      </c>
      <c r="BZ8" s="22"/>
      <c r="CA8" s="23"/>
      <c r="CB8" s="73">
        <f t="shared" si="26"/>
        <v>0</v>
      </c>
      <c r="CC8" s="22"/>
      <c r="CD8" s="23"/>
      <c r="CE8" s="73">
        <f t="shared" si="27"/>
        <v>0</v>
      </c>
      <c r="CF8" s="22"/>
      <c r="CG8" s="23"/>
      <c r="CH8" s="73">
        <f t="shared" si="28"/>
        <v>0</v>
      </c>
      <c r="CI8" s="22"/>
      <c r="CJ8" s="23"/>
      <c r="CK8" s="73">
        <f t="shared" si="29"/>
        <v>0</v>
      </c>
      <c r="CL8" s="22"/>
      <c r="CM8" s="23"/>
      <c r="CN8" s="73">
        <f t="shared" si="30"/>
        <v>0</v>
      </c>
      <c r="CO8" s="22"/>
      <c r="CP8" s="23"/>
      <c r="CQ8" s="73">
        <f t="shared" si="31"/>
        <v>0</v>
      </c>
      <c r="CR8" s="22"/>
      <c r="CS8" s="23"/>
      <c r="CT8" s="73">
        <f t="shared" si="32"/>
        <v>0</v>
      </c>
      <c r="CU8" s="22"/>
      <c r="CV8" s="23"/>
      <c r="CW8" s="73">
        <f t="shared" si="33"/>
        <v>0</v>
      </c>
      <c r="CX8" s="22"/>
      <c r="CY8" s="23"/>
      <c r="CZ8" s="73">
        <f t="shared" si="34"/>
        <v>0</v>
      </c>
      <c r="DA8" s="22"/>
      <c r="DB8" s="23"/>
      <c r="DC8" s="73">
        <f t="shared" si="35"/>
        <v>0</v>
      </c>
      <c r="DD8" s="22"/>
      <c r="DE8" s="23"/>
      <c r="DF8" s="73">
        <f t="shared" si="36"/>
        <v>0</v>
      </c>
      <c r="DG8" s="22"/>
      <c r="DH8" s="23"/>
      <c r="DI8" s="73">
        <f t="shared" si="37"/>
        <v>0</v>
      </c>
      <c r="DJ8" s="22"/>
      <c r="DK8" s="23"/>
      <c r="DL8" s="73">
        <f t="shared" si="38"/>
        <v>0</v>
      </c>
      <c r="DM8" s="22"/>
      <c r="DN8" s="23"/>
      <c r="DO8" s="73">
        <f t="shared" si="39"/>
        <v>0</v>
      </c>
      <c r="DP8" s="22"/>
      <c r="DQ8" s="23"/>
      <c r="DR8" s="73">
        <f t="shared" si="40"/>
        <v>0</v>
      </c>
      <c r="DS8" s="73">
        <f t="shared" si="41"/>
        <v>170000</v>
      </c>
      <c r="DT8" s="73">
        <f t="shared" si="42"/>
        <v>153999</v>
      </c>
      <c r="DU8" s="73">
        <f t="shared" si="43"/>
        <v>-16001</v>
      </c>
      <c r="DV8" s="23">
        <f t="shared" si="49"/>
        <v>-48035</v>
      </c>
      <c r="DW8" s="79"/>
      <c r="DX8" s="73">
        <f t="shared" si="44"/>
        <v>35000</v>
      </c>
      <c r="DY8" s="73">
        <f t="shared" si="45"/>
        <v>35000</v>
      </c>
      <c r="DZ8" s="23">
        <f t="shared" si="46"/>
        <v>0</v>
      </c>
      <c r="EA8" s="23">
        <f t="shared" si="50"/>
        <v>0</v>
      </c>
      <c r="EB8" s="79"/>
      <c r="EC8" s="23">
        <f t="shared" si="47"/>
        <v>-16001</v>
      </c>
      <c r="ED8" s="23">
        <f t="shared" si="48"/>
        <v>-16001</v>
      </c>
      <c r="EE8" s="79"/>
      <c r="EF8" s="79"/>
      <c r="EG8" s="79"/>
      <c r="EH8" s="79"/>
      <c r="EI8" s="79"/>
      <c r="EJ8" s="79"/>
      <c r="EK8" s="79"/>
    </row>
    <row r="9" spans="1:178" x14ac:dyDescent="0.2">
      <c r="A9" s="72">
        <f>+BaseloadMarkets!A9</f>
        <v>36711</v>
      </c>
      <c r="B9" s="72" t="str">
        <f>+BaseloadMarkets!B9</f>
        <v>Tues</v>
      </c>
      <c r="C9" s="22">
        <v>5000</v>
      </c>
      <c r="D9" s="23">
        <v>5000</v>
      </c>
      <c r="E9" s="73">
        <f t="shared" si="0"/>
        <v>0</v>
      </c>
      <c r="F9" s="22">
        <v>10000</v>
      </c>
      <c r="G9" s="23">
        <v>10000</v>
      </c>
      <c r="H9" s="73">
        <f t="shared" si="1"/>
        <v>0</v>
      </c>
      <c r="I9" s="22">
        <f t="shared" si="2"/>
        <v>20000</v>
      </c>
      <c r="J9" s="22">
        <f t="shared" si="2"/>
        <v>20000</v>
      </c>
      <c r="K9" s="73">
        <f t="shared" si="3"/>
        <v>0</v>
      </c>
      <c r="L9" s="22"/>
      <c r="M9" s="23"/>
      <c r="N9" s="73">
        <f t="shared" si="4"/>
        <v>0</v>
      </c>
      <c r="O9" s="22"/>
      <c r="P9" s="23"/>
      <c r="Q9" s="73">
        <f t="shared" si="5"/>
        <v>0</v>
      </c>
      <c r="R9" s="22"/>
      <c r="S9" s="23"/>
      <c r="T9" s="73">
        <f t="shared" si="6"/>
        <v>0</v>
      </c>
      <c r="U9" s="22"/>
      <c r="V9" s="23"/>
      <c r="W9" s="73">
        <f t="shared" si="7"/>
        <v>0</v>
      </c>
      <c r="X9" s="22"/>
      <c r="Y9" s="23"/>
      <c r="Z9" s="73">
        <f t="shared" si="8"/>
        <v>0</v>
      </c>
      <c r="AA9" s="22"/>
      <c r="AB9" s="23"/>
      <c r="AC9" s="73">
        <f t="shared" si="9"/>
        <v>0</v>
      </c>
      <c r="AD9" s="22"/>
      <c r="AE9" s="23"/>
      <c r="AF9" s="73">
        <f t="shared" si="10"/>
        <v>0</v>
      </c>
      <c r="AG9" s="22"/>
      <c r="AH9" s="23"/>
      <c r="AI9" s="73">
        <f t="shared" si="11"/>
        <v>0</v>
      </c>
      <c r="AJ9" s="22"/>
      <c r="AK9" s="23"/>
      <c r="AL9" s="73">
        <f t="shared" si="12"/>
        <v>0</v>
      </c>
      <c r="AM9" s="22"/>
      <c r="AN9" s="23"/>
      <c r="AO9" s="73">
        <f t="shared" si="13"/>
        <v>0</v>
      </c>
      <c r="AP9" s="22"/>
      <c r="AQ9" s="23"/>
      <c r="AR9" s="73">
        <f t="shared" si="14"/>
        <v>0</v>
      </c>
      <c r="AS9" s="22"/>
      <c r="AT9" s="23"/>
      <c r="AU9" s="73">
        <f t="shared" si="15"/>
        <v>0</v>
      </c>
      <c r="AV9" s="74">
        <f>170000-35000</f>
        <v>135000</v>
      </c>
      <c r="AW9" s="75">
        <v>117957</v>
      </c>
      <c r="AX9" s="73">
        <f t="shared" si="16"/>
        <v>-17043</v>
      </c>
      <c r="AY9" s="22"/>
      <c r="AZ9" s="23"/>
      <c r="BA9" s="73">
        <f t="shared" si="17"/>
        <v>0</v>
      </c>
      <c r="BB9" s="22"/>
      <c r="BC9" s="23"/>
      <c r="BD9" s="73">
        <f t="shared" si="18"/>
        <v>0</v>
      </c>
      <c r="BE9" s="22"/>
      <c r="BF9" s="23"/>
      <c r="BG9" s="73">
        <f t="shared" si="19"/>
        <v>0</v>
      </c>
      <c r="BH9" s="22"/>
      <c r="BI9" s="23"/>
      <c r="BJ9" s="73">
        <f t="shared" si="20"/>
        <v>0</v>
      </c>
      <c r="BK9" s="22"/>
      <c r="BL9" s="23"/>
      <c r="BM9" s="73">
        <f t="shared" si="21"/>
        <v>0</v>
      </c>
      <c r="BN9" s="22"/>
      <c r="BO9" s="23"/>
      <c r="BP9" s="73">
        <f t="shared" si="22"/>
        <v>0</v>
      </c>
      <c r="BQ9" s="22"/>
      <c r="BR9" s="23"/>
      <c r="BS9" s="73">
        <f t="shared" si="23"/>
        <v>0</v>
      </c>
      <c r="BT9" s="22"/>
      <c r="BU9" s="23"/>
      <c r="BV9" s="73">
        <f t="shared" si="24"/>
        <v>0</v>
      </c>
      <c r="BW9" s="22"/>
      <c r="BX9" s="23"/>
      <c r="BY9" s="73">
        <f t="shared" si="25"/>
        <v>0</v>
      </c>
      <c r="BZ9" s="22"/>
      <c r="CA9" s="23"/>
      <c r="CB9" s="73">
        <f t="shared" si="26"/>
        <v>0</v>
      </c>
      <c r="CC9" s="22"/>
      <c r="CD9" s="23"/>
      <c r="CE9" s="73">
        <f t="shared" si="27"/>
        <v>0</v>
      </c>
      <c r="CF9" s="22"/>
      <c r="CG9" s="23"/>
      <c r="CH9" s="73">
        <f t="shared" si="28"/>
        <v>0</v>
      </c>
      <c r="CI9" s="22"/>
      <c r="CJ9" s="23"/>
      <c r="CK9" s="73">
        <f t="shared" si="29"/>
        <v>0</v>
      </c>
      <c r="CL9" s="22"/>
      <c r="CM9" s="23"/>
      <c r="CN9" s="73">
        <f t="shared" si="30"/>
        <v>0</v>
      </c>
      <c r="CO9" s="22"/>
      <c r="CP9" s="23"/>
      <c r="CQ9" s="73">
        <f t="shared" si="31"/>
        <v>0</v>
      </c>
      <c r="CR9" s="22"/>
      <c r="CS9" s="23"/>
      <c r="CT9" s="73">
        <f t="shared" si="32"/>
        <v>0</v>
      </c>
      <c r="CU9" s="22"/>
      <c r="CV9" s="23"/>
      <c r="CW9" s="73">
        <f t="shared" si="33"/>
        <v>0</v>
      </c>
      <c r="CX9" s="22"/>
      <c r="CY9" s="23"/>
      <c r="CZ9" s="73">
        <f t="shared" si="34"/>
        <v>0</v>
      </c>
      <c r="DA9" s="22"/>
      <c r="DB9" s="23"/>
      <c r="DC9" s="73">
        <f t="shared" si="35"/>
        <v>0</v>
      </c>
      <c r="DD9" s="22"/>
      <c r="DE9" s="23"/>
      <c r="DF9" s="73">
        <f t="shared" si="36"/>
        <v>0</v>
      </c>
      <c r="DG9" s="22"/>
      <c r="DH9" s="23"/>
      <c r="DI9" s="73">
        <f t="shared" si="37"/>
        <v>0</v>
      </c>
      <c r="DJ9" s="22"/>
      <c r="DK9" s="23"/>
      <c r="DL9" s="73">
        <f t="shared" si="38"/>
        <v>0</v>
      </c>
      <c r="DM9" s="22"/>
      <c r="DN9" s="23"/>
      <c r="DO9" s="73">
        <f t="shared" si="39"/>
        <v>0</v>
      </c>
      <c r="DP9" s="22"/>
      <c r="DQ9" s="23"/>
      <c r="DR9" s="73">
        <f t="shared" si="40"/>
        <v>0</v>
      </c>
      <c r="DS9" s="73">
        <f t="shared" si="41"/>
        <v>170000</v>
      </c>
      <c r="DT9" s="73">
        <f t="shared" si="42"/>
        <v>152957</v>
      </c>
      <c r="DU9" s="73">
        <f t="shared" si="43"/>
        <v>-17043</v>
      </c>
      <c r="DV9" s="23">
        <f t="shared" si="49"/>
        <v>-65078</v>
      </c>
      <c r="DW9" s="79"/>
      <c r="DX9" s="73">
        <f t="shared" si="44"/>
        <v>35000</v>
      </c>
      <c r="DY9" s="73">
        <f t="shared" si="45"/>
        <v>35000</v>
      </c>
      <c r="DZ9" s="23">
        <f t="shared" si="46"/>
        <v>0</v>
      </c>
      <c r="EA9" s="23">
        <f t="shared" si="50"/>
        <v>0</v>
      </c>
      <c r="EB9" s="79"/>
      <c r="EC9" s="23">
        <f t="shared" si="47"/>
        <v>-17043</v>
      </c>
      <c r="ED9" s="23">
        <f t="shared" si="48"/>
        <v>-17043</v>
      </c>
      <c r="EE9" s="79"/>
      <c r="EF9" s="79"/>
      <c r="EG9" s="79"/>
      <c r="EH9" s="79"/>
      <c r="EI9" s="79"/>
      <c r="EJ9" s="79"/>
      <c r="EK9" s="79"/>
    </row>
    <row r="10" spans="1:178" x14ac:dyDescent="0.2">
      <c r="A10" s="72">
        <f>+BaseloadMarkets!A10</f>
        <v>36712</v>
      </c>
      <c r="B10" s="72" t="str">
        <f>+BaseloadMarkets!B10</f>
        <v>Wed</v>
      </c>
      <c r="C10" s="22">
        <v>5000</v>
      </c>
      <c r="D10" s="23">
        <v>5000</v>
      </c>
      <c r="E10" s="73">
        <f t="shared" si="0"/>
        <v>0</v>
      </c>
      <c r="F10" s="22">
        <v>10000</v>
      </c>
      <c r="G10" s="23">
        <v>10000</v>
      </c>
      <c r="H10" s="73">
        <f t="shared" si="1"/>
        <v>0</v>
      </c>
      <c r="I10" s="22">
        <f t="shared" si="2"/>
        <v>20000</v>
      </c>
      <c r="J10" s="22">
        <f t="shared" si="2"/>
        <v>20000</v>
      </c>
      <c r="K10" s="73">
        <f t="shared" si="3"/>
        <v>0</v>
      </c>
      <c r="L10" s="22"/>
      <c r="M10" s="23"/>
      <c r="N10" s="73">
        <f t="shared" si="4"/>
        <v>0</v>
      </c>
      <c r="O10" s="22"/>
      <c r="P10" s="23"/>
      <c r="Q10" s="73">
        <f t="shared" si="5"/>
        <v>0</v>
      </c>
      <c r="R10" s="22"/>
      <c r="S10" s="23"/>
      <c r="T10" s="73">
        <f t="shared" si="6"/>
        <v>0</v>
      </c>
      <c r="U10" s="22"/>
      <c r="V10" s="23"/>
      <c r="W10" s="73">
        <f t="shared" si="7"/>
        <v>0</v>
      </c>
      <c r="X10" s="22"/>
      <c r="Y10" s="23"/>
      <c r="Z10" s="73">
        <f t="shared" si="8"/>
        <v>0</v>
      </c>
      <c r="AA10" s="22"/>
      <c r="AB10" s="23"/>
      <c r="AC10" s="73">
        <f t="shared" si="9"/>
        <v>0</v>
      </c>
      <c r="AD10" s="22"/>
      <c r="AE10" s="23"/>
      <c r="AF10" s="73">
        <f t="shared" si="10"/>
        <v>0</v>
      </c>
      <c r="AG10" s="22"/>
      <c r="AH10" s="23"/>
      <c r="AI10" s="73">
        <f t="shared" si="11"/>
        <v>0</v>
      </c>
      <c r="AJ10" s="22"/>
      <c r="AK10" s="23"/>
      <c r="AL10" s="73">
        <f t="shared" si="12"/>
        <v>0</v>
      </c>
      <c r="AM10" s="22"/>
      <c r="AN10" s="23"/>
      <c r="AO10" s="73">
        <f t="shared" si="13"/>
        <v>0</v>
      </c>
      <c r="AP10" s="22"/>
      <c r="AQ10" s="23"/>
      <c r="AR10" s="73">
        <f t="shared" si="14"/>
        <v>0</v>
      </c>
      <c r="AS10" s="22"/>
      <c r="AT10" s="23"/>
      <c r="AU10" s="73">
        <f t="shared" si="15"/>
        <v>0</v>
      </c>
      <c r="AV10" s="74">
        <f>170000-35000</f>
        <v>135000</v>
      </c>
      <c r="AW10" s="75">
        <f>135000-15000+8678</f>
        <v>128678</v>
      </c>
      <c r="AX10" s="73">
        <f t="shared" si="16"/>
        <v>-6322</v>
      </c>
      <c r="AY10" s="22"/>
      <c r="AZ10" s="23"/>
      <c r="BA10" s="73">
        <f t="shared" si="17"/>
        <v>0</v>
      </c>
      <c r="BB10" s="22"/>
      <c r="BC10" s="23"/>
      <c r="BD10" s="73">
        <f t="shared" si="18"/>
        <v>0</v>
      </c>
      <c r="BE10" s="22"/>
      <c r="BF10" s="23"/>
      <c r="BG10" s="73">
        <f t="shared" si="19"/>
        <v>0</v>
      </c>
      <c r="BH10" s="22"/>
      <c r="BI10" s="23"/>
      <c r="BJ10" s="73">
        <f t="shared" si="20"/>
        <v>0</v>
      </c>
      <c r="BK10" s="22"/>
      <c r="BL10" s="23"/>
      <c r="BM10" s="73">
        <f t="shared" si="21"/>
        <v>0</v>
      </c>
      <c r="BN10" s="22"/>
      <c r="BO10" s="23"/>
      <c r="BP10" s="73">
        <f t="shared" si="22"/>
        <v>0</v>
      </c>
      <c r="BQ10" s="22"/>
      <c r="BR10" s="23"/>
      <c r="BS10" s="73">
        <f t="shared" si="23"/>
        <v>0</v>
      </c>
      <c r="BT10" s="22"/>
      <c r="BU10" s="23"/>
      <c r="BV10" s="73">
        <f t="shared" si="24"/>
        <v>0</v>
      </c>
      <c r="BW10" s="22"/>
      <c r="BX10" s="23"/>
      <c r="BY10" s="73">
        <f t="shared" si="25"/>
        <v>0</v>
      </c>
      <c r="BZ10" s="22"/>
      <c r="CA10" s="23"/>
      <c r="CB10" s="73">
        <f t="shared" si="26"/>
        <v>0</v>
      </c>
      <c r="CC10" s="22"/>
      <c r="CD10" s="23"/>
      <c r="CE10" s="73">
        <f t="shared" si="27"/>
        <v>0</v>
      </c>
      <c r="CF10" s="22"/>
      <c r="CG10" s="23"/>
      <c r="CH10" s="73">
        <f t="shared" si="28"/>
        <v>0</v>
      </c>
      <c r="CI10" s="22"/>
      <c r="CJ10" s="23"/>
      <c r="CK10" s="73">
        <f t="shared" si="29"/>
        <v>0</v>
      </c>
      <c r="CL10" s="22"/>
      <c r="CM10" s="23"/>
      <c r="CN10" s="73">
        <f t="shared" si="30"/>
        <v>0</v>
      </c>
      <c r="CO10" s="22"/>
      <c r="CP10" s="23"/>
      <c r="CQ10" s="73">
        <f t="shared" si="31"/>
        <v>0</v>
      </c>
      <c r="CR10" s="22"/>
      <c r="CS10" s="23"/>
      <c r="CT10" s="73">
        <f t="shared" si="32"/>
        <v>0</v>
      </c>
      <c r="CU10" s="22"/>
      <c r="CV10" s="23"/>
      <c r="CW10" s="73">
        <f t="shared" si="33"/>
        <v>0</v>
      </c>
      <c r="CX10" s="22"/>
      <c r="CY10" s="23"/>
      <c r="CZ10" s="73">
        <f t="shared" si="34"/>
        <v>0</v>
      </c>
      <c r="DA10" s="22"/>
      <c r="DB10" s="23"/>
      <c r="DC10" s="73">
        <f t="shared" si="35"/>
        <v>0</v>
      </c>
      <c r="DD10" s="22"/>
      <c r="DE10" s="23"/>
      <c r="DF10" s="73">
        <f t="shared" si="36"/>
        <v>0</v>
      </c>
      <c r="DG10" s="22"/>
      <c r="DH10" s="23"/>
      <c r="DI10" s="73">
        <f t="shared" si="37"/>
        <v>0</v>
      </c>
      <c r="DJ10" s="22"/>
      <c r="DK10" s="23"/>
      <c r="DL10" s="73">
        <f t="shared" si="38"/>
        <v>0</v>
      </c>
      <c r="DM10" s="22"/>
      <c r="DN10" s="23"/>
      <c r="DO10" s="73">
        <f t="shared" si="39"/>
        <v>0</v>
      </c>
      <c r="DP10" s="22"/>
      <c r="DQ10" s="23"/>
      <c r="DR10" s="73">
        <f t="shared" si="40"/>
        <v>0</v>
      </c>
      <c r="DS10" s="73">
        <f t="shared" si="41"/>
        <v>170000</v>
      </c>
      <c r="DT10" s="73">
        <f t="shared" si="42"/>
        <v>163678</v>
      </c>
      <c r="DU10" s="73">
        <f t="shared" si="43"/>
        <v>-6322</v>
      </c>
      <c r="DV10" s="23">
        <f t="shared" si="49"/>
        <v>-71400</v>
      </c>
      <c r="DW10" s="79"/>
      <c r="DX10" s="73">
        <f t="shared" si="44"/>
        <v>35000</v>
      </c>
      <c r="DY10" s="73">
        <f t="shared" si="45"/>
        <v>35000</v>
      </c>
      <c r="DZ10" s="23">
        <f t="shared" si="46"/>
        <v>0</v>
      </c>
      <c r="EA10" s="23">
        <f t="shared" si="50"/>
        <v>0</v>
      </c>
      <c r="EB10" s="79"/>
      <c r="EC10" s="23">
        <f t="shared" si="47"/>
        <v>-6322</v>
      </c>
      <c r="ED10" s="23">
        <f t="shared" si="48"/>
        <v>-6322</v>
      </c>
      <c r="EE10" s="79"/>
      <c r="EF10" s="79"/>
      <c r="EG10" s="79"/>
      <c r="EH10" s="79"/>
      <c r="EI10" s="79"/>
      <c r="EJ10" s="79"/>
      <c r="EK10" s="79"/>
    </row>
    <row r="11" spans="1:178" x14ac:dyDescent="0.2">
      <c r="A11" s="72">
        <f>+BaseloadMarkets!A11</f>
        <v>36713</v>
      </c>
      <c r="B11" s="72" t="str">
        <f>+BaseloadMarkets!B11</f>
        <v>Thu</v>
      </c>
      <c r="C11" s="22">
        <v>5000</v>
      </c>
      <c r="D11" s="23">
        <v>5000</v>
      </c>
      <c r="E11" s="73">
        <f t="shared" si="0"/>
        <v>0</v>
      </c>
      <c r="F11" s="22">
        <v>10000</v>
      </c>
      <c r="G11" s="23">
        <v>10000</v>
      </c>
      <c r="H11" s="73">
        <f t="shared" si="1"/>
        <v>0</v>
      </c>
      <c r="I11" s="22">
        <f t="shared" si="2"/>
        <v>20000</v>
      </c>
      <c r="J11" s="22">
        <f t="shared" si="2"/>
        <v>20000</v>
      </c>
      <c r="K11" s="73">
        <f t="shared" si="3"/>
        <v>0</v>
      </c>
      <c r="L11" s="22"/>
      <c r="M11" s="23"/>
      <c r="N11" s="73">
        <f t="shared" si="4"/>
        <v>0</v>
      </c>
      <c r="O11" s="22"/>
      <c r="P11" s="23"/>
      <c r="Q11" s="73">
        <f t="shared" si="5"/>
        <v>0</v>
      </c>
      <c r="R11" s="22"/>
      <c r="S11" s="23"/>
      <c r="T11" s="73">
        <f t="shared" si="6"/>
        <v>0</v>
      </c>
      <c r="U11" s="22"/>
      <c r="V11" s="23"/>
      <c r="W11" s="73">
        <f t="shared" si="7"/>
        <v>0</v>
      </c>
      <c r="X11" s="22"/>
      <c r="Y11" s="23"/>
      <c r="Z11" s="73">
        <f t="shared" si="8"/>
        <v>0</v>
      </c>
      <c r="AA11" s="22"/>
      <c r="AB11" s="23"/>
      <c r="AC11" s="73">
        <f t="shared" si="9"/>
        <v>0</v>
      </c>
      <c r="AD11" s="22"/>
      <c r="AE11" s="23"/>
      <c r="AF11" s="73">
        <f t="shared" si="10"/>
        <v>0</v>
      </c>
      <c r="AG11" s="22"/>
      <c r="AH11" s="23"/>
      <c r="AI11" s="73">
        <f t="shared" si="11"/>
        <v>0</v>
      </c>
      <c r="AJ11" s="22"/>
      <c r="AK11" s="23"/>
      <c r="AL11" s="73">
        <f t="shared" si="12"/>
        <v>0</v>
      </c>
      <c r="AM11" s="22"/>
      <c r="AN11" s="23"/>
      <c r="AO11" s="73">
        <f t="shared" si="13"/>
        <v>0</v>
      </c>
      <c r="AP11" s="22"/>
      <c r="AQ11" s="23"/>
      <c r="AR11" s="73">
        <f t="shared" si="14"/>
        <v>0</v>
      </c>
      <c r="AS11" s="22"/>
      <c r="AT11" s="23"/>
      <c r="AU11" s="73">
        <f t="shared" si="15"/>
        <v>0</v>
      </c>
      <c r="AV11" s="74">
        <v>300000</v>
      </c>
      <c r="AW11" s="75">
        <v>274409</v>
      </c>
      <c r="AX11" s="73">
        <f t="shared" si="16"/>
        <v>-25591</v>
      </c>
      <c r="AY11" s="22"/>
      <c r="AZ11" s="23"/>
      <c r="BA11" s="73">
        <f t="shared" si="17"/>
        <v>0</v>
      </c>
      <c r="BB11" s="22"/>
      <c r="BC11" s="23"/>
      <c r="BD11" s="73">
        <f t="shared" si="18"/>
        <v>0</v>
      </c>
      <c r="BE11" s="22"/>
      <c r="BF11" s="23"/>
      <c r="BG11" s="73">
        <f t="shared" si="19"/>
        <v>0</v>
      </c>
      <c r="BH11" s="22"/>
      <c r="BI11" s="23"/>
      <c r="BJ11" s="73">
        <f t="shared" si="20"/>
        <v>0</v>
      </c>
      <c r="BK11" s="22"/>
      <c r="BL11" s="23"/>
      <c r="BM11" s="73">
        <f t="shared" si="21"/>
        <v>0</v>
      </c>
      <c r="BN11" s="22"/>
      <c r="BO11" s="23"/>
      <c r="BP11" s="73">
        <f t="shared" si="22"/>
        <v>0</v>
      </c>
      <c r="BQ11" s="22"/>
      <c r="BR11" s="23"/>
      <c r="BS11" s="73">
        <f t="shared" si="23"/>
        <v>0</v>
      </c>
      <c r="BT11" s="22"/>
      <c r="BU11" s="23"/>
      <c r="BV11" s="73">
        <f t="shared" si="24"/>
        <v>0</v>
      </c>
      <c r="BW11" s="22"/>
      <c r="BX11" s="23"/>
      <c r="BY11" s="73">
        <f t="shared" si="25"/>
        <v>0</v>
      </c>
      <c r="BZ11" s="22"/>
      <c r="CA11" s="23"/>
      <c r="CB11" s="73">
        <f t="shared" si="26"/>
        <v>0</v>
      </c>
      <c r="CC11" s="22"/>
      <c r="CD11" s="23"/>
      <c r="CE11" s="73">
        <f t="shared" si="27"/>
        <v>0</v>
      </c>
      <c r="CF11" s="22"/>
      <c r="CG11" s="23"/>
      <c r="CH11" s="73">
        <f t="shared" si="28"/>
        <v>0</v>
      </c>
      <c r="CI11" s="22"/>
      <c r="CJ11" s="23"/>
      <c r="CK11" s="73">
        <f t="shared" si="29"/>
        <v>0</v>
      </c>
      <c r="CL11" s="22"/>
      <c r="CM11" s="23"/>
      <c r="CN11" s="73">
        <f t="shared" si="30"/>
        <v>0</v>
      </c>
      <c r="CO11" s="22"/>
      <c r="CP11" s="23"/>
      <c r="CQ11" s="73">
        <f t="shared" si="31"/>
        <v>0</v>
      </c>
      <c r="CR11" s="22"/>
      <c r="CS11" s="23"/>
      <c r="CT11" s="73">
        <f t="shared" si="32"/>
        <v>0</v>
      </c>
      <c r="CU11" s="22"/>
      <c r="CV11" s="23"/>
      <c r="CW11" s="73">
        <f t="shared" si="33"/>
        <v>0</v>
      </c>
      <c r="CX11" s="22"/>
      <c r="CY11" s="23"/>
      <c r="CZ11" s="73">
        <f t="shared" si="34"/>
        <v>0</v>
      </c>
      <c r="DA11" s="22"/>
      <c r="DB11" s="23"/>
      <c r="DC11" s="73">
        <f t="shared" si="35"/>
        <v>0</v>
      </c>
      <c r="DD11" s="22"/>
      <c r="DE11" s="23"/>
      <c r="DF11" s="73">
        <f t="shared" si="36"/>
        <v>0</v>
      </c>
      <c r="DG11" s="22"/>
      <c r="DH11" s="23"/>
      <c r="DI11" s="73">
        <f t="shared" si="37"/>
        <v>0</v>
      </c>
      <c r="DJ11" s="22"/>
      <c r="DK11" s="23"/>
      <c r="DL11" s="73">
        <f t="shared" si="38"/>
        <v>0</v>
      </c>
      <c r="DM11" s="22"/>
      <c r="DN11" s="23"/>
      <c r="DO11" s="73">
        <f t="shared" si="39"/>
        <v>0</v>
      </c>
      <c r="DP11" s="22"/>
      <c r="DQ11" s="23"/>
      <c r="DR11" s="73">
        <f t="shared" si="40"/>
        <v>0</v>
      </c>
      <c r="DS11" s="73">
        <f t="shared" si="41"/>
        <v>335000</v>
      </c>
      <c r="DT11" s="73">
        <f t="shared" si="42"/>
        <v>309409</v>
      </c>
      <c r="DU11" s="73">
        <f t="shared" si="43"/>
        <v>-25591</v>
      </c>
      <c r="DV11" s="23">
        <f t="shared" si="49"/>
        <v>-96991</v>
      </c>
      <c r="DW11" s="79"/>
      <c r="DX11" s="73">
        <f t="shared" si="44"/>
        <v>35000</v>
      </c>
      <c r="DY11" s="73">
        <f t="shared" si="45"/>
        <v>35000</v>
      </c>
      <c r="DZ11" s="23">
        <f t="shared" si="46"/>
        <v>0</v>
      </c>
      <c r="EA11" s="23">
        <f t="shared" si="50"/>
        <v>0</v>
      </c>
      <c r="EB11" s="79"/>
      <c r="EC11" s="23">
        <f t="shared" si="47"/>
        <v>-25591</v>
      </c>
      <c r="ED11" s="23">
        <f t="shared" si="48"/>
        <v>-25591</v>
      </c>
      <c r="EE11" s="79"/>
      <c r="EF11" s="79"/>
      <c r="EG11" s="79"/>
      <c r="EH11" s="79"/>
      <c r="EI11" s="79"/>
      <c r="EJ11" s="79"/>
      <c r="EK11" s="79"/>
    </row>
    <row r="12" spans="1:178" x14ac:dyDescent="0.2">
      <c r="A12" s="72">
        <f>+BaseloadMarkets!A12</f>
        <v>36714</v>
      </c>
      <c r="B12" s="72" t="str">
        <f>+BaseloadMarkets!B12</f>
        <v>Fri</v>
      </c>
      <c r="C12" s="22">
        <v>5000</v>
      </c>
      <c r="D12" s="23">
        <v>5000</v>
      </c>
      <c r="E12" s="73">
        <f t="shared" si="0"/>
        <v>0</v>
      </c>
      <c r="F12" s="22">
        <v>10000</v>
      </c>
      <c r="G12" s="23">
        <v>10000</v>
      </c>
      <c r="H12" s="73">
        <f t="shared" si="1"/>
        <v>0</v>
      </c>
      <c r="I12" s="22">
        <f t="shared" si="2"/>
        <v>20000</v>
      </c>
      <c r="J12" s="22">
        <f t="shared" si="2"/>
        <v>20000</v>
      </c>
      <c r="K12" s="73">
        <f t="shared" si="3"/>
        <v>0</v>
      </c>
      <c r="L12" s="22"/>
      <c r="M12" s="23"/>
      <c r="N12" s="73">
        <f t="shared" si="4"/>
        <v>0</v>
      </c>
      <c r="O12" s="22"/>
      <c r="P12" s="23"/>
      <c r="Q12" s="73">
        <f t="shared" si="5"/>
        <v>0</v>
      </c>
      <c r="R12" s="22"/>
      <c r="S12" s="23"/>
      <c r="T12" s="73">
        <f t="shared" si="6"/>
        <v>0</v>
      </c>
      <c r="U12" s="22"/>
      <c r="V12" s="23"/>
      <c r="W12" s="73">
        <f t="shared" si="7"/>
        <v>0</v>
      </c>
      <c r="X12" s="22"/>
      <c r="Y12" s="23"/>
      <c r="Z12" s="73">
        <f t="shared" si="8"/>
        <v>0</v>
      </c>
      <c r="AA12" s="22"/>
      <c r="AB12" s="23"/>
      <c r="AC12" s="73">
        <f t="shared" si="9"/>
        <v>0</v>
      </c>
      <c r="AD12" s="22"/>
      <c r="AE12" s="23"/>
      <c r="AF12" s="73">
        <f t="shared" si="10"/>
        <v>0</v>
      </c>
      <c r="AG12" s="22"/>
      <c r="AH12" s="23"/>
      <c r="AI12" s="73">
        <f t="shared" si="11"/>
        <v>0</v>
      </c>
      <c r="AJ12" s="22"/>
      <c r="AK12" s="23"/>
      <c r="AL12" s="73">
        <f t="shared" si="12"/>
        <v>0</v>
      </c>
      <c r="AM12" s="22"/>
      <c r="AN12" s="23"/>
      <c r="AO12" s="73">
        <f t="shared" si="13"/>
        <v>0</v>
      </c>
      <c r="AP12" s="22"/>
      <c r="AQ12" s="23"/>
      <c r="AR12" s="73">
        <f t="shared" si="14"/>
        <v>0</v>
      </c>
      <c r="AS12" s="22"/>
      <c r="AT12" s="23"/>
      <c r="AU12" s="73">
        <f t="shared" si="15"/>
        <v>0</v>
      </c>
      <c r="AV12" s="74">
        <v>165000</v>
      </c>
      <c r="AW12" s="75">
        <v>165000</v>
      </c>
      <c r="AX12" s="73">
        <f t="shared" si="16"/>
        <v>0</v>
      </c>
      <c r="AY12" s="22"/>
      <c r="AZ12" s="23"/>
      <c r="BA12" s="73">
        <f t="shared" si="17"/>
        <v>0</v>
      </c>
      <c r="BB12" s="22"/>
      <c r="BC12" s="23"/>
      <c r="BD12" s="73">
        <f t="shared" si="18"/>
        <v>0</v>
      </c>
      <c r="BE12" s="22"/>
      <c r="BF12" s="23"/>
      <c r="BG12" s="73">
        <f t="shared" si="19"/>
        <v>0</v>
      </c>
      <c r="BH12" s="22"/>
      <c r="BI12" s="23"/>
      <c r="BJ12" s="73">
        <f t="shared" si="20"/>
        <v>0</v>
      </c>
      <c r="BK12" s="22"/>
      <c r="BL12" s="23"/>
      <c r="BM12" s="73">
        <f t="shared" si="21"/>
        <v>0</v>
      </c>
      <c r="BN12" s="22"/>
      <c r="BO12" s="23"/>
      <c r="BP12" s="73">
        <f t="shared" si="22"/>
        <v>0</v>
      </c>
      <c r="BQ12" s="22"/>
      <c r="BR12" s="23"/>
      <c r="BS12" s="73">
        <f t="shared" si="23"/>
        <v>0</v>
      </c>
      <c r="BT12" s="22"/>
      <c r="BU12" s="23"/>
      <c r="BV12" s="73">
        <f t="shared" si="24"/>
        <v>0</v>
      </c>
      <c r="BW12" s="22"/>
      <c r="BX12" s="23"/>
      <c r="BY12" s="73">
        <f t="shared" si="25"/>
        <v>0</v>
      </c>
      <c r="BZ12" s="22"/>
      <c r="CA12" s="23"/>
      <c r="CB12" s="73">
        <f t="shared" si="26"/>
        <v>0</v>
      </c>
      <c r="CC12" s="22"/>
      <c r="CD12" s="23"/>
      <c r="CE12" s="73">
        <f t="shared" si="27"/>
        <v>0</v>
      </c>
      <c r="CF12" s="22"/>
      <c r="CG12" s="23"/>
      <c r="CH12" s="73">
        <f t="shared" si="28"/>
        <v>0</v>
      </c>
      <c r="CI12" s="22"/>
      <c r="CJ12" s="23"/>
      <c r="CK12" s="73">
        <f t="shared" si="29"/>
        <v>0</v>
      </c>
      <c r="CL12" s="22"/>
      <c r="CM12" s="23"/>
      <c r="CN12" s="73">
        <f t="shared" si="30"/>
        <v>0</v>
      </c>
      <c r="CO12" s="22"/>
      <c r="CP12" s="23"/>
      <c r="CQ12" s="73">
        <f t="shared" si="31"/>
        <v>0</v>
      </c>
      <c r="CR12" s="22"/>
      <c r="CS12" s="23"/>
      <c r="CT12" s="73">
        <f t="shared" si="32"/>
        <v>0</v>
      </c>
      <c r="CU12" s="22"/>
      <c r="CV12" s="23"/>
      <c r="CW12" s="73">
        <f t="shared" si="33"/>
        <v>0</v>
      </c>
      <c r="CX12" s="22"/>
      <c r="CY12" s="23"/>
      <c r="CZ12" s="73">
        <f t="shared" si="34"/>
        <v>0</v>
      </c>
      <c r="DA12" s="22"/>
      <c r="DB12" s="23"/>
      <c r="DC12" s="73">
        <f t="shared" si="35"/>
        <v>0</v>
      </c>
      <c r="DD12" s="22"/>
      <c r="DE12" s="23"/>
      <c r="DF12" s="73">
        <f t="shared" si="36"/>
        <v>0</v>
      </c>
      <c r="DG12" s="22"/>
      <c r="DH12" s="23"/>
      <c r="DI12" s="73">
        <f t="shared" si="37"/>
        <v>0</v>
      </c>
      <c r="DJ12" s="22"/>
      <c r="DK12" s="23"/>
      <c r="DL12" s="73">
        <f t="shared" si="38"/>
        <v>0</v>
      </c>
      <c r="DM12" s="22"/>
      <c r="DN12" s="23"/>
      <c r="DO12" s="73">
        <f t="shared" si="39"/>
        <v>0</v>
      </c>
      <c r="DP12" s="22"/>
      <c r="DQ12" s="23"/>
      <c r="DR12" s="73">
        <f t="shared" si="40"/>
        <v>0</v>
      </c>
      <c r="DS12" s="73">
        <f t="shared" si="41"/>
        <v>200000</v>
      </c>
      <c r="DT12" s="73">
        <f t="shared" si="42"/>
        <v>200000</v>
      </c>
      <c r="DU12" s="73">
        <f t="shared" si="43"/>
        <v>0</v>
      </c>
      <c r="DV12" s="23">
        <f t="shared" si="49"/>
        <v>-96991</v>
      </c>
      <c r="DW12" s="79"/>
      <c r="DX12" s="73">
        <f t="shared" si="44"/>
        <v>35000</v>
      </c>
      <c r="DY12" s="73">
        <f t="shared" si="45"/>
        <v>35000</v>
      </c>
      <c r="DZ12" s="23">
        <f t="shared" si="46"/>
        <v>0</v>
      </c>
      <c r="EA12" s="23">
        <f t="shared" si="50"/>
        <v>0</v>
      </c>
      <c r="EB12" s="79"/>
      <c r="EC12" s="23">
        <f t="shared" si="47"/>
        <v>0</v>
      </c>
      <c r="ED12" s="23">
        <f t="shared" si="48"/>
        <v>0</v>
      </c>
      <c r="EE12" s="79"/>
      <c r="EF12" s="79"/>
      <c r="EG12" s="79"/>
      <c r="EH12" s="79"/>
      <c r="EI12" s="79"/>
      <c r="EJ12" s="79"/>
      <c r="EK12" s="79"/>
    </row>
    <row r="13" spans="1:178" x14ac:dyDescent="0.2">
      <c r="A13" s="72">
        <f>+BaseloadMarkets!A13</f>
        <v>36715</v>
      </c>
      <c r="B13" s="72" t="str">
        <f>+BaseloadMarkets!B13</f>
        <v>Sat</v>
      </c>
      <c r="C13" s="22">
        <v>5000</v>
      </c>
      <c r="D13" s="23">
        <v>5000</v>
      </c>
      <c r="E13" s="73">
        <f t="shared" si="0"/>
        <v>0</v>
      </c>
      <c r="F13" s="22">
        <v>10000</v>
      </c>
      <c r="G13" s="23">
        <v>10000</v>
      </c>
      <c r="H13" s="73">
        <f t="shared" si="1"/>
        <v>0</v>
      </c>
      <c r="I13" s="22">
        <f t="shared" si="2"/>
        <v>20000</v>
      </c>
      <c r="J13" s="22">
        <f t="shared" si="2"/>
        <v>20000</v>
      </c>
      <c r="K13" s="73">
        <f t="shared" si="3"/>
        <v>0</v>
      </c>
      <c r="L13" s="22"/>
      <c r="M13" s="23"/>
      <c r="N13" s="73">
        <f t="shared" si="4"/>
        <v>0</v>
      </c>
      <c r="O13" s="22"/>
      <c r="P13" s="23"/>
      <c r="Q13" s="73">
        <f t="shared" si="5"/>
        <v>0</v>
      </c>
      <c r="R13" s="22"/>
      <c r="S13" s="23"/>
      <c r="T13" s="73">
        <f t="shared" si="6"/>
        <v>0</v>
      </c>
      <c r="U13" s="22"/>
      <c r="V13" s="23"/>
      <c r="W13" s="73">
        <f t="shared" si="7"/>
        <v>0</v>
      </c>
      <c r="X13" s="22"/>
      <c r="Y13" s="23"/>
      <c r="Z13" s="73">
        <f t="shared" si="8"/>
        <v>0</v>
      </c>
      <c r="AA13" s="22"/>
      <c r="AB13" s="23"/>
      <c r="AC13" s="73">
        <f t="shared" si="9"/>
        <v>0</v>
      </c>
      <c r="AD13" s="22"/>
      <c r="AE13" s="23"/>
      <c r="AF13" s="73">
        <f t="shared" si="10"/>
        <v>0</v>
      </c>
      <c r="AG13" s="22"/>
      <c r="AH13" s="23"/>
      <c r="AI13" s="73">
        <f t="shared" si="11"/>
        <v>0</v>
      </c>
      <c r="AJ13" s="22"/>
      <c r="AK13" s="23"/>
      <c r="AL13" s="73">
        <f t="shared" si="12"/>
        <v>0</v>
      </c>
      <c r="AM13" s="22"/>
      <c r="AN13" s="23"/>
      <c r="AO13" s="73">
        <f t="shared" si="13"/>
        <v>0</v>
      </c>
      <c r="AP13" s="22"/>
      <c r="AQ13" s="23"/>
      <c r="AR13" s="73">
        <f t="shared" si="14"/>
        <v>0</v>
      </c>
      <c r="AS13" s="22"/>
      <c r="AT13" s="23"/>
      <c r="AU13" s="73">
        <f t="shared" si="15"/>
        <v>0</v>
      </c>
      <c r="AV13" s="74">
        <v>150000</v>
      </c>
      <c r="AW13" s="75">
        <v>147006</v>
      </c>
      <c r="AX13" s="73">
        <f t="shared" si="16"/>
        <v>-2994</v>
      </c>
      <c r="AY13" s="22"/>
      <c r="AZ13" s="23"/>
      <c r="BA13" s="73">
        <f t="shared" si="17"/>
        <v>0</v>
      </c>
      <c r="BB13" s="22"/>
      <c r="BC13" s="23"/>
      <c r="BD13" s="73">
        <f t="shared" si="18"/>
        <v>0</v>
      </c>
      <c r="BE13" s="22"/>
      <c r="BF13" s="23"/>
      <c r="BG13" s="73">
        <f t="shared" si="19"/>
        <v>0</v>
      </c>
      <c r="BH13" s="22"/>
      <c r="BI13" s="23"/>
      <c r="BJ13" s="73">
        <f t="shared" si="20"/>
        <v>0</v>
      </c>
      <c r="BK13" s="22"/>
      <c r="BL13" s="23"/>
      <c r="BM13" s="73">
        <f t="shared" si="21"/>
        <v>0</v>
      </c>
      <c r="BN13" s="22"/>
      <c r="BO13" s="23"/>
      <c r="BP13" s="73">
        <f t="shared" si="22"/>
        <v>0</v>
      </c>
      <c r="BQ13" s="22"/>
      <c r="BR13" s="23"/>
      <c r="BS13" s="73">
        <f t="shared" si="23"/>
        <v>0</v>
      </c>
      <c r="BT13" s="22"/>
      <c r="BU13" s="23"/>
      <c r="BV13" s="73">
        <f t="shared" si="24"/>
        <v>0</v>
      </c>
      <c r="BW13" s="22"/>
      <c r="BX13" s="23"/>
      <c r="BY13" s="73">
        <f t="shared" si="25"/>
        <v>0</v>
      </c>
      <c r="BZ13" s="22"/>
      <c r="CA13" s="23"/>
      <c r="CB13" s="73">
        <f t="shared" si="26"/>
        <v>0</v>
      </c>
      <c r="CC13" s="22"/>
      <c r="CD13" s="23"/>
      <c r="CE13" s="73">
        <f t="shared" si="27"/>
        <v>0</v>
      </c>
      <c r="CF13" s="22"/>
      <c r="CG13" s="23"/>
      <c r="CH13" s="73">
        <f t="shared" si="28"/>
        <v>0</v>
      </c>
      <c r="CI13" s="22"/>
      <c r="CJ13" s="23"/>
      <c r="CK13" s="73">
        <f t="shared" si="29"/>
        <v>0</v>
      </c>
      <c r="CL13" s="22"/>
      <c r="CM13" s="23"/>
      <c r="CN13" s="73">
        <f t="shared" si="30"/>
        <v>0</v>
      </c>
      <c r="CO13" s="22"/>
      <c r="CP13" s="23"/>
      <c r="CQ13" s="73">
        <f t="shared" si="31"/>
        <v>0</v>
      </c>
      <c r="CR13" s="22"/>
      <c r="CS13" s="23"/>
      <c r="CT13" s="73">
        <f t="shared" si="32"/>
        <v>0</v>
      </c>
      <c r="CU13" s="22"/>
      <c r="CV13" s="23"/>
      <c r="CW13" s="73">
        <f t="shared" si="33"/>
        <v>0</v>
      </c>
      <c r="CX13" s="22"/>
      <c r="CY13" s="23"/>
      <c r="CZ13" s="73">
        <f t="shared" si="34"/>
        <v>0</v>
      </c>
      <c r="DA13" s="22"/>
      <c r="DB13" s="23"/>
      <c r="DC13" s="73">
        <f t="shared" si="35"/>
        <v>0</v>
      </c>
      <c r="DD13" s="22"/>
      <c r="DE13" s="23"/>
      <c r="DF13" s="73">
        <f t="shared" si="36"/>
        <v>0</v>
      </c>
      <c r="DG13" s="22"/>
      <c r="DH13" s="23"/>
      <c r="DI13" s="73">
        <f t="shared" si="37"/>
        <v>0</v>
      </c>
      <c r="DJ13" s="22"/>
      <c r="DK13" s="23"/>
      <c r="DL13" s="73">
        <f t="shared" si="38"/>
        <v>0</v>
      </c>
      <c r="DM13" s="22"/>
      <c r="DN13" s="23"/>
      <c r="DO13" s="73">
        <f t="shared" si="39"/>
        <v>0</v>
      </c>
      <c r="DP13" s="22"/>
      <c r="DQ13" s="23"/>
      <c r="DR13" s="73">
        <f t="shared" si="40"/>
        <v>0</v>
      </c>
      <c r="DS13" s="73">
        <f t="shared" si="41"/>
        <v>185000</v>
      </c>
      <c r="DT13" s="73">
        <f t="shared" si="42"/>
        <v>182006</v>
      </c>
      <c r="DU13" s="73">
        <f t="shared" si="43"/>
        <v>-2994</v>
      </c>
      <c r="DV13" s="23">
        <f t="shared" si="49"/>
        <v>-99985</v>
      </c>
      <c r="DW13" s="79"/>
      <c r="DX13" s="73">
        <f t="shared" si="44"/>
        <v>35000</v>
      </c>
      <c r="DY13" s="73">
        <f t="shared" si="45"/>
        <v>35000</v>
      </c>
      <c r="DZ13" s="23">
        <f t="shared" si="46"/>
        <v>0</v>
      </c>
      <c r="EA13" s="23">
        <f t="shared" si="50"/>
        <v>0</v>
      </c>
      <c r="EB13" s="79"/>
      <c r="EC13" s="23">
        <f t="shared" si="47"/>
        <v>-2994</v>
      </c>
      <c r="ED13" s="23">
        <f t="shared" si="48"/>
        <v>-2994</v>
      </c>
      <c r="EE13" s="79"/>
      <c r="EF13" s="79"/>
      <c r="EG13" s="79"/>
      <c r="EH13" s="79"/>
      <c r="EI13" s="79"/>
      <c r="EJ13" s="79"/>
      <c r="EK13" s="79"/>
    </row>
    <row r="14" spans="1:178" x14ac:dyDescent="0.2">
      <c r="A14" s="72">
        <f>+BaseloadMarkets!A14</f>
        <v>36716</v>
      </c>
      <c r="B14" s="72" t="str">
        <f>+BaseloadMarkets!B14</f>
        <v>Sun</v>
      </c>
      <c r="C14" s="22">
        <v>5000</v>
      </c>
      <c r="D14" s="23">
        <v>5000</v>
      </c>
      <c r="E14" s="73">
        <f t="shared" si="0"/>
        <v>0</v>
      </c>
      <c r="F14" s="22">
        <v>10000</v>
      </c>
      <c r="G14" s="23">
        <v>10000</v>
      </c>
      <c r="H14" s="73">
        <f t="shared" si="1"/>
        <v>0</v>
      </c>
      <c r="I14" s="22">
        <f t="shared" si="2"/>
        <v>20000</v>
      </c>
      <c r="J14" s="22">
        <f t="shared" si="2"/>
        <v>20000</v>
      </c>
      <c r="K14" s="73">
        <f t="shared" si="3"/>
        <v>0</v>
      </c>
      <c r="L14" s="22"/>
      <c r="M14" s="23"/>
      <c r="N14" s="73">
        <f t="shared" si="4"/>
        <v>0</v>
      </c>
      <c r="O14" s="22"/>
      <c r="P14" s="23"/>
      <c r="Q14" s="73">
        <f t="shared" si="5"/>
        <v>0</v>
      </c>
      <c r="R14" s="22"/>
      <c r="S14" s="23"/>
      <c r="T14" s="73">
        <f t="shared" si="6"/>
        <v>0</v>
      </c>
      <c r="U14" s="22"/>
      <c r="V14" s="23"/>
      <c r="W14" s="73">
        <f t="shared" si="7"/>
        <v>0</v>
      </c>
      <c r="X14" s="22"/>
      <c r="Y14" s="23"/>
      <c r="Z14" s="73">
        <f t="shared" si="8"/>
        <v>0</v>
      </c>
      <c r="AA14" s="22"/>
      <c r="AB14" s="23"/>
      <c r="AC14" s="73">
        <f t="shared" si="9"/>
        <v>0</v>
      </c>
      <c r="AD14" s="22"/>
      <c r="AE14" s="23"/>
      <c r="AF14" s="73">
        <f t="shared" si="10"/>
        <v>0</v>
      </c>
      <c r="AG14" s="22"/>
      <c r="AH14" s="23"/>
      <c r="AI14" s="73">
        <f t="shared" si="11"/>
        <v>0</v>
      </c>
      <c r="AJ14" s="22"/>
      <c r="AK14" s="23"/>
      <c r="AL14" s="73">
        <f t="shared" si="12"/>
        <v>0</v>
      </c>
      <c r="AM14" s="22"/>
      <c r="AN14" s="23"/>
      <c r="AO14" s="73">
        <f t="shared" si="13"/>
        <v>0</v>
      </c>
      <c r="AP14" s="22"/>
      <c r="AQ14" s="23"/>
      <c r="AR14" s="73">
        <f t="shared" si="14"/>
        <v>0</v>
      </c>
      <c r="AS14" s="22"/>
      <c r="AT14" s="23"/>
      <c r="AU14" s="73">
        <f t="shared" si="15"/>
        <v>0</v>
      </c>
      <c r="AV14" s="74">
        <v>150000</v>
      </c>
      <c r="AW14" s="75">
        <f>150000-10000</f>
        <v>140000</v>
      </c>
      <c r="AX14" s="73">
        <f t="shared" si="16"/>
        <v>-10000</v>
      </c>
      <c r="AY14" s="22"/>
      <c r="AZ14" s="23"/>
      <c r="BA14" s="73">
        <f t="shared" si="17"/>
        <v>0</v>
      </c>
      <c r="BB14" s="22"/>
      <c r="BC14" s="23"/>
      <c r="BD14" s="73">
        <f t="shared" si="18"/>
        <v>0</v>
      </c>
      <c r="BE14" s="22"/>
      <c r="BF14" s="23"/>
      <c r="BG14" s="73">
        <f t="shared" si="19"/>
        <v>0</v>
      </c>
      <c r="BH14" s="22"/>
      <c r="BI14" s="23"/>
      <c r="BJ14" s="73">
        <f t="shared" si="20"/>
        <v>0</v>
      </c>
      <c r="BK14" s="22"/>
      <c r="BL14" s="23"/>
      <c r="BM14" s="73">
        <f t="shared" si="21"/>
        <v>0</v>
      </c>
      <c r="BN14" s="22"/>
      <c r="BO14" s="23"/>
      <c r="BP14" s="73">
        <f t="shared" si="22"/>
        <v>0</v>
      </c>
      <c r="BQ14" s="22"/>
      <c r="BR14" s="23"/>
      <c r="BS14" s="73">
        <f t="shared" si="23"/>
        <v>0</v>
      </c>
      <c r="BT14" s="22"/>
      <c r="BU14" s="23"/>
      <c r="BV14" s="73">
        <f t="shared" si="24"/>
        <v>0</v>
      </c>
      <c r="BW14" s="22"/>
      <c r="BX14" s="23"/>
      <c r="BY14" s="73">
        <f t="shared" si="25"/>
        <v>0</v>
      </c>
      <c r="BZ14" s="22"/>
      <c r="CA14" s="23"/>
      <c r="CB14" s="73">
        <f t="shared" si="26"/>
        <v>0</v>
      </c>
      <c r="CC14" s="22"/>
      <c r="CD14" s="23"/>
      <c r="CE14" s="73">
        <f t="shared" si="27"/>
        <v>0</v>
      </c>
      <c r="CF14" s="22"/>
      <c r="CG14" s="23"/>
      <c r="CH14" s="73">
        <f t="shared" si="28"/>
        <v>0</v>
      </c>
      <c r="CI14" s="22"/>
      <c r="CJ14" s="23"/>
      <c r="CK14" s="73">
        <f t="shared" si="29"/>
        <v>0</v>
      </c>
      <c r="CL14" s="22"/>
      <c r="CM14" s="23"/>
      <c r="CN14" s="73">
        <f t="shared" si="30"/>
        <v>0</v>
      </c>
      <c r="CO14" s="22"/>
      <c r="CP14" s="23"/>
      <c r="CQ14" s="73">
        <f t="shared" si="31"/>
        <v>0</v>
      </c>
      <c r="CR14" s="22"/>
      <c r="CS14" s="23"/>
      <c r="CT14" s="73">
        <f t="shared" si="32"/>
        <v>0</v>
      </c>
      <c r="CU14" s="22"/>
      <c r="CV14" s="23"/>
      <c r="CW14" s="73">
        <f t="shared" si="33"/>
        <v>0</v>
      </c>
      <c r="CX14" s="22"/>
      <c r="CY14" s="23"/>
      <c r="CZ14" s="73">
        <f t="shared" si="34"/>
        <v>0</v>
      </c>
      <c r="DA14" s="22"/>
      <c r="DB14" s="23"/>
      <c r="DC14" s="73">
        <f t="shared" si="35"/>
        <v>0</v>
      </c>
      <c r="DD14" s="22"/>
      <c r="DE14" s="23"/>
      <c r="DF14" s="73">
        <f t="shared" si="36"/>
        <v>0</v>
      </c>
      <c r="DG14" s="22"/>
      <c r="DH14" s="23"/>
      <c r="DI14" s="73">
        <f t="shared" si="37"/>
        <v>0</v>
      </c>
      <c r="DJ14" s="22"/>
      <c r="DK14" s="23"/>
      <c r="DL14" s="73">
        <f t="shared" si="38"/>
        <v>0</v>
      </c>
      <c r="DM14" s="22"/>
      <c r="DN14" s="23"/>
      <c r="DO14" s="73">
        <f t="shared" si="39"/>
        <v>0</v>
      </c>
      <c r="DP14" s="22"/>
      <c r="DQ14" s="23"/>
      <c r="DR14" s="73">
        <f t="shared" si="40"/>
        <v>0</v>
      </c>
      <c r="DS14" s="73">
        <f t="shared" si="41"/>
        <v>185000</v>
      </c>
      <c r="DT14" s="73">
        <f t="shared" si="42"/>
        <v>175000</v>
      </c>
      <c r="DU14" s="73">
        <f t="shared" si="43"/>
        <v>-10000</v>
      </c>
      <c r="DV14" s="23">
        <f t="shared" si="49"/>
        <v>-109985</v>
      </c>
      <c r="DW14" s="79"/>
      <c r="DX14" s="73">
        <f t="shared" si="44"/>
        <v>35000</v>
      </c>
      <c r="DY14" s="73">
        <f t="shared" si="45"/>
        <v>35000</v>
      </c>
      <c r="DZ14" s="23">
        <f t="shared" si="46"/>
        <v>0</v>
      </c>
      <c r="EA14" s="23">
        <f t="shared" si="50"/>
        <v>0</v>
      </c>
      <c r="EB14" s="79"/>
      <c r="EC14" s="23">
        <f t="shared" si="47"/>
        <v>-10000</v>
      </c>
      <c r="ED14" s="23">
        <f t="shared" si="48"/>
        <v>-10000</v>
      </c>
      <c r="EE14" s="79"/>
      <c r="EF14" s="79"/>
      <c r="EG14" s="79"/>
      <c r="EH14" s="79"/>
      <c r="EI14" s="79"/>
      <c r="EJ14" s="79"/>
      <c r="EK14" s="79"/>
    </row>
    <row r="15" spans="1:178" x14ac:dyDescent="0.2">
      <c r="A15" s="72">
        <f>+BaseloadMarkets!A15</f>
        <v>36717</v>
      </c>
      <c r="B15" s="72" t="str">
        <f>+BaseloadMarkets!B15</f>
        <v>Mon</v>
      </c>
      <c r="C15" s="22">
        <v>5000</v>
      </c>
      <c r="D15" s="23">
        <v>5000</v>
      </c>
      <c r="E15" s="73">
        <f t="shared" si="0"/>
        <v>0</v>
      </c>
      <c r="F15" s="22">
        <v>10000</v>
      </c>
      <c r="G15" s="23">
        <v>10000</v>
      </c>
      <c r="H15" s="73">
        <f t="shared" si="1"/>
        <v>0</v>
      </c>
      <c r="I15" s="22">
        <f t="shared" si="2"/>
        <v>20000</v>
      </c>
      <c r="J15" s="22">
        <f t="shared" si="2"/>
        <v>20000</v>
      </c>
      <c r="K15" s="73">
        <f t="shared" si="3"/>
        <v>0</v>
      </c>
      <c r="L15" s="22"/>
      <c r="M15" s="23"/>
      <c r="N15" s="73">
        <f t="shared" si="4"/>
        <v>0</v>
      </c>
      <c r="O15" s="22"/>
      <c r="P15" s="23"/>
      <c r="Q15" s="73">
        <f t="shared" si="5"/>
        <v>0</v>
      </c>
      <c r="R15" s="22"/>
      <c r="S15" s="23"/>
      <c r="T15" s="73">
        <f t="shared" si="6"/>
        <v>0</v>
      </c>
      <c r="U15" s="22"/>
      <c r="V15" s="23"/>
      <c r="W15" s="73">
        <f t="shared" si="7"/>
        <v>0</v>
      </c>
      <c r="X15" s="22"/>
      <c r="Y15" s="23"/>
      <c r="Z15" s="73">
        <f t="shared" si="8"/>
        <v>0</v>
      </c>
      <c r="AA15" s="22"/>
      <c r="AB15" s="23"/>
      <c r="AC15" s="73">
        <f t="shared" si="9"/>
        <v>0</v>
      </c>
      <c r="AD15" s="22"/>
      <c r="AE15" s="23"/>
      <c r="AF15" s="73">
        <f t="shared" si="10"/>
        <v>0</v>
      </c>
      <c r="AG15" s="22"/>
      <c r="AH15" s="23"/>
      <c r="AI15" s="73">
        <f t="shared" si="11"/>
        <v>0</v>
      </c>
      <c r="AJ15" s="22"/>
      <c r="AK15" s="23"/>
      <c r="AL15" s="73">
        <f t="shared" si="12"/>
        <v>0</v>
      </c>
      <c r="AM15" s="22"/>
      <c r="AN15" s="23"/>
      <c r="AO15" s="73">
        <f t="shared" si="13"/>
        <v>0</v>
      </c>
      <c r="AP15" s="22"/>
      <c r="AQ15" s="23"/>
      <c r="AR15" s="73">
        <f t="shared" si="14"/>
        <v>0</v>
      </c>
      <c r="AS15" s="22"/>
      <c r="AT15" s="23"/>
      <c r="AU15" s="73">
        <f t="shared" si="15"/>
        <v>0</v>
      </c>
      <c r="AV15" s="74">
        <v>150000</v>
      </c>
      <c r="AW15" s="75">
        <f>150000-10000+6104</f>
        <v>146104</v>
      </c>
      <c r="AX15" s="73">
        <f t="shared" si="16"/>
        <v>-3896</v>
      </c>
      <c r="AY15" s="22"/>
      <c r="AZ15" s="23"/>
      <c r="BA15" s="73">
        <f t="shared" si="17"/>
        <v>0</v>
      </c>
      <c r="BB15" s="22"/>
      <c r="BC15" s="23"/>
      <c r="BD15" s="73">
        <f t="shared" si="18"/>
        <v>0</v>
      </c>
      <c r="BE15" s="22"/>
      <c r="BF15" s="23"/>
      <c r="BG15" s="73">
        <f t="shared" si="19"/>
        <v>0</v>
      </c>
      <c r="BH15" s="22"/>
      <c r="BI15" s="23"/>
      <c r="BJ15" s="73">
        <f t="shared" si="20"/>
        <v>0</v>
      </c>
      <c r="BK15" s="22"/>
      <c r="BL15" s="23"/>
      <c r="BM15" s="73">
        <f t="shared" si="21"/>
        <v>0</v>
      </c>
      <c r="BN15" s="22"/>
      <c r="BO15" s="23"/>
      <c r="BP15" s="73">
        <f t="shared" si="22"/>
        <v>0</v>
      </c>
      <c r="BQ15" s="22"/>
      <c r="BR15" s="23"/>
      <c r="BS15" s="73">
        <f t="shared" si="23"/>
        <v>0</v>
      </c>
      <c r="BT15" s="22"/>
      <c r="BU15" s="23"/>
      <c r="BV15" s="73">
        <f t="shared" si="24"/>
        <v>0</v>
      </c>
      <c r="BW15" s="22"/>
      <c r="BX15" s="23"/>
      <c r="BY15" s="73">
        <f t="shared" si="25"/>
        <v>0</v>
      </c>
      <c r="BZ15" s="22"/>
      <c r="CA15" s="23"/>
      <c r="CB15" s="73">
        <f t="shared" si="26"/>
        <v>0</v>
      </c>
      <c r="CC15" s="22"/>
      <c r="CD15" s="23"/>
      <c r="CE15" s="73">
        <f t="shared" si="27"/>
        <v>0</v>
      </c>
      <c r="CF15" s="22"/>
      <c r="CG15" s="23"/>
      <c r="CH15" s="73">
        <f t="shared" si="28"/>
        <v>0</v>
      </c>
      <c r="CI15" s="22"/>
      <c r="CJ15" s="23"/>
      <c r="CK15" s="73">
        <f t="shared" si="29"/>
        <v>0</v>
      </c>
      <c r="CL15" s="22"/>
      <c r="CM15" s="23"/>
      <c r="CN15" s="73">
        <f t="shared" si="30"/>
        <v>0</v>
      </c>
      <c r="CO15" s="22"/>
      <c r="CP15" s="23"/>
      <c r="CQ15" s="73">
        <f t="shared" si="31"/>
        <v>0</v>
      </c>
      <c r="CR15" s="22"/>
      <c r="CS15" s="23"/>
      <c r="CT15" s="73">
        <f t="shared" si="32"/>
        <v>0</v>
      </c>
      <c r="CU15" s="22"/>
      <c r="CV15" s="23"/>
      <c r="CW15" s="73">
        <f t="shared" si="33"/>
        <v>0</v>
      </c>
      <c r="CX15" s="22"/>
      <c r="CY15" s="23"/>
      <c r="CZ15" s="73">
        <f t="shared" si="34"/>
        <v>0</v>
      </c>
      <c r="DA15" s="22"/>
      <c r="DB15" s="23"/>
      <c r="DC15" s="73">
        <f t="shared" si="35"/>
        <v>0</v>
      </c>
      <c r="DD15" s="22"/>
      <c r="DE15" s="23"/>
      <c r="DF15" s="73">
        <f t="shared" si="36"/>
        <v>0</v>
      </c>
      <c r="DG15" s="22"/>
      <c r="DH15" s="23"/>
      <c r="DI15" s="73">
        <f t="shared" si="37"/>
        <v>0</v>
      </c>
      <c r="DJ15" s="22"/>
      <c r="DK15" s="23"/>
      <c r="DL15" s="73">
        <f t="shared" si="38"/>
        <v>0</v>
      </c>
      <c r="DM15" s="22"/>
      <c r="DN15" s="23"/>
      <c r="DO15" s="73">
        <f t="shared" si="39"/>
        <v>0</v>
      </c>
      <c r="DP15" s="22"/>
      <c r="DQ15" s="23"/>
      <c r="DR15" s="73">
        <f t="shared" si="40"/>
        <v>0</v>
      </c>
      <c r="DS15" s="73">
        <f t="shared" si="41"/>
        <v>185000</v>
      </c>
      <c r="DT15" s="73">
        <f t="shared" si="42"/>
        <v>181104</v>
      </c>
      <c r="DU15" s="73">
        <f t="shared" si="43"/>
        <v>-3896</v>
      </c>
      <c r="DV15" s="23">
        <f t="shared" si="49"/>
        <v>-113881</v>
      </c>
      <c r="DW15" s="79"/>
      <c r="DX15" s="73">
        <f t="shared" si="44"/>
        <v>35000</v>
      </c>
      <c r="DY15" s="73">
        <f t="shared" si="45"/>
        <v>35000</v>
      </c>
      <c r="DZ15" s="23">
        <f t="shared" si="46"/>
        <v>0</v>
      </c>
      <c r="EA15" s="23">
        <f t="shared" si="50"/>
        <v>0</v>
      </c>
      <c r="EB15" s="79"/>
      <c r="EC15" s="23">
        <f t="shared" si="47"/>
        <v>-3896</v>
      </c>
      <c r="ED15" s="23">
        <f t="shared" si="48"/>
        <v>-3896</v>
      </c>
      <c r="EE15" s="79"/>
      <c r="EF15" s="79"/>
      <c r="EG15" s="79"/>
      <c r="EH15" s="79"/>
      <c r="EI15" s="79"/>
      <c r="EJ15" s="79"/>
      <c r="EK15" s="79"/>
    </row>
    <row r="16" spans="1:178" x14ac:dyDescent="0.2">
      <c r="A16" s="72">
        <f>+BaseloadMarkets!A16</f>
        <v>36718</v>
      </c>
      <c r="B16" s="72" t="str">
        <f>+BaseloadMarkets!B16</f>
        <v>Tues</v>
      </c>
      <c r="C16" s="22">
        <v>5000</v>
      </c>
      <c r="D16" s="23">
        <v>5000</v>
      </c>
      <c r="E16" s="73">
        <f t="shared" si="0"/>
        <v>0</v>
      </c>
      <c r="F16" s="22">
        <v>10000</v>
      </c>
      <c r="G16" s="23">
        <v>10000</v>
      </c>
      <c r="H16" s="73">
        <f t="shared" si="1"/>
        <v>0</v>
      </c>
      <c r="I16" s="22">
        <f t="shared" si="2"/>
        <v>20000</v>
      </c>
      <c r="J16" s="22">
        <f t="shared" si="2"/>
        <v>20000</v>
      </c>
      <c r="K16" s="73">
        <f t="shared" si="3"/>
        <v>0</v>
      </c>
      <c r="L16" s="22"/>
      <c r="M16" s="23"/>
      <c r="N16" s="73">
        <f t="shared" si="4"/>
        <v>0</v>
      </c>
      <c r="O16" s="22"/>
      <c r="P16" s="23"/>
      <c r="Q16" s="73">
        <f t="shared" si="5"/>
        <v>0</v>
      </c>
      <c r="R16" s="22"/>
      <c r="S16" s="23"/>
      <c r="T16" s="73">
        <f t="shared" si="6"/>
        <v>0</v>
      </c>
      <c r="U16" s="22"/>
      <c r="V16" s="23"/>
      <c r="W16" s="73">
        <f t="shared" si="7"/>
        <v>0</v>
      </c>
      <c r="X16" s="22"/>
      <c r="Y16" s="23"/>
      <c r="Z16" s="73">
        <f t="shared" si="8"/>
        <v>0</v>
      </c>
      <c r="AA16" s="22"/>
      <c r="AB16" s="23"/>
      <c r="AC16" s="73">
        <f t="shared" si="9"/>
        <v>0</v>
      </c>
      <c r="AD16" s="22"/>
      <c r="AE16" s="23"/>
      <c r="AF16" s="73">
        <f t="shared" si="10"/>
        <v>0</v>
      </c>
      <c r="AG16" s="22"/>
      <c r="AH16" s="23"/>
      <c r="AI16" s="73">
        <f t="shared" si="11"/>
        <v>0</v>
      </c>
      <c r="AJ16" s="22"/>
      <c r="AK16" s="23"/>
      <c r="AL16" s="73">
        <f t="shared" si="12"/>
        <v>0</v>
      </c>
      <c r="AM16" s="22"/>
      <c r="AN16" s="23"/>
      <c r="AO16" s="73">
        <f t="shared" si="13"/>
        <v>0</v>
      </c>
      <c r="AP16" s="22"/>
      <c r="AQ16" s="23"/>
      <c r="AR16" s="73">
        <f t="shared" si="14"/>
        <v>0</v>
      </c>
      <c r="AS16" s="22"/>
      <c r="AT16" s="23"/>
      <c r="AU16" s="73">
        <f t="shared" si="15"/>
        <v>0</v>
      </c>
      <c r="AV16" s="74">
        <f>358375-3375+10000</f>
        <v>365000</v>
      </c>
      <c r="AW16" s="75">
        <v>365000</v>
      </c>
      <c r="AX16" s="73">
        <f t="shared" si="16"/>
        <v>0</v>
      </c>
      <c r="AY16" s="22"/>
      <c r="AZ16" s="23"/>
      <c r="BA16" s="73">
        <f t="shared" si="17"/>
        <v>0</v>
      </c>
      <c r="BB16" s="22"/>
      <c r="BC16" s="23"/>
      <c r="BD16" s="73">
        <f t="shared" si="18"/>
        <v>0</v>
      </c>
      <c r="BE16" s="22"/>
      <c r="BF16" s="23"/>
      <c r="BG16" s="73">
        <f t="shared" si="19"/>
        <v>0</v>
      </c>
      <c r="BH16" s="22"/>
      <c r="BI16" s="23"/>
      <c r="BJ16" s="73">
        <f t="shared" si="20"/>
        <v>0</v>
      </c>
      <c r="BK16" s="22"/>
      <c r="BL16" s="23"/>
      <c r="BM16" s="73">
        <f t="shared" si="21"/>
        <v>0</v>
      </c>
      <c r="BN16" s="22"/>
      <c r="BO16" s="23"/>
      <c r="BP16" s="73">
        <f t="shared" si="22"/>
        <v>0</v>
      </c>
      <c r="BQ16" s="22"/>
      <c r="BR16" s="23"/>
      <c r="BS16" s="73">
        <f t="shared" si="23"/>
        <v>0</v>
      </c>
      <c r="BT16" s="22"/>
      <c r="BU16" s="23"/>
      <c r="BV16" s="73">
        <f t="shared" si="24"/>
        <v>0</v>
      </c>
      <c r="BW16" s="22"/>
      <c r="BX16" s="23"/>
      <c r="BY16" s="73">
        <f t="shared" si="25"/>
        <v>0</v>
      </c>
      <c r="BZ16" s="22"/>
      <c r="CA16" s="23"/>
      <c r="CB16" s="73">
        <f t="shared" si="26"/>
        <v>0</v>
      </c>
      <c r="CC16" s="22"/>
      <c r="CD16" s="23"/>
      <c r="CE16" s="73">
        <f t="shared" si="27"/>
        <v>0</v>
      </c>
      <c r="CF16" s="22"/>
      <c r="CG16" s="23"/>
      <c r="CH16" s="73">
        <f t="shared" si="28"/>
        <v>0</v>
      </c>
      <c r="CI16" s="22"/>
      <c r="CJ16" s="23"/>
      <c r="CK16" s="73">
        <f t="shared" si="29"/>
        <v>0</v>
      </c>
      <c r="CL16" s="22"/>
      <c r="CM16" s="23"/>
      <c r="CN16" s="73">
        <f t="shared" si="30"/>
        <v>0</v>
      </c>
      <c r="CO16" s="22"/>
      <c r="CP16" s="23"/>
      <c r="CQ16" s="73">
        <f t="shared" si="31"/>
        <v>0</v>
      </c>
      <c r="CR16" s="22"/>
      <c r="CS16" s="23"/>
      <c r="CT16" s="73">
        <f t="shared" si="32"/>
        <v>0</v>
      </c>
      <c r="CU16" s="22"/>
      <c r="CV16" s="23"/>
      <c r="CW16" s="73">
        <f t="shared" si="33"/>
        <v>0</v>
      </c>
      <c r="CX16" s="22"/>
      <c r="CY16" s="23"/>
      <c r="CZ16" s="73">
        <f t="shared" si="34"/>
        <v>0</v>
      </c>
      <c r="DA16" s="22"/>
      <c r="DB16" s="23"/>
      <c r="DC16" s="73">
        <f t="shared" si="35"/>
        <v>0</v>
      </c>
      <c r="DD16" s="22"/>
      <c r="DE16" s="23"/>
      <c r="DF16" s="73">
        <f t="shared" si="36"/>
        <v>0</v>
      </c>
      <c r="DG16" s="22"/>
      <c r="DH16" s="23"/>
      <c r="DI16" s="73">
        <f t="shared" si="37"/>
        <v>0</v>
      </c>
      <c r="DJ16" s="22"/>
      <c r="DK16" s="23"/>
      <c r="DL16" s="73">
        <f t="shared" si="38"/>
        <v>0</v>
      </c>
      <c r="DM16" s="22"/>
      <c r="DN16" s="23"/>
      <c r="DO16" s="73">
        <f t="shared" si="39"/>
        <v>0</v>
      </c>
      <c r="DP16" s="22"/>
      <c r="DQ16" s="23"/>
      <c r="DR16" s="73">
        <f t="shared" si="40"/>
        <v>0</v>
      </c>
      <c r="DS16" s="73">
        <f t="shared" si="41"/>
        <v>400000</v>
      </c>
      <c r="DT16" s="73">
        <f t="shared" si="42"/>
        <v>400000</v>
      </c>
      <c r="DU16" s="73">
        <f t="shared" si="43"/>
        <v>0</v>
      </c>
      <c r="DV16" s="23">
        <f t="shared" si="49"/>
        <v>-113881</v>
      </c>
      <c r="DW16" s="79"/>
      <c r="DX16" s="73">
        <f t="shared" si="44"/>
        <v>35000</v>
      </c>
      <c r="DY16" s="73">
        <f t="shared" si="45"/>
        <v>35000</v>
      </c>
      <c r="DZ16" s="23">
        <f t="shared" si="46"/>
        <v>0</v>
      </c>
      <c r="EA16" s="23">
        <f t="shared" si="50"/>
        <v>0</v>
      </c>
      <c r="EB16" s="79"/>
      <c r="EC16" s="23">
        <f t="shared" si="47"/>
        <v>0</v>
      </c>
      <c r="ED16" s="23">
        <f t="shared" si="48"/>
        <v>0</v>
      </c>
      <c r="EE16" s="79"/>
      <c r="EF16" s="79"/>
      <c r="EG16" s="79"/>
      <c r="EH16" s="79"/>
      <c r="EI16" s="79"/>
      <c r="EJ16" s="79"/>
      <c r="EK16" s="79"/>
    </row>
    <row r="17" spans="1:141" x14ac:dyDescent="0.2">
      <c r="A17" s="72">
        <f>+BaseloadMarkets!A17</f>
        <v>36719</v>
      </c>
      <c r="B17" s="72" t="str">
        <f>+BaseloadMarkets!B17</f>
        <v>Wed</v>
      </c>
      <c r="C17" s="22">
        <v>5000</v>
      </c>
      <c r="D17" s="23">
        <v>5000</v>
      </c>
      <c r="E17" s="73">
        <f t="shared" si="0"/>
        <v>0</v>
      </c>
      <c r="F17" s="22">
        <v>10000</v>
      </c>
      <c r="G17" s="23">
        <v>10000</v>
      </c>
      <c r="H17" s="73">
        <f t="shared" si="1"/>
        <v>0</v>
      </c>
      <c r="I17" s="22">
        <f t="shared" si="2"/>
        <v>20000</v>
      </c>
      <c r="J17" s="22">
        <f t="shared" si="2"/>
        <v>20000</v>
      </c>
      <c r="K17" s="73">
        <f t="shared" si="3"/>
        <v>0</v>
      </c>
      <c r="L17" s="22"/>
      <c r="M17" s="23"/>
      <c r="N17" s="73">
        <f t="shared" si="4"/>
        <v>0</v>
      </c>
      <c r="O17" s="22"/>
      <c r="P17" s="23"/>
      <c r="Q17" s="73">
        <f t="shared" si="5"/>
        <v>0</v>
      </c>
      <c r="R17" s="22"/>
      <c r="S17" s="23"/>
      <c r="T17" s="73">
        <f t="shared" si="6"/>
        <v>0</v>
      </c>
      <c r="U17" s="22"/>
      <c r="V17" s="23"/>
      <c r="W17" s="73">
        <f t="shared" si="7"/>
        <v>0</v>
      </c>
      <c r="X17" s="22"/>
      <c r="Y17" s="23"/>
      <c r="Z17" s="73">
        <f t="shared" si="8"/>
        <v>0</v>
      </c>
      <c r="AA17" s="22"/>
      <c r="AB17" s="23"/>
      <c r="AC17" s="73">
        <f t="shared" si="9"/>
        <v>0</v>
      </c>
      <c r="AD17" s="22"/>
      <c r="AE17" s="23"/>
      <c r="AF17" s="73">
        <f t="shared" si="10"/>
        <v>0</v>
      </c>
      <c r="AG17" s="22"/>
      <c r="AH17" s="23"/>
      <c r="AI17" s="73">
        <f t="shared" si="11"/>
        <v>0</v>
      </c>
      <c r="AJ17" s="22"/>
      <c r="AK17" s="23"/>
      <c r="AL17" s="73">
        <f t="shared" si="12"/>
        <v>0</v>
      </c>
      <c r="AM17" s="22"/>
      <c r="AN17" s="23"/>
      <c r="AO17" s="73">
        <f t="shared" si="13"/>
        <v>0</v>
      </c>
      <c r="AP17" s="22"/>
      <c r="AQ17" s="23"/>
      <c r="AR17" s="73">
        <f t="shared" si="14"/>
        <v>0</v>
      </c>
      <c r="AS17" s="22"/>
      <c r="AT17" s="23"/>
      <c r="AU17" s="73">
        <f t="shared" si="15"/>
        <v>0</v>
      </c>
      <c r="AV17" s="74">
        <v>325000</v>
      </c>
      <c r="AW17" s="75">
        <f>325000-30000-15000+9981-10000+8010</f>
        <v>287991</v>
      </c>
      <c r="AX17" s="73">
        <f t="shared" si="16"/>
        <v>-37009</v>
      </c>
      <c r="AY17" s="22"/>
      <c r="AZ17" s="23"/>
      <c r="BA17" s="73">
        <f t="shared" si="17"/>
        <v>0</v>
      </c>
      <c r="BB17" s="22"/>
      <c r="BC17" s="23"/>
      <c r="BD17" s="73">
        <f t="shared" si="18"/>
        <v>0</v>
      </c>
      <c r="BE17" s="22"/>
      <c r="BF17" s="23"/>
      <c r="BG17" s="73">
        <f t="shared" si="19"/>
        <v>0</v>
      </c>
      <c r="BH17" s="22"/>
      <c r="BI17" s="23"/>
      <c r="BJ17" s="73">
        <f t="shared" si="20"/>
        <v>0</v>
      </c>
      <c r="BK17" s="22"/>
      <c r="BL17" s="23"/>
      <c r="BM17" s="73">
        <f t="shared" si="21"/>
        <v>0</v>
      </c>
      <c r="BN17" s="22"/>
      <c r="BO17" s="23"/>
      <c r="BP17" s="73">
        <f t="shared" si="22"/>
        <v>0</v>
      </c>
      <c r="BQ17" s="22"/>
      <c r="BR17" s="23"/>
      <c r="BS17" s="73">
        <f t="shared" si="23"/>
        <v>0</v>
      </c>
      <c r="BT17" s="22"/>
      <c r="BU17" s="23"/>
      <c r="BV17" s="73">
        <f t="shared" si="24"/>
        <v>0</v>
      </c>
      <c r="BW17" s="22"/>
      <c r="BX17" s="23"/>
      <c r="BY17" s="73">
        <f t="shared" si="25"/>
        <v>0</v>
      </c>
      <c r="BZ17" s="22"/>
      <c r="CA17" s="23"/>
      <c r="CB17" s="73">
        <f t="shared" si="26"/>
        <v>0</v>
      </c>
      <c r="CC17" s="22"/>
      <c r="CD17" s="23"/>
      <c r="CE17" s="73">
        <f t="shared" si="27"/>
        <v>0</v>
      </c>
      <c r="CF17" s="22"/>
      <c r="CG17" s="23"/>
      <c r="CH17" s="73">
        <f t="shared" si="28"/>
        <v>0</v>
      </c>
      <c r="CI17" s="22"/>
      <c r="CJ17" s="23"/>
      <c r="CK17" s="73">
        <f t="shared" si="29"/>
        <v>0</v>
      </c>
      <c r="CL17" s="22"/>
      <c r="CM17" s="23"/>
      <c r="CN17" s="73">
        <f t="shared" si="30"/>
        <v>0</v>
      </c>
      <c r="CO17" s="22"/>
      <c r="CP17" s="23"/>
      <c r="CQ17" s="73">
        <f t="shared" si="31"/>
        <v>0</v>
      </c>
      <c r="CR17" s="22"/>
      <c r="CS17" s="23"/>
      <c r="CT17" s="73">
        <f t="shared" si="32"/>
        <v>0</v>
      </c>
      <c r="CU17" s="22"/>
      <c r="CV17" s="23"/>
      <c r="CW17" s="73">
        <f t="shared" si="33"/>
        <v>0</v>
      </c>
      <c r="CX17" s="22"/>
      <c r="CY17" s="23"/>
      <c r="CZ17" s="73">
        <f t="shared" si="34"/>
        <v>0</v>
      </c>
      <c r="DA17" s="22"/>
      <c r="DB17" s="23"/>
      <c r="DC17" s="73">
        <f t="shared" si="35"/>
        <v>0</v>
      </c>
      <c r="DD17" s="22"/>
      <c r="DE17" s="23"/>
      <c r="DF17" s="73">
        <f t="shared" si="36"/>
        <v>0</v>
      </c>
      <c r="DG17" s="22"/>
      <c r="DH17" s="23"/>
      <c r="DI17" s="73">
        <f t="shared" si="37"/>
        <v>0</v>
      </c>
      <c r="DJ17" s="22"/>
      <c r="DK17" s="23"/>
      <c r="DL17" s="73">
        <f t="shared" si="38"/>
        <v>0</v>
      </c>
      <c r="DM17" s="22"/>
      <c r="DN17" s="23"/>
      <c r="DO17" s="73">
        <f t="shared" si="39"/>
        <v>0</v>
      </c>
      <c r="DP17" s="22"/>
      <c r="DQ17" s="23"/>
      <c r="DR17" s="73">
        <f t="shared" si="40"/>
        <v>0</v>
      </c>
      <c r="DS17" s="73">
        <f t="shared" si="41"/>
        <v>360000</v>
      </c>
      <c r="DT17" s="73">
        <f t="shared" si="42"/>
        <v>322991</v>
      </c>
      <c r="DU17" s="73">
        <f t="shared" si="43"/>
        <v>-37009</v>
      </c>
      <c r="DV17" s="23">
        <f t="shared" si="49"/>
        <v>-150890</v>
      </c>
      <c r="DW17" s="79"/>
      <c r="DX17" s="73">
        <f t="shared" si="44"/>
        <v>35000</v>
      </c>
      <c r="DY17" s="73">
        <f t="shared" si="45"/>
        <v>35000</v>
      </c>
      <c r="DZ17" s="23">
        <f t="shared" si="46"/>
        <v>0</v>
      </c>
      <c r="EA17" s="23">
        <f t="shared" si="50"/>
        <v>0</v>
      </c>
      <c r="EB17" s="79"/>
      <c r="EC17" s="23">
        <f t="shared" si="47"/>
        <v>-37009</v>
      </c>
      <c r="ED17" s="23">
        <f t="shared" si="48"/>
        <v>-37009</v>
      </c>
      <c r="EE17" s="79"/>
      <c r="EF17" s="79"/>
      <c r="EG17" s="79"/>
      <c r="EH17" s="79"/>
      <c r="EI17" s="79"/>
      <c r="EJ17" s="79"/>
      <c r="EK17" s="79"/>
    </row>
    <row r="18" spans="1:141" x14ac:dyDescent="0.2">
      <c r="A18" s="72">
        <f>+BaseloadMarkets!A18</f>
        <v>36720</v>
      </c>
      <c r="B18" s="72" t="str">
        <f>+BaseloadMarkets!B18</f>
        <v>Thu</v>
      </c>
      <c r="C18" s="22">
        <v>5000</v>
      </c>
      <c r="D18" s="23">
        <v>5000</v>
      </c>
      <c r="E18" s="73">
        <f t="shared" si="0"/>
        <v>0</v>
      </c>
      <c r="F18" s="22">
        <v>10000</v>
      </c>
      <c r="G18" s="23">
        <v>10000</v>
      </c>
      <c r="H18" s="73">
        <f t="shared" si="1"/>
        <v>0</v>
      </c>
      <c r="I18" s="22">
        <f t="shared" si="2"/>
        <v>20000</v>
      </c>
      <c r="J18" s="22">
        <f t="shared" si="2"/>
        <v>20000</v>
      </c>
      <c r="K18" s="73">
        <f t="shared" si="3"/>
        <v>0</v>
      </c>
      <c r="L18" s="22"/>
      <c r="M18" s="23"/>
      <c r="N18" s="73">
        <f t="shared" si="4"/>
        <v>0</v>
      </c>
      <c r="O18" s="22"/>
      <c r="P18" s="23"/>
      <c r="Q18" s="73">
        <f t="shared" si="5"/>
        <v>0</v>
      </c>
      <c r="R18" s="22"/>
      <c r="S18" s="23"/>
      <c r="T18" s="73">
        <f t="shared" si="6"/>
        <v>0</v>
      </c>
      <c r="U18" s="22"/>
      <c r="V18" s="23"/>
      <c r="W18" s="73">
        <f t="shared" si="7"/>
        <v>0</v>
      </c>
      <c r="X18" s="22"/>
      <c r="Y18" s="23"/>
      <c r="Z18" s="73">
        <f t="shared" si="8"/>
        <v>0</v>
      </c>
      <c r="AA18" s="22"/>
      <c r="AB18" s="23"/>
      <c r="AC18" s="73">
        <f t="shared" si="9"/>
        <v>0</v>
      </c>
      <c r="AD18" s="22"/>
      <c r="AE18" s="23"/>
      <c r="AF18" s="73">
        <f t="shared" si="10"/>
        <v>0</v>
      </c>
      <c r="AG18" s="22"/>
      <c r="AH18" s="23"/>
      <c r="AI18" s="73">
        <f t="shared" si="11"/>
        <v>0</v>
      </c>
      <c r="AJ18" s="22"/>
      <c r="AK18" s="23"/>
      <c r="AL18" s="73">
        <f t="shared" si="12"/>
        <v>0</v>
      </c>
      <c r="AM18" s="22"/>
      <c r="AN18" s="23"/>
      <c r="AO18" s="73">
        <f t="shared" si="13"/>
        <v>0</v>
      </c>
      <c r="AP18" s="22"/>
      <c r="AQ18" s="23"/>
      <c r="AR18" s="73">
        <f t="shared" si="14"/>
        <v>0</v>
      </c>
      <c r="AS18" s="22"/>
      <c r="AT18" s="23"/>
      <c r="AU18" s="73">
        <f t="shared" si="15"/>
        <v>0</v>
      </c>
      <c r="AV18" s="74">
        <v>300000</v>
      </c>
      <c r="AW18" s="75">
        <f>300000</f>
        <v>300000</v>
      </c>
      <c r="AX18" s="73">
        <f t="shared" si="16"/>
        <v>0</v>
      </c>
      <c r="AY18" s="22"/>
      <c r="AZ18" s="23"/>
      <c r="BA18" s="73">
        <f t="shared" si="17"/>
        <v>0</v>
      </c>
      <c r="BB18" s="22"/>
      <c r="BC18" s="23"/>
      <c r="BD18" s="73">
        <f t="shared" si="18"/>
        <v>0</v>
      </c>
      <c r="BE18" s="22"/>
      <c r="BF18" s="23"/>
      <c r="BG18" s="73">
        <f t="shared" si="19"/>
        <v>0</v>
      </c>
      <c r="BH18" s="22"/>
      <c r="BI18" s="23"/>
      <c r="BJ18" s="73">
        <f t="shared" si="20"/>
        <v>0</v>
      </c>
      <c r="BK18" s="22"/>
      <c r="BL18" s="23"/>
      <c r="BM18" s="73">
        <f t="shared" si="21"/>
        <v>0</v>
      </c>
      <c r="BN18" s="22"/>
      <c r="BO18" s="23"/>
      <c r="BP18" s="73">
        <f t="shared" si="22"/>
        <v>0</v>
      </c>
      <c r="BQ18" s="22"/>
      <c r="BR18" s="23"/>
      <c r="BS18" s="73">
        <f t="shared" si="23"/>
        <v>0</v>
      </c>
      <c r="BT18" s="22"/>
      <c r="BU18" s="23"/>
      <c r="BV18" s="73">
        <f t="shared" si="24"/>
        <v>0</v>
      </c>
      <c r="BW18" s="22"/>
      <c r="BX18" s="23"/>
      <c r="BY18" s="73">
        <f t="shared" si="25"/>
        <v>0</v>
      </c>
      <c r="BZ18" s="22"/>
      <c r="CA18" s="23"/>
      <c r="CB18" s="73">
        <f t="shared" si="26"/>
        <v>0</v>
      </c>
      <c r="CC18" s="22"/>
      <c r="CD18" s="23"/>
      <c r="CE18" s="73">
        <f t="shared" si="27"/>
        <v>0</v>
      </c>
      <c r="CF18" s="22"/>
      <c r="CG18" s="23"/>
      <c r="CH18" s="73">
        <f t="shared" si="28"/>
        <v>0</v>
      </c>
      <c r="CI18" s="22"/>
      <c r="CJ18" s="23"/>
      <c r="CK18" s="73">
        <f t="shared" si="29"/>
        <v>0</v>
      </c>
      <c r="CL18" s="22"/>
      <c r="CM18" s="23"/>
      <c r="CN18" s="73">
        <f t="shared" si="30"/>
        <v>0</v>
      </c>
      <c r="CO18" s="22"/>
      <c r="CP18" s="23"/>
      <c r="CQ18" s="73">
        <f t="shared" si="31"/>
        <v>0</v>
      </c>
      <c r="CR18" s="22"/>
      <c r="CS18" s="23"/>
      <c r="CT18" s="73">
        <f t="shared" si="32"/>
        <v>0</v>
      </c>
      <c r="CU18" s="22"/>
      <c r="CV18" s="23"/>
      <c r="CW18" s="73">
        <f t="shared" si="33"/>
        <v>0</v>
      </c>
      <c r="CX18" s="22"/>
      <c r="CY18" s="23"/>
      <c r="CZ18" s="73">
        <f t="shared" si="34"/>
        <v>0</v>
      </c>
      <c r="DA18" s="22"/>
      <c r="DB18" s="23"/>
      <c r="DC18" s="73">
        <f t="shared" si="35"/>
        <v>0</v>
      </c>
      <c r="DD18" s="22"/>
      <c r="DE18" s="23"/>
      <c r="DF18" s="73">
        <f t="shared" si="36"/>
        <v>0</v>
      </c>
      <c r="DG18" s="22"/>
      <c r="DH18" s="23"/>
      <c r="DI18" s="73">
        <f t="shared" si="37"/>
        <v>0</v>
      </c>
      <c r="DJ18" s="22"/>
      <c r="DK18" s="23"/>
      <c r="DL18" s="73">
        <f t="shared" si="38"/>
        <v>0</v>
      </c>
      <c r="DM18" s="22"/>
      <c r="DN18" s="23"/>
      <c r="DO18" s="73">
        <f t="shared" si="39"/>
        <v>0</v>
      </c>
      <c r="DP18" s="22"/>
      <c r="DQ18" s="23"/>
      <c r="DR18" s="73">
        <f t="shared" si="40"/>
        <v>0</v>
      </c>
      <c r="DS18" s="73">
        <f t="shared" si="41"/>
        <v>335000</v>
      </c>
      <c r="DT18" s="73">
        <f t="shared" si="42"/>
        <v>335000</v>
      </c>
      <c r="DU18" s="73">
        <f t="shared" si="43"/>
        <v>0</v>
      </c>
      <c r="DV18" s="23">
        <f t="shared" si="49"/>
        <v>-150890</v>
      </c>
      <c r="DW18" s="79"/>
      <c r="DX18" s="73">
        <f t="shared" si="44"/>
        <v>35000</v>
      </c>
      <c r="DY18" s="73">
        <f t="shared" si="45"/>
        <v>35000</v>
      </c>
      <c r="DZ18" s="23">
        <f t="shared" si="46"/>
        <v>0</v>
      </c>
      <c r="EA18" s="23">
        <f t="shared" si="50"/>
        <v>0</v>
      </c>
      <c r="EB18" s="79"/>
      <c r="EC18" s="23">
        <f t="shared" si="47"/>
        <v>0</v>
      </c>
      <c r="ED18" s="23">
        <f t="shared" si="48"/>
        <v>0</v>
      </c>
      <c r="EE18" s="79"/>
      <c r="EF18" s="79"/>
      <c r="EG18" s="79"/>
      <c r="EH18" s="79"/>
      <c r="EI18" s="79"/>
      <c r="EJ18" s="79"/>
      <c r="EK18" s="79"/>
    </row>
    <row r="19" spans="1:141" x14ac:dyDescent="0.2">
      <c r="A19" s="72">
        <f>+BaseloadMarkets!A19</f>
        <v>36721</v>
      </c>
      <c r="B19" s="72" t="str">
        <f>+BaseloadMarkets!B19</f>
        <v>Fri</v>
      </c>
      <c r="C19" s="22">
        <v>5000</v>
      </c>
      <c r="D19" s="23">
        <v>5000</v>
      </c>
      <c r="E19" s="73">
        <f t="shared" si="0"/>
        <v>0</v>
      </c>
      <c r="F19" s="22">
        <v>10000</v>
      </c>
      <c r="G19" s="23">
        <f>3740+2990</f>
        <v>6730</v>
      </c>
      <c r="H19" s="73">
        <f t="shared" si="1"/>
        <v>-3270</v>
      </c>
      <c r="I19" s="22">
        <f t="shared" si="2"/>
        <v>20000</v>
      </c>
      <c r="J19" s="22">
        <f t="shared" si="2"/>
        <v>20000</v>
      </c>
      <c r="K19" s="73">
        <f t="shared" si="3"/>
        <v>0</v>
      </c>
      <c r="L19" s="22"/>
      <c r="M19" s="23"/>
      <c r="N19" s="73">
        <f t="shared" si="4"/>
        <v>0</v>
      </c>
      <c r="O19" s="22"/>
      <c r="P19" s="23"/>
      <c r="Q19" s="73">
        <f t="shared" si="5"/>
        <v>0</v>
      </c>
      <c r="R19" s="22"/>
      <c r="S19" s="23"/>
      <c r="T19" s="73">
        <f t="shared" si="6"/>
        <v>0</v>
      </c>
      <c r="U19" s="22"/>
      <c r="V19" s="23"/>
      <c r="W19" s="73">
        <f t="shared" si="7"/>
        <v>0</v>
      </c>
      <c r="X19" s="22"/>
      <c r="Y19" s="23"/>
      <c r="Z19" s="73">
        <f t="shared" si="8"/>
        <v>0</v>
      </c>
      <c r="AA19" s="22"/>
      <c r="AB19" s="23"/>
      <c r="AC19" s="73">
        <f t="shared" si="9"/>
        <v>0</v>
      </c>
      <c r="AD19" s="22"/>
      <c r="AE19" s="23"/>
      <c r="AF19" s="73">
        <f t="shared" si="10"/>
        <v>0</v>
      </c>
      <c r="AG19" s="22"/>
      <c r="AH19" s="23"/>
      <c r="AI19" s="73">
        <f t="shared" si="11"/>
        <v>0</v>
      </c>
      <c r="AJ19" s="22"/>
      <c r="AK19" s="23"/>
      <c r="AL19" s="73">
        <f t="shared" si="12"/>
        <v>0</v>
      </c>
      <c r="AM19" s="22"/>
      <c r="AN19" s="23"/>
      <c r="AO19" s="73">
        <f t="shared" si="13"/>
        <v>0</v>
      </c>
      <c r="AP19" s="22"/>
      <c r="AQ19" s="23"/>
      <c r="AR19" s="73">
        <f t="shared" si="14"/>
        <v>0</v>
      </c>
      <c r="AS19" s="22"/>
      <c r="AT19" s="23"/>
      <c r="AU19" s="73">
        <f t="shared" si="15"/>
        <v>0</v>
      </c>
      <c r="AV19" s="74">
        <v>235000</v>
      </c>
      <c r="AW19" s="75">
        <f>235000-10000+4658-10000+6492-5000</f>
        <v>221150</v>
      </c>
      <c r="AX19" s="73">
        <f t="shared" si="16"/>
        <v>-13850</v>
      </c>
      <c r="AY19" s="22"/>
      <c r="AZ19" s="23"/>
      <c r="BA19" s="73">
        <f t="shared" si="17"/>
        <v>0</v>
      </c>
      <c r="BB19" s="22"/>
      <c r="BC19" s="23"/>
      <c r="BD19" s="73">
        <f t="shared" si="18"/>
        <v>0</v>
      </c>
      <c r="BE19" s="22"/>
      <c r="BF19" s="23"/>
      <c r="BG19" s="73">
        <f t="shared" si="19"/>
        <v>0</v>
      </c>
      <c r="BH19" s="22"/>
      <c r="BI19" s="23"/>
      <c r="BJ19" s="73">
        <f t="shared" si="20"/>
        <v>0</v>
      </c>
      <c r="BK19" s="22"/>
      <c r="BL19" s="23"/>
      <c r="BM19" s="73">
        <f t="shared" si="21"/>
        <v>0</v>
      </c>
      <c r="BN19" s="22"/>
      <c r="BO19" s="23"/>
      <c r="BP19" s="73">
        <f t="shared" si="22"/>
        <v>0</v>
      </c>
      <c r="BQ19" s="22"/>
      <c r="BR19" s="23"/>
      <c r="BS19" s="73">
        <f t="shared" si="23"/>
        <v>0</v>
      </c>
      <c r="BT19" s="22"/>
      <c r="BU19" s="23"/>
      <c r="BV19" s="73">
        <f t="shared" si="24"/>
        <v>0</v>
      </c>
      <c r="BW19" s="22"/>
      <c r="BX19" s="23"/>
      <c r="BY19" s="73">
        <f t="shared" si="25"/>
        <v>0</v>
      </c>
      <c r="BZ19" s="22"/>
      <c r="CA19" s="23"/>
      <c r="CB19" s="73">
        <f t="shared" si="26"/>
        <v>0</v>
      </c>
      <c r="CC19" s="22"/>
      <c r="CD19" s="23"/>
      <c r="CE19" s="73">
        <f t="shared" si="27"/>
        <v>0</v>
      </c>
      <c r="CF19" s="22"/>
      <c r="CG19" s="23"/>
      <c r="CH19" s="73">
        <f t="shared" si="28"/>
        <v>0</v>
      </c>
      <c r="CI19" s="22"/>
      <c r="CJ19" s="23"/>
      <c r="CK19" s="73">
        <f t="shared" si="29"/>
        <v>0</v>
      </c>
      <c r="CL19" s="22"/>
      <c r="CM19" s="23"/>
      <c r="CN19" s="73">
        <f t="shared" si="30"/>
        <v>0</v>
      </c>
      <c r="CO19" s="22"/>
      <c r="CP19" s="23"/>
      <c r="CQ19" s="73">
        <f t="shared" si="31"/>
        <v>0</v>
      </c>
      <c r="CR19" s="22"/>
      <c r="CS19" s="23"/>
      <c r="CT19" s="73">
        <f t="shared" si="32"/>
        <v>0</v>
      </c>
      <c r="CU19" s="22"/>
      <c r="CV19" s="23"/>
      <c r="CW19" s="73">
        <f t="shared" si="33"/>
        <v>0</v>
      </c>
      <c r="CX19" s="22"/>
      <c r="CY19" s="23"/>
      <c r="CZ19" s="73">
        <f t="shared" si="34"/>
        <v>0</v>
      </c>
      <c r="DA19" s="22"/>
      <c r="DB19" s="23"/>
      <c r="DC19" s="73">
        <f t="shared" si="35"/>
        <v>0</v>
      </c>
      <c r="DD19" s="22"/>
      <c r="DE19" s="23"/>
      <c r="DF19" s="73">
        <f t="shared" si="36"/>
        <v>0</v>
      </c>
      <c r="DG19" s="22"/>
      <c r="DH19" s="23"/>
      <c r="DI19" s="73">
        <f t="shared" si="37"/>
        <v>0</v>
      </c>
      <c r="DJ19" s="22"/>
      <c r="DK19" s="23"/>
      <c r="DL19" s="73">
        <f t="shared" si="38"/>
        <v>0</v>
      </c>
      <c r="DM19" s="22"/>
      <c r="DN19" s="23"/>
      <c r="DO19" s="73">
        <f t="shared" si="39"/>
        <v>0</v>
      </c>
      <c r="DP19" s="22"/>
      <c r="DQ19" s="23"/>
      <c r="DR19" s="73">
        <f t="shared" si="40"/>
        <v>0</v>
      </c>
      <c r="DS19" s="73">
        <f t="shared" si="41"/>
        <v>270000</v>
      </c>
      <c r="DT19" s="73">
        <f t="shared" si="42"/>
        <v>252880</v>
      </c>
      <c r="DU19" s="73">
        <f t="shared" si="43"/>
        <v>-17120</v>
      </c>
      <c r="DV19" s="23">
        <f t="shared" si="49"/>
        <v>-168010</v>
      </c>
      <c r="DW19" s="79"/>
      <c r="DX19" s="73">
        <f t="shared" si="44"/>
        <v>35000</v>
      </c>
      <c r="DY19" s="73">
        <f t="shared" si="45"/>
        <v>31730</v>
      </c>
      <c r="DZ19" s="23">
        <f t="shared" si="46"/>
        <v>-3270</v>
      </c>
      <c r="EA19" s="23">
        <f t="shared" si="50"/>
        <v>-3270</v>
      </c>
      <c r="EB19" s="79"/>
      <c r="EC19" s="23">
        <f t="shared" si="47"/>
        <v>-13850</v>
      </c>
      <c r="ED19" s="23">
        <f t="shared" si="48"/>
        <v>-13850</v>
      </c>
      <c r="EE19" s="79"/>
      <c r="EF19" s="79"/>
      <c r="EG19" s="79"/>
      <c r="EH19" s="79"/>
      <c r="EI19" s="79"/>
      <c r="EJ19" s="79"/>
      <c r="EK19" s="79"/>
    </row>
    <row r="20" spans="1:141" x14ac:dyDescent="0.2">
      <c r="A20" s="72">
        <f>+BaseloadMarkets!A20</f>
        <v>36722</v>
      </c>
      <c r="B20" s="72" t="str">
        <f>+BaseloadMarkets!B20</f>
        <v>Sat</v>
      </c>
      <c r="C20" s="22">
        <v>5000</v>
      </c>
      <c r="D20" s="23">
        <v>5000</v>
      </c>
      <c r="E20" s="73">
        <f t="shared" si="0"/>
        <v>0</v>
      </c>
      <c r="F20" s="22">
        <v>10000</v>
      </c>
      <c r="G20" s="23">
        <f>5000+3379</f>
        <v>8379</v>
      </c>
      <c r="H20" s="73">
        <f t="shared" si="1"/>
        <v>-1621</v>
      </c>
      <c r="I20" s="22">
        <f t="shared" si="2"/>
        <v>20000</v>
      </c>
      <c r="J20" s="22">
        <f>10000+6488</f>
        <v>16488</v>
      </c>
      <c r="K20" s="73">
        <f t="shared" si="3"/>
        <v>-3512</v>
      </c>
      <c r="L20" s="22"/>
      <c r="M20" s="23"/>
      <c r="N20" s="73">
        <f t="shared" si="4"/>
        <v>0</v>
      </c>
      <c r="O20" s="22"/>
      <c r="P20" s="23"/>
      <c r="Q20" s="73">
        <f t="shared" si="5"/>
        <v>0</v>
      </c>
      <c r="R20" s="22"/>
      <c r="S20" s="23"/>
      <c r="T20" s="73">
        <f t="shared" si="6"/>
        <v>0</v>
      </c>
      <c r="U20" s="22"/>
      <c r="V20" s="23"/>
      <c r="W20" s="73">
        <f t="shared" si="7"/>
        <v>0</v>
      </c>
      <c r="X20" s="22"/>
      <c r="Y20" s="23"/>
      <c r="Z20" s="73">
        <f t="shared" si="8"/>
        <v>0</v>
      </c>
      <c r="AA20" s="22"/>
      <c r="AB20" s="23"/>
      <c r="AC20" s="73">
        <f t="shared" si="9"/>
        <v>0</v>
      </c>
      <c r="AD20" s="22"/>
      <c r="AE20" s="23"/>
      <c r="AF20" s="73">
        <f t="shared" si="10"/>
        <v>0</v>
      </c>
      <c r="AG20" s="22"/>
      <c r="AH20" s="23"/>
      <c r="AI20" s="73">
        <f t="shared" si="11"/>
        <v>0</v>
      </c>
      <c r="AJ20" s="22"/>
      <c r="AK20" s="23"/>
      <c r="AL20" s="73">
        <f t="shared" si="12"/>
        <v>0</v>
      </c>
      <c r="AM20" s="22"/>
      <c r="AN20" s="23"/>
      <c r="AO20" s="73">
        <f t="shared" si="13"/>
        <v>0</v>
      </c>
      <c r="AP20" s="22"/>
      <c r="AQ20" s="23"/>
      <c r="AR20" s="73">
        <f t="shared" si="14"/>
        <v>0</v>
      </c>
      <c r="AS20" s="22"/>
      <c r="AT20" s="23"/>
      <c r="AU20" s="73">
        <f t="shared" si="15"/>
        <v>0</v>
      </c>
      <c r="AV20" s="74">
        <v>130000</v>
      </c>
      <c r="AW20" s="75">
        <v>130000</v>
      </c>
      <c r="AX20" s="73">
        <f t="shared" si="16"/>
        <v>0</v>
      </c>
      <c r="AY20" s="22"/>
      <c r="AZ20" s="23"/>
      <c r="BA20" s="73">
        <f t="shared" si="17"/>
        <v>0</v>
      </c>
      <c r="BB20" s="22"/>
      <c r="BC20" s="23"/>
      <c r="BD20" s="73">
        <f t="shared" si="18"/>
        <v>0</v>
      </c>
      <c r="BE20" s="22"/>
      <c r="BF20" s="23"/>
      <c r="BG20" s="73">
        <f t="shared" si="19"/>
        <v>0</v>
      </c>
      <c r="BH20" s="22"/>
      <c r="BI20" s="23"/>
      <c r="BJ20" s="73">
        <f t="shared" si="20"/>
        <v>0</v>
      </c>
      <c r="BK20" s="22"/>
      <c r="BL20" s="23"/>
      <c r="BM20" s="73">
        <f t="shared" si="21"/>
        <v>0</v>
      </c>
      <c r="BN20" s="22"/>
      <c r="BO20" s="23"/>
      <c r="BP20" s="73">
        <f t="shared" si="22"/>
        <v>0</v>
      </c>
      <c r="BQ20" s="22"/>
      <c r="BR20" s="23"/>
      <c r="BS20" s="73">
        <f t="shared" si="23"/>
        <v>0</v>
      </c>
      <c r="BT20" s="22"/>
      <c r="BU20" s="23"/>
      <c r="BV20" s="73">
        <f t="shared" si="24"/>
        <v>0</v>
      </c>
      <c r="BW20" s="22"/>
      <c r="BX20" s="23"/>
      <c r="BY20" s="73">
        <f t="shared" si="25"/>
        <v>0</v>
      </c>
      <c r="BZ20" s="22"/>
      <c r="CA20" s="23"/>
      <c r="CB20" s="73">
        <f t="shared" si="26"/>
        <v>0</v>
      </c>
      <c r="CC20" s="22"/>
      <c r="CD20" s="23"/>
      <c r="CE20" s="73">
        <f t="shared" si="27"/>
        <v>0</v>
      </c>
      <c r="CF20" s="22"/>
      <c r="CG20" s="23"/>
      <c r="CH20" s="73">
        <f t="shared" si="28"/>
        <v>0</v>
      </c>
      <c r="CI20" s="22"/>
      <c r="CJ20" s="23"/>
      <c r="CK20" s="73">
        <f t="shared" si="29"/>
        <v>0</v>
      </c>
      <c r="CL20" s="22"/>
      <c r="CM20" s="23"/>
      <c r="CN20" s="73">
        <f t="shared" si="30"/>
        <v>0</v>
      </c>
      <c r="CO20" s="22"/>
      <c r="CP20" s="23"/>
      <c r="CQ20" s="73">
        <f t="shared" si="31"/>
        <v>0</v>
      </c>
      <c r="CR20" s="22"/>
      <c r="CS20" s="23"/>
      <c r="CT20" s="73">
        <f t="shared" si="32"/>
        <v>0</v>
      </c>
      <c r="CU20" s="22"/>
      <c r="CV20" s="23"/>
      <c r="CW20" s="73">
        <f t="shared" si="33"/>
        <v>0</v>
      </c>
      <c r="CX20" s="22"/>
      <c r="CY20" s="23"/>
      <c r="CZ20" s="73">
        <f t="shared" si="34"/>
        <v>0</v>
      </c>
      <c r="DA20" s="22"/>
      <c r="DB20" s="23"/>
      <c r="DC20" s="73">
        <f t="shared" si="35"/>
        <v>0</v>
      </c>
      <c r="DD20" s="22"/>
      <c r="DE20" s="23"/>
      <c r="DF20" s="73">
        <f t="shared" si="36"/>
        <v>0</v>
      </c>
      <c r="DG20" s="22"/>
      <c r="DH20" s="23"/>
      <c r="DI20" s="73">
        <f t="shared" si="37"/>
        <v>0</v>
      </c>
      <c r="DJ20" s="22"/>
      <c r="DK20" s="23"/>
      <c r="DL20" s="73">
        <f t="shared" si="38"/>
        <v>0</v>
      </c>
      <c r="DM20" s="22"/>
      <c r="DN20" s="23"/>
      <c r="DO20" s="73">
        <f t="shared" si="39"/>
        <v>0</v>
      </c>
      <c r="DP20" s="22"/>
      <c r="DQ20" s="23"/>
      <c r="DR20" s="73">
        <f t="shared" si="40"/>
        <v>0</v>
      </c>
      <c r="DS20" s="73">
        <f t="shared" si="41"/>
        <v>165000</v>
      </c>
      <c r="DT20" s="73">
        <f t="shared" si="42"/>
        <v>159867</v>
      </c>
      <c r="DU20" s="73">
        <f t="shared" si="43"/>
        <v>-5133</v>
      </c>
      <c r="DV20" s="23">
        <f t="shared" si="49"/>
        <v>-173143</v>
      </c>
      <c r="DW20" s="79"/>
      <c r="DX20" s="73">
        <f t="shared" si="44"/>
        <v>35000</v>
      </c>
      <c r="DY20" s="73">
        <f t="shared" si="45"/>
        <v>29867</v>
      </c>
      <c r="DZ20" s="23">
        <f t="shared" si="46"/>
        <v>-5133</v>
      </c>
      <c r="EA20" s="23">
        <f t="shared" si="50"/>
        <v>-8403</v>
      </c>
      <c r="EB20" s="79"/>
      <c r="EC20" s="23">
        <f t="shared" si="47"/>
        <v>0</v>
      </c>
      <c r="ED20" s="23">
        <f t="shared" si="48"/>
        <v>0</v>
      </c>
      <c r="EE20" s="79"/>
      <c r="EF20" s="79"/>
      <c r="EG20" s="79"/>
      <c r="EH20" s="79"/>
      <c r="EI20" s="79"/>
      <c r="EJ20" s="79"/>
      <c r="EK20" s="79"/>
    </row>
    <row r="21" spans="1:141" x14ac:dyDescent="0.2">
      <c r="A21" s="72">
        <f>+BaseloadMarkets!A21</f>
        <v>36723</v>
      </c>
      <c r="B21" s="72" t="str">
        <f>+BaseloadMarkets!B21</f>
        <v>Sun</v>
      </c>
      <c r="C21" s="22">
        <v>5000</v>
      </c>
      <c r="D21" s="23">
        <v>5000</v>
      </c>
      <c r="E21" s="73">
        <f t="shared" si="0"/>
        <v>0</v>
      </c>
      <c r="F21" s="22">
        <v>10000</v>
      </c>
      <c r="G21" s="23">
        <f>5000+2432</f>
        <v>7432</v>
      </c>
      <c r="H21" s="73">
        <f t="shared" si="1"/>
        <v>-2568</v>
      </c>
      <c r="I21" s="22">
        <f t="shared" si="2"/>
        <v>20000</v>
      </c>
      <c r="J21" s="22">
        <f>10000+6141</f>
        <v>16141</v>
      </c>
      <c r="K21" s="73">
        <f t="shared" si="3"/>
        <v>-3859</v>
      </c>
      <c r="L21" s="22"/>
      <c r="M21" s="23"/>
      <c r="N21" s="73">
        <f t="shared" si="4"/>
        <v>0</v>
      </c>
      <c r="O21" s="22"/>
      <c r="P21" s="23"/>
      <c r="Q21" s="73">
        <f t="shared" si="5"/>
        <v>0</v>
      </c>
      <c r="R21" s="22"/>
      <c r="S21" s="23"/>
      <c r="T21" s="73">
        <f t="shared" si="6"/>
        <v>0</v>
      </c>
      <c r="U21" s="22"/>
      <c r="V21" s="23"/>
      <c r="W21" s="73">
        <f t="shared" si="7"/>
        <v>0</v>
      </c>
      <c r="X21" s="22"/>
      <c r="Y21" s="23"/>
      <c r="Z21" s="73">
        <f t="shared" si="8"/>
        <v>0</v>
      </c>
      <c r="AA21" s="22"/>
      <c r="AB21" s="23"/>
      <c r="AC21" s="73">
        <f t="shared" si="9"/>
        <v>0</v>
      </c>
      <c r="AD21" s="22"/>
      <c r="AE21" s="23"/>
      <c r="AF21" s="73">
        <f t="shared" si="10"/>
        <v>0</v>
      </c>
      <c r="AG21" s="22"/>
      <c r="AH21" s="23"/>
      <c r="AI21" s="73">
        <f t="shared" si="11"/>
        <v>0</v>
      </c>
      <c r="AJ21" s="22"/>
      <c r="AK21" s="23"/>
      <c r="AL21" s="73">
        <f t="shared" si="12"/>
        <v>0</v>
      </c>
      <c r="AM21" s="22"/>
      <c r="AN21" s="23"/>
      <c r="AO21" s="73">
        <f t="shared" si="13"/>
        <v>0</v>
      </c>
      <c r="AP21" s="22"/>
      <c r="AQ21" s="23"/>
      <c r="AR21" s="73">
        <f t="shared" si="14"/>
        <v>0</v>
      </c>
      <c r="AS21" s="22"/>
      <c r="AT21" s="23"/>
      <c r="AU21" s="73">
        <f t="shared" si="15"/>
        <v>0</v>
      </c>
      <c r="AV21" s="74">
        <v>130000</v>
      </c>
      <c r="AW21" s="75">
        <v>130000</v>
      </c>
      <c r="AX21" s="73">
        <f t="shared" si="16"/>
        <v>0</v>
      </c>
      <c r="AY21" s="22"/>
      <c r="AZ21" s="23"/>
      <c r="BA21" s="73">
        <f t="shared" si="17"/>
        <v>0</v>
      </c>
      <c r="BB21" s="22"/>
      <c r="BC21" s="23"/>
      <c r="BD21" s="73">
        <f t="shared" si="18"/>
        <v>0</v>
      </c>
      <c r="BE21" s="22"/>
      <c r="BF21" s="23"/>
      <c r="BG21" s="73">
        <f t="shared" si="19"/>
        <v>0</v>
      </c>
      <c r="BH21" s="22"/>
      <c r="BI21" s="23"/>
      <c r="BJ21" s="73">
        <f t="shared" si="20"/>
        <v>0</v>
      </c>
      <c r="BK21" s="22"/>
      <c r="BL21" s="23"/>
      <c r="BM21" s="73">
        <f t="shared" si="21"/>
        <v>0</v>
      </c>
      <c r="BN21" s="22"/>
      <c r="BO21" s="23"/>
      <c r="BP21" s="73">
        <f t="shared" si="22"/>
        <v>0</v>
      </c>
      <c r="BQ21" s="22"/>
      <c r="BR21" s="23"/>
      <c r="BS21" s="73">
        <f t="shared" si="23"/>
        <v>0</v>
      </c>
      <c r="BT21" s="22"/>
      <c r="BU21" s="23"/>
      <c r="BV21" s="73">
        <f t="shared" si="24"/>
        <v>0</v>
      </c>
      <c r="BW21" s="22"/>
      <c r="BX21" s="23"/>
      <c r="BY21" s="73">
        <f t="shared" si="25"/>
        <v>0</v>
      </c>
      <c r="BZ21" s="22"/>
      <c r="CA21" s="23"/>
      <c r="CB21" s="73">
        <f t="shared" si="26"/>
        <v>0</v>
      </c>
      <c r="CC21" s="22"/>
      <c r="CD21" s="23"/>
      <c r="CE21" s="73">
        <f t="shared" si="27"/>
        <v>0</v>
      </c>
      <c r="CF21" s="22"/>
      <c r="CG21" s="23"/>
      <c r="CH21" s="73">
        <f t="shared" si="28"/>
        <v>0</v>
      </c>
      <c r="CI21" s="22"/>
      <c r="CJ21" s="23"/>
      <c r="CK21" s="73">
        <f t="shared" si="29"/>
        <v>0</v>
      </c>
      <c r="CL21" s="22"/>
      <c r="CM21" s="23"/>
      <c r="CN21" s="73">
        <f t="shared" si="30"/>
        <v>0</v>
      </c>
      <c r="CO21" s="22"/>
      <c r="CP21" s="23"/>
      <c r="CQ21" s="73">
        <f t="shared" si="31"/>
        <v>0</v>
      </c>
      <c r="CR21" s="22"/>
      <c r="CS21" s="23"/>
      <c r="CT21" s="73">
        <f t="shared" si="32"/>
        <v>0</v>
      </c>
      <c r="CU21" s="22"/>
      <c r="CV21" s="23"/>
      <c r="CW21" s="73">
        <f t="shared" si="33"/>
        <v>0</v>
      </c>
      <c r="CX21" s="22"/>
      <c r="CY21" s="23"/>
      <c r="CZ21" s="73">
        <f t="shared" si="34"/>
        <v>0</v>
      </c>
      <c r="DA21" s="22"/>
      <c r="DB21" s="23"/>
      <c r="DC21" s="73">
        <f t="shared" si="35"/>
        <v>0</v>
      </c>
      <c r="DD21" s="22"/>
      <c r="DE21" s="23"/>
      <c r="DF21" s="73">
        <f t="shared" si="36"/>
        <v>0</v>
      </c>
      <c r="DG21" s="22"/>
      <c r="DH21" s="23"/>
      <c r="DI21" s="73">
        <f t="shared" si="37"/>
        <v>0</v>
      </c>
      <c r="DJ21" s="22"/>
      <c r="DK21" s="23"/>
      <c r="DL21" s="73">
        <f t="shared" si="38"/>
        <v>0</v>
      </c>
      <c r="DM21" s="22"/>
      <c r="DN21" s="23"/>
      <c r="DO21" s="73">
        <f t="shared" si="39"/>
        <v>0</v>
      </c>
      <c r="DP21" s="22"/>
      <c r="DQ21" s="23"/>
      <c r="DR21" s="73">
        <f t="shared" si="40"/>
        <v>0</v>
      </c>
      <c r="DS21" s="73">
        <f t="shared" si="41"/>
        <v>165000</v>
      </c>
      <c r="DT21" s="73">
        <f t="shared" si="42"/>
        <v>158573</v>
      </c>
      <c r="DU21" s="73">
        <f t="shared" si="43"/>
        <v>-6427</v>
      </c>
      <c r="DV21" s="23">
        <f t="shared" si="49"/>
        <v>-179570</v>
      </c>
      <c r="DW21" s="79"/>
      <c r="DX21" s="73">
        <f t="shared" si="44"/>
        <v>35000</v>
      </c>
      <c r="DY21" s="73">
        <f t="shared" si="45"/>
        <v>28573</v>
      </c>
      <c r="DZ21" s="23">
        <f t="shared" si="46"/>
        <v>-6427</v>
      </c>
      <c r="EA21" s="23">
        <f t="shared" si="50"/>
        <v>-14830</v>
      </c>
      <c r="EB21" s="79"/>
      <c r="EC21" s="23">
        <f t="shared" si="47"/>
        <v>0</v>
      </c>
      <c r="ED21" s="23">
        <f t="shared" si="48"/>
        <v>0</v>
      </c>
      <c r="EE21" s="79"/>
      <c r="EF21" s="79"/>
      <c r="EG21" s="79"/>
      <c r="EH21" s="79"/>
      <c r="EI21" s="79"/>
      <c r="EJ21" s="79"/>
      <c r="EK21" s="79"/>
    </row>
    <row r="22" spans="1:141" x14ac:dyDescent="0.2">
      <c r="A22" s="72">
        <f>+BaseloadMarkets!A22</f>
        <v>36724</v>
      </c>
      <c r="B22" s="72" t="str">
        <f>+BaseloadMarkets!B22</f>
        <v>Mon</v>
      </c>
      <c r="C22" s="22">
        <v>5000</v>
      </c>
      <c r="D22" s="23">
        <v>5000</v>
      </c>
      <c r="E22" s="73">
        <f t="shared" si="0"/>
        <v>0</v>
      </c>
      <c r="F22" s="22">
        <v>10000</v>
      </c>
      <c r="G22" s="23">
        <f>5000+3270</f>
        <v>8270</v>
      </c>
      <c r="H22" s="73">
        <f t="shared" si="1"/>
        <v>-1730</v>
      </c>
      <c r="I22" s="22">
        <f t="shared" si="2"/>
        <v>20000</v>
      </c>
      <c r="J22" s="22">
        <f>10000+5808</f>
        <v>15808</v>
      </c>
      <c r="K22" s="73">
        <f t="shared" si="3"/>
        <v>-4192</v>
      </c>
      <c r="L22" s="22"/>
      <c r="M22" s="23"/>
      <c r="N22" s="73">
        <f t="shared" si="4"/>
        <v>0</v>
      </c>
      <c r="O22" s="22"/>
      <c r="P22" s="23"/>
      <c r="Q22" s="73">
        <f t="shared" si="5"/>
        <v>0</v>
      </c>
      <c r="R22" s="22"/>
      <c r="S22" s="23"/>
      <c r="T22" s="73">
        <f t="shared" si="6"/>
        <v>0</v>
      </c>
      <c r="U22" s="22"/>
      <c r="V22" s="23"/>
      <c r="W22" s="73">
        <f t="shared" si="7"/>
        <v>0</v>
      </c>
      <c r="X22" s="22"/>
      <c r="Y22" s="23"/>
      <c r="Z22" s="73">
        <f t="shared" si="8"/>
        <v>0</v>
      </c>
      <c r="AA22" s="22"/>
      <c r="AB22" s="23"/>
      <c r="AC22" s="73">
        <f t="shared" si="9"/>
        <v>0</v>
      </c>
      <c r="AD22" s="22"/>
      <c r="AE22" s="23"/>
      <c r="AF22" s="73">
        <f t="shared" si="10"/>
        <v>0</v>
      </c>
      <c r="AG22" s="22"/>
      <c r="AH22" s="23"/>
      <c r="AI22" s="73">
        <f t="shared" si="11"/>
        <v>0</v>
      </c>
      <c r="AJ22" s="22"/>
      <c r="AK22" s="23"/>
      <c r="AL22" s="73">
        <f t="shared" si="12"/>
        <v>0</v>
      </c>
      <c r="AM22" s="22"/>
      <c r="AN22" s="23"/>
      <c r="AO22" s="73">
        <f t="shared" si="13"/>
        <v>0</v>
      </c>
      <c r="AP22" s="22"/>
      <c r="AQ22" s="23"/>
      <c r="AR22" s="73">
        <f t="shared" si="14"/>
        <v>0</v>
      </c>
      <c r="AS22" s="22"/>
      <c r="AT22" s="23"/>
      <c r="AU22" s="73">
        <f t="shared" si="15"/>
        <v>0</v>
      </c>
      <c r="AV22" s="74">
        <v>130000</v>
      </c>
      <c r="AW22" s="75">
        <v>130000</v>
      </c>
      <c r="AX22" s="73">
        <f t="shared" si="16"/>
        <v>0</v>
      </c>
      <c r="AY22" s="22"/>
      <c r="AZ22" s="23"/>
      <c r="BA22" s="73">
        <f t="shared" si="17"/>
        <v>0</v>
      </c>
      <c r="BB22" s="22"/>
      <c r="BC22" s="23"/>
      <c r="BD22" s="73">
        <f t="shared" si="18"/>
        <v>0</v>
      </c>
      <c r="BE22" s="22"/>
      <c r="BF22" s="23"/>
      <c r="BG22" s="73">
        <f t="shared" si="19"/>
        <v>0</v>
      </c>
      <c r="BH22" s="22"/>
      <c r="BI22" s="23"/>
      <c r="BJ22" s="73">
        <f t="shared" si="20"/>
        <v>0</v>
      </c>
      <c r="BK22" s="22"/>
      <c r="BL22" s="23"/>
      <c r="BM22" s="73">
        <f t="shared" si="21"/>
        <v>0</v>
      </c>
      <c r="BN22" s="22"/>
      <c r="BO22" s="23"/>
      <c r="BP22" s="73">
        <f t="shared" si="22"/>
        <v>0</v>
      </c>
      <c r="BQ22" s="22"/>
      <c r="BR22" s="23"/>
      <c r="BS22" s="73">
        <f t="shared" si="23"/>
        <v>0</v>
      </c>
      <c r="BT22" s="22"/>
      <c r="BU22" s="23"/>
      <c r="BV22" s="73">
        <f t="shared" si="24"/>
        <v>0</v>
      </c>
      <c r="BW22" s="22"/>
      <c r="BX22" s="23"/>
      <c r="BY22" s="73">
        <f t="shared" si="25"/>
        <v>0</v>
      </c>
      <c r="BZ22" s="22"/>
      <c r="CA22" s="23"/>
      <c r="CB22" s="73">
        <f t="shared" si="26"/>
        <v>0</v>
      </c>
      <c r="CC22" s="22"/>
      <c r="CD22" s="23"/>
      <c r="CE22" s="73">
        <f t="shared" si="27"/>
        <v>0</v>
      </c>
      <c r="CF22" s="22"/>
      <c r="CG22" s="23"/>
      <c r="CH22" s="73">
        <f t="shared" si="28"/>
        <v>0</v>
      </c>
      <c r="CI22" s="22"/>
      <c r="CJ22" s="23"/>
      <c r="CK22" s="73">
        <f t="shared" si="29"/>
        <v>0</v>
      </c>
      <c r="CL22" s="22"/>
      <c r="CM22" s="23"/>
      <c r="CN22" s="73">
        <f t="shared" si="30"/>
        <v>0</v>
      </c>
      <c r="CO22" s="22"/>
      <c r="CP22" s="23"/>
      <c r="CQ22" s="73">
        <f t="shared" si="31"/>
        <v>0</v>
      </c>
      <c r="CR22" s="22"/>
      <c r="CS22" s="23"/>
      <c r="CT22" s="73">
        <f t="shared" si="32"/>
        <v>0</v>
      </c>
      <c r="CU22" s="22"/>
      <c r="CV22" s="23"/>
      <c r="CW22" s="73">
        <f t="shared" si="33"/>
        <v>0</v>
      </c>
      <c r="CX22" s="22"/>
      <c r="CY22" s="23"/>
      <c r="CZ22" s="73">
        <f t="shared" si="34"/>
        <v>0</v>
      </c>
      <c r="DA22" s="22"/>
      <c r="DB22" s="23"/>
      <c r="DC22" s="73">
        <f t="shared" si="35"/>
        <v>0</v>
      </c>
      <c r="DD22" s="22"/>
      <c r="DE22" s="23"/>
      <c r="DF22" s="73">
        <f t="shared" si="36"/>
        <v>0</v>
      </c>
      <c r="DG22" s="22"/>
      <c r="DH22" s="23"/>
      <c r="DI22" s="73">
        <f t="shared" si="37"/>
        <v>0</v>
      </c>
      <c r="DJ22" s="22"/>
      <c r="DK22" s="23"/>
      <c r="DL22" s="73">
        <f t="shared" si="38"/>
        <v>0</v>
      </c>
      <c r="DM22" s="22"/>
      <c r="DN22" s="23"/>
      <c r="DO22" s="73">
        <f t="shared" si="39"/>
        <v>0</v>
      </c>
      <c r="DP22" s="22"/>
      <c r="DQ22" s="23"/>
      <c r="DR22" s="73">
        <f t="shared" si="40"/>
        <v>0</v>
      </c>
      <c r="DS22" s="73">
        <f t="shared" si="41"/>
        <v>165000</v>
      </c>
      <c r="DT22" s="73">
        <f t="shared" si="42"/>
        <v>159078</v>
      </c>
      <c r="DU22" s="73">
        <f t="shared" si="43"/>
        <v>-5922</v>
      </c>
      <c r="DV22" s="23">
        <f t="shared" si="49"/>
        <v>-185492</v>
      </c>
      <c r="DW22" s="79"/>
      <c r="DX22" s="73">
        <f t="shared" si="44"/>
        <v>35000</v>
      </c>
      <c r="DY22" s="73">
        <f t="shared" si="45"/>
        <v>29078</v>
      </c>
      <c r="DZ22" s="23">
        <f t="shared" si="46"/>
        <v>-5922</v>
      </c>
      <c r="EA22" s="23">
        <f t="shared" si="50"/>
        <v>-20752</v>
      </c>
      <c r="EB22" s="79"/>
      <c r="EC22" s="23">
        <f t="shared" si="47"/>
        <v>0</v>
      </c>
      <c r="ED22" s="23">
        <f t="shared" si="48"/>
        <v>0</v>
      </c>
      <c r="EE22" s="79"/>
      <c r="EF22" s="79"/>
      <c r="EG22" s="79"/>
      <c r="EH22" s="79"/>
      <c r="EI22" s="79"/>
      <c r="EJ22" s="79"/>
      <c r="EK22" s="79"/>
    </row>
    <row r="23" spans="1:141" x14ac:dyDescent="0.2">
      <c r="A23" s="72">
        <f>+BaseloadMarkets!A23</f>
        <v>36725</v>
      </c>
      <c r="B23" s="72" t="str">
        <f>+BaseloadMarkets!B23</f>
        <v>Tues</v>
      </c>
      <c r="C23" s="22">
        <v>5000</v>
      </c>
      <c r="D23" s="23">
        <v>5000</v>
      </c>
      <c r="E23" s="73">
        <f t="shared" si="0"/>
        <v>0</v>
      </c>
      <c r="F23" s="22">
        <v>10000</v>
      </c>
      <c r="G23" s="23">
        <v>10000</v>
      </c>
      <c r="H23" s="73">
        <f t="shared" si="1"/>
        <v>0</v>
      </c>
      <c r="I23" s="22">
        <f t="shared" si="2"/>
        <v>20000</v>
      </c>
      <c r="J23" s="22">
        <f t="shared" si="2"/>
        <v>20000</v>
      </c>
      <c r="K23" s="73">
        <f t="shared" si="3"/>
        <v>0</v>
      </c>
      <c r="L23" s="22"/>
      <c r="M23" s="23"/>
      <c r="N23" s="73">
        <f t="shared" si="4"/>
        <v>0</v>
      </c>
      <c r="O23" s="22"/>
      <c r="P23" s="23"/>
      <c r="Q23" s="73">
        <f t="shared" si="5"/>
        <v>0</v>
      </c>
      <c r="R23" s="22"/>
      <c r="S23" s="23"/>
      <c r="T23" s="73">
        <f t="shared" si="6"/>
        <v>0</v>
      </c>
      <c r="U23" s="22"/>
      <c r="V23" s="23"/>
      <c r="W23" s="73">
        <f t="shared" si="7"/>
        <v>0</v>
      </c>
      <c r="X23" s="22"/>
      <c r="Y23" s="23"/>
      <c r="Z23" s="73">
        <f t="shared" si="8"/>
        <v>0</v>
      </c>
      <c r="AA23" s="22"/>
      <c r="AB23" s="23"/>
      <c r="AC23" s="73">
        <f t="shared" si="9"/>
        <v>0</v>
      </c>
      <c r="AD23" s="22"/>
      <c r="AE23" s="23"/>
      <c r="AF23" s="73">
        <f t="shared" si="10"/>
        <v>0</v>
      </c>
      <c r="AG23" s="22"/>
      <c r="AH23" s="23"/>
      <c r="AI23" s="73">
        <f t="shared" si="11"/>
        <v>0</v>
      </c>
      <c r="AJ23" s="22"/>
      <c r="AK23" s="23"/>
      <c r="AL23" s="73">
        <f t="shared" si="12"/>
        <v>0</v>
      </c>
      <c r="AM23" s="22"/>
      <c r="AN23" s="23"/>
      <c r="AO23" s="73">
        <f t="shared" si="13"/>
        <v>0</v>
      </c>
      <c r="AP23" s="22"/>
      <c r="AQ23" s="23"/>
      <c r="AR23" s="73">
        <f t="shared" si="14"/>
        <v>0</v>
      </c>
      <c r="AS23" s="22"/>
      <c r="AT23" s="23"/>
      <c r="AU23" s="73">
        <f t="shared" si="15"/>
        <v>0</v>
      </c>
      <c r="AV23" s="74">
        <v>415000</v>
      </c>
      <c r="AW23" s="75">
        <f>415000-10000+5390-10000+5893-10000+2250</f>
        <v>398533</v>
      </c>
      <c r="AX23" s="73">
        <f t="shared" si="16"/>
        <v>-16467</v>
      </c>
      <c r="AY23" s="22"/>
      <c r="AZ23" s="23"/>
      <c r="BA23" s="73">
        <f t="shared" si="17"/>
        <v>0</v>
      </c>
      <c r="BB23" s="22"/>
      <c r="BC23" s="23"/>
      <c r="BD23" s="73">
        <f t="shared" si="18"/>
        <v>0</v>
      </c>
      <c r="BE23" s="22"/>
      <c r="BF23" s="23"/>
      <c r="BG23" s="73">
        <f t="shared" si="19"/>
        <v>0</v>
      </c>
      <c r="BH23" s="22"/>
      <c r="BI23" s="23"/>
      <c r="BJ23" s="73">
        <f t="shared" si="20"/>
        <v>0</v>
      </c>
      <c r="BK23" s="22"/>
      <c r="BL23" s="23"/>
      <c r="BM23" s="73">
        <f t="shared" si="21"/>
        <v>0</v>
      </c>
      <c r="BN23" s="22"/>
      <c r="BO23" s="23"/>
      <c r="BP23" s="73">
        <f t="shared" si="22"/>
        <v>0</v>
      </c>
      <c r="BQ23" s="22"/>
      <c r="BR23" s="23"/>
      <c r="BS23" s="73">
        <f t="shared" si="23"/>
        <v>0</v>
      </c>
      <c r="BT23" s="22"/>
      <c r="BU23" s="23"/>
      <c r="BV23" s="73">
        <f t="shared" si="24"/>
        <v>0</v>
      </c>
      <c r="BW23" s="22"/>
      <c r="BX23" s="23"/>
      <c r="BY23" s="73">
        <f t="shared" si="25"/>
        <v>0</v>
      </c>
      <c r="BZ23" s="22"/>
      <c r="CA23" s="23"/>
      <c r="CB23" s="73">
        <f t="shared" si="26"/>
        <v>0</v>
      </c>
      <c r="CC23" s="22"/>
      <c r="CD23" s="23"/>
      <c r="CE23" s="73">
        <f t="shared" si="27"/>
        <v>0</v>
      </c>
      <c r="CF23" s="22"/>
      <c r="CG23" s="23"/>
      <c r="CH23" s="73">
        <f t="shared" si="28"/>
        <v>0</v>
      </c>
      <c r="CI23" s="22"/>
      <c r="CJ23" s="23"/>
      <c r="CK23" s="73">
        <f t="shared" si="29"/>
        <v>0</v>
      </c>
      <c r="CL23" s="22"/>
      <c r="CM23" s="23"/>
      <c r="CN23" s="73">
        <f t="shared" si="30"/>
        <v>0</v>
      </c>
      <c r="CO23" s="22"/>
      <c r="CP23" s="23"/>
      <c r="CQ23" s="73">
        <f t="shared" si="31"/>
        <v>0</v>
      </c>
      <c r="CR23" s="22"/>
      <c r="CS23" s="23"/>
      <c r="CT23" s="73">
        <f t="shared" si="32"/>
        <v>0</v>
      </c>
      <c r="CU23" s="22"/>
      <c r="CV23" s="23"/>
      <c r="CW23" s="73">
        <f t="shared" si="33"/>
        <v>0</v>
      </c>
      <c r="CX23" s="22"/>
      <c r="CY23" s="23"/>
      <c r="CZ23" s="73">
        <f t="shared" si="34"/>
        <v>0</v>
      </c>
      <c r="DA23" s="22"/>
      <c r="DB23" s="23"/>
      <c r="DC23" s="73">
        <f t="shared" si="35"/>
        <v>0</v>
      </c>
      <c r="DD23" s="22"/>
      <c r="DE23" s="23"/>
      <c r="DF23" s="73">
        <f t="shared" si="36"/>
        <v>0</v>
      </c>
      <c r="DG23" s="22"/>
      <c r="DH23" s="23"/>
      <c r="DI23" s="73">
        <f t="shared" si="37"/>
        <v>0</v>
      </c>
      <c r="DJ23" s="22"/>
      <c r="DK23" s="23"/>
      <c r="DL23" s="73">
        <f t="shared" si="38"/>
        <v>0</v>
      </c>
      <c r="DM23" s="22"/>
      <c r="DN23" s="23"/>
      <c r="DO23" s="73">
        <f t="shared" si="39"/>
        <v>0</v>
      </c>
      <c r="DP23" s="22"/>
      <c r="DQ23" s="23"/>
      <c r="DR23" s="73">
        <f t="shared" si="40"/>
        <v>0</v>
      </c>
      <c r="DS23" s="73">
        <f t="shared" si="41"/>
        <v>450000</v>
      </c>
      <c r="DT23" s="73">
        <f t="shared" si="42"/>
        <v>433533</v>
      </c>
      <c r="DU23" s="73">
        <f t="shared" si="43"/>
        <v>-16467</v>
      </c>
      <c r="DV23" s="23">
        <f t="shared" si="49"/>
        <v>-201959</v>
      </c>
      <c r="DW23" s="79"/>
      <c r="DX23" s="73">
        <f t="shared" si="44"/>
        <v>35000</v>
      </c>
      <c r="DY23" s="73">
        <f t="shared" si="45"/>
        <v>35000</v>
      </c>
      <c r="DZ23" s="23">
        <f t="shared" si="46"/>
        <v>0</v>
      </c>
      <c r="EA23" s="23">
        <f t="shared" si="50"/>
        <v>-20752</v>
      </c>
      <c r="EB23" s="79"/>
      <c r="EC23" s="23">
        <f t="shared" si="47"/>
        <v>-16467</v>
      </c>
      <c r="ED23" s="23">
        <f t="shared" si="48"/>
        <v>-16467</v>
      </c>
      <c r="EE23" s="79"/>
      <c r="EF23" s="79"/>
      <c r="EG23" s="79"/>
      <c r="EH23" s="79"/>
      <c r="EI23" s="79"/>
      <c r="EJ23" s="79"/>
      <c r="EK23" s="79"/>
    </row>
    <row r="24" spans="1:141" x14ac:dyDescent="0.2">
      <c r="A24" s="72">
        <f>+BaseloadMarkets!A24</f>
        <v>36726</v>
      </c>
      <c r="B24" s="72" t="str">
        <f>+BaseloadMarkets!B24</f>
        <v>Wed</v>
      </c>
      <c r="C24" s="22">
        <v>5000</v>
      </c>
      <c r="D24" s="23">
        <v>5000</v>
      </c>
      <c r="E24" s="73">
        <f t="shared" si="0"/>
        <v>0</v>
      </c>
      <c r="F24" s="22">
        <v>10000</v>
      </c>
      <c r="G24" s="23">
        <f>10000-5000+3052</f>
        <v>8052</v>
      </c>
      <c r="H24" s="73">
        <f t="shared" si="1"/>
        <v>-1948</v>
      </c>
      <c r="I24" s="22">
        <f t="shared" si="2"/>
        <v>20000</v>
      </c>
      <c r="J24" s="22">
        <f>10000+5829</f>
        <v>15829</v>
      </c>
      <c r="K24" s="73">
        <f t="shared" si="3"/>
        <v>-4171</v>
      </c>
      <c r="L24" s="22"/>
      <c r="M24" s="23"/>
      <c r="N24" s="73">
        <f t="shared" si="4"/>
        <v>0</v>
      </c>
      <c r="O24" s="22"/>
      <c r="P24" s="23"/>
      <c r="Q24" s="73">
        <f t="shared" si="5"/>
        <v>0</v>
      </c>
      <c r="R24" s="22"/>
      <c r="S24" s="23"/>
      <c r="T24" s="73">
        <f t="shared" si="6"/>
        <v>0</v>
      </c>
      <c r="U24" s="22"/>
      <c r="V24" s="23"/>
      <c r="W24" s="73">
        <f t="shared" si="7"/>
        <v>0</v>
      </c>
      <c r="X24" s="22"/>
      <c r="Y24" s="23"/>
      <c r="Z24" s="73">
        <f t="shared" si="8"/>
        <v>0</v>
      </c>
      <c r="AA24" s="22"/>
      <c r="AB24" s="23"/>
      <c r="AC24" s="73">
        <f t="shared" si="9"/>
        <v>0</v>
      </c>
      <c r="AD24" s="22"/>
      <c r="AE24" s="23"/>
      <c r="AF24" s="73">
        <f t="shared" si="10"/>
        <v>0</v>
      </c>
      <c r="AG24" s="22"/>
      <c r="AH24" s="23"/>
      <c r="AI24" s="73">
        <f t="shared" si="11"/>
        <v>0</v>
      </c>
      <c r="AJ24" s="22"/>
      <c r="AK24" s="23"/>
      <c r="AL24" s="73">
        <f t="shared" si="12"/>
        <v>0</v>
      </c>
      <c r="AM24" s="22"/>
      <c r="AN24" s="23"/>
      <c r="AO24" s="73">
        <f t="shared" si="13"/>
        <v>0</v>
      </c>
      <c r="AP24" s="22"/>
      <c r="AQ24" s="23"/>
      <c r="AR24" s="73">
        <f t="shared" si="14"/>
        <v>0</v>
      </c>
      <c r="AS24" s="22"/>
      <c r="AT24" s="23"/>
      <c r="AU24" s="73">
        <f t="shared" si="15"/>
        <v>0</v>
      </c>
      <c r="AV24" s="74">
        <v>630000</v>
      </c>
      <c r="AW24" s="75">
        <f>630000-20000+11657-10000+5292-5000+2646-10000+5829-25000+13231-10000+8232-10000+5586-10000+5586-15000+11329-10000+7902-15000+11108-5000+2991-5000+2991-30000+18292-40000+23316</f>
        <v>545988</v>
      </c>
      <c r="AX24" s="73">
        <f t="shared" si="16"/>
        <v>-84012</v>
      </c>
      <c r="AY24" s="22"/>
      <c r="AZ24" s="23"/>
      <c r="BA24" s="73">
        <f t="shared" si="17"/>
        <v>0</v>
      </c>
      <c r="BB24" s="22"/>
      <c r="BC24" s="23"/>
      <c r="BD24" s="73">
        <f t="shared" si="18"/>
        <v>0</v>
      </c>
      <c r="BE24" s="22"/>
      <c r="BF24" s="23"/>
      <c r="BG24" s="73">
        <f t="shared" si="19"/>
        <v>0</v>
      </c>
      <c r="BH24" s="22"/>
      <c r="BI24" s="23"/>
      <c r="BJ24" s="73">
        <f t="shared" si="20"/>
        <v>0</v>
      </c>
      <c r="BK24" s="22"/>
      <c r="BL24" s="23"/>
      <c r="BM24" s="73">
        <f t="shared" si="21"/>
        <v>0</v>
      </c>
      <c r="BN24" s="22"/>
      <c r="BO24" s="23"/>
      <c r="BP24" s="73">
        <f t="shared" si="22"/>
        <v>0</v>
      </c>
      <c r="BQ24" s="22"/>
      <c r="BR24" s="23"/>
      <c r="BS24" s="73">
        <f t="shared" si="23"/>
        <v>0</v>
      </c>
      <c r="BT24" s="22"/>
      <c r="BU24" s="23"/>
      <c r="BV24" s="73">
        <f t="shared" si="24"/>
        <v>0</v>
      </c>
      <c r="BW24" s="22"/>
      <c r="BX24" s="23"/>
      <c r="BY24" s="73">
        <f t="shared" si="25"/>
        <v>0</v>
      </c>
      <c r="BZ24" s="22"/>
      <c r="CA24" s="23"/>
      <c r="CB24" s="73">
        <f t="shared" si="26"/>
        <v>0</v>
      </c>
      <c r="CC24" s="22"/>
      <c r="CD24" s="23"/>
      <c r="CE24" s="73">
        <f t="shared" si="27"/>
        <v>0</v>
      </c>
      <c r="CF24" s="22"/>
      <c r="CG24" s="23"/>
      <c r="CH24" s="73">
        <f t="shared" si="28"/>
        <v>0</v>
      </c>
      <c r="CI24" s="22"/>
      <c r="CJ24" s="23"/>
      <c r="CK24" s="73">
        <f t="shared" si="29"/>
        <v>0</v>
      </c>
      <c r="CL24" s="22"/>
      <c r="CM24" s="23"/>
      <c r="CN24" s="73">
        <f t="shared" si="30"/>
        <v>0</v>
      </c>
      <c r="CO24" s="22"/>
      <c r="CP24" s="23"/>
      <c r="CQ24" s="73">
        <f t="shared" si="31"/>
        <v>0</v>
      </c>
      <c r="CR24" s="22"/>
      <c r="CS24" s="23"/>
      <c r="CT24" s="73">
        <f t="shared" si="32"/>
        <v>0</v>
      </c>
      <c r="CU24" s="22"/>
      <c r="CV24" s="23"/>
      <c r="CW24" s="73">
        <f t="shared" si="33"/>
        <v>0</v>
      </c>
      <c r="CX24" s="22"/>
      <c r="CY24" s="23"/>
      <c r="CZ24" s="73">
        <f t="shared" si="34"/>
        <v>0</v>
      </c>
      <c r="DA24" s="22"/>
      <c r="DB24" s="23"/>
      <c r="DC24" s="73">
        <f t="shared" si="35"/>
        <v>0</v>
      </c>
      <c r="DD24" s="22"/>
      <c r="DE24" s="23"/>
      <c r="DF24" s="73">
        <f t="shared" si="36"/>
        <v>0</v>
      </c>
      <c r="DG24" s="22"/>
      <c r="DH24" s="23"/>
      <c r="DI24" s="73">
        <f t="shared" si="37"/>
        <v>0</v>
      </c>
      <c r="DJ24" s="22"/>
      <c r="DK24" s="23"/>
      <c r="DL24" s="73">
        <f t="shared" si="38"/>
        <v>0</v>
      </c>
      <c r="DM24" s="22"/>
      <c r="DN24" s="23"/>
      <c r="DO24" s="73">
        <f t="shared" si="39"/>
        <v>0</v>
      </c>
      <c r="DP24" s="22"/>
      <c r="DQ24" s="23"/>
      <c r="DR24" s="73">
        <f t="shared" si="40"/>
        <v>0</v>
      </c>
      <c r="DS24" s="73">
        <f t="shared" si="41"/>
        <v>665000</v>
      </c>
      <c r="DT24" s="73">
        <f t="shared" si="42"/>
        <v>574869</v>
      </c>
      <c r="DU24" s="73">
        <f t="shared" si="43"/>
        <v>-90131</v>
      </c>
      <c r="DV24" s="23">
        <f t="shared" si="49"/>
        <v>-292090</v>
      </c>
      <c r="DW24" s="79"/>
      <c r="DX24" s="73">
        <f t="shared" si="44"/>
        <v>35000</v>
      </c>
      <c r="DY24" s="73">
        <f t="shared" si="45"/>
        <v>28881</v>
      </c>
      <c r="DZ24" s="23">
        <f t="shared" si="46"/>
        <v>-6119</v>
      </c>
      <c r="EA24" s="23">
        <f t="shared" si="50"/>
        <v>-26871</v>
      </c>
      <c r="EB24" s="79"/>
      <c r="EC24" s="23">
        <f t="shared" si="47"/>
        <v>-84012</v>
      </c>
      <c r="ED24" s="23">
        <f t="shared" si="48"/>
        <v>-84012</v>
      </c>
      <c r="EE24" s="79"/>
      <c r="EF24" s="79"/>
      <c r="EG24" s="79"/>
      <c r="EH24" s="79"/>
      <c r="EI24" s="79"/>
      <c r="EJ24" s="79"/>
      <c r="EK24" s="79"/>
    </row>
    <row r="25" spans="1:141" x14ac:dyDescent="0.2">
      <c r="A25" s="72">
        <f>+BaseloadMarkets!A25</f>
        <v>36727</v>
      </c>
      <c r="B25" s="72" t="str">
        <f>+BaseloadMarkets!B25</f>
        <v>Thu</v>
      </c>
      <c r="C25" s="22">
        <v>5000</v>
      </c>
      <c r="D25" s="23">
        <v>5000</v>
      </c>
      <c r="E25" s="73">
        <f t="shared" si="0"/>
        <v>0</v>
      </c>
      <c r="F25" s="22">
        <v>10000</v>
      </c>
      <c r="G25" s="23">
        <f>10000-5000+3264</f>
        <v>8264</v>
      </c>
      <c r="H25" s="73">
        <f t="shared" si="1"/>
        <v>-1736</v>
      </c>
      <c r="I25" s="22">
        <f t="shared" si="2"/>
        <v>20000</v>
      </c>
      <c r="J25" s="22">
        <f>10000+6387</f>
        <v>16387</v>
      </c>
      <c r="K25" s="73">
        <f t="shared" si="3"/>
        <v>-3613</v>
      </c>
      <c r="L25" s="22"/>
      <c r="M25" s="23"/>
      <c r="N25" s="73">
        <f t="shared" si="4"/>
        <v>0</v>
      </c>
      <c r="O25" s="22"/>
      <c r="P25" s="23"/>
      <c r="Q25" s="73">
        <f t="shared" si="5"/>
        <v>0</v>
      </c>
      <c r="R25" s="22"/>
      <c r="S25" s="23"/>
      <c r="T25" s="73">
        <f t="shared" si="6"/>
        <v>0</v>
      </c>
      <c r="U25" s="22"/>
      <c r="V25" s="23"/>
      <c r="W25" s="73">
        <f t="shared" si="7"/>
        <v>0</v>
      </c>
      <c r="X25" s="22"/>
      <c r="Y25" s="23"/>
      <c r="Z25" s="73">
        <f t="shared" si="8"/>
        <v>0</v>
      </c>
      <c r="AA25" s="22"/>
      <c r="AB25" s="23"/>
      <c r="AC25" s="73">
        <f t="shared" si="9"/>
        <v>0</v>
      </c>
      <c r="AD25" s="22"/>
      <c r="AE25" s="23"/>
      <c r="AF25" s="73">
        <f t="shared" si="10"/>
        <v>0</v>
      </c>
      <c r="AG25" s="22"/>
      <c r="AH25" s="23"/>
      <c r="AI25" s="73">
        <f t="shared" si="11"/>
        <v>0</v>
      </c>
      <c r="AJ25" s="22"/>
      <c r="AK25" s="23"/>
      <c r="AL25" s="73">
        <f t="shared" si="12"/>
        <v>0</v>
      </c>
      <c r="AM25" s="22"/>
      <c r="AN25" s="23"/>
      <c r="AO25" s="73">
        <f t="shared" si="13"/>
        <v>0</v>
      </c>
      <c r="AP25" s="22"/>
      <c r="AQ25" s="23"/>
      <c r="AR25" s="73">
        <f t="shared" si="14"/>
        <v>0</v>
      </c>
      <c r="AS25" s="22"/>
      <c r="AT25" s="23"/>
      <c r="AU25" s="73">
        <f t="shared" si="15"/>
        <v>0</v>
      </c>
      <c r="AV25" s="74">
        <v>430000</v>
      </c>
      <c r="AW25" s="75">
        <f>430000-25000+15128</f>
        <v>420128</v>
      </c>
      <c r="AX25" s="73">
        <f t="shared" si="16"/>
        <v>-9872</v>
      </c>
      <c r="AY25" s="22"/>
      <c r="AZ25" s="23"/>
      <c r="BA25" s="73">
        <f t="shared" si="17"/>
        <v>0</v>
      </c>
      <c r="BB25" s="22"/>
      <c r="BC25" s="23"/>
      <c r="BD25" s="73">
        <f t="shared" si="18"/>
        <v>0</v>
      </c>
      <c r="BE25" s="22"/>
      <c r="BF25" s="23"/>
      <c r="BG25" s="73">
        <f t="shared" si="19"/>
        <v>0</v>
      </c>
      <c r="BH25" s="22"/>
      <c r="BI25" s="23"/>
      <c r="BJ25" s="73">
        <f t="shared" si="20"/>
        <v>0</v>
      </c>
      <c r="BK25" s="22"/>
      <c r="BL25" s="23"/>
      <c r="BM25" s="73">
        <f t="shared" si="21"/>
        <v>0</v>
      </c>
      <c r="BN25" s="22"/>
      <c r="BO25" s="23"/>
      <c r="BP25" s="73">
        <f t="shared" si="22"/>
        <v>0</v>
      </c>
      <c r="BQ25" s="22"/>
      <c r="BR25" s="23"/>
      <c r="BS25" s="73">
        <f t="shared" si="23"/>
        <v>0</v>
      </c>
      <c r="BT25" s="22"/>
      <c r="BU25" s="23"/>
      <c r="BV25" s="73">
        <f t="shared" si="24"/>
        <v>0</v>
      </c>
      <c r="BW25" s="22"/>
      <c r="BX25" s="23"/>
      <c r="BY25" s="73">
        <f t="shared" si="25"/>
        <v>0</v>
      </c>
      <c r="BZ25" s="22"/>
      <c r="CA25" s="23"/>
      <c r="CB25" s="73">
        <f t="shared" si="26"/>
        <v>0</v>
      </c>
      <c r="CC25" s="22"/>
      <c r="CD25" s="23"/>
      <c r="CE25" s="73">
        <f t="shared" si="27"/>
        <v>0</v>
      </c>
      <c r="CF25" s="22"/>
      <c r="CG25" s="23"/>
      <c r="CH25" s="73">
        <f t="shared" si="28"/>
        <v>0</v>
      </c>
      <c r="CI25" s="22"/>
      <c r="CJ25" s="23"/>
      <c r="CK25" s="73">
        <f t="shared" si="29"/>
        <v>0</v>
      </c>
      <c r="CL25" s="22"/>
      <c r="CM25" s="23"/>
      <c r="CN25" s="73">
        <f t="shared" si="30"/>
        <v>0</v>
      </c>
      <c r="CO25" s="22"/>
      <c r="CP25" s="23"/>
      <c r="CQ25" s="73">
        <f t="shared" si="31"/>
        <v>0</v>
      </c>
      <c r="CR25" s="22"/>
      <c r="CS25" s="23"/>
      <c r="CT25" s="73">
        <f t="shared" si="32"/>
        <v>0</v>
      </c>
      <c r="CU25" s="22"/>
      <c r="CV25" s="23"/>
      <c r="CW25" s="73">
        <f t="shared" si="33"/>
        <v>0</v>
      </c>
      <c r="CX25" s="22"/>
      <c r="CY25" s="23"/>
      <c r="CZ25" s="73">
        <f t="shared" si="34"/>
        <v>0</v>
      </c>
      <c r="DA25" s="22"/>
      <c r="DB25" s="23"/>
      <c r="DC25" s="73">
        <f t="shared" si="35"/>
        <v>0</v>
      </c>
      <c r="DD25" s="22"/>
      <c r="DE25" s="23"/>
      <c r="DF25" s="73">
        <f t="shared" si="36"/>
        <v>0</v>
      </c>
      <c r="DG25" s="22"/>
      <c r="DH25" s="23"/>
      <c r="DI25" s="73">
        <f t="shared" si="37"/>
        <v>0</v>
      </c>
      <c r="DJ25" s="22"/>
      <c r="DK25" s="23"/>
      <c r="DL25" s="73">
        <f t="shared" si="38"/>
        <v>0</v>
      </c>
      <c r="DM25" s="22"/>
      <c r="DN25" s="23"/>
      <c r="DO25" s="73">
        <f t="shared" si="39"/>
        <v>0</v>
      </c>
      <c r="DP25" s="22"/>
      <c r="DQ25" s="23"/>
      <c r="DR25" s="73">
        <f t="shared" si="40"/>
        <v>0</v>
      </c>
      <c r="DS25" s="73">
        <f t="shared" si="41"/>
        <v>465000</v>
      </c>
      <c r="DT25" s="73">
        <f t="shared" si="42"/>
        <v>449779</v>
      </c>
      <c r="DU25" s="73">
        <f t="shared" si="43"/>
        <v>-15221</v>
      </c>
      <c r="DV25" s="23">
        <f t="shared" si="49"/>
        <v>-307311</v>
      </c>
      <c r="DW25" s="79"/>
      <c r="DX25" s="73">
        <f t="shared" si="44"/>
        <v>35000</v>
      </c>
      <c r="DY25" s="73">
        <f t="shared" si="45"/>
        <v>29651</v>
      </c>
      <c r="DZ25" s="23">
        <f t="shared" si="46"/>
        <v>-5349</v>
      </c>
      <c r="EA25" s="23">
        <f t="shared" si="50"/>
        <v>-32220</v>
      </c>
      <c r="EB25" s="79"/>
      <c r="EC25" s="23">
        <f t="shared" si="47"/>
        <v>-9872</v>
      </c>
      <c r="ED25" s="23">
        <f t="shared" si="48"/>
        <v>-9872</v>
      </c>
      <c r="EE25" s="79"/>
      <c r="EF25" s="79"/>
      <c r="EG25" s="79"/>
      <c r="EH25" s="79"/>
      <c r="EI25" s="79"/>
      <c r="EJ25" s="79"/>
      <c r="EK25" s="79"/>
    </row>
    <row r="26" spans="1:141" x14ac:dyDescent="0.2">
      <c r="A26" s="72">
        <f>+BaseloadMarkets!A26</f>
        <v>36728</v>
      </c>
      <c r="B26" s="72" t="str">
        <f>+BaseloadMarkets!B26</f>
        <v>Fri</v>
      </c>
      <c r="C26" s="22">
        <v>5000</v>
      </c>
      <c r="D26" s="23">
        <v>5000</v>
      </c>
      <c r="E26" s="73">
        <f t="shared" si="0"/>
        <v>0</v>
      </c>
      <c r="F26" s="22">
        <v>10000</v>
      </c>
      <c r="G26" s="23">
        <v>10000</v>
      </c>
      <c r="H26" s="73">
        <f t="shared" si="1"/>
        <v>0</v>
      </c>
      <c r="I26" s="22">
        <f t="shared" si="2"/>
        <v>20000</v>
      </c>
      <c r="J26" s="22">
        <f t="shared" si="2"/>
        <v>20000</v>
      </c>
      <c r="K26" s="73">
        <f t="shared" si="3"/>
        <v>0</v>
      </c>
      <c r="L26" s="22"/>
      <c r="M26" s="23"/>
      <c r="N26" s="73">
        <f t="shared" si="4"/>
        <v>0</v>
      </c>
      <c r="O26" s="22"/>
      <c r="P26" s="23"/>
      <c r="Q26" s="73">
        <f t="shared" si="5"/>
        <v>0</v>
      </c>
      <c r="R26" s="22"/>
      <c r="S26" s="23"/>
      <c r="T26" s="73">
        <f t="shared" si="6"/>
        <v>0</v>
      </c>
      <c r="U26" s="22"/>
      <c r="V26" s="23"/>
      <c r="W26" s="73">
        <f t="shared" si="7"/>
        <v>0</v>
      </c>
      <c r="X26" s="22"/>
      <c r="Y26" s="23"/>
      <c r="Z26" s="73">
        <f t="shared" si="8"/>
        <v>0</v>
      </c>
      <c r="AA26" s="22"/>
      <c r="AB26" s="23"/>
      <c r="AC26" s="73">
        <f t="shared" si="9"/>
        <v>0</v>
      </c>
      <c r="AD26" s="22"/>
      <c r="AE26" s="23"/>
      <c r="AF26" s="73">
        <f t="shared" si="10"/>
        <v>0</v>
      </c>
      <c r="AG26" s="22"/>
      <c r="AH26" s="23"/>
      <c r="AI26" s="73">
        <f t="shared" si="11"/>
        <v>0</v>
      </c>
      <c r="AJ26" s="22"/>
      <c r="AK26" s="23"/>
      <c r="AL26" s="73">
        <f t="shared" si="12"/>
        <v>0</v>
      </c>
      <c r="AM26" s="22"/>
      <c r="AN26" s="23"/>
      <c r="AO26" s="73">
        <f t="shared" si="13"/>
        <v>0</v>
      </c>
      <c r="AP26" s="22"/>
      <c r="AQ26" s="23"/>
      <c r="AR26" s="73">
        <f t="shared" si="14"/>
        <v>0</v>
      </c>
      <c r="AS26" s="22"/>
      <c r="AT26" s="23"/>
      <c r="AU26" s="73">
        <f t="shared" si="15"/>
        <v>0</v>
      </c>
      <c r="AV26" s="74">
        <v>440000</v>
      </c>
      <c r="AW26" s="75">
        <f>440000-10000+6448-10000+9432</f>
        <v>435880</v>
      </c>
      <c r="AX26" s="73">
        <f t="shared" si="16"/>
        <v>-4120</v>
      </c>
      <c r="AY26" s="22"/>
      <c r="AZ26" s="23"/>
      <c r="BA26" s="73">
        <f t="shared" si="17"/>
        <v>0</v>
      </c>
      <c r="BB26" s="22"/>
      <c r="BC26" s="23"/>
      <c r="BD26" s="73">
        <f t="shared" si="18"/>
        <v>0</v>
      </c>
      <c r="BE26" s="22"/>
      <c r="BF26" s="23"/>
      <c r="BG26" s="73">
        <f t="shared" si="19"/>
        <v>0</v>
      </c>
      <c r="BH26" s="22"/>
      <c r="BI26" s="23"/>
      <c r="BJ26" s="73">
        <f t="shared" si="20"/>
        <v>0</v>
      </c>
      <c r="BK26" s="22"/>
      <c r="BL26" s="23"/>
      <c r="BM26" s="73">
        <f t="shared" si="21"/>
        <v>0</v>
      </c>
      <c r="BN26" s="22"/>
      <c r="BO26" s="23"/>
      <c r="BP26" s="73">
        <f t="shared" si="22"/>
        <v>0</v>
      </c>
      <c r="BQ26" s="22"/>
      <c r="BR26" s="23"/>
      <c r="BS26" s="73">
        <f t="shared" si="23"/>
        <v>0</v>
      </c>
      <c r="BT26" s="22"/>
      <c r="BU26" s="23"/>
      <c r="BV26" s="73">
        <f t="shared" si="24"/>
        <v>0</v>
      </c>
      <c r="BW26" s="22"/>
      <c r="BX26" s="23"/>
      <c r="BY26" s="73">
        <f t="shared" si="25"/>
        <v>0</v>
      </c>
      <c r="BZ26" s="22"/>
      <c r="CA26" s="23"/>
      <c r="CB26" s="73">
        <f t="shared" si="26"/>
        <v>0</v>
      </c>
      <c r="CC26" s="22"/>
      <c r="CD26" s="23"/>
      <c r="CE26" s="73">
        <f t="shared" si="27"/>
        <v>0</v>
      </c>
      <c r="CF26" s="22"/>
      <c r="CG26" s="23"/>
      <c r="CH26" s="73">
        <f t="shared" si="28"/>
        <v>0</v>
      </c>
      <c r="CI26" s="22"/>
      <c r="CJ26" s="23"/>
      <c r="CK26" s="73">
        <f t="shared" si="29"/>
        <v>0</v>
      </c>
      <c r="CL26" s="22"/>
      <c r="CM26" s="23"/>
      <c r="CN26" s="73">
        <f t="shared" si="30"/>
        <v>0</v>
      </c>
      <c r="CO26" s="22"/>
      <c r="CP26" s="23"/>
      <c r="CQ26" s="73">
        <f t="shared" si="31"/>
        <v>0</v>
      </c>
      <c r="CR26" s="22"/>
      <c r="CS26" s="23"/>
      <c r="CT26" s="73">
        <f t="shared" si="32"/>
        <v>0</v>
      </c>
      <c r="CU26" s="22"/>
      <c r="CV26" s="23"/>
      <c r="CW26" s="73">
        <f t="shared" si="33"/>
        <v>0</v>
      </c>
      <c r="CX26" s="22"/>
      <c r="CY26" s="23"/>
      <c r="CZ26" s="73">
        <f t="shared" si="34"/>
        <v>0</v>
      </c>
      <c r="DA26" s="22"/>
      <c r="DB26" s="23"/>
      <c r="DC26" s="73">
        <f t="shared" si="35"/>
        <v>0</v>
      </c>
      <c r="DD26" s="22"/>
      <c r="DE26" s="23"/>
      <c r="DF26" s="73">
        <f t="shared" si="36"/>
        <v>0</v>
      </c>
      <c r="DG26" s="22"/>
      <c r="DH26" s="23"/>
      <c r="DI26" s="73">
        <f t="shared" si="37"/>
        <v>0</v>
      </c>
      <c r="DJ26" s="22"/>
      <c r="DK26" s="23"/>
      <c r="DL26" s="73">
        <f t="shared" si="38"/>
        <v>0</v>
      </c>
      <c r="DM26" s="22"/>
      <c r="DN26" s="23"/>
      <c r="DO26" s="73">
        <f t="shared" si="39"/>
        <v>0</v>
      </c>
      <c r="DP26" s="22"/>
      <c r="DQ26" s="23"/>
      <c r="DR26" s="73">
        <f t="shared" si="40"/>
        <v>0</v>
      </c>
      <c r="DS26" s="73">
        <f t="shared" si="41"/>
        <v>475000</v>
      </c>
      <c r="DT26" s="73">
        <f t="shared" si="42"/>
        <v>470880</v>
      </c>
      <c r="DU26" s="73">
        <f t="shared" si="43"/>
        <v>-4120</v>
      </c>
      <c r="DV26" s="23">
        <f t="shared" si="49"/>
        <v>-311431</v>
      </c>
      <c r="DW26" s="79"/>
      <c r="DX26" s="73">
        <f t="shared" si="44"/>
        <v>35000</v>
      </c>
      <c r="DY26" s="73">
        <f t="shared" si="45"/>
        <v>35000</v>
      </c>
      <c r="DZ26" s="23">
        <f t="shared" si="46"/>
        <v>0</v>
      </c>
      <c r="EA26" s="23">
        <f t="shared" si="50"/>
        <v>-32220</v>
      </c>
      <c r="EB26" s="79"/>
      <c r="EC26" s="23">
        <f t="shared" si="47"/>
        <v>-4120</v>
      </c>
      <c r="ED26" s="23">
        <f t="shared" si="48"/>
        <v>-4120</v>
      </c>
      <c r="EE26" s="79"/>
      <c r="EF26" s="79"/>
      <c r="EG26" s="79"/>
      <c r="EH26" s="79"/>
      <c r="EI26" s="79"/>
      <c r="EJ26" s="79"/>
      <c r="EK26" s="79"/>
    </row>
    <row r="27" spans="1:141" x14ac:dyDescent="0.2">
      <c r="A27" s="72">
        <f>+BaseloadMarkets!A27</f>
        <v>36729</v>
      </c>
      <c r="B27" s="72" t="str">
        <f>+BaseloadMarkets!B27</f>
        <v>Sat</v>
      </c>
      <c r="C27" s="22">
        <v>5000</v>
      </c>
      <c r="D27" s="23">
        <v>5000</v>
      </c>
      <c r="E27" s="73">
        <f t="shared" si="0"/>
        <v>0</v>
      </c>
      <c r="F27" s="22">
        <v>10000</v>
      </c>
      <c r="G27" s="23">
        <v>10000</v>
      </c>
      <c r="H27" s="73">
        <f t="shared" si="1"/>
        <v>0</v>
      </c>
      <c r="I27" s="22">
        <f t="shared" si="2"/>
        <v>20000</v>
      </c>
      <c r="J27" s="22">
        <f t="shared" si="2"/>
        <v>20000</v>
      </c>
      <c r="K27" s="73">
        <f t="shared" si="3"/>
        <v>0</v>
      </c>
      <c r="L27" s="22"/>
      <c r="M27" s="23"/>
      <c r="N27" s="73">
        <f t="shared" si="4"/>
        <v>0</v>
      </c>
      <c r="O27" s="22"/>
      <c r="P27" s="23"/>
      <c r="Q27" s="73">
        <f t="shared" si="5"/>
        <v>0</v>
      </c>
      <c r="R27" s="22"/>
      <c r="S27" s="23"/>
      <c r="T27" s="73">
        <f t="shared" si="6"/>
        <v>0</v>
      </c>
      <c r="U27" s="22"/>
      <c r="V27" s="23"/>
      <c r="W27" s="73">
        <f t="shared" si="7"/>
        <v>0</v>
      </c>
      <c r="X27" s="22"/>
      <c r="Y27" s="23"/>
      <c r="Z27" s="73">
        <f t="shared" si="8"/>
        <v>0</v>
      </c>
      <c r="AA27" s="22"/>
      <c r="AB27" s="23"/>
      <c r="AC27" s="73">
        <f t="shared" si="9"/>
        <v>0</v>
      </c>
      <c r="AD27" s="22"/>
      <c r="AE27" s="23"/>
      <c r="AF27" s="73">
        <f t="shared" si="10"/>
        <v>0</v>
      </c>
      <c r="AG27" s="22"/>
      <c r="AH27" s="23"/>
      <c r="AI27" s="73">
        <f t="shared" si="11"/>
        <v>0</v>
      </c>
      <c r="AJ27" s="22"/>
      <c r="AK27" s="23"/>
      <c r="AL27" s="73">
        <f t="shared" si="12"/>
        <v>0</v>
      </c>
      <c r="AM27" s="22"/>
      <c r="AN27" s="23"/>
      <c r="AO27" s="73">
        <f t="shared" si="13"/>
        <v>0</v>
      </c>
      <c r="AP27" s="22"/>
      <c r="AQ27" s="23"/>
      <c r="AR27" s="73">
        <f t="shared" si="14"/>
        <v>0</v>
      </c>
      <c r="AS27" s="22"/>
      <c r="AT27" s="23"/>
      <c r="AU27" s="73">
        <f t="shared" si="15"/>
        <v>0</v>
      </c>
      <c r="AV27" s="74">
        <v>290000</v>
      </c>
      <c r="AW27" s="75">
        <v>290000</v>
      </c>
      <c r="AX27" s="73">
        <f t="shared" si="16"/>
        <v>0</v>
      </c>
      <c r="AY27" s="22"/>
      <c r="AZ27" s="23"/>
      <c r="BA27" s="73">
        <f t="shared" si="17"/>
        <v>0</v>
      </c>
      <c r="BB27" s="22"/>
      <c r="BC27" s="23"/>
      <c r="BD27" s="73">
        <f t="shared" si="18"/>
        <v>0</v>
      </c>
      <c r="BE27" s="22"/>
      <c r="BF27" s="23"/>
      <c r="BG27" s="73">
        <f t="shared" si="19"/>
        <v>0</v>
      </c>
      <c r="BH27" s="22"/>
      <c r="BI27" s="23"/>
      <c r="BJ27" s="73">
        <f t="shared" si="20"/>
        <v>0</v>
      </c>
      <c r="BK27" s="22"/>
      <c r="BL27" s="23"/>
      <c r="BM27" s="73">
        <f t="shared" si="21"/>
        <v>0</v>
      </c>
      <c r="BN27" s="22"/>
      <c r="BO27" s="23"/>
      <c r="BP27" s="73">
        <f t="shared" si="22"/>
        <v>0</v>
      </c>
      <c r="BQ27" s="22"/>
      <c r="BR27" s="23"/>
      <c r="BS27" s="73">
        <f t="shared" si="23"/>
        <v>0</v>
      </c>
      <c r="BT27" s="22"/>
      <c r="BU27" s="23"/>
      <c r="BV27" s="73">
        <f t="shared" si="24"/>
        <v>0</v>
      </c>
      <c r="BW27" s="22"/>
      <c r="BX27" s="23"/>
      <c r="BY27" s="73">
        <f t="shared" si="25"/>
        <v>0</v>
      </c>
      <c r="BZ27" s="22"/>
      <c r="CA27" s="23"/>
      <c r="CB27" s="73">
        <f t="shared" si="26"/>
        <v>0</v>
      </c>
      <c r="CC27" s="22"/>
      <c r="CD27" s="23"/>
      <c r="CE27" s="73">
        <f t="shared" si="27"/>
        <v>0</v>
      </c>
      <c r="CF27" s="22"/>
      <c r="CG27" s="23"/>
      <c r="CH27" s="73">
        <f t="shared" si="28"/>
        <v>0</v>
      </c>
      <c r="CI27" s="22"/>
      <c r="CJ27" s="23"/>
      <c r="CK27" s="73">
        <f t="shared" si="29"/>
        <v>0</v>
      </c>
      <c r="CL27" s="22"/>
      <c r="CM27" s="23"/>
      <c r="CN27" s="73">
        <f t="shared" si="30"/>
        <v>0</v>
      </c>
      <c r="CO27" s="22"/>
      <c r="CP27" s="23"/>
      <c r="CQ27" s="73">
        <f t="shared" si="31"/>
        <v>0</v>
      </c>
      <c r="CR27" s="22"/>
      <c r="CS27" s="23"/>
      <c r="CT27" s="73">
        <f t="shared" si="32"/>
        <v>0</v>
      </c>
      <c r="CU27" s="22"/>
      <c r="CV27" s="23"/>
      <c r="CW27" s="73">
        <f t="shared" si="33"/>
        <v>0</v>
      </c>
      <c r="CX27" s="22"/>
      <c r="CY27" s="23"/>
      <c r="CZ27" s="73">
        <f t="shared" si="34"/>
        <v>0</v>
      </c>
      <c r="DA27" s="22"/>
      <c r="DB27" s="23"/>
      <c r="DC27" s="73">
        <f t="shared" si="35"/>
        <v>0</v>
      </c>
      <c r="DD27" s="22"/>
      <c r="DE27" s="23"/>
      <c r="DF27" s="73">
        <f t="shared" si="36"/>
        <v>0</v>
      </c>
      <c r="DG27" s="22"/>
      <c r="DH27" s="23"/>
      <c r="DI27" s="73">
        <f t="shared" si="37"/>
        <v>0</v>
      </c>
      <c r="DJ27" s="22"/>
      <c r="DK27" s="23"/>
      <c r="DL27" s="73">
        <f t="shared" si="38"/>
        <v>0</v>
      </c>
      <c r="DM27" s="22"/>
      <c r="DN27" s="23"/>
      <c r="DO27" s="73">
        <f t="shared" si="39"/>
        <v>0</v>
      </c>
      <c r="DP27" s="22"/>
      <c r="DQ27" s="23"/>
      <c r="DR27" s="73">
        <f t="shared" si="40"/>
        <v>0</v>
      </c>
      <c r="DS27" s="73">
        <f t="shared" si="41"/>
        <v>325000</v>
      </c>
      <c r="DT27" s="73">
        <f t="shared" si="42"/>
        <v>325000</v>
      </c>
      <c r="DU27" s="73">
        <f t="shared" si="43"/>
        <v>0</v>
      </c>
      <c r="DV27" s="23">
        <f t="shared" si="49"/>
        <v>-311431</v>
      </c>
      <c r="DW27" s="79"/>
      <c r="DX27" s="73">
        <f t="shared" si="44"/>
        <v>35000</v>
      </c>
      <c r="DY27" s="73">
        <f t="shared" si="45"/>
        <v>35000</v>
      </c>
      <c r="DZ27" s="23">
        <f t="shared" si="46"/>
        <v>0</v>
      </c>
      <c r="EA27" s="23">
        <f t="shared" si="50"/>
        <v>-32220</v>
      </c>
      <c r="EB27" s="79"/>
      <c r="EC27" s="23">
        <f t="shared" si="47"/>
        <v>0</v>
      </c>
      <c r="ED27" s="23">
        <f t="shared" si="48"/>
        <v>0</v>
      </c>
      <c r="EE27" s="79"/>
      <c r="EF27" s="79"/>
      <c r="EG27" s="79"/>
      <c r="EH27" s="79"/>
      <c r="EI27" s="79"/>
      <c r="EJ27" s="79"/>
      <c r="EK27" s="79"/>
    </row>
    <row r="28" spans="1:141" x14ac:dyDescent="0.2">
      <c r="A28" s="72">
        <f>+BaseloadMarkets!A28</f>
        <v>36730</v>
      </c>
      <c r="B28" s="72" t="str">
        <f>+BaseloadMarkets!B28</f>
        <v>Sun</v>
      </c>
      <c r="C28" s="22">
        <v>5000</v>
      </c>
      <c r="D28" s="23">
        <v>5000</v>
      </c>
      <c r="E28" s="73">
        <f t="shared" si="0"/>
        <v>0</v>
      </c>
      <c r="F28" s="22">
        <v>10000</v>
      </c>
      <c r="G28" s="23">
        <v>10000</v>
      </c>
      <c r="H28" s="73">
        <f t="shared" si="1"/>
        <v>0</v>
      </c>
      <c r="I28" s="22">
        <f t="shared" si="2"/>
        <v>20000</v>
      </c>
      <c r="J28" s="22">
        <f t="shared" si="2"/>
        <v>20000</v>
      </c>
      <c r="K28" s="73">
        <f t="shared" si="3"/>
        <v>0</v>
      </c>
      <c r="L28" s="22"/>
      <c r="M28" s="23"/>
      <c r="N28" s="73">
        <f t="shared" si="4"/>
        <v>0</v>
      </c>
      <c r="O28" s="22"/>
      <c r="P28" s="23"/>
      <c r="Q28" s="73">
        <f t="shared" si="5"/>
        <v>0</v>
      </c>
      <c r="R28" s="22"/>
      <c r="S28" s="23"/>
      <c r="T28" s="73">
        <f t="shared" si="6"/>
        <v>0</v>
      </c>
      <c r="U28" s="22"/>
      <c r="V28" s="23"/>
      <c r="W28" s="73">
        <f t="shared" si="7"/>
        <v>0</v>
      </c>
      <c r="X28" s="22"/>
      <c r="Y28" s="23"/>
      <c r="Z28" s="73">
        <f t="shared" si="8"/>
        <v>0</v>
      </c>
      <c r="AA28" s="22"/>
      <c r="AB28" s="23"/>
      <c r="AC28" s="73">
        <f t="shared" si="9"/>
        <v>0</v>
      </c>
      <c r="AD28" s="22"/>
      <c r="AE28" s="23"/>
      <c r="AF28" s="73">
        <f t="shared" si="10"/>
        <v>0</v>
      </c>
      <c r="AG28" s="22"/>
      <c r="AH28" s="23"/>
      <c r="AI28" s="73">
        <f t="shared" si="11"/>
        <v>0</v>
      </c>
      <c r="AJ28" s="22"/>
      <c r="AK28" s="23"/>
      <c r="AL28" s="73">
        <f t="shared" si="12"/>
        <v>0</v>
      </c>
      <c r="AM28" s="22"/>
      <c r="AN28" s="23"/>
      <c r="AO28" s="73">
        <f t="shared" si="13"/>
        <v>0</v>
      </c>
      <c r="AP28" s="22"/>
      <c r="AQ28" s="23"/>
      <c r="AR28" s="73">
        <f t="shared" si="14"/>
        <v>0</v>
      </c>
      <c r="AS28" s="22"/>
      <c r="AT28" s="23"/>
      <c r="AU28" s="73">
        <f t="shared" si="15"/>
        <v>0</v>
      </c>
      <c r="AV28" s="74">
        <v>290000</v>
      </c>
      <c r="AW28" s="75">
        <v>290000</v>
      </c>
      <c r="AX28" s="73">
        <f t="shared" si="16"/>
        <v>0</v>
      </c>
      <c r="AY28" s="22"/>
      <c r="AZ28" s="23"/>
      <c r="BA28" s="73">
        <f t="shared" si="17"/>
        <v>0</v>
      </c>
      <c r="BB28" s="22"/>
      <c r="BC28" s="23"/>
      <c r="BD28" s="73">
        <f t="shared" si="18"/>
        <v>0</v>
      </c>
      <c r="BE28" s="22"/>
      <c r="BF28" s="23"/>
      <c r="BG28" s="73">
        <f t="shared" si="19"/>
        <v>0</v>
      </c>
      <c r="BH28" s="22"/>
      <c r="BI28" s="23"/>
      <c r="BJ28" s="73">
        <f t="shared" si="20"/>
        <v>0</v>
      </c>
      <c r="BK28" s="22"/>
      <c r="BL28" s="23"/>
      <c r="BM28" s="73">
        <f t="shared" si="21"/>
        <v>0</v>
      </c>
      <c r="BN28" s="22"/>
      <c r="BO28" s="23"/>
      <c r="BP28" s="73">
        <f t="shared" si="22"/>
        <v>0</v>
      </c>
      <c r="BQ28" s="22"/>
      <c r="BR28" s="23"/>
      <c r="BS28" s="73">
        <f t="shared" si="23"/>
        <v>0</v>
      </c>
      <c r="BT28" s="22"/>
      <c r="BU28" s="23"/>
      <c r="BV28" s="73">
        <f t="shared" si="24"/>
        <v>0</v>
      </c>
      <c r="BW28" s="22"/>
      <c r="BX28" s="23"/>
      <c r="BY28" s="73">
        <f t="shared" si="25"/>
        <v>0</v>
      </c>
      <c r="BZ28" s="22"/>
      <c r="CA28" s="23"/>
      <c r="CB28" s="73">
        <f t="shared" si="26"/>
        <v>0</v>
      </c>
      <c r="CC28" s="22"/>
      <c r="CD28" s="23"/>
      <c r="CE28" s="73">
        <f t="shared" si="27"/>
        <v>0</v>
      </c>
      <c r="CF28" s="22"/>
      <c r="CG28" s="23"/>
      <c r="CH28" s="73">
        <f t="shared" si="28"/>
        <v>0</v>
      </c>
      <c r="CI28" s="22"/>
      <c r="CJ28" s="23"/>
      <c r="CK28" s="73">
        <f t="shared" si="29"/>
        <v>0</v>
      </c>
      <c r="CL28" s="22"/>
      <c r="CM28" s="23"/>
      <c r="CN28" s="73">
        <f t="shared" si="30"/>
        <v>0</v>
      </c>
      <c r="CO28" s="22"/>
      <c r="CP28" s="23"/>
      <c r="CQ28" s="73">
        <f t="shared" si="31"/>
        <v>0</v>
      </c>
      <c r="CR28" s="22"/>
      <c r="CS28" s="23"/>
      <c r="CT28" s="73">
        <f t="shared" si="32"/>
        <v>0</v>
      </c>
      <c r="CU28" s="22"/>
      <c r="CV28" s="23"/>
      <c r="CW28" s="73">
        <f t="shared" si="33"/>
        <v>0</v>
      </c>
      <c r="CX28" s="22"/>
      <c r="CY28" s="23"/>
      <c r="CZ28" s="73">
        <f t="shared" si="34"/>
        <v>0</v>
      </c>
      <c r="DA28" s="22"/>
      <c r="DB28" s="23"/>
      <c r="DC28" s="73">
        <f t="shared" si="35"/>
        <v>0</v>
      </c>
      <c r="DD28" s="22"/>
      <c r="DE28" s="23"/>
      <c r="DF28" s="73">
        <f t="shared" si="36"/>
        <v>0</v>
      </c>
      <c r="DG28" s="22"/>
      <c r="DH28" s="23"/>
      <c r="DI28" s="73">
        <f t="shared" si="37"/>
        <v>0</v>
      </c>
      <c r="DJ28" s="22"/>
      <c r="DK28" s="23"/>
      <c r="DL28" s="73">
        <f t="shared" si="38"/>
        <v>0</v>
      </c>
      <c r="DM28" s="22"/>
      <c r="DN28" s="23"/>
      <c r="DO28" s="73">
        <f t="shared" si="39"/>
        <v>0</v>
      </c>
      <c r="DP28" s="22"/>
      <c r="DQ28" s="23"/>
      <c r="DR28" s="73">
        <f t="shared" si="40"/>
        <v>0</v>
      </c>
      <c r="DS28" s="73">
        <f t="shared" si="41"/>
        <v>325000</v>
      </c>
      <c r="DT28" s="73">
        <f t="shared" si="42"/>
        <v>325000</v>
      </c>
      <c r="DU28" s="73">
        <f t="shared" si="43"/>
        <v>0</v>
      </c>
      <c r="DV28" s="23">
        <f t="shared" si="49"/>
        <v>-311431</v>
      </c>
      <c r="DW28" s="79"/>
      <c r="DX28" s="73">
        <f t="shared" si="44"/>
        <v>35000</v>
      </c>
      <c r="DY28" s="73">
        <f t="shared" si="45"/>
        <v>35000</v>
      </c>
      <c r="DZ28" s="23">
        <f t="shared" si="46"/>
        <v>0</v>
      </c>
      <c r="EA28" s="23">
        <f t="shared" si="50"/>
        <v>-32220</v>
      </c>
      <c r="EB28" s="79"/>
      <c r="EC28" s="23">
        <f t="shared" si="47"/>
        <v>0</v>
      </c>
      <c r="ED28" s="23">
        <f t="shared" si="48"/>
        <v>0</v>
      </c>
      <c r="EE28" s="79"/>
      <c r="EF28" s="79"/>
      <c r="EG28" s="79"/>
      <c r="EH28" s="79"/>
      <c r="EI28" s="79"/>
      <c r="EJ28" s="79"/>
      <c r="EK28" s="79"/>
    </row>
    <row r="29" spans="1:141" x14ac:dyDescent="0.2">
      <c r="A29" s="72">
        <f>+BaseloadMarkets!A29</f>
        <v>36731</v>
      </c>
      <c r="B29" s="72" t="str">
        <f>+BaseloadMarkets!B29</f>
        <v>Mon</v>
      </c>
      <c r="C29" s="22">
        <v>5000</v>
      </c>
      <c r="D29" s="23">
        <v>5000</v>
      </c>
      <c r="E29" s="73">
        <f t="shared" si="0"/>
        <v>0</v>
      </c>
      <c r="F29" s="22">
        <v>10000</v>
      </c>
      <c r="G29" s="23">
        <v>10000</v>
      </c>
      <c r="H29" s="73">
        <f t="shared" si="1"/>
        <v>0</v>
      </c>
      <c r="I29" s="22">
        <f t="shared" si="2"/>
        <v>20000</v>
      </c>
      <c r="J29" s="22">
        <f t="shared" si="2"/>
        <v>20000</v>
      </c>
      <c r="K29" s="73">
        <f t="shared" si="3"/>
        <v>0</v>
      </c>
      <c r="L29" s="22"/>
      <c r="M29" s="23"/>
      <c r="N29" s="73">
        <f t="shared" si="4"/>
        <v>0</v>
      </c>
      <c r="O29" s="22"/>
      <c r="P29" s="23"/>
      <c r="Q29" s="73">
        <f t="shared" si="5"/>
        <v>0</v>
      </c>
      <c r="R29" s="22"/>
      <c r="S29" s="23"/>
      <c r="T29" s="73">
        <f t="shared" si="6"/>
        <v>0</v>
      </c>
      <c r="U29" s="22"/>
      <c r="V29" s="23"/>
      <c r="W29" s="73">
        <f t="shared" si="7"/>
        <v>0</v>
      </c>
      <c r="X29" s="22"/>
      <c r="Y29" s="23"/>
      <c r="Z29" s="73">
        <f t="shared" si="8"/>
        <v>0</v>
      </c>
      <c r="AA29" s="22"/>
      <c r="AB29" s="23"/>
      <c r="AC29" s="73">
        <f t="shared" si="9"/>
        <v>0</v>
      </c>
      <c r="AD29" s="22"/>
      <c r="AE29" s="23"/>
      <c r="AF29" s="73">
        <f t="shared" si="10"/>
        <v>0</v>
      </c>
      <c r="AG29" s="22"/>
      <c r="AH29" s="23"/>
      <c r="AI29" s="73">
        <f t="shared" si="11"/>
        <v>0</v>
      </c>
      <c r="AJ29" s="22"/>
      <c r="AK29" s="23"/>
      <c r="AL29" s="73">
        <f t="shared" si="12"/>
        <v>0</v>
      </c>
      <c r="AM29" s="22"/>
      <c r="AN29" s="23"/>
      <c r="AO29" s="73">
        <f t="shared" si="13"/>
        <v>0</v>
      </c>
      <c r="AP29" s="22"/>
      <c r="AQ29" s="23"/>
      <c r="AR29" s="73">
        <f t="shared" si="14"/>
        <v>0</v>
      </c>
      <c r="AS29" s="22"/>
      <c r="AT29" s="23"/>
      <c r="AU29" s="73">
        <f t="shared" si="15"/>
        <v>0</v>
      </c>
      <c r="AV29" s="74">
        <v>290000</v>
      </c>
      <c r="AW29" s="75">
        <v>290000</v>
      </c>
      <c r="AX29" s="73">
        <f t="shared" si="16"/>
        <v>0</v>
      </c>
      <c r="AY29" s="22"/>
      <c r="AZ29" s="23"/>
      <c r="BA29" s="73">
        <f t="shared" si="17"/>
        <v>0</v>
      </c>
      <c r="BB29" s="22"/>
      <c r="BC29" s="23"/>
      <c r="BD29" s="73">
        <f t="shared" si="18"/>
        <v>0</v>
      </c>
      <c r="BE29" s="22"/>
      <c r="BF29" s="23"/>
      <c r="BG29" s="73">
        <f t="shared" si="19"/>
        <v>0</v>
      </c>
      <c r="BH29" s="22"/>
      <c r="BI29" s="23"/>
      <c r="BJ29" s="73">
        <f t="shared" si="20"/>
        <v>0</v>
      </c>
      <c r="BK29" s="22"/>
      <c r="BL29" s="23"/>
      <c r="BM29" s="73">
        <f t="shared" si="21"/>
        <v>0</v>
      </c>
      <c r="BN29" s="22"/>
      <c r="BO29" s="23"/>
      <c r="BP29" s="73">
        <f t="shared" si="22"/>
        <v>0</v>
      </c>
      <c r="BQ29" s="22"/>
      <c r="BR29" s="23"/>
      <c r="BS29" s="73">
        <f t="shared" si="23"/>
        <v>0</v>
      </c>
      <c r="BT29" s="22"/>
      <c r="BU29" s="23"/>
      <c r="BV29" s="73">
        <f t="shared" si="24"/>
        <v>0</v>
      </c>
      <c r="BW29" s="22"/>
      <c r="BX29" s="23"/>
      <c r="BY29" s="73">
        <f t="shared" si="25"/>
        <v>0</v>
      </c>
      <c r="BZ29" s="22"/>
      <c r="CA29" s="23"/>
      <c r="CB29" s="73">
        <f t="shared" si="26"/>
        <v>0</v>
      </c>
      <c r="CC29" s="22"/>
      <c r="CD29" s="23"/>
      <c r="CE29" s="73">
        <f t="shared" si="27"/>
        <v>0</v>
      </c>
      <c r="CF29" s="22"/>
      <c r="CG29" s="23"/>
      <c r="CH29" s="73">
        <f t="shared" si="28"/>
        <v>0</v>
      </c>
      <c r="CI29" s="22"/>
      <c r="CJ29" s="23"/>
      <c r="CK29" s="73">
        <f t="shared" si="29"/>
        <v>0</v>
      </c>
      <c r="CL29" s="22"/>
      <c r="CM29" s="23"/>
      <c r="CN29" s="73">
        <f t="shared" si="30"/>
        <v>0</v>
      </c>
      <c r="CO29" s="22"/>
      <c r="CP29" s="23"/>
      <c r="CQ29" s="73">
        <f t="shared" si="31"/>
        <v>0</v>
      </c>
      <c r="CR29" s="22"/>
      <c r="CS29" s="23"/>
      <c r="CT29" s="73">
        <f t="shared" si="32"/>
        <v>0</v>
      </c>
      <c r="CU29" s="22"/>
      <c r="CV29" s="23"/>
      <c r="CW29" s="73">
        <f t="shared" si="33"/>
        <v>0</v>
      </c>
      <c r="CX29" s="22"/>
      <c r="CY29" s="23"/>
      <c r="CZ29" s="73">
        <f t="shared" si="34"/>
        <v>0</v>
      </c>
      <c r="DA29" s="22"/>
      <c r="DB29" s="23"/>
      <c r="DC29" s="73">
        <f t="shared" si="35"/>
        <v>0</v>
      </c>
      <c r="DD29" s="22"/>
      <c r="DE29" s="23"/>
      <c r="DF29" s="73">
        <f t="shared" si="36"/>
        <v>0</v>
      </c>
      <c r="DG29" s="22"/>
      <c r="DH29" s="23"/>
      <c r="DI29" s="73">
        <f t="shared" si="37"/>
        <v>0</v>
      </c>
      <c r="DJ29" s="22"/>
      <c r="DK29" s="23"/>
      <c r="DL29" s="73">
        <f t="shared" si="38"/>
        <v>0</v>
      </c>
      <c r="DM29" s="22"/>
      <c r="DN29" s="23"/>
      <c r="DO29" s="73">
        <f t="shared" si="39"/>
        <v>0</v>
      </c>
      <c r="DP29" s="22"/>
      <c r="DQ29" s="23"/>
      <c r="DR29" s="73">
        <f t="shared" si="40"/>
        <v>0</v>
      </c>
      <c r="DS29" s="73">
        <f t="shared" si="41"/>
        <v>325000</v>
      </c>
      <c r="DT29" s="73">
        <f t="shared" si="42"/>
        <v>325000</v>
      </c>
      <c r="DU29" s="73">
        <f t="shared" si="43"/>
        <v>0</v>
      </c>
      <c r="DV29" s="23">
        <f t="shared" si="49"/>
        <v>-311431</v>
      </c>
      <c r="DW29" s="79"/>
      <c r="DX29" s="73">
        <f t="shared" si="44"/>
        <v>35000</v>
      </c>
      <c r="DY29" s="73">
        <f t="shared" si="45"/>
        <v>35000</v>
      </c>
      <c r="DZ29" s="23">
        <f t="shared" si="46"/>
        <v>0</v>
      </c>
      <c r="EA29" s="23">
        <f t="shared" si="50"/>
        <v>-32220</v>
      </c>
      <c r="EB29" s="79"/>
      <c r="EC29" s="23">
        <f t="shared" si="47"/>
        <v>0</v>
      </c>
      <c r="ED29" s="23">
        <f t="shared" si="48"/>
        <v>0</v>
      </c>
      <c r="EE29" s="79"/>
      <c r="EF29" s="79"/>
      <c r="EG29" s="79"/>
      <c r="EH29" s="79"/>
      <c r="EI29" s="79"/>
      <c r="EJ29" s="79"/>
      <c r="EK29" s="79"/>
    </row>
    <row r="30" spans="1:141" x14ac:dyDescent="0.2">
      <c r="A30" s="72">
        <f>+BaseloadMarkets!A30</f>
        <v>36732</v>
      </c>
      <c r="B30" s="72" t="str">
        <f>+BaseloadMarkets!B30</f>
        <v>Tues</v>
      </c>
      <c r="C30" s="22">
        <v>5000</v>
      </c>
      <c r="D30" s="23">
        <v>5000</v>
      </c>
      <c r="E30" s="73">
        <f t="shared" si="0"/>
        <v>0</v>
      </c>
      <c r="F30" s="22">
        <v>10000</v>
      </c>
      <c r="G30" s="23">
        <v>10000</v>
      </c>
      <c r="H30" s="73">
        <f t="shared" si="1"/>
        <v>0</v>
      </c>
      <c r="I30" s="22">
        <f t="shared" si="2"/>
        <v>20000</v>
      </c>
      <c r="J30" s="22">
        <f t="shared" si="2"/>
        <v>20000</v>
      </c>
      <c r="K30" s="73">
        <f t="shared" si="3"/>
        <v>0</v>
      </c>
      <c r="L30" s="22"/>
      <c r="M30" s="23"/>
      <c r="N30" s="73">
        <f t="shared" si="4"/>
        <v>0</v>
      </c>
      <c r="O30" s="22"/>
      <c r="P30" s="23"/>
      <c r="Q30" s="73">
        <f t="shared" si="5"/>
        <v>0</v>
      </c>
      <c r="R30" s="22"/>
      <c r="S30" s="23"/>
      <c r="T30" s="73">
        <f t="shared" si="6"/>
        <v>0</v>
      </c>
      <c r="U30" s="22"/>
      <c r="V30" s="23"/>
      <c r="W30" s="73">
        <f t="shared" si="7"/>
        <v>0</v>
      </c>
      <c r="X30" s="22"/>
      <c r="Y30" s="23"/>
      <c r="Z30" s="73">
        <f t="shared" si="8"/>
        <v>0</v>
      </c>
      <c r="AA30" s="22"/>
      <c r="AB30" s="23"/>
      <c r="AC30" s="73">
        <f t="shared" si="9"/>
        <v>0</v>
      </c>
      <c r="AD30" s="22"/>
      <c r="AE30" s="23"/>
      <c r="AF30" s="73">
        <f t="shared" si="10"/>
        <v>0</v>
      </c>
      <c r="AG30" s="22"/>
      <c r="AH30" s="23"/>
      <c r="AI30" s="73">
        <f t="shared" si="11"/>
        <v>0</v>
      </c>
      <c r="AJ30" s="22"/>
      <c r="AK30" s="23"/>
      <c r="AL30" s="73">
        <f t="shared" si="12"/>
        <v>0</v>
      </c>
      <c r="AM30" s="22"/>
      <c r="AN30" s="23"/>
      <c r="AO30" s="73">
        <f t="shared" si="13"/>
        <v>0</v>
      </c>
      <c r="AP30" s="22"/>
      <c r="AQ30" s="23"/>
      <c r="AR30" s="73">
        <f t="shared" si="14"/>
        <v>0</v>
      </c>
      <c r="AS30" s="22"/>
      <c r="AT30" s="23"/>
      <c r="AU30" s="73">
        <f t="shared" si="15"/>
        <v>0</v>
      </c>
      <c r="AV30" s="74">
        <v>220000</v>
      </c>
      <c r="AW30" s="75">
        <v>220000</v>
      </c>
      <c r="AX30" s="73">
        <f t="shared" si="16"/>
        <v>0</v>
      </c>
      <c r="AY30" s="22"/>
      <c r="AZ30" s="23"/>
      <c r="BA30" s="73">
        <f t="shared" si="17"/>
        <v>0</v>
      </c>
      <c r="BB30" s="22"/>
      <c r="BC30" s="23"/>
      <c r="BD30" s="73">
        <f t="shared" si="18"/>
        <v>0</v>
      </c>
      <c r="BE30" s="22"/>
      <c r="BF30" s="23"/>
      <c r="BG30" s="73">
        <f t="shared" si="19"/>
        <v>0</v>
      </c>
      <c r="BH30" s="22"/>
      <c r="BI30" s="23"/>
      <c r="BJ30" s="73">
        <f t="shared" si="20"/>
        <v>0</v>
      </c>
      <c r="BK30" s="22"/>
      <c r="BL30" s="23"/>
      <c r="BM30" s="73">
        <f t="shared" si="21"/>
        <v>0</v>
      </c>
      <c r="BN30" s="22"/>
      <c r="BO30" s="23"/>
      <c r="BP30" s="73">
        <f t="shared" si="22"/>
        <v>0</v>
      </c>
      <c r="BQ30" s="22"/>
      <c r="BR30" s="23"/>
      <c r="BS30" s="73">
        <f t="shared" si="23"/>
        <v>0</v>
      </c>
      <c r="BT30" s="22"/>
      <c r="BU30" s="23"/>
      <c r="BV30" s="73">
        <f t="shared" si="24"/>
        <v>0</v>
      </c>
      <c r="BW30" s="22"/>
      <c r="BX30" s="23"/>
      <c r="BY30" s="73">
        <f t="shared" si="25"/>
        <v>0</v>
      </c>
      <c r="BZ30" s="22"/>
      <c r="CA30" s="23"/>
      <c r="CB30" s="73">
        <f t="shared" si="26"/>
        <v>0</v>
      </c>
      <c r="CC30" s="22"/>
      <c r="CD30" s="23"/>
      <c r="CE30" s="73">
        <f t="shared" si="27"/>
        <v>0</v>
      </c>
      <c r="CF30" s="22"/>
      <c r="CG30" s="23"/>
      <c r="CH30" s="73">
        <f t="shared" si="28"/>
        <v>0</v>
      </c>
      <c r="CI30" s="22"/>
      <c r="CJ30" s="23"/>
      <c r="CK30" s="73">
        <f t="shared" si="29"/>
        <v>0</v>
      </c>
      <c r="CL30" s="22"/>
      <c r="CM30" s="23"/>
      <c r="CN30" s="73">
        <f t="shared" si="30"/>
        <v>0</v>
      </c>
      <c r="CO30" s="22"/>
      <c r="CP30" s="23"/>
      <c r="CQ30" s="73">
        <f t="shared" si="31"/>
        <v>0</v>
      </c>
      <c r="CR30" s="22"/>
      <c r="CS30" s="23"/>
      <c r="CT30" s="73">
        <f t="shared" si="32"/>
        <v>0</v>
      </c>
      <c r="CU30" s="22"/>
      <c r="CV30" s="23"/>
      <c r="CW30" s="73">
        <f t="shared" si="33"/>
        <v>0</v>
      </c>
      <c r="CX30" s="22"/>
      <c r="CY30" s="23"/>
      <c r="CZ30" s="73">
        <f t="shared" si="34"/>
        <v>0</v>
      </c>
      <c r="DA30" s="22"/>
      <c r="DB30" s="23"/>
      <c r="DC30" s="73">
        <f t="shared" si="35"/>
        <v>0</v>
      </c>
      <c r="DD30" s="22"/>
      <c r="DE30" s="23"/>
      <c r="DF30" s="73">
        <f t="shared" si="36"/>
        <v>0</v>
      </c>
      <c r="DG30" s="22"/>
      <c r="DH30" s="23"/>
      <c r="DI30" s="73">
        <f t="shared" si="37"/>
        <v>0</v>
      </c>
      <c r="DJ30" s="22"/>
      <c r="DK30" s="23"/>
      <c r="DL30" s="73">
        <f t="shared" si="38"/>
        <v>0</v>
      </c>
      <c r="DM30" s="22"/>
      <c r="DN30" s="23"/>
      <c r="DO30" s="73">
        <f t="shared" si="39"/>
        <v>0</v>
      </c>
      <c r="DP30" s="22"/>
      <c r="DQ30" s="23"/>
      <c r="DR30" s="73">
        <f t="shared" si="40"/>
        <v>0</v>
      </c>
      <c r="DS30" s="73">
        <f t="shared" si="41"/>
        <v>255000</v>
      </c>
      <c r="DT30" s="73">
        <f t="shared" si="42"/>
        <v>255000</v>
      </c>
      <c r="DU30" s="73">
        <f t="shared" si="43"/>
        <v>0</v>
      </c>
      <c r="DV30" s="23">
        <f t="shared" si="49"/>
        <v>-311431</v>
      </c>
      <c r="DW30" s="79"/>
      <c r="DX30" s="73">
        <f t="shared" si="44"/>
        <v>35000</v>
      </c>
      <c r="DY30" s="73">
        <f t="shared" si="45"/>
        <v>35000</v>
      </c>
      <c r="DZ30" s="23">
        <f t="shared" si="46"/>
        <v>0</v>
      </c>
      <c r="EA30" s="23">
        <f t="shared" si="50"/>
        <v>-32220</v>
      </c>
      <c r="EB30" s="79"/>
      <c r="EC30" s="23">
        <f t="shared" si="47"/>
        <v>0</v>
      </c>
      <c r="ED30" s="23">
        <f t="shared" si="48"/>
        <v>0</v>
      </c>
      <c r="EE30" s="79"/>
      <c r="EF30" s="79"/>
      <c r="EG30" s="79"/>
      <c r="EH30" s="79"/>
      <c r="EI30" s="79"/>
      <c r="EJ30" s="79"/>
      <c r="EK30" s="79"/>
    </row>
    <row r="31" spans="1:141" x14ac:dyDescent="0.2">
      <c r="A31" s="72">
        <f>+BaseloadMarkets!A31</f>
        <v>36733</v>
      </c>
      <c r="B31" s="72" t="str">
        <f>+BaseloadMarkets!B31</f>
        <v>Wed</v>
      </c>
      <c r="C31" s="22">
        <v>5000</v>
      </c>
      <c r="D31" s="23">
        <v>5000</v>
      </c>
      <c r="E31" s="73">
        <f t="shared" si="0"/>
        <v>0</v>
      </c>
      <c r="F31" s="22">
        <v>10000</v>
      </c>
      <c r="G31" s="23">
        <f>10000-5000+2709</f>
        <v>7709</v>
      </c>
      <c r="H31" s="73">
        <f t="shared" si="1"/>
        <v>-2291</v>
      </c>
      <c r="I31" s="22">
        <f t="shared" si="2"/>
        <v>20000</v>
      </c>
      <c r="J31" s="22">
        <f>10000+5434</f>
        <v>15434</v>
      </c>
      <c r="K31" s="73">
        <f t="shared" si="3"/>
        <v>-4566</v>
      </c>
      <c r="L31" s="22"/>
      <c r="M31" s="23"/>
      <c r="N31" s="73">
        <f t="shared" si="4"/>
        <v>0</v>
      </c>
      <c r="O31" s="22"/>
      <c r="P31" s="23"/>
      <c r="Q31" s="73">
        <f t="shared" si="5"/>
        <v>0</v>
      </c>
      <c r="R31" s="22"/>
      <c r="S31" s="23"/>
      <c r="T31" s="73">
        <f t="shared" si="6"/>
        <v>0</v>
      </c>
      <c r="U31" s="22"/>
      <c r="V31" s="23"/>
      <c r="W31" s="73">
        <f t="shared" si="7"/>
        <v>0</v>
      </c>
      <c r="X31" s="22"/>
      <c r="Y31" s="23"/>
      <c r="Z31" s="73">
        <f t="shared" si="8"/>
        <v>0</v>
      </c>
      <c r="AA31" s="22"/>
      <c r="AB31" s="23"/>
      <c r="AC31" s="73">
        <f t="shared" si="9"/>
        <v>0</v>
      </c>
      <c r="AD31" s="22"/>
      <c r="AE31" s="23"/>
      <c r="AF31" s="73">
        <f t="shared" si="10"/>
        <v>0</v>
      </c>
      <c r="AG31" s="22"/>
      <c r="AH31" s="23"/>
      <c r="AI31" s="73">
        <f t="shared" si="11"/>
        <v>0</v>
      </c>
      <c r="AJ31" s="22"/>
      <c r="AK31" s="23"/>
      <c r="AL31" s="73">
        <f t="shared" si="12"/>
        <v>0</v>
      </c>
      <c r="AM31" s="22"/>
      <c r="AN31" s="23"/>
      <c r="AO31" s="73">
        <f t="shared" si="13"/>
        <v>0</v>
      </c>
      <c r="AP31" s="22"/>
      <c r="AQ31" s="23"/>
      <c r="AR31" s="73">
        <f t="shared" si="14"/>
        <v>0</v>
      </c>
      <c r="AS31" s="22"/>
      <c r="AT31" s="23"/>
      <c r="AU31" s="73">
        <f t="shared" si="15"/>
        <v>0</v>
      </c>
      <c r="AV31" s="74">
        <v>275000</v>
      </c>
      <c r="AW31" s="75">
        <f>275000-20000+10868-20000+10868-15000+8151-20000+5434+5434-50000+26905-40000+21737</f>
        <v>199397</v>
      </c>
      <c r="AX31" s="73">
        <f t="shared" si="16"/>
        <v>-75603</v>
      </c>
      <c r="AY31" s="22"/>
      <c r="AZ31" s="23"/>
      <c r="BA31" s="73">
        <f t="shared" si="17"/>
        <v>0</v>
      </c>
      <c r="BB31" s="22"/>
      <c r="BC31" s="23"/>
      <c r="BD31" s="73">
        <f t="shared" si="18"/>
        <v>0</v>
      </c>
      <c r="BE31" s="22"/>
      <c r="BF31" s="23"/>
      <c r="BG31" s="73">
        <f t="shared" si="19"/>
        <v>0</v>
      </c>
      <c r="BH31" s="22"/>
      <c r="BI31" s="23"/>
      <c r="BJ31" s="73">
        <f t="shared" si="20"/>
        <v>0</v>
      </c>
      <c r="BK31" s="22"/>
      <c r="BL31" s="23"/>
      <c r="BM31" s="73">
        <f t="shared" si="21"/>
        <v>0</v>
      </c>
      <c r="BN31" s="22"/>
      <c r="BO31" s="23"/>
      <c r="BP31" s="73">
        <f t="shared" si="22"/>
        <v>0</v>
      </c>
      <c r="BQ31" s="22"/>
      <c r="BR31" s="23"/>
      <c r="BS31" s="73">
        <f t="shared" si="23"/>
        <v>0</v>
      </c>
      <c r="BT31" s="22"/>
      <c r="BU31" s="23"/>
      <c r="BV31" s="73">
        <f t="shared" si="24"/>
        <v>0</v>
      </c>
      <c r="BW31" s="22"/>
      <c r="BX31" s="23"/>
      <c r="BY31" s="73">
        <f t="shared" si="25"/>
        <v>0</v>
      </c>
      <c r="BZ31" s="22"/>
      <c r="CA31" s="23"/>
      <c r="CB31" s="73">
        <f t="shared" si="26"/>
        <v>0</v>
      </c>
      <c r="CC31" s="22"/>
      <c r="CD31" s="23"/>
      <c r="CE31" s="73">
        <f t="shared" si="27"/>
        <v>0</v>
      </c>
      <c r="CF31" s="22"/>
      <c r="CG31" s="23"/>
      <c r="CH31" s="73">
        <f t="shared" si="28"/>
        <v>0</v>
      </c>
      <c r="CI31" s="22"/>
      <c r="CJ31" s="23"/>
      <c r="CK31" s="73">
        <f t="shared" si="29"/>
        <v>0</v>
      </c>
      <c r="CL31" s="22"/>
      <c r="CM31" s="23"/>
      <c r="CN31" s="73">
        <f t="shared" si="30"/>
        <v>0</v>
      </c>
      <c r="CO31" s="22"/>
      <c r="CP31" s="23"/>
      <c r="CQ31" s="73">
        <f t="shared" si="31"/>
        <v>0</v>
      </c>
      <c r="CR31" s="22"/>
      <c r="CS31" s="23"/>
      <c r="CT31" s="73">
        <f t="shared" si="32"/>
        <v>0</v>
      </c>
      <c r="CU31" s="22"/>
      <c r="CV31" s="23"/>
      <c r="CW31" s="73">
        <f t="shared" si="33"/>
        <v>0</v>
      </c>
      <c r="CX31" s="22"/>
      <c r="CY31" s="23"/>
      <c r="CZ31" s="73">
        <f t="shared" si="34"/>
        <v>0</v>
      </c>
      <c r="DA31" s="22"/>
      <c r="DB31" s="23"/>
      <c r="DC31" s="73">
        <f t="shared" si="35"/>
        <v>0</v>
      </c>
      <c r="DD31" s="22"/>
      <c r="DE31" s="23"/>
      <c r="DF31" s="73">
        <f t="shared" si="36"/>
        <v>0</v>
      </c>
      <c r="DG31" s="22"/>
      <c r="DH31" s="23"/>
      <c r="DI31" s="73">
        <f t="shared" si="37"/>
        <v>0</v>
      </c>
      <c r="DJ31" s="22"/>
      <c r="DK31" s="23"/>
      <c r="DL31" s="73">
        <f t="shared" si="38"/>
        <v>0</v>
      </c>
      <c r="DM31" s="22"/>
      <c r="DN31" s="23"/>
      <c r="DO31" s="73">
        <f t="shared" si="39"/>
        <v>0</v>
      </c>
      <c r="DP31" s="22"/>
      <c r="DQ31" s="23"/>
      <c r="DR31" s="73">
        <f t="shared" si="40"/>
        <v>0</v>
      </c>
      <c r="DS31" s="73">
        <f t="shared" si="41"/>
        <v>310000</v>
      </c>
      <c r="DT31" s="73">
        <f t="shared" si="42"/>
        <v>227540</v>
      </c>
      <c r="DU31" s="73">
        <f t="shared" si="43"/>
        <v>-82460</v>
      </c>
      <c r="DV31" s="23">
        <f t="shared" si="49"/>
        <v>-393891</v>
      </c>
      <c r="DW31" s="79"/>
      <c r="DX31" s="73">
        <f t="shared" si="44"/>
        <v>35000</v>
      </c>
      <c r="DY31" s="73">
        <f t="shared" si="45"/>
        <v>28143</v>
      </c>
      <c r="DZ31" s="23">
        <f t="shared" si="46"/>
        <v>-6857</v>
      </c>
      <c r="EA31" s="23">
        <f t="shared" si="50"/>
        <v>-39077</v>
      </c>
      <c r="EB31" s="79"/>
      <c r="EC31" s="23">
        <f t="shared" si="47"/>
        <v>-75603</v>
      </c>
      <c r="ED31" s="23">
        <f t="shared" si="48"/>
        <v>-75603</v>
      </c>
      <c r="EE31" s="79"/>
      <c r="EF31" s="79"/>
      <c r="EG31" s="79"/>
      <c r="EH31" s="79"/>
      <c r="EI31" s="79"/>
      <c r="EJ31" s="79"/>
      <c r="EK31" s="79"/>
    </row>
    <row r="32" spans="1:141" x14ac:dyDescent="0.2">
      <c r="A32" s="72">
        <f>+BaseloadMarkets!A32</f>
        <v>36734</v>
      </c>
      <c r="B32" s="72" t="str">
        <f>+BaseloadMarkets!B32</f>
        <v>Thu</v>
      </c>
      <c r="C32" s="22">
        <v>5000</v>
      </c>
      <c r="D32" s="23">
        <v>5000</v>
      </c>
      <c r="E32" s="73">
        <f t="shared" si="0"/>
        <v>0</v>
      </c>
      <c r="F32" s="22">
        <v>10000</v>
      </c>
      <c r="G32" s="23">
        <v>10000</v>
      </c>
      <c r="H32" s="73">
        <f t="shared" si="1"/>
        <v>0</v>
      </c>
      <c r="I32" s="22">
        <f t="shared" si="2"/>
        <v>20000</v>
      </c>
      <c r="J32" s="22">
        <f t="shared" si="2"/>
        <v>20000</v>
      </c>
      <c r="K32" s="73">
        <f t="shared" si="3"/>
        <v>0</v>
      </c>
      <c r="L32" s="22"/>
      <c r="M32" s="23"/>
      <c r="N32" s="73">
        <f t="shared" si="4"/>
        <v>0</v>
      </c>
      <c r="O32" s="22"/>
      <c r="P32" s="23"/>
      <c r="Q32" s="73">
        <f t="shared" si="5"/>
        <v>0</v>
      </c>
      <c r="R32" s="22"/>
      <c r="S32" s="23"/>
      <c r="T32" s="73">
        <f t="shared" si="6"/>
        <v>0</v>
      </c>
      <c r="U32" s="22"/>
      <c r="V32" s="23"/>
      <c r="W32" s="73">
        <f t="shared" si="7"/>
        <v>0</v>
      </c>
      <c r="X32" s="22"/>
      <c r="Y32" s="23"/>
      <c r="Z32" s="73">
        <f t="shared" si="8"/>
        <v>0</v>
      </c>
      <c r="AA32" s="22"/>
      <c r="AB32" s="23"/>
      <c r="AC32" s="73">
        <f t="shared" si="9"/>
        <v>0</v>
      </c>
      <c r="AD32" s="22"/>
      <c r="AE32" s="23"/>
      <c r="AF32" s="73">
        <f t="shared" si="10"/>
        <v>0</v>
      </c>
      <c r="AG32" s="22"/>
      <c r="AH32" s="23"/>
      <c r="AI32" s="73">
        <f t="shared" si="11"/>
        <v>0</v>
      </c>
      <c r="AJ32" s="22"/>
      <c r="AK32" s="23"/>
      <c r="AL32" s="73">
        <f t="shared" si="12"/>
        <v>0</v>
      </c>
      <c r="AM32" s="22"/>
      <c r="AN32" s="23"/>
      <c r="AO32" s="73">
        <f t="shared" si="13"/>
        <v>0</v>
      </c>
      <c r="AP32" s="22"/>
      <c r="AQ32" s="23"/>
      <c r="AR32" s="73">
        <f t="shared" si="14"/>
        <v>0</v>
      </c>
      <c r="AS32" s="22"/>
      <c r="AT32" s="23"/>
      <c r="AU32" s="73">
        <f t="shared" si="15"/>
        <v>0</v>
      </c>
      <c r="AV32" s="74">
        <v>205000</v>
      </c>
      <c r="AW32" s="75">
        <v>195100</v>
      </c>
      <c r="AX32" s="73">
        <f t="shared" si="16"/>
        <v>-9900</v>
      </c>
      <c r="AY32" s="22"/>
      <c r="AZ32" s="23"/>
      <c r="BA32" s="73">
        <f t="shared" si="17"/>
        <v>0</v>
      </c>
      <c r="BB32" s="22"/>
      <c r="BC32" s="23"/>
      <c r="BD32" s="73">
        <f t="shared" si="18"/>
        <v>0</v>
      </c>
      <c r="BE32" s="22"/>
      <c r="BF32" s="23"/>
      <c r="BG32" s="73">
        <f t="shared" si="19"/>
        <v>0</v>
      </c>
      <c r="BH32" s="22"/>
      <c r="BI32" s="23"/>
      <c r="BJ32" s="73">
        <f t="shared" si="20"/>
        <v>0</v>
      </c>
      <c r="BK32" s="22"/>
      <c r="BL32" s="23"/>
      <c r="BM32" s="73">
        <f t="shared" si="21"/>
        <v>0</v>
      </c>
      <c r="BN32" s="22"/>
      <c r="BO32" s="23"/>
      <c r="BP32" s="73">
        <f t="shared" si="22"/>
        <v>0</v>
      </c>
      <c r="BQ32" s="22"/>
      <c r="BR32" s="23"/>
      <c r="BS32" s="73">
        <f t="shared" si="23"/>
        <v>0</v>
      </c>
      <c r="BT32" s="22"/>
      <c r="BU32" s="23"/>
      <c r="BV32" s="73">
        <f t="shared" si="24"/>
        <v>0</v>
      </c>
      <c r="BW32" s="22"/>
      <c r="BX32" s="23"/>
      <c r="BY32" s="73">
        <f t="shared" si="25"/>
        <v>0</v>
      </c>
      <c r="BZ32" s="22"/>
      <c r="CA32" s="23"/>
      <c r="CB32" s="73">
        <f t="shared" si="26"/>
        <v>0</v>
      </c>
      <c r="CC32" s="22"/>
      <c r="CD32" s="23"/>
      <c r="CE32" s="73">
        <f t="shared" si="27"/>
        <v>0</v>
      </c>
      <c r="CF32" s="22"/>
      <c r="CG32" s="23"/>
      <c r="CH32" s="73">
        <f t="shared" si="28"/>
        <v>0</v>
      </c>
      <c r="CI32" s="22"/>
      <c r="CJ32" s="23"/>
      <c r="CK32" s="73">
        <f t="shared" si="29"/>
        <v>0</v>
      </c>
      <c r="CL32" s="22"/>
      <c r="CM32" s="23"/>
      <c r="CN32" s="73">
        <f t="shared" si="30"/>
        <v>0</v>
      </c>
      <c r="CO32" s="22"/>
      <c r="CP32" s="23"/>
      <c r="CQ32" s="73">
        <f t="shared" si="31"/>
        <v>0</v>
      </c>
      <c r="CR32" s="22"/>
      <c r="CS32" s="23"/>
      <c r="CT32" s="73">
        <f t="shared" si="32"/>
        <v>0</v>
      </c>
      <c r="CU32" s="22"/>
      <c r="CV32" s="23"/>
      <c r="CW32" s="73">
        <f t="shared" si="33"/>
        <v>0</v>
      </c>
      <c r="CX32" s="22"/>
      <c r="CY32" s="23"/>
      <c r="CZ32" s="73">
        <f t="shared" si="34"/>
        <v>0</v>
      </c>
      <c r="DA32" s="22"/>
      <c r="DB32" s="23"/>
      <c r="DC32" s="73">
        <f t="shared" si="35"/>
        <v>0</v>
      </c>
      <c r="DD32" s="22"/>
      <c r="DE32" s="23"/>
      <c r="DF32" s="73">
        <f t="shared" si="36"/>
        <v>0</v>
      </c>
      <c r="DG32" s="22"/>
      <c r="DH32" s="23"/>
      <c r="DI32" s="73">
        <f t="shared" si="37"/>
        <v>0</v>
      </c>
      <c r="DJ32" s="22"/>
      <c r="DK32" s="23"/>
      <c r="DL32" s="73">
        <f t="shared" si="38"/>
        <v>0</v>
      </c>
      <c r="DM32" s="22"/>
      <c r="DN32" s="23"/>
      <c r="DO32" s="73">
        <f t="shared" si="39"/>
        <v>0</v>
      </c>
      <c r="DP32" s="22"/>
      <c r="DQ32" s="23"/>
      <c r="DR32" s="73">
        <f t="shared" si="40"/>
        <v>0</v>
      </c>
      <c r="DS32" s="73">
        <f t="shared" si="41"/>
        <v>240000</v>
      </c>
      <c r="DT32" s="73">
        <f t="shared" si="42"/>
        <v>230100</v>
      </c>
      <c r="DU32" s="73">
        <f t="shared" si="43"/>
        <v>-9900</v>
      </c>
      <c r="DV32" s="23">
        <f t="shared" si="49"/>
        <v>-403791</v>
      </c>
      <c r="DW32" s="79"/>
      <c r="DX32" s="73">
        <f t="shared" si="44"/>
        <v>35000</v>
      </c>
      <c r="DY32" s="73">
        <f t="shared" si="45"/>
        <v>35000</v>
      </c>
      <c r="DZ32" s="23">
        <f t="shared" si="46"/>
        <v>0</v>
      </c>
      <c r="EA32" s="23">
        <f t="shared" si="50"/>
        <v>-39077</v>
      </c>
      <c r="EB32" s="79"/>
      <c r="EC32" s="23">
        <f t="shared" si="47"/>
        <v>-9900</v>
      </c>
      <c r="ED32" s="23">
        <f t="shared" si="48"/>
        <v>-9900</v>
      </c>
      <c r="EE32" s="79"/>
      <c r="EF32" s="79"/>
      <c r="EG32" s="79"/>
      <c r="EH32" s="79"/>
      <c r="EI32" s="79"/>
      <c r="EJ32" s="79"/>
      <c r="EK32" s="79"/>
    </row>
    <row r="33" spans="1:224" x14ac:dyDescent="0.2">
      <c r="A33" s="72">
        <f>+BaseloadMarkets!A33</f>
        <v>36735</v>
      </c>
      <c r="B33" s="72" t="str">
        <f>+BaseloadMarkets!B33</f>
        <v>Fri</v>
      </c>
      <c r="C33" s="22">
        <v>5000</v>
      </c>
      <c r="D33" s="23">
        <v>5000</v>
      </c>
      <c r="E33" s="73">
        <f t="shared" si="0"/>
        <v>0</v>
      </c>
      <c r="F33" s="22">
        <v>10000</v>
      </c>
      <c r="G33" s="23">
        <v>6087</v>
      </c>
      <c r="H33" s="73">
        <f t="shared" si="1"/>
        <v>-3913</v>
      </c>
      <c r="I33" s="22">
        <f t="shared" si="2"/>
        <v>20000</v>
      </c>
      <c r="J33" s="22">
        <f t="shared" si="2"/>
        <v>20000</v>
      </c>
      <c r="K33" s="73">
        <f t="shared" si="3"/>
        <v>0</v>
      </c>
      <c r="L33" s="22"/>
      <c r="M33" s="23"/>
      <c r="N33" s="73">
        <f t="shared" si="4"/>
        <v>0</v>
      </c>
      <c r="O33" s="22"/>
      <c r="P33" s="23"/>
      <c r="Q33" s="73">
        <f t="shared" si="5"/>
        <v>0</v>
      </c>
      <c r="R33" s="22"/>
      <c r="S33" s="23"/>
      <c r="T33" s="73">
        <f t="shared" si="6"/>
        <v>0</v>
      </c>
      <c r="U33" s="22"/>
      <c r="V33" s="23"/>
      <c r="W33" s="73">
        <f t="shared" si="7"/>
        <v>0</v>
      </c>
      <c r="X33" s="22"/>
      <c r="Y33" s="23"/>
      <c r="Z33" s="73">
        <f t="shared" si="8"/>
        <v>0</v>
      </c>
      <c r="AA33" s="22"/>
      <c r="AB33" s="23"/>
      <c r="AC33" s="73">
        <f t="shared" si="9"/>
        <v>0</v>
      </c>
      <c r="AD33" s="22"/>
      <c r="AE33" s="23"/>
      <c r="AF33" s="73">
        <f t="shared" si="10"/>
        <v>0</v>
      </c>
      <c r="AG33" s="22"/>
      <c r="AH33" s="23"/>
      <c r="AI33" s="73">
        <f t="shared" si="11"/>
        <v>0</v>
      </c>
      <c r="AJ33" s="22"/>
      <c r="AK33" s="23"/>
      <c r="AL33" s="73">
        <f t="shared" si="12"/>
        <v>0</v>
      </c>
      <c r="AM33" s="22"/>
      <c r="AN33" s="23"/>
      <c r="AO33" s="73">
        <f t="shared" si="13"/>
        <v>0</v>
      </c>
      <c r="AP33" s="22"/>
      <c r="AQ33" s="23"/>
      <c r="AR33" s="73">
        <f t="shared" si="14"/>
        <v>0</v>
      </c>
      <c r="AS33" s="22"/>
      <c r="AT33" s="23"/>
      <c r="AU33" s="73">
        <f t="shared" si="15"/>
        <v>0</v>
      </c>
      <c r="AV33" s="74">
        <f>290000-15000-19562+1398</f>
        <v>256836</v>
      </c>
      <c r="AW33" s="75">
        <v>235142</v>
      </c>
      <c r="AX33" s="73">
        <f t="shared" si="16"/>
        <v>-21694</v>
      </c>
      <c r="AY33" s="22"/>
      <c r="AZ33" s="23"/>
      <c r="BA33" s="73">
        <f t="shared" si="17"/>
        <v>0</v>
      </c>
      <c r="BB33" s="22"/>
      <c r="BC33" s="23"/>
      <c r="BD33" s="73">
        <f t="shared" si="18"/>
        <v>0</v>
      </c>
      <c r="BE33" s="22"/>
      <c r="BF33" s="23"/>
      <c r="BG33" s="73">
        <f t="shared" si="19"/>
        <v>0</v>
      </c>
      <c r="BH33" s="22"/>
      <c r="BI33" s="23"/>
      <c r="BJ33" s="73">
        <f t="shared" si="20"/>
        <v>0</v>
      </c>
      <c r="BK33" s="22"/>
      <c r="BL33" s="23"/>
      <c r="BM33" s="73">
        <f t="shared" si="21"/>
        <v>0</v>
      </c>
      <c r="BN33" s="22"/>
      <c r="BO33" s="23"/>
      <c r="BP33" s="73">
        <f t="shared" si="22"/>
        <v>0</v>
      </c>
      <c r="BQ33" s="22"/>
      <c r="BR33" s="23"/>
      <c r="BS33" s="73">
        <f t="shared" si="23"/>
        <v>0</v>
      </c>
      <c r="BT33" s="22"/>
      <c r="BU33" s="23"/>
      <c r="BV33" s="73">
        <f t="shared" si="24"/>
        <v>0</v>
      </c>
      <c r="BW33" s="22"/>
      <c r="BX33" s="23"/>
      <c r="BY33" s="73">
        <f t="shared" si="25"/>
        <v>0</v>
      </c>
      <c r="BZ33" s="22"/>
      <c r="CA33" s="23"/>
      <c r="CB33" s="73">
        <f t="shared" si="26"/>
        <v>0</v>
      </c>
      <c r="CC33" s="22"/>
      <c r="CD33" s="23"/>
      <c r="CE33" s="73">
        <f t="shared" si="27"/>
        <v>0</v>
      </c>
      <c r="CF33" s="22"/>
      <c r="CG33" s="23"/>
      <c r="CH33" s="73">
        <f t="shared" si="28"/>
        <v>0</v>
      </c>
      <c r="CI33" s="22"/>
      <c r="CJ33" s="23"/>
      <c r="CK33" s="73">
        <f t="shared" si="29"/>
        <v>0</v>
      </c>
      <c r="CL33" s="22"/>
      <c r="CM33" s="23"/>
      <c r="CN33" s="73">
        <f t="shared" si="30"/>
        <v>0</v>
      </c>
      <c r="CO33" s="22"/>
      <c r="CP33" s="23"/>
      <c r="CQ33" s="73">
        <f t="shared" si="31"/>
        <v>0</v>
      </c>
      <c r="CR33" s="22"/>
      <c r="CS33" s="23"/>
      <c r="CT33" s="73">
        <f t="shared" si="32"/>
        <v>0</v>
      </c>
      <c r="CU33" s="22"/>
      <c r="CV33" s="23"/>
      <c r="CW33" s="73">
        <f t="shared" si="33"/>
        <v>0</v>
      </c>
      <c r="CX33" s="22"/>
      <c r="CY33" s="23"/>
      <c r="CZ33" s="73">
        <f t="shared" si="34"/>
        <v>0</v>
      </c>
      <c r="DA33" s="22"/>
      <c r="DB33" s="23"/>
      <c r="DC33" s="73">
        <f t="shared" si="35"/>
        <v>0</v>
      </c>
      <c r="DD33" s="22"/>
      <c r="DE33" s="23"/>
      <c r="DF33" s="73">
        <f t="shared" si="36"/>
        <v>0</v>
      </c>
      <c r="DG33" s="22"/>
      <c r="DH33" s="23"/>
      <c r="DI33" s="73">
        <f t="shared" si="37"/>
        <v>0</v>
      </c>
      <c r="DJ33" s="22"/>
      <c r="DK33" s="23"/>
      <c r="DL33" s="73">
        <f t="shared" si="38"/>
        <v>0</v>
      </c>
      <c r="DM33" s="22"/>
      <c r="DN33" s="23"/>
      <c r="DO33" s="73">
        <f t="shared" si="39"/>
        <v>0</v>
      </c>
      <c r="DP33" s="22"/>
      <c r="DQ33" s="23"/>
      <c r="DR33" s="73">
        <f t="shared" si="40"/>
        <v>0</v>
      </c>
      <c r="DS33" s="73">
        <f t="shared" si="41"/>
        <v>291836</v>
      </c>
      <c r="DT33" s="73">
        <f t="shared" si="42"/>
        <v>266229</v>
      </c>
      <c r="DU33" s="73">
        <f t="shared" si="43"/>
        <v>-25607</v>
      </c>
      <c r="DV33" s="23">
        <f t="shared" si="49"/>
        <v>-429398</v>
      </c>
      <c r="DW33" s="79"/>
      <c r="DX33" s="73">
        <f t="shared" si="44"/>
        <v>35000</v>
      </c>
      <c r="DY33" s="73">
        <f t="shared" si="45"/>
        <v>31087</v>
      </c>
      <c r="DZ33" s="23">
        <f t="shared" si="46"/>
        <v>-3913</v>
      </c>
      <c r="EA33" s="23">
        <f t="shared" si="50"/>
        <v>-42990</v>
      </c>
      <c r="EB33" s="79"/>
      <c r="EC33" s="23">
        <f t="shared" si="47"/>
        <v>-21694</v>
      </c>
      <c r="ED33" s="23">
        <f t="shared" si="48"/>
        <v>-21694</v>
      </c>
      <c r="EE33" s="79"/>
      <c r="EF33" s="79"/>
      <c r="EG33" s="79"/>
      <c r="EH33" s="79"/>
      <c r="EI33" s="79"/>
      <c r="EJ33" s="79"/>
      <c r="EK33" s="79"/>
    </row>
    <row r="34" spans="1:224" x14ac:dyDescent="0.2">
      <c r="A34" s="72">
        <f>+BaseloadMarkets!A34</f>
        <v>36736</v>
      </c>
      <c r="B34" s="72" t="str">
        <f>+BaseloadMarkets!B34</f>
        <v>Sat</v>
      </c>
      <c r="C34" s="22">
        <v>5000</v>
      </c>
      <c r="D34" s="23">
        <v>5000</v>
      </c>
      <c r="E34" s="73">
        <f t="shared" si="0"/>
        <v>0</v>
      </c>
      <c r="F34" s="22">
        <v>10000</v>
      </c>
      <c r="G34" s="23">
        <v>10000</v>
      </c>
      <c r="H34" s="73">
        <f t="shared" si="1"/>
        <v>0</v>
      </c>
      <c r="I34" s="22">
        <f t="shared" si="2"/>
        <v>20000</v>
      </c>
      <c r="J34" s="22">
        <f t="shared" si="2"/>
        <v>20000</v>
      </c>
      <c r="K34" s="73">
        <f t="shared" si="3"/>
        <v>0</v>
      </c>
      <c r="L34" s="22"/>
      <c r="M34" s="23"/>
      <c r="N34" s="73">
        <f t="shared" si="4"/>
        <v>0</v>
      </c>
      <c r="O34" s="22"/>
      <c r="P34" s="23"/>
      <c r="Q34" s="73">
        <f t="shared" si="5"/>
        <v>0</v>
      </c>
      <c r="R34" s="22"/>
      <c r="S34" s="23"/>
      <c r="T34" s="73">
        <f t="shared" si="6"/>
        <v>0</v>
      </c>
      <c r="U34" s="22"/>
      <c r="V34" s="23"/>
      <c r="W34" s="73">
        <f t="shared" si="7"/>
        <v>0</v>
      </c>
      <c r="X34" s="22"/>
      <c r="Y34" s="23"/>
      <c r="Z34" s="73">
        <f t="shared" si="8"/>
        <v>0</v>
      </c>
      <c r="AA34" s="22"/>
      <c r="AB34" s="23"/>
      <c r="AC34" s="73">
        <f t="shared" si="9"/>
        <v>0</v>
      </c>
      <c r="AD34" s="22"/>
      <c r="AE34" s="23"/>
      <c r="AF34" s="73">
        <f t="shared" si="10"/>
        <v>0</v>
      </c>
      <c r="AG34" s="22"/>
      <c r="AH34" s="23"/>
      <c r="AI34" s="73">
        <f t="shared" si="11"/>
        <v>0</v>
      </c>
      <c r="AJ34" s="22"/>
      <c r="AK34" s="23"/>
      <c r="AL34" s="73">
        <f t="shared" si="12"/>
        <v>0</v>
      </c>
      <c r="AM34" s="22"/>
      <c r="AN34" s="23"/>
      <c r="AO34" s="73">
        <f t="shared" si="13"/>
        <v>0</v>
      </c>
      <c r="AP34" s="22"/>
      <c r="AQ34" s="23"/>
      <c r="AR34" s="73">
        <f t="shared" si="14"/>
        <v>0</v>
      </c>
      <c r="AS34" s="22"/>
      <c r="AT34" s="23"/>
      <c r="AU34" s="73">
        <f t="shared" si="15"/>
        <v>0</v>
      </c>
      <c r="AV34" s="74">
        <v>290000</v>
      </c>
      <c r="AW34" s="75">
        <v>290000</v>
      </c>
      <c r="AX34" s="73">
        <f t="shared" si="16"/>
        <v>0</v>
      </c>
      <c r="AY34" s="22"/>
      <c r="AZ34" s="23"/>
      <c r="BA34" s="73">
        <f t="shared" si="17"/>
        <v>0</v>
      </c>
      <c r="BB34" s="22"/>
      <c r="BC34" s="23"/>
      <c r="BD34" s="73">
        <f t="shared" si="18"/>
        <v>0</v>
      </c>
      <c r="BE34" s="22"/>
      <c r="BF34" s="23"/>
      <c r="BG34" s="73">
        <f t="shared" si="19"/>
        <v>0</v>
      </c>
      <c r="BH34" s="22"/>
      <c r="BI34" s="23"/>
      <c r="BJ34" s="73">
        <f t="shared" si="20"/>
        <v>0</v>
      </c>
      <c r="BK34" s="22"/>
      <c r="BL34" s="23"/>
      <c r="BM34" s="73">
        <f t="shared" si="21"/>
        <v>0</v>
      </c>
      <c r="BN34" s="22"/>
      <c r="BO34" s="23"/>
      <c r="BP34" s="73">
        <f t="shared" si="22"/>
        <v>0</v>
      </c>
      <c r="BQ34" s="22"/>
      <c r="BR34" s="23"/>
      <c r="BS34" s="73">
        <f t="shared" si="23"/>
        <v>0</v>
      </c>
      <c r="BT34" s="22"/>
      <c r="BU34" s="23"/>
      <c r="BV34" s="73">
        <f t="shared" si="24"/>
        <v>0</v>
      </c>
      <c r="BW34" s="22"/>
      <c r="BX34" s="23"/>
      <c r="BY34" s="73">
        <f t="shared" si="25"/>
        <v>0</v>
      </c>
      <c r="BZ34" s="22"/>
      <c r="CA34" s="23"/>
      <c r="CB34" s="73">
        <f t="shared" si="26"/>
        <v>0</v>
      </c>
      <c r="CC34" s="22"/>
      <c r="CD34" s="23"/>
      <c r="CE34" s="73">
        <f t="shared" si="27"/>
        <v>0</v>
      </c>
      <c r="CF34" s="22"/>
      <c r="CG34" s="23"/>
      <c r="CH34" s="73">
        <f t="shared" si="28"/>
        <v>0</v>
      </c>
      <c r="CI34" s="22"/>
      <c r="CJ34" s="23"/>
      <c r="CK34" s="73">
        <f t="shared" si="29"/>
        <v>0</v>
      </c>
      <c r="CL34" s="22"/>
      <c r="CM34" s="23"/>
      <c r="CN34" s="73">
        <f t="shared" si="30"/>
        <v>0</v>
      </c>
      <c r="CO34" s="22"/>
      <c r="CP34" s="23"/>
      <c r="CQ34" s="73">
        <f t="shared" si="31"/>
        <v>0</v>
      </c>
      <c r="CR34" s="22"/>
      <c r="CS34" s="23"/>
      <c r="CT34" s="73">
        <f t="shared" si="32"/>
        <v>0</v>
      </c>
      <c r="CU34" s="22"/>
      <c r="CV34" s="23"/>
      <c r="CW34" s="73">
        <f t="shared" si="33"/>
        <v>0</v>
      </c>
      <c r="CX34" s="22"/>
      <c r="CY34" s="23"/>
      <c r="CZ34" s="73">
        <f t="shared" si="34"/>
        <v>0</v>
      </c>
      <c r="DA34" s="22"/>
      <c r="DB34" s="23"/>
      <c r="DC34" s="73">
        <f t="shared" si="35"/>
        <v>0</v>
      </c>
      <c r="DD34" s="22"/>
      <c r="DE34" s="23"/>
      <c r="DF34" s="73">
        <f t="shared" si="36"/>
        <v>0</v>
      </c>
      <c r="DG34" s="22"/>
      <c r="DH34" s="23"/>
      <c r="DI34" s="73">
        <f t="shared" si="37"/>
        <v>0</v>
      </c>
      <c r="DJ34" s="22"/>
      <c r="DK34" s="23"/>
      <c r="DL34" s="73">
        <f t="shared" si="38"/>
        <v>0</v>
      </c>
      <c r="DM34" s="22"/>
      <c r="DN34" s="23"/>
      <c r="DO34" s="73">
        <f t="shared" si="39"/>
        <v>0</v>
      </c>
      <c r="DP34" s="22"/>
      <c r="DQ34" s="23"/>
      <c r="DR34" s="73">
        <f t="shared" si="40"/>
        <v>0</v>
      </c>
      <c r="DS34" s="73">
        <f t="shared" si="41"/>
        <v>325000</v>
      </c>
      <c r="DT34" s="73">
        <f t="shared" si="42"/>
        <v>325000</v>
      </c>
      <c r="DU34" s="73">
        <f t="shared" si="43"/>
        <v>0</v>
      </c>
      <c r="DV34" s="23">
        <f t="shared" si="49"/>
        <v>-429398</v>
      </c>
      <c r="DW34" s="79"/>
      <c r="DX34" s="73">
        <f t="shared" si="44"/>
        <v>35000</v>
      </c>
      <c r="DY34" s="73">
        <f t="shared" si="45"/>
        <v>35000</v>
      </c>
      <c r="DZ34" s="23">
        <f t="shared" si="46"/>
        <v>0</v>
      </c>
      <c r="EA34" s="23">
        <f t="shared" si="50"/>
        <v>-42990</v>
      </c>
      <c r="EB34" s="79"/>
      <c r="EC34" s="23">
        <f t="shared" si="47"/>
        <v>0</v>
      </c>
      <c r="ED34" s="23">
        <f t="shared" si="48"/>
        <v>0</v>
      </c>
      <c r="EE34" s="79"/>
      <c r="EF34" s="79"/>
      <c r="EG34" s="79"/>
      <c r="EH34" s="79"/>
      <c r="EI34" s="79"/>
      <c r="EJ34" s="79"/>
      <c r="EK34" s="79"/>
    </row>
    <row r="35" spans="1:224" x14ac:dyDescent="0.2">
      <c r="A35" s="72">
        <f>+BaseloadMarkets!A35</f>
        <v>36737</v>
      </c>
      <c r="B35" s="72" t="str">
        <f>+BaseloadMarkets!B35</f>
        <v>Sun</v>
      </c>
      <c r="C35" s="22">
        <v>5000</v>
      </c>
      <c r="D35" s="23">
        <v>5000</v>
      </c>
      <c r="E35" s="73">
        <f t="shared" si="0"/>
        <v>0</v>
      </c>
      <c r="F35" s="22">
        <v>10000</v>
      </c>
      <c r="G35" s="23">
        <v>10000</v>
      </c>
      <c r="H35" s="73">
        <f t="shared" si="1"/>
        <v>0</v>
      </c>
      <c r="I35" s="22">
        <f t="shared" si="2"/>
        <v>20000</v>
      </c>
      <c r="J35" s="22">
        <f t="shared" si="2"/>
        <v>20000</v>
      </c>
      <c r="K35" s="73">
        <f t="shared" si="3"/>
        <v>0</v>
      </c>
      <c r="L35" s="22"/>
      <c r="M35" s="23"/>
      <c r="N35" s="73">
        <f t="shared" si="4"/>
        <v>0</v>
      </c>
      <c r="O35" s="22"/>
      <c r="P35" s="23"/>
      <c r="Q35" s="73">
        <f t="shared" si="5"/>
        <v>0</v>
      </c>
      <c r="R35" s="22"/>
      <c r="S35" s="23"/>
      <c r="T35" s="73">
        <f t="shared" si="6"/>
        <v>0</v>
      </c>
      <c r="U35" s="22"/>
      <c r="V35" s="23"/>
      <c r="W35" s="73">
        <f t="shared" si="7"/>
        <v>0</v>
      </c>
      <c r="X35" s="22"/>
      <c r="Y35" s="23"/>
      <c r="Z35" s="73">
        <f t="shared" si="8"/>
        <v>0</v>
      </c>
      <c r="AA35" s="22"/>
      <c r="AB35" s="23"/>
      <c r="AC35" s="73">
        <f t="shared" si="9"/>
        <v>0</v>
      </c>
      <c r="AD35" s="22"/>
      <c r="AE35" s="23"/>
      <c r="AF35" s="73">
        <f t="shared" si="10"/>
        <v>0</v>
      </c>
      <c r="AG35" s="22"/>
      <c r="AH35" s="23"/>
      <c r="AI35" s="73">
        <f t="shared" si="11"/>
        <v>0</v>
      </c>
      <c r="AJ35" s="22"/>
      <c r="AK35" s="23"/>
      <c r="AL35" s="73">
        <f t="shared" si="12"/>
        <v>0</v>
      </c>
      <c r="AM35" s="22"/>
      <c r="AN35" s="23"/>
      <c r="AO35" s="73">
        <f t="shared" si="13"/>
        <v>0</v>
      </c>
      <c r="AP35" s="22"/>
      <c r="AQ35" s="23"/>
      <c r="AR35" s="73">
        <f t="shared" si="14"/>
        <v>0</v>
      </c>
      <c r="AS35" s="22"/>
      <c r="AT35" s="23"/>
      <c r="AU35" s="73">
        <f t="shared" si="15"/>
        <v>0</v>
      </c>
      <c r="AV35" s="74">
        <v>290000</v>
      </c>
      <c r="AW35" s="75">
        <v>290000</v>
      </c>
      <c r="AX35" s="73">
        <f t="shared" si="16"/>
        <v>0</v>
      </c>
      <c r="AY35" s="22"/>
      <c r="AZ35" s="23"/>
      <c r="BA35" s="73">
        <f t="shared" si="17"/>
        <v>0</v>
      </c>
      <c r="BB35" s="22"/>
      <c r="BC35" s="23"/>
      <c r="BD35" s="73">
        <f t="shared" si="18"/>
        <v>0</v>
      </c>
      <c r="BE35" s="22"/>
      <c r="BF35" s="23"/>
      <c r="BG35" s="73">
        <f t="shared" si="19"/>
        <v>0</v>
      </c>
      <c r="BH35" s="22"/>
      <c r="BI35" s="23"/>
      <c r="BJ35" s="73">
        <f t="shared" si="20"/>
        <v>0</v>
      </c>
      <c r="BK35" s="22"/>
      <c r="BL35" s="23"/>
      <c r="BM35" s="73">
        <f t="shared" si="21"/>
        <v>0</v>
      </c>
      <c r="BN35" s="22"/>
      <c r="BO35" s="23"/>
      <c r="BP35" s="73">
        <f t="shared" si="22"/>
        <v>0</v>
      </c>
      <c r="BQ35" s="22"/>
      <c r="BR35" s="23"/>
      <c r="BS35" s="73">
        <f t="shared" si="23"/>
        <v>0</v>
      </c>
      <c r="BT35" s="22"/>
      <c r="BU35" s="23"/>
      <c r="BV35" s="73">
        <f t="shared" si="24"/>
        <v>0</v>
      </c>
      <c r="BW35" s="22"/>
      <c r="BX35" s="23"/>
      <c r="BY35" s="73">
        <f t="shared" si="25"/>
        <v>0</v>
      </c>
      <c r="BZ35" s="22"/>
      <c r="CA35" s="23"/>
      <c r="CB35" s="73">
        <f t="shared" si="26"/>
        <v>0</v>
      </c>
      <c r="CC35" s="22"/>
      <c r="CD35" s="23"/>
      <c r="CE35" s="73">
        <f t="shared" si="27"/>
        <v>0</v>
      </c>
      <c r="CF35" s="22"/>
      <c r="CG35" s="23"/>
      <c r="CH35" s="73">
        <f t="shared" si="28"/>
        <v>0</v>
      </c>
      <c r="CI35" s="22"/>
      <c r="CJ35" s="23"/>
      <c r="CK35" s="73">
        <f t="shared" si="29"/>
        <v>0</v>
      </c>
      <c r="CL35" s="22"/>
      <c r="CM35" s="23"/>
      <c r="CN35" s="73">
        <f t="shared" si="30"/>
        <v>0</v>
      </c>
      <c r="CO35" s="22"/>
      <c r="CP35" s="23"/>
      <c r="CQ35" s="73">
        <f t="shared" si="31"/>
        <v>0</v>
      </c>
      <c r="CR35" s="22"/>
      <c r="CS35" s="23"/>
      <c r="CT35" s="73">
        <f t="shared" si="32"/>
        <v>0</v>
      </c>
      <c r="CU35" s="22"/>
      <c r="CV35" s="23"/>
      <c r="CW35" s="73">
        <f t="shared" si="33"/>
        <v>0</v>
      </c>
      <c r="CX35" s="22"/>
      <c r="CY35" s="23"/>
      <c r="CZ35" s="73">
        <f t="shared" si="34"/>
        <v>0</v>
      </c>
      <c r="DA35" s="22"/>
      <c r="DB35" s="23"/>
      <c r="DC35" s="73">
        <f t="shared" si="35"/>
        <v>0</v>
      </c>
      <c r="DD35" s="22"/>
      <c r="DE35" s="23"/>
      <c r="DF35" s="73">
        <f t="shared" si="36"/>
        <v>0</v>
      </c>
      <c r="DG35" s="22"/>
      <c r="DH35" s="23"/>
      <c r="DI35" s="73">
        <f t="shared" si="37"/>
        <v>0</v>
      </c>
      <c r="DJ35" s="22"/>
      <c r="DK35" s="23"/>
      <c r="DL35" s="73">
        <f t="shared" si="38"/>
        <v>0</v>
      </c>
      <c r="DM35" s="22"/>
      <c r="DN35" s="23"/>
      <c r="DO35" s="73">
        <f t="shared" si="39"/>
        <v>0</v>
      </c>
      <c r="DP35" s="22"/>
      <c r="DQ35" s="23"/>
      <c r="DR35" s="73">
        <f t="shared" si="40"/>
        <v>0</v>
      </c>
      <c r="DS35" s="73">
        <f t="shared" si="41"/>
        <v>325000</v>
      </c>
      <c r="DT35" s="73">
        <f t="shared" si="42"/>
        <v>325000</v>
      </c>
      <c r="DU35" s="73">
        <f t="shared" si="43"/>
        <v>0</v>
      </c>
      <c r="DV35" s="23">
        <f t="shared" si="49"/>
        <v>-429398</v>
      </c>
      <c r="DW35" s="79"/>
      <c r="DX35" s="73">
        <f t="shared" si="44"/>
        <v>35000</v>
      </c>
      <c r="DY35" s="73">
        <f t="shared" si="45"/>
        <v>35000</v>
      </c>
      <c r="DZ35" s="23">
        <f t="shared" si="46"/>
        <v>0</v>
      </c>
      <c r="EA35" s="23">
        <f t="shared" si="50"/>
        <v>-42990</v>
      </c>
      <c r="EB35" s="79"/>
      <c r="EC35" s="23">
        <f t="shared" si="47"/>
        <v>0</v>
      </c>
      <c r="ED35" s="23">
        <f t="shared" si="48"/>
        <v>0</v>
      </c>
      <c r="EE35" s="79"/>
      <c r="EF35" s="79"/>
      <c r="EG35" s="79"/>
      <c r="EH35" s="79"/>
      <c r="EI35" s="79"/>
      <c r="EJ35" s="79"/>
      <c r="EK35" s="79"/>
    </row>
    <row r="36" spans="1:224" x14ac:dyDescent="0.2">
      <c r="A36" s="72">
        <f>+BaseloadMarkets!A36</f>
        <v>36738</v>
      </c>
      <c r="B36" s="72" t="str">
        <f>+BaseloadMarkets!B36</f>
        <v>Mon</v>
      </c>
      <c r="C36" s="22">
        <v>5000</v>
      </c>
      <c r="D36" s="23">
        <v>5000</v>
      </c>
      <c r="E36" s="73">
        <f t="shared" si="0"/>
        <v>0</v>
      </c>
      <c r="F36" s="22">
        <v>10000</v>
      </c>
      <c r="G36" s="23">
        <v>10000</v>
      </c>
      <c r="H36" s="73">
        <f t="shared" si="1"/>
        <v>0</v>
      </c>
      <c r="I36" s="22">
        <f t="shared" si="2"/>
        <v>20000</v>
      </c>
      <c r="J36" s="22">
        <f t="shared" si="2"/>
        <v>20000</v>
      </c>
      <c r="K36" s="73">
        <f t="shared" si="3"/>
        <v>0</v>
      </c>
      <c r="L36" s="22"/>
      <c r="M36" s="23"/>
      <c r="N36" s="73">
        <f t="shared" si="4"/>
        <v>0</v>
      </c>
      <c r="O36" s="22"/>
      <c r="P36" s="23"/>
      <c r="Q36" s="73">
        <f t="shared" si="5"/>
        <v>0</v>
      </c>
      <c r="R36" s="22"/>
      <c r="S36" s="23"/>
      <c r="T36" s="73">
        <f t="shared" si="6"/>
        <v>0</v>
      </c>
      <c r="U36" s="22"/>
      <c r="V36" s="23"/>
      <c r="W36" s="73">
        <f t="shared" si="7"/>
        <v>0</v>
      </c>
      <c r="X36" s="22"/>
      <c r="Y36" s="23"/>
      <c r="Z36" s="73">
        <f t="shared" si="8"/>
        <v>0</v>
      </c>
      <c r="AA36" s="22"/>
      <c r="AB36" s="23"/>
      <c r="AC36" s="73">
        <f t="shared" si="9"/>
        <v>0</v>
      </c>
      <c r="AD36" s="22"/>
      <c r="AE36" s="23"/>
      <c r="AF36" s="73">
        <f t="shared" si="10"/>
        <v>0</v>
      </c>
      <c r="AG36" s="22"/>
      <c r="AH36" s="23"/>
      <c r="AI36" s="73">
        <f t="shared" si="11"/>
        <v>0</v>
      </c>
      <c r="AJ36" s="22"/>
      <c r="AK36" s="23"/>
      <c r="AL36" s="73">
        <f t="shared" si="12"/>
        <v>0</v>
      </c>
      <c r="AM36" s="22"/>
      <c r="AN36" s="23"/>
      <c r="AO36" s="73">
        <f t="shared" si="13"/>
        <v>0</v>
      </c>
      <c r="AP36" s="22"/>
      <c r="AQ36" s="23"/>
      <c r="AR36" s="73">
        <f t="shared" si="14"/>
        <v>0</v>
      </c>
      <c r="AS36" s="22"/>
      <c r="AT36" s="23"/>
      <c r="AU36" s="73">
        <f t="shared" si="15"/>
        <v>0</v>
      </c>
      <c r="AV36" s="74">
        <v>290000</v>
      </c>
      <c r="AW36" s="75">
        <v>290000</v>
      </c>
      <c r="AX36" s="73">
        <f t="shared" si="16"/>
        <v>0</v>
      </c>
      <c r="AY36" s="22"/>
      <c r="AZ36" s="23"/>
      <c r="BA36" s="73">
        <f t="shared" si="17"/>
        <v>0</v>
      </c>
      <c r="BB36" s="22"/>
      <c r="BC36" s="23"/>
      <c r="BD36" s="73">
        <f t="shared" si="18"/>
        <v>0</v>
      </c>
      <c r="BE36" s="22"/>
      <c r="BF36" s="23"/>
      <c r="BG36" s="73">
        <f t="shared" si="19"/>
        <v>0</v>
      </c>
      <c r="BH36" s="22"/>
      <c r="BI36" s="23"/>
      <c r="BJ36" s="73">
        <f t="shared" si="20"/>
        <v>0</v>
      </c>
      <c r="BK36" s="22"/>
      <c r="BL36" s="23"/>
      <c r="BM36" s="73">
        <f t="shared" si="21"/>
        <v>0</v>
      </c>
      <c r="BN36" s="22"/>
      <c r="BO36" s="23"/>
      <c r="BP36" s="73">
        <f t="shared" si="22"/>
        <v>0</v>
      </c>
      <c r="BQ36" s="22"/>
      <c r="BR36" s="23"/>
      <c r="BS36" s="73">
        <f t="shared" si="23"/>
        <v>0</v>
      </c>
      <c r="BT36" s="22"/>
      <c r="BU36" s="23"/>
      <c r="BV36" s="73">
        <f t="shared" si="24"/>
        <v>0</v>
      </c>
      <c r="BW36" s="22"/>
      <c r="BX36" s="23"/>
      <c r="BY36" s="73">
        <f t="shared" si="25"/>
        <v>0</v>
      </c>
      <c r="BZ36" s="22"/>
      <c r="CA36" s="23"/>
      <c r="CB36" s="73">
        <f t="shared" si="26"/>
        <v>0</v>
      </c>
      <c r="CC36" s="22"/>
      <c r="CD36" s="23"/>
      <c r="CE36" s="73">
        <f t="shared" si="27"/>
        <v>0</v>
      </c>
      <c r="CF36" s="22"/>
      <c r="CG36" s="23"/>
      <c r="CH36" s="73">
        <f t="shared" si="28"/>
        <v>0</v>
      </c>
      <c r="CI36" s="22"/>
      <c r="CJ36" s="23"/>
      <c r="CK36" s="73">
        <f t="shared" si="29"/>
        <v>0</v>
      </c>
      <c r="CL36" s="22"/>
      <c r="CM36" s="23"/>
      <c r="CN36" s="73">
        <f t="shared" si="30"/>
        <v>0</v>
      </c>
      <c r="CO36" s="22"/>
      <c r="CP36" s="23"/>
      <c r="CQ36" s="73">
        <f t="shared" si="31"/>
        <v>0</v>
      </c>
      <c r="CR36" s="22"/>
      <c r="CS36" s="23"/>
      <c r="CT36" s="73">
        <f t="shared" si="32"/>
        <v>0</v>
      </c>
      <c r="CU36" s="22"/>
      <c r="CV36" s="23"/>
      <c r="CW36" s="73">
        <f t="shared" si="33"/>
        <v>0</v>
      </c>
      <c r="CX36" s="22"/>
      <c r="CY36" s="23"/>
      <c r="CZ36" s="73">
        <f t="shared" si="34"/>
        <v>0</v>
      </c>
      <c r="DA36" s="22"/>
      <c r="DB36" s="23"/>
      <c r="DC36" s="73">
        <f t="shared" si="35"/>
        <v>0</v>
      </c>
      <c r="DD36" s="22"/>
      <c r="DE36" s="23"/>
      <c r="DF36" s="73">
        <f t="shared" si="36"/>
        <v>0</v>
      </c>
      <c r="DG36" s="22"/>
      <c r="DH36" s="23"/>
      <c r="DI36" s="73">
        <f t="shared" si="37"/>
        <v>0</v>
      </c>
      <c r="DJ36" s="22"/>
      <c r="DK36" s="23"/>
      <c r="DL36" s="73">
        <f t="shared" si="38"/>
        <v>0</v>
      </c>
      <c r="DM36" s="22"/>
      <c r="DN36" s="23"/>
      <c r="DO36" s="73">
        <f t="shared" si="39"/>
        <v>0</v>
      </c>
      <c r="DP36" s="22"/>
      <c r="DQ36" s="23"/>
      <c r="DR36" s="73">
        <f t="shared" si="40"/>
        <v>0</v>
      </c>
      <c r="DS36" s="73">
        <f t="shared" si="41"/>
        <v>325000</v>
      </c>
      <c r="DT36" s="73">
        <f t="shared" si="42"/>
        <v>325000</v>
      </c>
      <c r="DU36" s="73">
        <f t="shared" si="43"/>
        <v>0</v>
      </c>
      <c r="DV36" s="23">
        <f t="shared" si="49"/>
        <v>-429398</v>
      </c>
      <c r="DW36" s="79"/>
      <c r="DX36" s="73">
        <f t="shared" si="44"/>
        <v>35000</v>
      </c>
      <c r="DY36" s="73">
        <f t="shared" si="45"/>
        <v>35000</v>
      </c>
      <c r="DZ36" s="23">
        <f t="shared" si="46"/>
        <v>0</v>
      </c>
      <c r="EA36" s="23">
        <f t="shared" si="50"/>
        <v>-42990</v>
      </c>
      <c r="EB36" s="79"/>
      <c r="EC36" s="23">
        <f t="shared" si="47"/>
        <v>0</v>
      </c>
      <c r="ED36" s="23">
        <f t="shared" si="48"/>
        <v>0</v>
      </c>
      <c r="EE36" s="79"/>
      <c r="EF36" s="79"/>
      <c r="EG36" s="79"/>
      <c r="EH36" s="79"/>
      <c r="EI36" s="79"/>
      <c r="EJ36" s="79"/>
      <c r="EK36" s="79"/>
    </row>
    <row r="37" spans="1:224" s="92" customFormat="1" x14ac:dyDescent="0.2">
      <c r="A37" s="83" t="s">
        <v>56</v>
      </c>
      <c r="B37" s="84"/>
      <c r="C37" s="30">
        <f t="shared" ref="C37:AH37" si="51">SUM(C6:C36)</f>
        <v>155000</v>
      </c>
      <c r="D37" s="30">
        <f t="shared" si="51"/>
        <v>155000</v>
      </c>
      <c r="E37" s="30">
        <f t="shared" si="51"/>
        <v>0</v>
      </c>
      <c r="F37" s="30">
        <f t="shared" si="51"/>
        <v>310000</v>
      </c>
      <c r="G37" s="30">
        <f t="shared" si="51"/>
        <v>290923</v>
      </c>
      <c r="H37" s="30">
        <f t="shared" si="51"/>
        <v>-19077</v>
      </c>
      <c r="I37" s="30">
        <f t="shared" si="51"/>
        <v>620000</v>
      </c>
      <c r="J37" s="30">
        <f t="shared" si="51"/>
        <v>596087</v>
      </c>
      <c r="K37" s="85">
        <f t="shared" si="51"/>
        <v>-23913</v>
      </c>
      <c r="L37" s="30">
        <f t="shared" si="51"/>
        <v>0</v>
      </c>
      <c r="M37" s="30">
        <f t="shared" si="51"/>
        <v>0</v>
      </c>
      <c r="N37" s="85">
        <f t="shared" si="51"/>
        <v>0</v>
      </c>
      <c r="O37" s="30">
        <f t="shared" si="51"/>
        <v>0</v>
      </c>
      <c r="P37" s="30">
        <f t="shared" si="51"/>
        <v>0</v>
      </c>
      <c r="Q37" s="85">
        <f t="shared" si="51"/>
        <v>0</v>
      </c>
      <c r="R37" s="30">
        <f t="shared" si="51"/>
        <v>0</v>
      </c>
      <c r="S37" s="30">
        <f t="shared" si="51"/>
        <v>0</v>
      </c>
      <c r="T37" s="85">
        <f t="shared" si="51"/>
        <v>0</v>
      </c>
      <c r="U37" s="30">
        <f t="shared" si="51"/>
        <v>0</v>
      </c>
      <c r="V37" s="30">
        <f t="shared" si="51"/>
        <v>0</v>
      </c>
      <c r="W37" s="85">
        <f t="shared" si="51"/>
        <v>0</v>
      </c>
      <c r="X37" s="30">
        <f t="shared" si="51"/>
        <v>0</v>
      </c>
      <c r="Y37" s="30">
        <f t="shared" si="51"/>
        <v>0</v>
      </c>
      <c r="Z37" s="85">
        <f t="shared" si="51"/>
        <v>0</v>
      </c>
      <c r="AA37" s="30">
        <f t="shared" si="51"/>
        <v>0</v>
      </c>
      <c r="AB37" s="30">
        <f t="shared" si="51"/>
        <v>0</v>
      </c>
      <c r="AC37" s="85">
        <f t="shared" si="51"/>
        <v>0</v>
      </c>
      <c r="AD37" s="30">
        <f t="shared" si="51"/>
        <v>0</v>
      </c>
      <c r="AE37" s="30">
        <f t="shared" si="51"/>
        <v>0</v>
      </c>
      <c r="AF37" s="85">
        <f t="shared" si="51"/>
        <v>0</v>
      </c>
      <c r="AG37" s="30">
        <f t="shared" si="51"/>
        <v>0</v>
      </c>
      <c r="AH37" s="30">
        <f t="shared" si="51"/>
        <v>0</v>
      </c>
      <c r="AI37" s="85">
        <f t="shared" ref="AI37:BN37" si="52">SUM(AI6:AI36)</f>
        <v>0</v>
      </c>
      <c r="AJ37" s="30">
        <f t="shared" si="52"/>
        <v>0</v>
      </c>
      <c r="AK37" s="30">
        <f t="shared" si="52"/>
        <v>0</v>
      </c>
      <c r="AL37" s="85">
        <f t="shared" si="52"/>
        <v>0</v>
      </c>
      <c r="AM37" s="30">
        <f t="shared" si="52"/>
        <v>0</v>
      </c>
      <c r="AN37" s="30">
        <f t="shared" si="52"/>
        <v>0</v>
      </c>
      <c r="AO37" s="85">
        <f t="shared" si="52"/>
        <v>0</v>
      </c>
      <c r="AP37" s="30">
        <f t="shared" si="52"/>
        <v>0</v>
      </c>
      <c r="AQ37" s="30">
        <f t="shared" si="52"/>
        <v>0</v>
      </c>
      <c r="AR37" s="85">
        <f t="shared" si="52"/>
        <v>0</v>
      </c>
      <c r="AS37" s="30">
        <f t="shared" si="52"/>
        <v>0</v>
      </c>
      <c r="AT37" s="30">
        <f t="shared" si="52"/>
        <v>0</v>
      </c>
      <c r="AU37" s="85">
        <f t="shared" si="52"/>
        <v>0</v>
      </c>
      <c r="AV37" s="86">
        <f t="shared" si="52"/>
        <v>7816836</v>
      </c>
      <c r="AW37" s="86">
        <f t="shared" si="52"/>
        <v>7430428</v>
      </c>
      <c r="AX37" s="85">
        <f t="shared" si="52"/>
        <v>-386408</v>
      </c>
      <c r="AY37" s="30">
        <f t="shared" si="52"/>
        <v>0</v>
      </c>
      <c r="AZ37" s="30">
        <f t="shared" si="52"/>
        <v>0</v>
      </c>
      <c r="BA37" s="85">
        <f t="shared" si="52"/>
        <v>0</v>
      </c>
      <c r="BB37" s="30">
        <f t="shared" si="52"/>
        <v>0</v>
      </c>
      <c r="BC37" s="30">
        <f t="shared" si="52"/>
        <v>0</v>
      </c>
      <c r="BD37" s="85">
        <f t="shared" si="52"/>
        <v>0</v>
      </c>
      <c r="BE37" s="30">
        <f t="shared" si="52"/>
        <v>0</v>
      </c>
      <c r="BF37" s="30">
        <f t="shared" si="52"/>
        <v>0</v>
      </c>
      <c r="BG37" s="30">
        <f t="shared" si="52"/>
        <v>0</v>
      </c>
      <c r="BH37" s="30">
        <f t="shared" si="52"/>
        <v>0</v>
      </c>
      <c r="BI37" s="30">
        <f t="shared" si="52"/>
        <v>0</v>
      </c>
      <c r="BJ37" s="85">
        <f t="shared" si="52"/>
        <v>0</v>
      </c>
      <c r="BK37" s="30">
        <f t="shared" si="52"/>
        <v>0</v>
      </c>
      <c r="BL37" s="30">
        <f t="shared" si="52"/>
        <v>0</v>
      </c>
      <c r="BM37" s="85">
        <f t="shared" si="52"/>
        <v>0</v>
      </c>
      <c r="BN37" s="30">
        <f t="shared" si="52"/>
        <v>0</v>
      </c>
      <c r="BO37" s="30">
        <f t="shared" ref="BO37:CT37" si="53">SUM(BO6:BO36)</f>
        <v>0</v>
      </c>
      <c r="BP37" s="85">
        <f t="shared" si="53"/>
        <v>0</v>
      </c>
      <c r="BQ37" s="30">
        <f t="shared" si="53"/>
        <v>0</v>
      </c>
      <c r="BR37" s="30">
        <f t="shared" si="53"/>
        <v>0</v>
      </c>
      <c r="BS37" s="85">
        <f t="shared" si="53"/>
        <v>0</v>
      </c>
      <c r="BT37" s="30">
        <f t="shared" si="53"/>
        <v>0</v>
      </c>
      <c r="BU37" s="30">
        <f t="shared" si="53"/>
        <v>0</v>
      </c>
      <c r="BV37" s="85">
        <f t="shared" si="53"/>
        <v>0</v>
      </c>
      <c r="BW37" s="30">
        <f t="shared" si="53"/>
        <v>0</v>
      </c>
      <c r="BX37" s="30">
        <f t="shared" si="53"/>
        <v>0</v>
      </c>
      <c r="BY37" s="85">
        <f t="shared" si="53"/>
        <v>0</v>
      </c>
      <c r="BZ37" s="30">
        <f t="shared" si="53"/>
        <v>0</v>
      </c>
      <c r="CA37" s="30">
        <f t="shared" si="53"/>
        <v>0</v>
      </c>
      <c r="CB37" s="85">
        <f t="shared" si="53"/>
        <v>0</v>
      </c>
      <c r="CC37" s="30">
        <f t="shared" si="53"/>
        <v>0</v>
      </c>
      <c r="CD37" s="30">
        <f t="shared" si="53"/>
        <v>0</v>
      </c>
      <c r="CE37" s="85">
        <f t="shared" si="53"/>
        <v>0</v>
      </c>
      <c r="CF37" s="30">
        <f t="shared" si="53"/>
        <v>0</v>
      </c>
      <c r="CG37" s="30">
        <f t="shared" si="53"/>
        <v>0</v>
      </c>
      <c r="CH37" s="85">
        <f t="shared" si="53"/>
        <v>0</v>
      </c>
      <c r="CI37" s="30">
        <f t="shared" si="53"/>
        <v>0</v>
      </c>
      <c r="CJ37" s="30">
        <f t="shared" si="53"/>
        <v>0</v>
      </c>
      <c r="CK37" s="85">
        <f t="shared" si="53"/>
        <v>0</v>
      </c>
      <c r="CL37" s="30">
        <f t="shared" si="53"/>
        <v>0</v>
      </c>
      <c r="CM37" s="30">
        <f t="shared" si="53"/>
        <v>0</v>
      </c>
      <c r="CN37" s="85">
        <f t="shared" si="53"/>
        <v>0</v>
      </c>
      <c r="CO37" s="30">
        <f t="shared" si="53"/>
        <v>0</v>
      </c>
      <c r="CP37" s="30">
        <f t="shared" si="53"/>
        <v>0</v>
      </c>
      <c r="CQ37" s="85">
        <f t="shared" si="53"/>
        <v>0</v>
      </c>
      <c r="CR37" s="30">
        <f t="shared" si="53"/>
        <v>0</v>
      </c>
      <c r="CS37" s="30">
        <f t="shared" si="53"/>
        <v>0</v>
      </c>
      <c r="CT37" s="85">
        <f t="shared" si="53"/>
        <v>0</v>
      </c>
      <c r="CU37" s="30">
        <f t="shared" ref="CU37:DU37" si="54">SUM(CU6:CU36)</f>
        <v>0</v>
      </c>
      <c r="CV37" s="30">
        <f t="shared" si="54"/>
        <v>0</v>
      </c>
      <c r="CW37" s="85">
        <f t="shared" si="54"/>
        <v>0</v>
      </c>
      <c r="CX37" s="30">
        <f t="shared" si="54"/>
        <v>0</v>
      </c>
      <c r="CY37" s="30">
        <f t="shared" si="54"/>
        <v>0</v>
      </c>
      <c r="CZ37" s="85">
        <f t="shared" si="54"/>
        <v>0</v>
      </c>
      <c r="DA37" s="30">
        <f t="shared" si="54"/>
        <v>0</v>
      </c>
      <c r="DB37" s="30">
        <f t="shared" si="54"/>
        <v>0</v>
      </c>
      <c r="DC37" s="85">
        <f t="shared" si="54"/>
        <v>0</v>
      </c>
      <c r="DD37" s="30">
        <f t="shared" si="54"/>
        <v>0</v>
      </c>
      <c r="DE37" s="30">
        <f t="shared" si="54"/>
        <v>0</v>
      </c>
      <c r="DF37" s="85">
        <f t="shared" si="54"/>
        <v>0</v>
      </c>
      <c r="DG37" s="30">
        <f t="shared" si="54"/>
        <v>0</v>
      </c>
      <c r="DH37" s="30">
        <f t="shared" si="54"/>
        <v>0</v>
      </c>
      <c r="DI37" s="85">
        <f t="shared" si="54"/>
        <v>0</v>
      </c>
      <c r="DJ37" s="30">
        <f t="shared" si="54"/>
        <v>0</v>
      </c>
      <c r="DK37" s="30">
        <f t="shared" si="54"/>
        <v>0</v>
      </c>
      <c r="DL37" s="85">
        <f t="shared" si="54"/>
        <v>0</v>
      </c>
      <c r="DM37" s="30">
        <f t="shared" si="54"/>
        <v>0</v>
      </c>
      <c r="DN37" s="30">
        <f t="shared" si="54"/>
        <v>0</v>
      </c>
      <c r="DO37" s="85">
        <f t="shared" si="54"/>
        <v>0</v>
      </c>
      <c r="DP37" s="30">
        <f t="shared" si="54"/>
        <v>0</v>
      </c>
      <c r="DQ37" s="30">
        <f t="shared" si="54"/>
        <v>0</v>
      </c>
      <c r="DR37" s="85">
        <f t="shared" si="54"/>
        <v>0</v>
      </c>
      <c r="DS37" s="87">
        <f t="shared" si="54"/>
        <v>8901836</v>
      </c>
      <c r="DT37" s="85">
        <f t="shared" si="54"/>
        <v>8472438</v>
      </c>
      <c r="DU37" s="85">
        <f t="shared" si="54"/>
        <v>-429398</v>
      </c>
      <c r="DV37" s="30"/>
      <c r="DW37" s="30"/>
      <c r="DX37" s="30"/>
      <c r="DY37" s="88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89"/>
      <c r="EM37" s="89"/>
      <c r="EN37" s="89"/>
      <c r="EO37" s="89"/>
      <c r="EP37" s="89"/>
      <c r="EQ37" s="89"/>
      <c r="ER37" s="89"/>
      <c r="ES37" s="89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1"/>
      <c r="FQ37" s="91"/>
      <c r="FR37" s="91"/>
      <c r="FS37" s="91"/>
      <c r="FT37" s="91"/>
      <c r="FU37" s="91"/>
      <c r="FV37" s="91"/>
    </row>
    <row r="38" spans="1:224" s="100" customFormat="1" x14ac:dyDescent="0.2">
      <c r="A38" s="93"/>
      <c r="B38" s="84"/>
      <c r="C38" s="28"/>
      <c r="D38" s="33"/>
      <c r="E38" s="33"/>
      <c r="F38" s="28"/>
      <c r="G38" s="33"/>
      <c r="H38" s="33"/>
      <c r="I38" s="28"/>
      <c r="J38" s="33"/>
      <c r="K38" s="33"/>
      <c r="L38" s="28"/>
      <c r="M38" s="33"/>
      <c r="N38" s="33"/>
      <c r="O38" s="28"/>
      <c r="P38" s="33"/>
      <c r="Q38" s="33"/>
      <c r="R38" s="28"/>
      <c r="S38" s="33"/>
      <c r="T38" s="33"/>
      <c r="U38" s="28"/>
      <c r="V38" s="33"/>
      <c r="W38" s="33"/>
      <c r="X38" s="28"/>
      <c r="Y38" s="33"/>
      <c r="Z38" s="42"/>
      <c r="AA38" s="28"/>
      <c r="AB38" s="33"/>
      <c r="AC38" s="42"/>
      <c r="AD38" s="28"/>
      <c r="AE38" s="33"/>
      <c r="AF38" s="42"/>
      <c r="AG38" s="28"/>
      <c r="AH38" s="33"/>
      <c r="AI38" s="42"/>
      <c r="AJ38" s="28"/>
      <c r="AK38" s="33"/>
      <c r="AL38" s="42"/>
      <c r="AM38" s="28"/>
      <c r="AN38" s="33"/>
      <c r="AO38" s="42"/>
      <c r="AP38" s="28"/>
      <c r="AQ38" s="33"/>
      <c r="AR38" s="42"/>
      <c r="AS38" s="16"/>
      <c r="AT38" s="33"/>
      <c r="AU38" s="42"/>
      <c r="AV38" s="94"/>
      <c r="AW38" s="95"/>
      <c r="AX38" s="33"/>
      <c r="AY38" s="28"/>
      <c r="AZ38" s="33"/>
      <c r="BA38" s="42"/>
      <c r="BB38" s="28"/>
      <c r="BC38" s="33"/>
      <c r="BD38" s="42"/>
      <c r="BE38" s="28"/>
      <c r="BF38" s="33"/>
      <c r="BG38" s="33"/>
      <c r="BH38" s="28"/>
      <c r="BI38" s="33"/>
      <c r="BJ38" s="33"/>
      <c r="BK38" s="28"/>
      <c r="BL38" s="33"/>
      <c r="BM38" s="33"/>
      <c r="BN38" s="28"/>
      <c r="BO38" s="33"/>
      <c r="BP38" s="33"/>
      <c r="BQ38" s="28"/>
      <c r="BR38" s="33"/>
      <c r="BS38" s="33"/>
      <c r="BT38" s="28"/>
      <c r="BU38" s="33"/>
      <c r="BV38" s="33"/>
      <c r="BW38" s="28"/>
      <c r="BX38" s="33"/>
      <c r="BY38" s="33"/>
      <c r="BZ38" s="28"/>
      <c r="CA38" s="33"/>
      <c r="CB38" s="33"/>
      <c r="CC38" s="28"/>
      <c r="CD38" s="33"/>
      <c r="CE38" s="33"/>
      <c r="CF38" s="28"/>
      <c r="CG38" s="33"/>
      <c r="CH38" s="33"/>
      <c r="CI38" s="28"/>
      <c r="CJ38" s="33"/>
      <c r="CK38" s="33"/>
      <c r="CL38" s="28"/>
      <c r="CM38" s="33"/>
      <c r="CN38" s="33"/>
      <c r="CO38" s="28"/>
      <c r="CP38" s="33"/>
      <c r="CQ38" s="33"/>
      <c r="CR38" s="28"/>
      <c r="CS38" s="33"/>
      <c r="CT38" s="33"/>
      <c r="CU38" s="28"/>
      <c r="CV38" s="33"/>
      <c r="CW38" s="33"/>
      <c r="CX38" s="28"/>
      <c r="CY38" s="33"/>
      <c r="CZ38" s="33"/>
      <c r="DA38" s="28"/>
      <c r="DB38" s="33"/>
      <c r="DC38" s="33"/>
      <c r="DD38" s="28"/>
      <c r="DE38" s="33"/>
      <c r="DF38" s="42"/>
      <c r="DG38" s="28"/>
      <c r="DH38" s="33"/>
      <c r="DI38" s="33"/>
      <c r="DJ38" s="28"/>
      <c r="DK38" s="33"/>
      <c r="DL38" s="42"/>
      <c r="DM38" s="28"/>
      <c r="DN38" s="33"/>
      <c r="DO38" s="42"/>
      <c r="DP38" s="28"/>
      <c r="DQ38" s="33"/>
      <c r="DR38" s="42"/>
      <c r="DS38" s="42"/>
      <c r="DT38" s="33"/>
      <c r="DU38" s="33"/>
      <c r="DV38" s="33"/>
      <c r="DW38" s="33"/>
      <c r="DX38" s="33"/>
      <c r="DY38" s="96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97"/>
      <c r="EM38" s="97"/>
      <c r="EN38" s="97"/>
      <c r="EO38" s="97"/>
      <c r="EP38" s="97"/>
      <c r="EQ38" s="97"/>
      <c r="ER38" s="97"/>
      <c r="ES38" s="97"/>
      <c r="ET38" s="98"/>
      <c r="EU38" s="98"/>
      <c r="EV38" s="98"/>
      <c r="EW38" s="98"/>
      <c r="EX38" s="98"/>
      <c r="EY38" s="98"/>
      <c r="EZ38" s="98"/>
      <c r="FA38" s="98"/>
      <c r="FB38" s="98"/>
      <c r="FC38" s="98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99"/>
      <c r="FQ38" s="99"/>
      <c r="FR38" s="99"/>
      <c r="FS38" s="99"/>
      <c r="FT38" s="99"/>
      <c r="FU38" s="99"/>
      <c r="FV38" s="99"/>
    </row>
    <row r="39" spans="1:224" s="80" customFormat="1" x14ac:dyDescent="0.2">
      <c r="A39" s="101">
        <v>1</v>
      </c>
      <c r="B39" s="40">
        <f t="shared" ref="B39:BM39" si="55">1+A39</f>
        <v>2</v>
      </c>
      <c r="C39" s="40">
        <f t="shared" si="55"/>
        <v>3</v>
      </c>
      <c r="D39" s="40">
        <f t="shared" si="55"/>
        <v>4</v>
      </c>
      <c r="E39" s="40">
        <f t="shared" si="55"/>
        <v>5</v>
      </c>
      <c r="F39" s="40">
        <f t="shared" si="55"/>
        <v>6</v>
      </c>
      <c r="G39" s="40">
        <f t="shared" si="55"/>
        <v>7</v>
      </c>
      <c r="H39" s="40">
        <f t="shared" si="55"/>
        <v>8</v>
      </c>
      <c r="I39" s="40">
        <f t="shared" si="55"/>
        <v>9</v>
      </c>
      <c r="J39" s="40">
        <f t="shared" si="55"/>
        <v>10</v>
      </c>
      <c r="K39" s="40">
        <f t="shared" si="55"/>
        <v>11</v>
      </c>
      <c r="L39" s="40">
        <f t="shared" si="55"/>
        <v>12</v>
      </c>
      <c r="M39" s="40">
        <f t="shared" si="55"/>
        <v>13</v>
      </c>
      <c r="N39" s="40">
        <f t="shared" si="55"/>
        <v>14</v>
      </c>
      <c r="O39" s="40">
        <f t="shared" si="55"/>
        <v>15</v>
      </c>
      <c r="P39" s="40">
        <f t="shared" si="55"/>
        <v>16</v>
      </c>
      <c r="Q39" s="40">
        <f t="shared" si="55"/>
        <v>17</v>
      </c>
      <c r="R39" s="40">
        <f t="shared" si="55"/>
        <v>18</v>
      </c>
      <c r="S39" s="40">
        <f t="shared" si="55"/>
        <v>19</v>
      </c>
      <c r="T39" s="40">
        <f t="shared" si="55"/>
        <v>20</v>
      </c>
      <c r="U39" s="40">
        <f t="shared" si="55"/>
        <v>21</v>
      </c>
      <c r="V39" s="40">
        <f t="shared" si="55"/>
        <v>22</v>
      </c>
      <c r="W39" s="40">
        <f t="shared" si="55"/>
        <v>23</v>
      </c>
      <c r="X39" s="40">
        <f t="shared" si="55"/>
        <v>24</v>
      </c>
      <c r="Y39" s="40">
        <f t="shared" si="55"/>
        <v>25</v>
      </c>
      <c r="Z39" s="40">
        <f t="shared" si="55"/>
        <v>26</v>
      </c>
      <c r="AA39" s="40">
        <f t="shared" si="55"/>
        <v>27</v>
      </c>
      <c r="AB39" s="40">
        <f t="shared" si="55"/>
        <v>28</v>
      </c>
      <c r="AC39" s="40">
        <f t="shared" si="55"/>
        <v>29</v>
      </c>
      <c r="AD39" s="40">
        <f t="shared" si="55"/>
        <v>30</v>
      </c>
      <c r="AE39" s="40">
        <f t="shared" si="55"/>
        <v>31</v>
      </c>
      <c r="AF39" s="40">
        <f t="shared" si="55"/>
        <v>32</v>
      </c>
      <c r="AG39" s="40">
        <f t="shared" si="55"/>
        <v>33</v>
      </c>
      <c r="AH39" s="40">
        <f t="shared" si="55"/>
        <v>34</v>
      </c>
      <c r="AI39" s="40">
        <f t="shared" si="55"/>
        <v>35</v>
      </c>
      <c r="AJ39" s="40">
        <f t="shared" si="55"/>
        <v>36</v>
      </c>
      <c r="AK39" s="40">
        <f t="shared" si="55"/>
        <v>37</v>
      </c>
      <c r="AL39" s="40">
        <f t="shared" si="55"/>
        <v>38</v>
      </c>
      <c r="AM39" s="40">
        <f t="shared" si="55"/>
        <v>39</v>
      </c>
      <c r="AN39" s="40">
        <f t="shared" si="55"/>
        <v>40</v>
      </c>
      <c r="AO39" s="40">
        <f t="shared" si="55"/>
        <v>41</v>
      </c>
      <c r="AP39" s="40">
        <f t="shared" si="55"/>
        <v>42</v>
      </c>
      <c r="AQ39" s="40">
        <f t="shared" si="55"/>
        <v>43</v>
      </c>
      <c r="AR39" s="40">
        <f t="shared" si="55"/>
        <v>44</v>
      </c>
      <c r="AS39" s="40">
        <f t="shared" si="55"/>
        <v>45</v>
      </c>
      <c r="AT39" s="40">
        <f t="shared" si="55"/>
        <v>46</v>
      </c>
      <c r="AU39" s="40">
        <f t="shared" si="55"/>
        <v>47</v>
      </c>
      <c r="AV39" s="102">
        <f t="shared" si="55"/>
        <v>48</v>
      </c>
      <c r="AW39" s="102">
        <f t="shared" si="55"/>
        <v>49</v>
      </c>
      <c r="AX39" s="40">
        <f t="shared" si="55"/>
        <v>50</v>
      </c>
      <c r="AY39" s="40">
        <f t="shared" si="55"/>
        <v>51</v>
      </c>
      <c r="AZ39" s="40">
        <f t="shared" si="55"/>
        <v>52</v>
      </c>
      <c r="BA39" s="40">
        <f t="shared" si="55"/>
        <v>53</v>
      </c>
      <c r="BB39" s="40">
        <f t="shared" si="55"/>
        <v>54</v>
      </c>
      <c r="BC39" s="40">
        <f t="shared" si="55"/>
        <v>55</v>
      </c>
      <c r="BD39" s="40">
        <f t="shared" si="55"/>
        <v>56</v>
      </c>
      <c r="BE39" s="40">
        <f t="shared" si="55"/>
        <v>57</v>
      </c>
      <c r="BF39" s="40">
        <f t="shared" si="55"/>
        <v>58</v>
      </c>
      <c r="BG39" s="40">
        <f t="shared" si="55"/>
        <v>59</v>
      </c>
      <c r="BH39" s="40">
        <f t="shared" si="55"/>
        <v>60</v>
      </c>
      <c r="BI39" s="40">
        <f t="shared" si="55"/>
        <v>61</v>
      </c>
      <c r="BJ39" s="40">
        <f t="shared" si="55"/>
        <v>62</v>
      </c>
      <c r="BK39" s="40">
        <f t="shared" si="55"/>
        <v>63</v>
      </c>
      <c r="BL39" s="40">
        <f t="shared" si="55"/>
        <v>64</v>
      </c>
      <c r="BM39" s="40">
        <f t="shared" si="55"/>
        <v>65</v>
      </c>
      <c r="BN39" s="40">
        <f t="shared" ref="BN39:DY39" si="56">1+BM39</f>
        <v>66</v>
      </c>
      <c r="BO39" s="40">
        <f t="shared" si="56"/>
        <v>67</v>
      </c>
      <c r="BP39" s="40">
        <f t="shared" si="56"/>
        <v>68</v>
      </c>
      <c r="BQ39" s="40">
        <f t="shared" si="56"/>
        <v>69</v>
      </c>
      <c r="BR39" s="40">
        <f t="shared" si="56"/>
        <v>70</v>
      </c>
      <c r="BS39" s="40">
        <f t="shared" si="56"/>
        <v>71</v>
      </c>
      <c r="BT39" s="40">
        <f t="shared" si="56"/>
        <v>72</v>
      </c>
      <c r="BU39" s="40">
        <f t="shared" si="56"/>
        <v>73</v>
      </c>
      <c r="BV39" s="40">
        <f t="shared" si="56"/>
        <v>74</v>
      </c>
      <c r="BW39" s="40">
        <f t="shared" si="56"/>
        <v>75</v>
      </c>
      <c r="BX39" s="40">
        <f t="shared" si="56"/>
        <v>76</v>
      </c>
      <c r="BY39" s="40">
        <f t="shared" si="56"/>
        <v>77</v>
      </c>
      <c r="BZ39" s="40">
        <f t="shared" si="56"/>
        <v>78</v>
      </c>
      <c r="CA39" s="40">
        <f t="shared" si="56"/>
        <v>79</v>
      </c>
      <c r="CB39" s="40">
        <f t="shared" si="56"/>
        <v>80</v>
      </c>
      <c r="CC39" s="40">
        <f t="shared" si="56"/>
        <v>81</v>
      </c>
      <c r="CD39" s="40">
        <f t="shared" si="56"/>
        <v>82</v>
      </c>
      <c r="CE39" s="40">
        <f t="shared" si="56"/>
        <v>83</v>
      </c>
      <c r="CF39" s="40">
        <f t="shared" si="56"/>
        <v>84</v>
      </c>
      <c r="CG39" s="40">
        <f t="shared" si="56"/>
        <v>85</v>
      </c>
      <c r="CH39" s="40">
        <f t="shared" si="56"/>
        <v>86</v>
      </c>
      <c r="CI39" s="40">
        <f t="shared" si="56"/>
        <v>87</v>
      </c>
      <c r="CJ39" s="40">
        <f t="shared" si="56"/>
        <v>88</v>
      </c>
      <c r="CK39" s="40">
        <f t="shared" si="56"/>
        <v>89</v>
      </c>
      <c r="CL39" s="40">
        <f t="shared" si="56"/>
        <v>90</v>
      </c>
      <c r="CM39" s="40">
        <f t="shared" si="56"/>
        <v>91</v>
      </c>
      <c r="CN39" s="40">
        <f t="shared" si="56"/>
        <v>92</v>
      </c>
      <c r="CO39" s="40">
        <f t="shared" si="56"/>
        <v>93</v>
      </c>
      <c r="CP39" s="40">
        <f t="shared" si="56"/>
        <v>94</v>
      </c>
      <c r="CQ39" s="40">
        <f t="shared" si="56"/>
        <v>95</v>
      </c>
      <c r="CR39" s="40">
        <f t="shared" si="56"/>
        <v>96</v>
      </c>
      <c r="CS39" s="40">
        <f t="shared" si="56"/>
        <v>97</v>
      </c>
      <c r="CT39" s="40">
        <f t="shared" si="56"/>
        <v>98</v>
      </c>
      <c r="CU39" s="40">
        <f t="shared" si="56"/>
        <v>99</v>
      </c>
      <c r="CV39" s="40">
        <f t="shared" si="56"/>
        <v>100</v>
      </c>
      <c r="CW39" s="40">
        <f t="shared" si="56"/>
        <v>101</v>
      </c>
      <c r="CX39" s="40">
        <f t="shared" si="56"/>
        <v>102</v>
      </c>
      <c r="CY39" s="40">
        <f t="shared" si="56"/>
        <v>103</v>
      </c>
      <c r="CZ39" s="40">
        <f t="shared" si="56"/>
        <v>104</v>
      </c>
      <c r="DA39" s="40">
        <f t="shared" si="56"/>
        <v>105</v>
      </c>
      <c r="DB39" s="40">
        <f t="shared" si="56"/>
        <v>106</v>
      </c>
      <c r="DC39" s="40">
        <f t="shared" si="56"/>
        <v>107</v>
      </c>
      <c r="DD39" s="40">
        <f t="shared" si="56"/>
        <v>108</v>
      </c>
      <c r="DE39" s="40">
        <f t="shared" si="56"/>
        <v>109</v>
      </c>
      <c r="DF39" s="40">
        <f t="shared" si="56"/>
        <v>110</v>
      </c>
      <c r="DG39" s="40">
        <f t="shared" si="56"/>
        <v>111</v>
      </c>
      <c r="DH39" s="40">
        <f t="shared" si="56"/>
        <v>112</v>
      </c>
      <c r="DI39" s="40">
        <f t="shared" si="56"/>
        <v>113</v>
      </c>
      <c r="DJ39" s="40">
        <f t="shared" si="56"/>
        <v>114</v>
      </c>
      <c r="DK39" s="40">
        <f t="shared" si="56"/>
        <v>115</v>
      </c>
      <c r="DL39" s="40">
        <f t="shared" si="56"/>
        <v>116</v>
      </c>
      <c r="DM39" s="40">
        <f t="shared" si="56"/>
        <v>117</v>
      </c>
      <c r="DN39" s="40">
        <f t="shared" si="56"/>
        <v>118</v>
      </c>
      <c r="DO39" s="40">
        <f t="shared" si="56"/>
        <v>119</v>
      </c>
      <c r="DP39" s="40">
        <f t="shared" si="56"/>
        <v>120</v>
      </c>
      <c r="DQ39" s="40">
        <f t="shared" si="56"/>
        <v>121</v>
      </c>
      <c r="DR39" s="40">
        <f t="shared" si="56"/>
        <v>122</v>
      </c>
      <c r="DS39" s="40">
        <f t="shared" si="56"/>
        <v>123</v>
      </c>
      <c r="DT39" s="40">
        <f t="shared" si="56"/>
        <v>124</v>
      </c>
      <c r="DU39" s="40">
        <f t="shared" si="56"/>
        <v>125</v>
      </c>
      <c r="DV39" s="40">
        <f t="shared" si="56"/>
        <v>126</v>
      </c>
      <c r="DW39" s="40">
        <f t="shared" si="56"/>
        <v>127</v>
      </c>
      <c r="DX39" s="40">
        <f t="shared" si="56"/>
        <v>128</v>
      </c>
      <c r="DY39" s="40">
        <f t="shared" si="56"/>
        <v>129</v>
      </c>
      <c r="DZ39" s="40">
        <f t="shared" ref="DZ39:GK39" si="57">1+DY39</f>
        <v>130</v>
      </c>
      <c r="EA39" s="40">
        <f t="shared" si="57"/>
        <v>131</v>
      </c>
      <c r="EB39" s="40">
        <f t="shared" si="57"/>
        <v>132</v>
      </c>
      <c r="EC39" s="40">
        <f t="shared" si="57"/>
        <v>133</v>
      </c>
      <c r="ED39" s="40">
        <f t="shared" si="57"/>
        <v>134</v>
      </c>
      <c r="EE39" s="40">
        <f t="shared" si="57"/>
        <v>135</v>
      </c>
      <c r="EF39" s="40">
        <f t="shared" si="57"/>
        <v>136</v>
      </c>
      <c r="EG39" s="40">
        <f t="shared" si="57"/>
        <v>137</v>
      </c>
      <c r="EH39" s="40">
        <f t="shared" si="57"/>
        <v>138</v>
      </c>
      <c r="EI39" s="40">
        <f t="shared" si="57"/>
        <v>139</v>
      </c>
      <c r="EJ39" s="40">
        <f t="shared" si="57"/>
        <v>140</v>
      </c>
      <c r="EK39" s="40">
        <f t="shared" si="57"/>
        <v>141</v>
      </c>
      <c r="EL39" s="40">
        <f t="shared" si="57"/>
        <v>142</v>
      </c>
      <c r="EM39" s="40">
        <f t="shared" si="57"/>
        <v>143</v>
      </c>
      <c r="EN39" s="40">
        <f t="shared" si="57"/>
        <v>144</v>
      </c>
      <c r="EO39" s="40">
        <f t="shared" si="57"/>
        <v>145</v>
      </c>
      <c r="EP39" s="40">
        <f t="shared" si="57"/>
        <v>146</v>
      </c>
      <c r="EQ39" s="40">
        <f t="shared" si="57"/>
        <v>147</v>
      </c>
      <c r="ER39" s="40">
        <f t="shared" si="57"/>
        <v>148</v>
      </c>
      <c r="ES39" s="40">
        <f t="shared" si="57"/>
        <v>149</v>
      </c>
      <c r="ET39" s="40">
        <f t="shared" si="57"/>
        <v>150</v>
      </c>
      <c r="EU39" s="40">
        <f t="shared" si="57"/>
        <v>151</v>
      </c>
      <c r="EV39" s="40">
        <f t="shared" si="57"/>
        <v>152</v>
      </c>
      <c r="EW39" s="40">
        <f t="shared" si="57"/>
        <v>153</v>
      </c>
      <c r="EX39" s="40">
        <f t="shared" si="57"/>
        <v>154</v>
      </c>
      <c r="EY39" s="40">
        <f t="shared" si="57"/>
        <v>155</v>
      </c>
      <c r="EZ39" s="40">
        <f t="shared" si="57"/>
        <v>156</v>
      </c>
      <c r="FA39" s="40">
        <f t="shared" si="57"/>
        <v>157</v>
      </c>
      <c r="FB39" s="40">
        <f t="shared" si="57"/>
        <v>158</v>
      </c>
      <c r="FC39" s="40">
        <f t="shared" si="57"/>
        <v>159</v>
      </c>
      <c r="FD39" s="40">
        <f t="shared" si="57"/>
        <v>160</v>
      </c>
      <c r="FE39" s="40">
        <f t="shared" si="57"/>
        <v>161</v>
      </c>
      <c r="FF39" s="40">
        <f t="shared" si="57"/>
        <v>162</v>
      </c>
      <c r="FG39" s="40">
        <f t="shared" si="57"/>
        <v>163</v>
      </c>
      <c r="FH39" s="40">
        <f t="shared" si="57"/>
        <v>164</v>
      </c>
      <c r="FI39" s="40">
        <f t="shared" si="57"/>
        <v>165</v>
      </c>
      <c r="FJ39" s="40">
        <f t="shared" si="57"/>
        <v>166</v>
      </c>
      <c r="FK39" s="40">
        <f t="shared" si="57"/>
        <v>167</v>
      </c>
      <c r="FL39" s="40">
        <f t="shared" si="57"/>
        <v>168</v>
      </c>
      <c r="FM39" s="40">
        <f t="shared" si="57"/>
        <v>169</v>
      </c>
      <c r="FN39" s="40">
        <f t="shared" si="57"/>
        <v>170</v>
      </c>
      <c r="FO39" s="40">
        <f t="shared" si="57"/>
        <v>171</v>
      </c>
      <c r="FP39" s="40">
        <f t="shared" si="57"/>
        <v>172</v>
      </c>
      <c r="FQ39" s="40">
        <f t="shared" si="57"/>
        <v>173</v>
      </c>
      <c r="FR39" s="40">
        <f t="shared" si="57"/>
        <v>174</v>
      </c>
      <c r="FS39" s="40">
        <f t="shared" si="57"/>
        <v>175</v>
      </c>
      <c r="FT39" s="40">
        <f t="shared" si="57"/>
        <v>176</v>
      </c>
      <c r="FU39" s="40">
        <f t="shared" si="57"/>
        <v>177</v>
      </c>
      <c r="FV39" s="40">
        <f t="shared" si="57"/>
        <v>178</v>
      </c>
      <c r="FW39" s="40">
        <f t="shared" si="57"/>
        <v>179</v>
      </c>
      <c r="FX39" s="40">
        <f t="shared" si="57"/>
        <v>180</v>
      </c>
      <c r="FY39" s="40">
        <f t="shared" si="57"/>
        <v>181</v>
      </c>
      <c r="FZ39" s="40">
        <f t="shared" si="57"/>
        <v>182</v>
      </c>
      <c r="GA39" s="40">
        <f t="shared" si="57"/>
        <v>183</v>
      </c>
      <c r="GB39" s="40">
        <f t="shared" si="57"/>
        <v>184</v>
      </c>
      <c r="GC39" s="40">
        <f t="shared" si="57"/>
        <v>185</v>
      </c>
      <c r="GD39" s="40">
        <f t="shared" si="57"/>
        <v>186</v>
      </c>
      <c r="GE39" s="40">
        <f t="shared" si="57"/>
        <v>187</v>
      </c>
      <c r="GF39" s="40">
        <f t="shared" si="57"/>
        <v>188</v>
      </c>
      <c r="GG39" s="40">
        <f t="shared" si="57"/>
        <v>189</v>
      </c>
      <c r="GH39" s="40">
        <f t="shared" si="57"/>
        <v>190</v>
      </c>
      <c r="GI39" s="40">
        <f t="shared" si="57"/>
        <v>191</v>
      </c>
      <c r="GJ39" s="40">
        <f t="shared" si="57"/>
        <v>192</v>
      </c>
      <c r="GK39" s="40">
        <f t="shared" si="57"/>
        <v>193</v>
      </c>
      <c r="GL39" s="40">
        <f t="shared" ref="GL39:GY39" si="58">1+GK39</f>
        <v>194</v>
      </c>
      <c r="GM39" s="40">
        <f t="shared" si="58"/>
        <v>195</v>
      </c>
      <c r="GN39" s="40">
        <f t="shared" si="58"/>
        <v>196</v>
      </c>
      <c r="GO39" s="40">
        <f t="shared" si="58"/>
        <v>197</v>
      </c>
      <c r="GP39" s="40">
        <f t="shared" si="58"/>
        <v>198</v>
      </c>
      <c r="GQ39" s="40">
        <f t="shared" si="58"/>
        <v>199</v>
      </c>
      <c r="GR39" s="40">
        <f t="shared" si="58"/>
        <v>200</v>
      </c>
      <c r="GS39" s="40">
        <f t="shared" si="58"/>
        <v>201</v>
      </c>
      <c r="GT39" s="40">
        <f t="shared" si="58"/>
        <v>202</v>
      </c>
      <c r="GU39" s="40">
        <f t="shared" si="58"/>
        <v>203</v>
      </c>
      <c r="GV39" s="40">
        <f t="shared" si="58"/>
        <v>204</v>
      </c>
      <c r="GW39" s="40">
        <f t="shared" si="58"/>
        <v>205</v>
      </c>
      <c r="GX39" s="40">
        <f t="shared" si="58"/>
        <v>206</v>
      </c>
      <c r="GY39" s="40">
        <f t="shared" si="58"/>
        <v>207</v>
      </c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</row>
    <row r="40" spans="1:224" x14ac:dyDescent="0.2">
      <c r="A40" s="84"/>
      <c r="DS40" s="42"/>
    </row>
    <row r="41" spans="1:224" x14ac:dyDescent="0.2">
      <c r="A41" s="84"/>
    </row>
    <row r="42" spans="1:224" x14ac:dyDescent="0.2">
      <c r="A42" s="84"/>
    </row>
    <row r="43" spans="1:224" x14ac:dyDescent="0.2">
      <c r="A43" s="84"/>
    </row>
    <row r="44" spans="1:224" customFormat="1" x14ac:dyDescent="0.2">
      <c r="C44" s="28"/>
      <c r="F44" s="28"/>
      <c r="I44" s="28"/>
      <c r="L44" s="28"/>
      <c r="O44" s="28"/>
      <c r="R44" s="28"/>
      <c r="U44" s="28"/>
      <c r="X44" s="28"/>
      <c r="AA44" s="28"/>
      <c r="AD44" s="28"/>
      <c r="AG44" s="28"/>
      <c r="AJ44" s="28"/>
      <c r="AM44" s="28"/>
      <c r="AP44" s="28"/>
      <c r="AS44" s="28"/>
      <c r="AV44" s="94"/>
      <c r="AW44" s="105"/>
      <c r="AY44" s="28"/>
      <c r="BB44" s="28"/>
      <c r="BE44" s="28"/>
      <c r="BH44" s="28"/>
      <c r="BK44" s="28"/>
      <c r="BN44" s="28"/>
      <c r="BQ44" s="28"/>
      <c r="BT44" s="28"/>
      <c r="BW44" s="28"/>
      <c r="BZ44" s="28"/>
      <c r="CC44" s="28"/>
      <c r="CF44" s="28"/>
      <c r="CI44" s="28"/>
      <c r="CL44" s="28"/>
      <c r="CO44" s="28"/>
      <c r="CR44" s="28"/>
      <c r="CU44" s="28"/>
      <c r="CX44" s="28"/>
      <c r="DA44" s="28"/>
      <c r="DD44" s="28"/>
      <c r="DG44" s="28"/>
      <c r="DJ44" s="28"/>
      <c r="DM44" s="28"/>
      <c r="DP44" s="28"/>
    </row>
    <row r="45" spans="1:224" x14ac:dyDescent="0.2">
      <c r="A45" s="84"/>
    </row>
    <row r="46" spans="1:224" x14ac:dyDescent="0.2">
      <c r="A46" s="84"/>
    </row>
    <row r="47" spans="1:224" x14ac:dyDescent="0.2">
      <c r="A47" s="84"/>
    </row>
    <row r="48" spans="1:224" x14ac:dyDescent="0.2">
      <c r="A48" s="84"/>
    </row>
    <row r="49" spans="1:1" x14ac:dyDescent="0.2">
      <c r="A49" s="84"/>
    </row>
    <row r="50" spans="1:1" x14ac:dyDescent="0.2">
      <c r="A50" s="84"/>
    </row>
    <row r="51" spans="1:1" x14ac:dyDescent="0.2">
      <c r="A51" s="84"/>
    </row>
    <row r="52" spans="1:1" x14ac:dyDescent="0.2">
      <c r="A52" s="84"/>
    </row>
    <row r="53" spans="1:1" x14ac:dyDescent="0.2">
      <c r="A53" s="84"/>
    </row>
    <row r="54" spans="1:1" x14ac:dyDescent="0.2">
      <c r="A54" s="84"/>
    </row>
    <row r="55" spans="1:1" x14ac:dyDescent="0.2">
      <c r="A55" s="84"/>
    </row>
    <row r="56" spans="1:1" x14ac:dyDescent="0.2">
      <c r="A56" s="84"/>
    </row>
    <row r="57" spans="1:1" x14ac:dyDescent="0.2">
      <c r="A57" s="84"/>
    </row>
    <row r="58" spans="1:1" x14ac:dyDescent="0.2">
      <c r="A58" s="84"/>
    </row>
    <row r="59" spans="1:1" x14ac:dyDescent="0.2">
      <c r="A59" s="84"/>
    </row>
    <row r="60" spans="1:1" x14ac:dyDescent="0.2">
      <c r="A60" s="84"/>
    </row>
    <row r="61" spans="1:1" x14ac:dyDescent="0.2">
      <c r="A61" s="84"/>
    </row>
    <row r="62" spans="1:1" x14ac:dyDescent="0.2">
      <c r="A62" s="84"/>
    </row>
    <row r="63" spans="1:1" x14ac:dyDescent="0.2">
      <c r="A63" s="84"/>
    </row>
    <row r="64" spans="1:1" x14ac:dyDescent="0.2">
      <c r="A64" s="84"/>
    </row>
    <row r="65" spans="1:1" x14ac:dyDescent="0.2">
      <c r="A65" s="84"/>
    </row>
    <row r="66" spans="1:1" x14ac:dyDescent="0.2">
      <c r="A66" s="84"/>
    </row>
    <row r="67" spans="1:1" x14ac:dyDescent="0.2">
      <c r="A67" s="84"/>
    </row>
    <row r="68" spans="1:1" x14ac:dyDescent="0.2">
      <c r="A68" s="84"/>
    </row>
    <row r="69" spans="1:1" x14ac:dyDescent="0.2">
      <c r="A69" s="84"/>
    </row>
    <row r="70" spans="1:1" x14ac:dyDescent="0.2">
      <c r="A70" s="84"/>
    </row>
    <row r="71" spans="1:1" x14ac:dyDescent="0.2">
      <c r="A71" s="84"/>
    </row>
    <row r="72" spans="1:1" x14ac:dyDescent="0.2">
      <c r="A72" s="84"/>
    </row>
    <row r="73" spans="1:1" x14ac:dyDescent="0.2">
      <c r="A73" s="84"/>
    </row>
    <row r="74" spans="1:1" x14ac:dyDescent="0.2">
      <c r="A74" s="84"/>
    </row>
    <row r="75" spans="1:1" x14ac:dyDescent="0.2">
      <c r="A75" s="84"/>
    </row>
    <row r="76" spans="1:1" x14ac:dyDescent="0.2">
      <c r="A76" s="84"/>
    </row>
    <row r="77" spans="1:1" x14ac:dyDescent="0.2">
      <c r="A77" s="84"/>
    </row>
    <row r="78" spans="1:1" x14ac:dyDescent="0.2">
      <c r="A78" s="84"/>
    </row>
    <row r="79" spans="1:1" x14ac:dyDescent="0.2">
      <c r="A79" s="84"/>
    </row>
    <row r="80" spans="1:1" x14ac:dyDescent="0.2">
      <c r="A80" s="84"/>
    </row>
    <row r="81" spans="1:1" x14ac:dyDescent="0.2">
      <c r="A81" s="84"/>
    </row>
    <row r="82" spans="1:1" x14ac:dyDescent="0.2">
      <c r="A82" s="84"/>
    </row>
    <row r="83" spans="1:1" x14ac:dyDescent="0.2">
      <c r="A83" s="84"/>
    </row>
    <row r="84" spans="1:1" x14ac:dyDescent="0.2">
      <c r="A84" s="84"/>
    </row>
    <row r="85" spans="1:1" x14ac:dyDescent="0.2">
      <c r="A85" s="84"/>
    </row>
    <row r="86" spans="1:1" x14ac:dyDescent="0.2">
      <c r="A86" s="84"/>
    </row>
    <row r="87" spans="1:1" x14ac:dyDescent="0.2">
      <c r="A87" s="84"/>
    </row>
    <row r="88" spans="1:1" x14ac:dyDescent="0.2">
      <c r="A88" s="84"/>
    </row>
    <row r="89" spans="1:1" x14ac:dyDescent="0.2">
      <c r="A89" s="84"/>
    </row>
    <row r="90" spans="1:1" x14ac:dyDescent="0.2">
      <c r="A90" s="84"/>
    </row>
    <row r="91" spans="1:1" x14ac:dyDescent="0.2">
      <c r="A91" s="84"/>
    </row>
    <row r="92" spans="1:1" x14ac:dyDescent="0.2">
      <c r="A92" s="84"/>
    </row>
    <row r="93" spans="1:1" x14ac:dyDescent="0.2">
      <c r="A93" s="84"/>
    </row>
    <row r="94" spans="1:1" x14ac:dyDescent="0.2">
      <c r="A94" s="84"/>
    </row>
    <row r="95" spans="1:1" x14ac:dyDescent="0.2">
      <c r="A95" s="84"/>
    </row>
    <row r="96" spans="1:1" x14ac:dyDescent="0.2">
      <c r="A96" s="84"/>
    </row>
    <row r="97" spans="1:1" x14ac:dyDescent="0.2">
      <c r="A97" s="84"/>
    </row>
    <row r="98" spans="1:1" x14ac:dyDescent="0.2">
      <c r="A98" s="84"/>
    </row>
    <row r="99" spans="1:1" x14ac:dyDescent="0.2">
      <c r="A99" s="84"/>
    </row>
    <row r="100" spans="1:1" x14ac:dyDescent="0.2">
      <c r="A100" s="84"/>
    </row>
    <row r="101" spans="1:1" x14ac:dyDescent="0.2">
      <c r="A101" s="84"/>
    </row>
    <row r="102" spans="1:1" x14ac:dyDescent="0.2">
      <c r="A102" s="84"/>
    </row>
    <row r="103" spans="1:1" x14ac:dyDescent="0.2">
      <c r="A103" s="84"/>
    </row>
    <row r="104" spans="1:1" x14ac:dyDescent="0.2">
      <c r="A104" s="84"/>
    </row>
    <row r="105" spans="1:1" x14ac:dyDescent="0.2">
      <c r="A105" s="84"/>
    </row>
    <row r="106" spans="1:1" x14ac:dyDescent="0.2">
      <c r="A106" s="84"/>
    </row>
    <row r="107" spans="1:1" x14ac:dyDescent="0.2">
      <c r="A107" s="84"/>
    </row>
    <row r="108" spans="1:1" x14ac:dyDescent="0.2">
      <c r="A108" s="84"/>
    </row>
    <row r="109" spans="1:1" x14ac:dyDescent="0.2">
      <c r="A109" s="84"/>
    </row>
    <row r="110" spans="1:1" x14ac:dyDescent="0.2">
      <c r="A110" s="84"/>
    </row>
    <row r="111" spans="1:1" x14ac:dyDescent="0.2">
      <c r="A111" s="84"/>
    </row>
    <row r="112" spans="1:1" x14ac:dyDescent="0.2">
      <c r="A112" s="84"/>
    </row>
    <row r="113" spans="1:1" x14ac:dyDescent="0.2">
      <c r="A113" s="84"/>
    </row>
    <row r="114" spans="1:1" x14ac:dyDescent="0.2">
      <c r="A114" s="84"/>
    </row>
    <row r="115" spans="1:1" x14ac:dyDescent="0.2">
      <c r="A115" s="84"/>
    </row>
    <row r="116" spans="1:1" x14ac:dyDescent="0.2">
      <c r="A116" s="84"/>
    </row>
    <row r="117" spans="1:1" x14ac:dyDescent="0.2">
      <c r="A117" s="84"/>
    </row>
    <row r="118" spans="1:1" x14ac:dyDescent="0.2">
      <c r="A118" s="84"/>
    </row>
    <row r="119" spans="1:1" x14ac:dyDescent="0.2">
      <c r="A119" s="84"/>
    </row>
    <row r="120" spans="1:1" x14ac:dyDescent="0.2">
      <c r="A120" s="84"/>
    </row>
    <row r="121" spans="1:1" x14ac:dyDescent="0.2">
      <c r="A121" s="84"/>
    </row>
    <row r="122" spans="1:1" x14ac:dyDescent="0.2">
      <c r="A122" s="84"/>
    </row>
    <row r="123" spans="1:1" x14ac:dyDescent="0.2">
      <c r="A123" s="84"/>
    </row>
    <row r="124" spans="1:1" x14ac:dyDescent="0.2">
      <c r="A124" s="84"/>
    </row>
    <row r="125" spans="1:1" x14ac:dyDescent="0.2">
      <c r="A125" s="84"/>
    </row>
    <row r="126" spans="1:1" x14ac:dyDescent="0.2">
      <c r="A126" s="84"/>
    </row>
    <row r="127" spans="1:1" x14ac:dyDescent="0.2">
      <c r="A127" s="84"/>
    </row>
    <row r="128" spans="1:1" x14ac:dyDescent="0.2">
      <c r="A128" s="84"/>
    </row>
    <row r="129" spans="1:1" x14ac:dyDescent="0.2">
      <c r="A129" s="84"/>
    </row>
    <row r="130" spans="1:1" x14ac:dyDescent="0.2">
      <c r="A130" s="84"/>
    </row>
    <row r="131" spans="1:1" x14ac:dyDescent="0.2">
      <c r="A131" s="84"/>
    </row>
    <row r="132" spans="1:1" x14ac:dyDescent="0.2">
      <c r="A132" s="84"/>
    </row>
    <row r="133" spans="1:1" x14ac:dyDescent="0.2">
      <c r="A133" s="84"/>
    </row>
    <row r="134" spans="1:1" x14ac:dyDescent="0.2">
      <c r="A134" s="84"/>
    </row>
    <row r="135" spans="1:1" x14ac:dyDescent="0.2">
      <c r="A135" s="84"/>
    </row>
    <row r="136" spans="1:1" x14ac:dyDescent="0.2">
      <c r="A136" s="84"/>
    </row>
    <row r="137" spans="1:1" x14ac:dyDescent="0.2">
      <c r="A137" s="84"/>
    </row>
    <row r="138" spans="1:1" x14ac:dyDescent="0.2">
      <c r="A138" s="84"/>
    </row>
    <row r="139" spans="1:1" x14ac:dyDescent="0.2">
      <c r="A139" s="84"/>
    </row>
    <row r="140" spans="1:1" x14ac:dyDescent="0.2">
      <c r="A140" s="84"/>
    </row>
    <row r="141" spans="1:1" x14ac:dyDescent="0.2">
      <c r="A141" s="84"/>
    </row>
    <row r="142" spans="1:1" x14ac:dyDescent="0.2">
      <c r="A142" s="84"/>
    </row>
    <row r="143" spans="1:1" x14ac:dyDescent="0.2">
      <c r="A143" s="84"/>
    </row>
    <row r="144" spans="1:1" x14ac:dyDescent="0.2">
      <c r="A144" s="84"/>
    </row>
    <row r="145" spans="1:1" x14ac:dyDescent="0.2">
      <c r="A145" s="84"/>
    </row>
    <row r="146" spans="1:1" x14ac:dyDescent="0.2">
      <c r="A146" s="84"/>
    </row>
    <row r="147" spans="1:1" x14ac:dyDescent="0.2">
      <c r="A147" s="84"/>
    </row>
    <row r="148" spans="1:1" x14ac:dyDescent="0.2">
      <c r="A148" s="84"/>
    </row>
    <row r="149" spans="1:1" x14ac:dyDescent="0.2">
      <c r="A149" s="84"/>
    </row>
    <row r="150" spans="1:1" x14ac:dyDescent="0.2">
      <c r="A150" s="84"/>
    </row>
    <row r="151" spans="1:1" x14ac:dyDescent="0.2">
      <c r="A151" s="84"/>
    </row>
    <row r="152" spans="1:1" x14ac:dyDescent="0.2">
      <c r="A152" s="84"/>
    </row>
    <row r="153" spans="1:1" x14ac:dyDescent="0.2">
      <c r="A153" s="84"/>
    </row>
    <row r="154" spans="1:1" x14ac:dyDescent="0.2">
      <c r="A154" s="84"/>
    </row>
    <row r="155" spans="1:1" x14ac:dyDescent="0.2">
      <c r="A155" s="84"/>
    </row>
    <row r="156" spans="1:1" x14ac:dyDescent="0.2">
      <c r="A156" s="84"/>
    </row>
    <row r="157" spans="1:1" x14ac:dyDescent="0.2">
      <c r="A157" s="84"/>
    </row>
    <row r="158" spans="1:1" x14ac:dyDescent="0.2">
      <c r="A158" s="84"/>
    </row>
    <row r="159" spans="1:1" x14ac:dyDescent="0.2">
      <c r="A159" s="84"/>
    </row>
    <row r="160" spans="1:1" x14ac:dyDescent="0.2">
      <c r="A160" s="84"/>
    </row>
    <row r="161" spans="1:1" x14ac:dyDescent="0.2">
      <c r="A161" s="84"/>
    </row>
    <row r="162" spans="1:1" x14ac:dyDescent="0.2">
      <c r="A162" s="84"/>
    </row>
    <row r="163" spans="1:1" x14ac:dyDescent="0.2">
      <c r="A163" s="84"/>
    </row>
    <row r="164" spans="1:1" x14ac:dyDescent="0.2">
      <c r="A164" s="84"/>
    </row>
    <row r="165" spans="1:1" x14ac:dyDescent="0.2">
      <c r="A165" s="84"/>
    </row>
    <row r="166" spans="1:1" x14ac:dyDescent="0.2">
      <c r="A166" s="84"/>
    </row>
    <row r="167" spans="1:1" x14ac:dyDescent="0.2">
      <c r="A167" s="84"/>
    </row>
    <row r="168" spans="1:1" x14ac:dyDescent="0.2">
      <c r="A168" s="84"/>
    </row>
    <row r="169" spans="1:1" x14ac:dyDescent="0.2">
      <c r="A169" s="84"/>
    </row>
    <row r="170" spans="1:1" x14ac:dyDescent="0.2">
      <c r="A170" s="84"/>
    </row>
    <row r="171" spans="1:1" x14ac:dyDescent="0.2">
      <c r="A171" s="84"/>
    </row>
    <row r="172" spans="1:1" x14ac:dyDescent="0.2">
      <c r="A172" s="84"/>
    </row>
    <row r="173" spans="1:1" x14ac:dyDescent="0.2">
      <c r="A173" s="84"/>
    </row>
    <row r="174" spans="1:1" x14ac:dyDescent="0.2">
      <c r="A174" s="84"/>
    </row>
    <row r="175" spans="1:1" x14ac:dyDescent="0.2">
      <c r="A175" s="84"/>
    </row>
    <row r="176" spans="1:1" x14ac:dyDescent="0.2">
      <c r="A176" s="84"/>
    </row>
    <row r="177" spans="1:1" x14ac:dyDescent="0.2">
      <c r="A177" s="84"/>
    </row>
    <row r="178" spans="1:1" x14ac:dyDescent="0.2">
      <c r="A178" s="84"/>
    </row>
    <row r="179" spans="1:1" x14ac:dyDescent="0.2">
      <c r="A179" s="84"/>
    </row>
    <row r="180" spans="1:1" x14ac:dyDescent="0.2">
      <c r="A180" s="84"/>
    </row>
    <row r="181" spans="1:1" x14ac:dyDescent="0.2">
      <c r="A181" s="84"/>
    </row>
    <row r="182" spans="1:1" x14ac:dyDescent="0.2">
      <c r="A182" s="84"/>
    </row>
    <row r="183" spans="1:1" x14ac:dyDescent="0.2">
      <c r="A183" s="84"/>
    </row>
    <row r="184" spans="1:1" x14ac:dyDescent="0.2">
      <c r="A184" s="84"/>
    </row>
    <row r="185" spans="1:1" x14ac:dyDescent="0.2">
      <c r="A185" s="84"/>
    </row>
    <row r="186" spans="1:1" x14ac:dyDescent="0.2">
      <c r="A186" s="84"/>
    </row>
    <row r="187" spans="1:1" x14ac:dyDescent="0.2">
      <c r="A187" s="84"/>
    </row>
    <row r="188" spans="1:1" x14ac:dyDescent="0.2">
      <c r="A188" s="84"/>
    </row>
    <row r="189" spans="1:1" x14ac:dyDescent="0.2">
      <c r="A189" s="84"/>
    </row>
    <row r="190" spans="1:1" x14ac:dyDescent="0.2">
      <c r="A190" s="84"/>
    </row>
    <row r="191" spans="1:1" x14ac:dyDescent="0.2">
      <c r="A191" s="84"/>
    </row>
    <row r="192" spans="1:1" x14ac:dyDescent="0.2">
      <c r="A192" s="84"/>
    </row>
    <row r="193" spans="1:1" x14ac:dyDescent="0.2">
      <c r="A193" s="84"/>
    </row>
    <row r="194" spans="1:1" x14ac:dyDescent="0.2">
      <c r="A194" s="84"/>
    </row>
    <row r="195" spans="1:1" x14ac:dyDescent="0.2">
      <c r="A195" s="84"/>
    </row>
    <row r="196" spans="1:1" x14ac:dyDescent="0.2">
      <c r="A196" s="84"/>
    </row>
    <row r="197" spans="1:1" x14ac:dyDescent="0.2">
      <c r="A197" s="84"/>
    </row>
    <row r="198" spans="1:1" x14ac:dyDescent="0.2">
      <c r="A198" s="84"/>
    </row>
    <row r="199" spans="1:1" x14ac:dyDescent="0.2">
      <c r="A199" s="84"/>
    </row>
    <row r="200" spans="1:1" x14ac:dyDescent="0.2">
      <c r="A200" s="84"/>
    </row>
    <row r="201" spans="1:1" x14ac:dyDescent="0.2">
      <c r="A201" s="84"/>
    </row>
    <row r="202" spans="1:1" x14ac:dyDescent="0.2">
      <c r="A202" s="84"/>
    </row>
    <row r="203" spans="1:1" x14ac:dyDescent="0.2">
      <c r="A203" s="84"/>
    </row>
    <row r="204" spans="1:1" x14ac:dyDescent="0.2">
      <c r="A204" s="84"/>
    </row>
    <row r="205" spans="1:1" x14ac:dyDescent="0.2">
      <c r="A205" s="84"/>
    </row>
    <row r="206" spans="1:1" x14ac:dyDescent="0.2">
      <c r="A206" s="84"/>
    </row>
    <row r="207" spans="1:1" x14ac:dyDescent="0.2">
      <c r="A207" s="84"/>
    </row>
    <row r="208" spans="1:1" x14ac:dyDescent="0.2">
      <c r="A208" s="84"/>
    </row>
    <row r="209" spans="1:1" x14ac:dyDescent="0.2">
      <c r="A209" s="84"/>
    </row>
    <row r="210" spans="1:1" x14ac:dyDescent="0.2">
      <c r="A210" s="84"/>
    </row>
    <row r="211" spans="1:1" x14ac:dyDescent="0.2">
      <c r="A211" s="84"/>
    </row>
    <row r="212" spans="1:1" x14ac:dyDescent="0.2">
      <c r="A212" s="84"/>
    </row>
    <row r="213" spans="1:1" x14ac:dyDescent="0.2">
      <c r="A213" s="84"/>
    </row>
    <row r="214" spans="1:1" x14ac:dyDescent="0.2">
      <c r="A214" s="84"/>
    </row>
    <row r="215" spans="1:1" x14ac:dyDescent="0.2">
      <c r="A215" s="84"/>
    </row>
    <row r="216" spans="1:1" x14ac:dyDescent="0.2">
      <c r="A216" s="84"/>
    </row>
    <row r="217" spans="1:1" x14ac:dyDescent="0.2">
      <c r="A217" s="84"/>
    </row>
    <row r="218" spans="1:1" x14ac:dyDescent="0.2">
      <c r="A218" s="84"/>
    </row>
    <row r="219" spans="1:1" x14ac:dyDescent="0.2">
      <c r="A219" s="84"/>
    </row>
    <row r="220" spans="1:1" x14ac:dyDescent="0.2">
      <c r="A220" s="84"/>
    </row>
    <row r="221" spans="1:1" x14ac:dyDescent="0.2">
      <c r="A221" s="84"/>
    </row>
    <row r="222" spans="1:1" x14ac:dyDescent="0.2">
      <c r="A222" s="84"/>
    </row>
    <row r="223" spans="1:1" x14ac:dyDescent="0.2">
      <c r="A223" s="84"/>
    </row>
    <row r="224" spans="1:1" x14ac:dyDescent="0.2">
      <c r="A224" s="84"/>
    </row>
    <row r="225" spans="1:1" x14ac:dyDescent="0.2">
      <c r="A225" s="84"/>
    </row>
    <row r="226" spans="1:1" x14ac:dyDescent="0.2">
      <c r="A226" s="84"/>
    </row>
    <row r="227" spans="1:1" x14ac:dyDescent="0.2">
      <c r="A227" s="84"/>
    </row>
    <row r="228" spans="1:1" x14ac:dyDescent="0.2">
      <c r="A228" s="84"/>
    </row>
    <row r="229" spans="1:1" x14ac:dyDescent="0.2">
      <c r="A229" s="84"/>
    </row>
    <row r="230" spans="1:1" x14ac:dyDescent="0.2">
      <c r="A230" s="84"/>
    </row>
    <row r="231" spans="1:1" x14ac:dyDescent="0.2">
      <c r="A231" s="84"/>
    </row>
    <row r="232" spans="1:1" x14ac:dyDescent="0.2">
      <c r="A232" s="84"/>
    </row>
    <row r="233" spans="1:1" x14ac:dyDescent="0.2">
      <c r="A233" s="84"/>
    </row>
    <row r="234" spans="1:1" x14ac:dyDescent="0.2">
      <c r="A234" s="84"/>
    </row>
    <row r="235" spans="1:1" x14ac:dyDescent="0.2">
      <c r="A235" s="84"/>
    </row>
    <row r="236" spans="1:1" x14ac:dyDescent="0.2">
      <c r="A236" s="84"/>
    </row>
    <row r="237" spans="1:1" x14ac:dyDescent="0.2">
      <c r="A237" s="84"/>
    </row>
    <row r="238" spans="1:1" x14ac:dyDescent="0.2">
      <c r="A238" s="84"/>
    </row>
    <row r="239" spans="1:1" x14ac:dyDescent="0.2">
      <c r="A239" s="84"/>
    </row>
    <row r="240" spans="1:1" x14ac:dyDescent="0.2">
      <c r="A240" s="84"/>
    </row>
    <row r="241" spans="1:1" x14ac:dyDescent="0.2">
      <c r="A241" s="84"/>
    </row>
    <row r="242" spans="1:1" x14ac:dyDescent="0.2">
      <c r="A242" s="84"/>
    </row>
    <row r="243" spans="1:1" x14ac:dyDescent="0.2">
      <c r="A243" s="84"/>
    </row>
    <row r="244" spans="1:1" x14ac:dyDescent="0.2">
      <c r="A244" s="84"/>
    </row>
    <row r="245" spans="1:1" x14ac:dyDescent="0.2">
      <c r="A245" s="84"/>
    </row>
    <row r="246" spans="1:1" x14ac:dyDescent="0.2">
      <c r="A246" s="84"/>
    </row>
    <row r="247" spans="1:1" x14ac:dyDescent="0.2">
      <c r="A247" s="84"/>
    </row>
    <row r="248" spans="1:1" x14ac:dyDescent="0.2">
      <c r="A248" s="84"/>
    </row>
    <row r="249" spans="1:1" x14ac:dyDescent="0.2">
      <c r="A249" s="84"/>
    </row>
    <row r="250" spans="1:1" x14ac:dyDescent="0.2">
      <c r="A250" s="84"/>
    </row>
    <row r="251" spans="1:1" x14ac:dyDescent="0.2">
      <c r="A251" s="84"/>
    </row>
    <row r="252" spans="1:1" x14ac:dyDescent="0.2">
      <c r="A252" s="84"/>
    </row>
    <row r="253" spans="1:1" x14ac:dyDescent="0.2">
      <c r="A253" s="84"/>
    </row>
    <row r="254" spans="1:1" x14ac:dyDescent="0.2">
      <c r="A254" s="84"/>
    </row>
    <row r="255" spans="1:1" x14ac:dyDescent="0.2">
      <c r="A255" s="84"/>
    </row>
    <row r="256" spans="1:1" x14ac:dyDescent="0.2">
      <c r="A256" s="84"/>
    </row>
    <row r="257" spans="1:1" x14ac:dyDescent="0.2">
      <c r="A257" s="84"/>
    </row>
    <row r="258" spans="1:1" x14ac:dyDescent="0.2">
      <c r="A258" s="84"/>
    </row>
    <row r="259" spans="1:1" x14ac:dyDescent="0.2">
      <c r="A259" s="84"/>
    </row>
    <row r="260" spans="1:1" x14ac:dyDescent="0.2">
      <c r="A260" s="84"/>
    </row>
    <row r="261" spans="1:1" x14ac:dyDescent="0.2">
      <c r="A261" s="84"/>
    </row>
    <row r="262" spans="1:1" x14ac:dyDescent="0.2">
      <c r="A262" s="84"/>
    </row>
    <row r="263" spans="1:1" x14ac:dyDescent="0.2">
      <c r="A263" s="84"/>
    </row>
    <row r="264" spans="1:1" x14ac:dyDescent="0.2">
      <c r="A264" s="84"/>
    </row>
    <row r="265" spans="1:1" x14ac:dyDescent="0.2">
      <c r="A265" s="84"/>
    </row>
    <row r="266" spans="1:1" x14ac:dyDescent="0.2">
      <c r="A266" s="84"/>
    </row>
    <row r="267" spans="1:1" x14ac:dyDescent="0.2">
      <c r="A267" s="84"/>
    </row>
    <row r="268" spans="1:1" x14ac:dyDescent="0.2">
      <c r="A268" s="84"/>
    </row>
    <row r="269" spans="1:1" x14ac:dyDescent="0.2">
      <c r="A269" s="84"/>
    </row>
    <row r="270" spans="1:1" x14ac:dyDescent="0.2">
      <c r="A270" s="84"/>
    </row>
    <row r="271" spans="1:1" x14ac:dyDescent="0.2">
      <c r="A271" s="84"/>
    </row>
    <row r="272" spans="1:1" x14ac:dyDescent="0.2">
      <c r="A272" s="84"/>
    </row>
    <row r="273" spans="1:1" x14ac:dyDescent="0.2">
      <c r="A273" s="84"/>
    </row>
    <row r="274" spans="1:1" x14ac:dyDescent="0.2">
      <c r="A274" s="84"/>
    </row>
    <row r="275" spans="1:1" x14ac:dyDescent="0.2">
      <c r="A275" s="84"/>
    </row>
    <row r="276" spans="1:1" x14ac:dyDescent="0.2">
      <c r="A276" s="84"/>
    </row>
    <row r="277" spans="1:1" x14ac:dyDescent="0.2">
      <c r="A277" s="84"/>
    </row>
    <row r="278" spans="1:1" x14ac:dyDescent="0.2">
      <c r="A278" s="84"/>
    </row>
    <row r="279" spans="1:1" x14ac:dyDescent="0.2">
      <c r="A279" s="84"/>
    </row>
    <row r="280" spans="1:1" x14ac:dyDescent="0.2">
      <c r="A280" s="84"/>
    </row>
    <row r="281" spans="1:1" x14ac:dyDescent="0.2">
      <c r="A281" s="84"/>
    </row>
    <row r="282" spans="1:1" x14ac:dyDescent="0.2">
      <c r="A282" s="84"/>
    </row>
    <row r="283" spans="1:1" x14ac:dyDescent="0.2">
      <c r="A283" s="84"/>
    </row>
    <row r="284" spans="1:1" x14ac:dyDescent="0.2">
      <c r="A284" s="84"/>
    </row>
    <row r="285" spans="1:1" x14ac:dyDescent="0.2">
      <c r="A285" s="84"/>
    </row>
    <row r="286" spans="1:1" x14ac:dyDescent="0.2">
      <c r="A286" s="84"/>
    </row>
    <row r="287" spans="1:1" x14ac:dyDescent="0.2">
      <c r="A287" s="84"/>
    </row>
    <row r="288" spans="1:1" x14ac:dyDescent="0.2">
      <c r="A288" s="84"/>
    </row>
    <row r="289" spans="1:1" x14ac:dyDescent="0.2">
      <c r="A289" s="84"/>
    </row>
    <row r="290" spans="1:1" x14ac:dyDescent="0.2">
      <c r="A290" s="84"/>
    </row>
    <row r="291" spans="1:1" x14ac:dyDescent="0.2">
      <c r="A291" s="84"/>
    </row>
    <row r="292" spans="1:1" x14ac:dyDescent="0.2">
      <c r="A292" s="84"/>
    </row>
    <row r="293" spans="1:1" x14ac:dyDescent="0.2">
      <c r="A293" s="84"/>
    </row>
    <row r="294" spans="1:1" x14ac:dyDescent="0.2">
      <c r="A294" s="84"/>
    </row>
    <row r="295" spans="1:1" x14ac:dyDescent="0.2">
      <c r="A295" s="84"/>
    </row>
    <row r="296" spans="1:1" x14ac:dyDescent="0.2">
      <c r="A296" s="84"/>
    </row>
    <row r="297" spans="1:1" x14ac:dyDescent="0.2">
      <c r="A297" s="84"/>
    </row>
    <row r="298" spans="1:1" x14ac:dyDescent="0.2">
      <c r="A298" s="84"/>
    </row>
    <row r="299" spans="1:1" x14ac:dyDescent="0.2">
      <c r="A299" s="84"/>
    </row>
    <row r="300" spans="1:1" x14ac:dyDescent="0.2">
      <c r="A300" s="84"/>
    </row>
    <row r="301" spans="1:1" x14ac:dyDescent="0.2">
      <c r="A301" s="84"/>
    </row>
    <row r="302" spans="1:1" x14ac:dyDescent="0.2">
      <c r="A302" s="84"/>
    </row>
    <row r="303" spans="1:1" x14ac:dyDescent="0.2">
      <c r="A303" s="84"/>
    </row>
    <row r="304" spans="1:1" x14ac:dyDescent="0.2">
      <c r="A304" s="84"/>
    </row>
    <row r="305" spans="1:1" x14ac:dyDescent="0.2">
      <c r="A305" s="84"/>
    </row>
    <row r="306" spans="1:1" x14ac:dyDescent="0.2">
      <c r="A306" s="84"/>
    </row>
    <row r="307" spans="1:1" x14ac:dyDescent="0.2">
      <c r="A307" s="84"/>
    </row>
    <row r="308" spans="1:1" x14ac:dyDescent="0.2">
      <c r="A308" s="84"/>
    </row>
    <row r="309" spans="1:1" x14ac:dyDescent="0.2">
      <c r="A309" s="84"/>
    </row>
    <row r="310" spans="1:1" x14ac:dyDescent="0.2">
      <c r="A310" s="84"/>
    </row>
    <row r="311" spans="1:1" x14ac:dyDescent="0.2">
      <c r="A311" s="84"/>
    </row>
    <row r="312" spans="1:1" x14ac:dyDescent="0.2">
      <c r="A312" s="84"/>
    </row>
    <row r="313" spans="1:1" x14ac:dyDescent="0.2">
      <c r="A313" s="84"/>
    </row>
    <row r="314" spans="1:1" x14ac:dyDescent="0.2">
      <c r="A314" s="84"/>
    </row>
    <row r="315" spans="1:1" x14ac:dyDescent="0.2">
      <c r="A315" s="84"/>
    </row>
    <row r="316" spans="1:1" x14ac:dyDescent="0.2">
      <c r="A316" s="84"/>
    </row>
    <row r="317" spans="1:1" x14ac:dyDescent="0.2">
      <c r="A317" s="84"/>
    </row>
    <row r="318" spans="1:1" x14ac:dyDescent="0.2">
      <c r="A318" s="84"/>
    </row>
    <row r="319" spans="1:1" x14ac:dyDescent="0.2">
      <c r="A319" s="84"/>
    </row>
    <row r="320" spans="1:1" x14ac:dyDescent="0.2">
      <c r="A320" s="84"/>
    </row>
    <row r="321" spans="1:1" x14ac:dyDescent="0.2">
      <c r="A321" s="84"/>
    </row>
    <row r="322" spans="1:1" x14ac:dyDescent="0.2">
      <c r="A322" s="84"/>
    </row>
    <row r="323" spans="1:1" x14ac:dyDescent="0.2">
      <c r="A323" s="84"/>
    </row>
    <row r="324" spans="1:1" x14ac:dyDescent="0.2">
      <c r="A324" s="84"/>
    </row>
    <row r="325" spans="1:1" x14ac:dyDescent="0.2">
      <c r="A325" s="84"/>
    </row>
    <row r="326" spans="1:1" x14ac:dyDescent="0.2">
      <c r="A326" s="84"/>
    </row>
    <row r="327" spans="1:1" x14ac:dyDescent="0.2">
      <c r="A327" s="84"/>
    </row>
    <row r="328" spans="1:1" x14ac:dyDescent="0.2">
      <c r="A328" s="84"/>
    </row>
    <row r="329" spans="1:1" x14ac:dyDescent="0.2">
      <c r="A329" s="84"/>
    </row>
    <row r="330" spans="1:1" x14ac:dyDescent="0.2">
      <c r="A330" s="84"/>
    </row>
    <row r="331" spans="1:1" x14ac:dyDescent="0.2">
      <c r="A331" s="84"/>
    </row>
    <row r="332" spans="1:1" x14ac:dyDescent="0.2">
      <c r="A332" s="84"/>
    </row>
    <row r="333" spans="1:1" x14ac:dyDescent="0.2">
      <c r="A333" s="84"/>
    </row>
    <row r="334" spans="1:1" x14ac:dyDescent="0.2">
      <c r="A334" s="84"/>
    </row>
    <row r="335" spans="1:1" x14ac:dyDescent="0.2">
      <c r="A335" s="84"/>
    </row>
    <row r="336" spans="1:1" x14ac:dyDescent="0.2">
      <c r="A336" s="84"/>
    </row>
    <row r="337" spans="1:1" x14ac:dyDescent="0.2">
      <c r="A337" s="84"/>
    </row>
    <row r="338" spans="1:1" x14ac:dyDescent="0.2">
      <c r="A338" s="84"/>
    </row>
    <row r="339" spans="1:1" x14ac:dyDescent="0.2">
      <c r="A339" s="84"/>
    </row>
    <row r="340" spans="1:1" x14ac:dyDescent="0.2">
      <c r="A340" s="84"/>
    </row>
    <row r="341" spans="1:1" x14ac:dyDescent="0.2">
      <c r="A341" s="84"/>
    </row>
    <row r="342" spans="1:1" x14ac:dyDescent="0.2">
      <c r="A342" s="84"/>
    </row>
    <row r="343" spans="1:1" x14ac:dyDescent="0.2">
      <c r="A343" s="84"/>
    </row>
    <row r="344" spans="1:1" x14ac:dyDescent="0.2">
      <c r="A344" s="84"/>
    </row>
    <row r="345" spans="1:1" x14ac:dyDescent="0.2">
      <c r="A345" s="84"/>
    </row>
    <row r="346" spans="1:1" x14ac:dyDescent="0.2">
      <c r="A346" s="84"/>
    </row>
    <row r="347" spans="1:1" x14ac:dyDescent="0.2">
      <c r="A347" s="84"/>
    </row>
    <row r="348" spans="1:1" x14ac:dyDescent="0.2">
      <c r="A348" s="84"/>
    </row>
    <row r="349" spans="1:1" x14ac:dyDescent="0.2">
      <c r="A349" s="84"/>
    </row>
    <row r="350" spans="1:1" x14ac:dyDescent="0.2">
      <c r="A350" s="84"/>
    </row>
    <row r="351" spans="1:1" x14ac:dyDescent="0.2">
      <c r="A351" s="84"/>
    </row>
    <row r="352" spans="1:1" x14ac:dyDescent="0.2">
      <c r="A352" s="84"/>
    </row>
    <row r="353" spans="1:1" x14ac:dyDescent="0.2">
      <c r="A353" s="84"/>
    </row>
    <row r="354" spans="1:1" x14ac:dyDescent="0.2">
      <c r="A354" s="84"/>
    </row>
    <row r="355" spans="1:1" x14ac:dyDescent="0.2">
      <c r="A355" s="84"/>
    </row>
    <row r="356" spans="1:1" x14ac:dyDescent="0.2">
      <c r="A356" s="84"/>
    </row>
    <row r="357" spans="1:1" x14ac:dyDescent="0.2">
      <c r="A357" s="84"/>
    </row>
    <row r="358" spans="1:1" x14ac:dyDescent="0.2">
      <c r="A358" s="84"/>
    </row>
    <row r="359" spans="1:1" x14ac:dyDescent="0.2">
      <c r="A359" s="84"/>
    </row>
    <row r="360" spans="1:1" x14ac:dyDescent="0.2">
      <c r="A360" s="84"/>
    </row>
    <row r="361" spans="1:1" x14ac:dyDescent="0.2">
      <c r="A361" s="84"/>
    </row>
    <row r="362" spans="1:1" x14ac:dyDescent="0.2">
      <c r="A362" s="84"/>
    </row>
    <row r="363" spans="1:1" x14ac:dyDescent="0.2">
      <c r="A363" s="84"/>
    </row>
    <row r="364" spans="1:1" x14ac:dyDescent="0.2">
      <c r="A364" s="84"/>
    </row>
    <row r="365" spans="1:1" x14ac:dyDescent="0.2">
      <c r="A365" s="84"/>
    </row>
    <row r="366" spans="1:1" x14ac:dyDescent="0.2">
      <c r="A366" s="84"/>
    </row>
    <row r="367" spans="1:1" x14ac:dyDescent="0.2">
      <c r="A367" s="84"/>
    </row>
    <row r="368" spans="1:1" x14ac:dyDescent="0.2">
      <c r="A368" s="84"/>
    </row>
    <row r="369" spans="1:1" x14ac:dyDescent="0.2">
      <c r="A369" s="84"/>
    </row>
    <row r="370" spans="1:1" x14ac:dyDescent="0.2">
      <c r="A370" s="84"/>
    </row>
    <row r="371" spans="1:1" x14ac:dyDescent="0.2">
      <c r="A371" s="84"/>
    </row>
    <row r="372" spans="1:1" x14ac:dyDescent="0.2">
      <c r="A372" s="84"/>
    </row>
    <row r="373" spans="1:1" x14ac:dyDescent="0.2">
      <c r="A373" s="84"/>
    </row>
    <row r="374" spans="1:1" x14ac:dyDescent="0.2">
      <c r="A374" s="84"/>
    </row>
    <row r="375" spans="1:1" x14ac:dyDescent="0.2">
      <c r="A375" s="84"/>
    </row>
    <row r="376" spans="1:1" x14ac:dyDescent="0.2">
      <c r="A376" s="84"/>
    </row>
    <row r="377" spans="1:1" x14ac:dyDescent="0.2">
      <c r="A377" s="84"/>
    </row>
    <row r="378" spans="1:1" x14ac:dyDescent="0.2">
      <c r="A378" s="84"/>
    </row>
    <row r="379" spans="1:1" x14ac:dyDescent="0.2">
      <c r="A379" s="84"/>
    </row>
    <row r="380" spans="1:1" x14ac:dyDescent="0.2">
      <c r="A380" s="84"/>
    </row>
    <row r="381" spans="1:1" x14ac:dyDescent="0.2">
      <c r="A381" s="84"/>
    </row>
    <row r="382" spans="1:1" x14ac:dyDescent="0.2">
      <c r="A382" s="84"/>
    </row>
    <row r="383" spans="1:1" x14ac:dyDescent="0.2">
      <c r="A383" s="84"/>
    </row>
    <row r="384" spans="1:1" x14ac:dyDescent="0.2">
      <c r="A384" s="84"/>
    </row>
    <row r="385" spans="1:1" x14ac:dyDescent="0.2">
      <c r="A385" s="84"/>
    </row>
    <row r="386" spans="1:1" x14ac:dyDescent="0.2">
      <c r="A386" s="84"/>
    </row>
    <row r="387" spans="1:1" x14ac:dyDescent="0.2">
      <c r="A387" s="84"/>
    </row>
    <row r="388" spans="1:1" x14ac:dyDescent="0.2">
      <c r="A388" s="84"/>
    </row>
    <row r="389" spans="1:1" x14ac:dyDescent="0.2">
      <c r="A389" s="84"/>
    </row>
    <row r="390" spans="1:1" x14ac:dyDescent="0.2">
      <c r="A390" s="84"/>
    </row>
    <row r="391" spans="1:1" x14ac:dyDescent="0.2">
      <c r="A391" s="84"/>
    </row>
    <row r="392" spans="1:1" x14ac:dyDescent="0.2">
      <c r="A392" s="84"/>
    </row>
    <row r="393" spans="1:1" x14ac:dyDescent="0.2">
      <c r="A393" s="84"/>
    </row>
    <row r="394" spans="1:1" x14ac:dyDescent="0.2">
      <c r="A394" s="84"/>
    </row>
    <row r="395" spans="1:1" x14ac:dyDescent="0.2">
      <c r="A395" s="84"/>
    </row>
    <row r="396" spans="1:1" x14ac:dyDescent="0.2">
      <c r="A396" s="84"/>
    </row>
    <row r="397" spans="1:1" x14ac:dyDescent="0.2">
      <c r="A397" s="84"/>
    </row>
    <row r="398" spans="1:1" x14ac:dyDescent="0.2">
      <c r="A398" s="84"/>
    </row>
    <row r="399" spans="1:1" x14ac:dyDescent="0.2">
      <c r="A399" s="84"/>
    </row>
    <row r="400" spans="1:1" x14ac:dyDescent="0.2">
      <c r="A400" s="84"/>
    </row>
    <row r="401" spans="1:1" x14ac:dyDescent="0.2">
      <c r="A401" s="84"/>
    </row>
    <row r="402" spans="1:1" x14ac:dyDescent="0.2">
      <c r="A402" s="84"/>
    </row>
    <row r="403" spans="1:1" x14ac:dyDescent="0.2">
      <c r="A403" s="84"/>
    </row>
    <row r="404" spans="1:1" x14ac:dyDescent="0.2">
      <c r="A404" s="84"/>
    </row>
    <row r="405" spans="1:1" x14ac:dyDescent="0.2">
      <c r="A405" s="84"/>
    </row>
    <row r="406" spans="1:1" x14ac:dyDescent="0.2">
      <c r="A406" s="84"/>
    </row>
    <row r="407" spans="1:1" x14ac:dyDescent="0.2">
      <c r="A407" s="84"/>
    </row>
    <row r="408" spans="1:1" x14ac:dyDescent="0.2">
      <c r="A408" s="84"/>
    </row>
    <row r="409" spans="1:1" x14ac:dyDescent="0.2">
      <c r="A409" s="84"/>
    </row>
    <row r="410" spans="1:1" x14ac:dyDescent="0.2">
      <c r="A410" s="84"/>
    </row>
    <row r="411" spans="1:1" x14ac:dyDescent="0.2">
      <c r="A411" s="84"/>
    </row>
    <row r="412" spans="1:1" x14ac:dyDescent="0.2">
      <c r="A412" s="84"/>
    </row>
    <row r="413" spans="1:1" x14ac:dyDescent="0.2">
      <c r="A413" s="84"/>
    </row>
    <row r="414" spans="1:1" x14ac:dyDescent="0.2">
      <c r="A414" s="84"/>
    </row>
    <row r="415" spans="1:1" x14ac:dyDescent="0.2">
      <c r="A415" s="84"/>
    </row>
    <row r="416" spans="1:1" x14ac:dyDescent="0.2">
      <c r="A416" s="84"/>
    </row>
    <row r="417" spans="1:1" x14ac:dyDescent="0.2">
      <c r="A417" s="84"/>
    </row>
    <row r="418" spans="1:1" x14ac:dyDescent="0.2">
      <c r="A418" s="84"/>
    </row>
    <row r="419" spans="1:1" x14ac:dyDescent="0.2">
      <c r="A419" s="84"/>
    </row>
    <row r="420" spans="1:1" x14ac:dyDescent="0.2">
      <c r="A420" s="84"/>
    </row>
    <row r="421" spans="1:1" x14ac:dyDescent="0.2">
      <c r="A421" s="84"/>
    </row>
    <row r="422" spans="1:1" x14ac:dyDescent="0.2">
      <c r="A422" s="84"/>
    </row>
    <row r="423" spans="1:1" x14ac:dyDescent="0.2">
      <c r="A423" s="84"/>
    </row>
    <row r="424" spans="1:1" x14ac:dyDescent="0.2">
      <c r="A424" s="84"/>
    </row>
    <row r="425" spans="1:1" x14ac:dyDescent="0.2">
      <c r="A425" s="84"/>
    </row>
    <row r="426" spans="1:1" x14ac:dyDescent="0.2">
      <c r="A426" s="84"/>
    </row>
    <row r="427" spans="1:1" x14ac:dyDescent="0.2">
      <c r="A427" s="84"/>
    </row>
    <row r="428" spans="1:1" x14ac:dyDescent="0.2">
      <c r="A428" s="84"/>
    </row>
    <row r="429" spans="1:1" x14ac:dyDescent="0.2">
      <c r="A429" s="84"/>
    </row>
    <row r="430" spans="1:1" x14ac:dyDescent="0.2">
      <c r="A430" s="84"/>
    </row>
    <row r="431" spans="1:1" x14ac:dyDescent="0.2">
      <c r="A431" s="84"/>
    </row>
    <row r="432" spans="1:1" x14ac:dyDescent="0.2">
      <c r="A432" s="84"/>
    </row>
    <row r="433" spans="1:1" x14ac:dyDescent="0.2">
      <c r="A433" s="84"/>
    </row>
    <row r="434" spans="1:1" x14ac:dyDescent="0.2">
      <c r="A434" s="84"/>
    </row>
    <row r="435" spans="1:1" x14ac:dyDescent="0.2">
      <c r="A435" s="84"/>
    </row>
    <row r="436" spans="1:1" x14ac:dyDescent="0.2">
      <c r="A436" s="84"/>
    </row>
    <row r="437" spans="1:1" x14ac:dyDescent="0.2">
      <c r="A437" s="84"/>
    </row>
    <row r="438" spans="1:1" x14ac:dyDescent="0.2">
      <c r="A438" s="84"/>
    </row>
    <row r="439" spans="1:1" x14ac:dyDescent="0.2">
      <c r="A439" s="84"/>
    </row>
    <row r="440" spans="1:1" x14ac:dyDescent="0.2">
      <c r="A440" s="84"/>
    </row>
    <row r="441" spans="1:1" x14ac:dyDescent="0.2">
      <c r="A441" s="84"/>
    </row>
    <row r="442" spans="1:1" x14ac:dyDescent="0.2">
      <c r="A442" s="84"/>
    </row>
    <row r="443" spans="1:1" x14ac:dyDescent="0.2">
      <c r="A443" s="84"/>
    </row>
    <row r="444" spans="1:1" x14ac:dyDescent="0.2">
      <c r="A444" s="84"/>
    </row>
    <row r="445" spans="1:1" x14ac:dyDescent="0.2">
      <c r="A445" s="84"/>
    </row>
    <row r="446" spans="1:1" x14ac:dyDescent="0.2">
      <c r="A446" s="84"/>
    </row>
    <row r="447" spans="1:1" x14ac:dyDescent="0.2">
      <c r="A447" s="84"/>
    </row>
    <row r="448" spans="1:1" x14ac:dyDescent="0.2">
      <c r="A448" s="84"/>
    </row>
    <row r="449" spans="1:1" x14ac:dyDescent="0.2">
      <c r="A449" s="84"/>
    </row>
    <row r="450" spans="1:1" x14ac:dyDescent="0.2">
      <c r="A450" s="84"/>
    </row>
    <row r="451" spans="1:1" x14ac:dyDescent="0.2">
      <c r="A451" s="84"/>
    </row>
    <row r="452" spans="1:1" x14ac:dyDescent="0.2">
      <c r="A452" s="84"/>
    </row>
    <row r="453" spans="1:1" x14ac:dyDescent="0.2">
      <c r="A453" s="84"/>
    </row>
    <row r="454" spans="1:1" x14ac:dyDescent="0.2">
      <c r="A454" s="84"/>
    </row>
    <row r="455" spans="1:1" x14ac:dyDescent="0.2">
      <c r="A455" s="84"/>
    </row>
    <row r="456" spans="1:1" x14ac:dyDescent="0.2">
      <c r="A456" s="84"/>
    </row>
    <row r="457" spans="1:1" x14ac:dyDescent="0.2">
      <c r="A457" s="84"/>
    </row>
    <row r="458" spans="1:1" x14ac:dyDescent="0.2">
      <c r="A458" s="84"/>
    </row>
    <row r="459" spans="1:1" x14ac:dyDescent="0.2">
      <c r="A459" s="84"/>
    </row>
    <row r="460" spans="1:1" x14ac:dyDescent="0.2">
      <c r="A460" s="84"/>
    </row>
    <row r="461" spans="1:1" x14ac:dyDescent="0.2">
      <c r="A461" s="84"/>
    </row>
    <row r="462" spans="1:1" x14ac:dyDescent="0.2">
      <c r="A462" s="84"/>
    </row>
    <row r="463" spans="1:1" x14ac:dyDescent="0.2">
      <c r="A463" s="84"/>
    </row>
    <row r="464" spans="1:1" x14ac:dyDescent="0.2">
      <c r="A464" s="84"/>
    </row>
    <row r="465" spans="1:1" x14ac:dyDescent="0.2">
      <c r="A465" s="84"/>
    </row>
    <row r="466" spans="1:1" x14ac:dyDescent="0.2">
      <c r="A466" s="84"/>
    </row>
    <row r="467" spans="1:1" x14ac:dyDescent="0.2">
      <c r="A467" s="84"/>
    </row>
    <row r="468" spans="1:1" x14ac:dyDescent="0.2">
      <c r="A468" s="84"/>
    </row>
    <row r="469" spans="1:1" x14ac:dyDescent="0.2">
      <c r="A469" s="84"/>
    </row>
    <row r="470" spans="1:1" x14ac:dyDescent="0.2">
      <c r="A470" s="84"/>
    </row>
    <row r="471" spans="1:1" x14ac:dyDescent="0.2">
      <c r="A471" s="84"/>
    </row>
    <row r="472" spans="1:1" x14ac:dyDescent="0.2">
      <c r="A472" s="84"/>
    </row>
    <row r="473" spans="1:1" x14ac:dyDescent="0.2">
      <c r="A473" s="84"/>
    </row>
    <row r="474" spans="1:1" x14ac:dyDescent="0.2">
      <c r="A474" s="84"/>
    </row>
    <row r="475" spans="1:1" x14ac:dyDescent="0.2">
      <c r="A475" s="84"/>
    </row>
    <row r="476" spans="1:1" x14ac:dyDescent="0.2">
      <c r="A476" s="84"/>
    </row>
    <row r="477" spans="1:1" x14ac:dyDescent="0.2">
      <c r="A477" s="84"/>
    </row>
    <row r="478" spans="1:1" x14ac:dyDescent="0.2">
      <c r="A478" s="84"/>
    </row>
    <row r="479" spans="1:1" x14ac:dyDescent="0.2">
      <c r="A479" s="84"/>
    </row>
    <row r="480" spans="1:1" x14ac:dyDescent="0.2">
      <c r="A480" s="84"/>
    </row>
    <row r="481" spans="1:1" x14ac:dyDescent="0.2">
      <c r="A481" s="84"/>
    </row>
    <row r="482" spans="1:1" x14ac:dyDescent="0.2">
      <c r="A482" s="84"/>
    </row>
    <row r="483" spans="1:1" x14ac:dyDescent="0.2">
      <c r="A483" s="84"/>
    </row>
    <row r="484" spans="1:1" x14ac:dyDescent="0.2">
      <c r="A484" s="84"/>
    </row>
    <row r="485" spans="1:1" x14ac:dyDescent="0.2">
      <c r="A485" s="84"/>
    </row>
    <row r="486" spans="1:1" x14ac:dyDescent="0.2">
      <c r="A486" s="84"/>
    </row>
    <row r="487" spans="1:1" x14ac:dyDescent="0.2">
      <c r="A487" s="84"/>
    </row>
    <row r="488" spans="1:1" x14ac:dyDescent="0.2">
      <c r="A488" s="84"/>
    </row>
    <row r="489" spans="1:1" x14ac:dyDescent="0.2">
      <c r="A489" s="84"/>
    </row>
    <row r="490" spans="1:1" x14ac:dyDescent="0.2">
      <c r="A490" s="84"/>
    </row>
    <row r="491" spans="1:1" x14ac:dyDescent="0.2">
      <c r="A491" s="84"/>
    </row>
    <row r="492" spans="1:1" x14ac:dyDescent="0.2">
      <c r="A492" s="84"/>
    </row>
    <row r="493" spans="1:1" x14ac:dyDescent="0.2">
      <c r="A493" s="84"/>
    </row>
    <row r="494" spans="1:1" x14ac:dyDescent="0.2">
      <c r="A494" s="84"/>
    </row>
    <row r="495" spans="1:1" x14ac:dyDescent="0.2">
      <c r="A495" s="84"/>
    </row>
    <row r="496" spans="1:1" x14ac:dyDescent="0.2">
      <c r="A496" s="84"/>
    </row>
    <row r="497" spans="1:1" x14ac:dyDescent="0.2">
      <c r="A497" s="84"/>
    </row>
    <row r="498" spans="1:1" x14ac:dyDescent="0.2">
      <c r="A498" s="84"/>
    </row>
    <row r="499" spans="1:1" x14ac:dyDescent="0.2">
      <c r="A499" s="84"/>
    </row>
    <row r="500" spans="1:1" x14ac:dyDescent="0.2">
      <c r="A500" s="84"/>
    </row>
    <row r="501" spans="1:1" x14ac:dyDescent="0.2">
      <c r="A501" s="84"/>
    </row>
    <row r="502" spans="1:1" x14ac:dyDescent="0.2">
      <c r="A502" s="84"/>
    </row>
    <row r="503" spans="1:1" x14ac:dyDescent="0.2">
      <c r="A503" s="84"/>
    </row>
    <row r="504" spans="1:1" x14ac:dyDescent="0.2">
      <c r="A504" s="84"/>
    </row>
    <row r="505" spans="1:1" x14ac:dyDescent="0.2">
      <c r="A505" s="84"/>
    </row>
    <row r="506" spans="1:1" x14ac:dyDescent="0.2">
      <c r="A506" s="84"/>
    </row>
    <row r="507" spans="1:1" x14ac:dyDescent="0.2">
      <c r="A507" s="84"/>
    </row>
    <row r="508" spans="1:1" x14ac:dyDescent="0.2">
      <c r="A508" s="84"/>
    </row>
    <row r="509" spans="1:1" x14ac:dyDescent="0.2">
      <c r="A509" s="84"/>
    </row>
    <row r="510" spans="1:1" x14ac:dyDescent="0.2">
      <c r="A510" s="84"/>
    </row>
    <row r="511" spans="1:1" x14ac:dyDescent="0.2">
      <c r="A511" s="84"/>
    </row>
    <row r="512" spans="1:1" x14ac:dyDescent="0.2">
      <c r="A512" s="84"/>
    </row>
    <row r="513" spans="1:1" x14ac:dyDescent="0.2">
      <c r="A513" s="84"/>
    </row>
    <row r="514" spans="1:1" x14ac:dyDescent="0.2">
      <c r="A514" s="84"/>
    </row>
    <row r="515" spans="1:1" x14ac:dyDescent="0.2">
      <c r="A515" s="84"/>
    </row>
  </sheetData>
  <printOptions horizontalCentered="1" verticalCentered="1" gridLines="1" gridLinesSet="0"/>
  <pageMargins left="0" right="0" top="0" bottom="0" header="0" footer="0"/>
  <pageSetup paperSize="5" scale="85" orientation="landscape" horizontalDpi="4294967293" r:id="rId1"/>
  <headerFooter alignWithMargins="0">
    <oddHeader>&amp;A</oddHeader>
    <oddFooter>Page &amp;P</oddFooter>
  </headerFooter>
  <colBreaks count="3" manualBreakCount="3">
    <brk id="14" max="1048575" man="1"/>
    <brk id="26" max="1048575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V515"/>
  <sheetViews>
    <sheetView zoomScale="90" workbookViewId="0">
      <pane xSplit="2" ySplit="5" topLeftCell="P6" activePane="bottomRight" state="frozen"/>
      <selection activeCell="AT19" sqref="AT19"/>
      <selection pane="topRight" activeCell="AT19" sqref="AT19"/>
      <selection pane="bottomLeft" activeCell="AT19" sqref="AT19"/>
      <selection pane="bottomRight" activeCell="U11" sqref="U11"/>
    </sheetView>
  </sheetViews>
  <sheetFormatPr defaultColWidth="15.1640625" defaultRowHeight="12.75" x14ac:dyDescent="0.2"/>
  <cols>
    <col min="1" max="1" width="15.1640625" style="106" customWidth="1"/>
    <col min="2" max="2" width="15.1640625" style="84" customWidth="1"/>
    <col min="3" max="3" width="19.1640625" style="43" customWidth="1"/>
    <col min="4" max="5" width="15.1640625" style="43" customWidth="1"/>
    <col min="6" max="6" width="18.1640625" style="43" customWidth="1"/>
    <col min="7" max="8" width="15.1640625" style="43" customWidth="1"/>
    <col min="9" max="9" width="18.1640625" style="43" customWidth="1"/>
    <col min="10" max="11" width="15.1640625" style="43" customWidth="1"/>
    <col min="12" max="12" width="18.1640625" style="43" customWidth="1"/>
    <col min="13" max="14" width="15.1640625" style="43" customWidth="1"/>
    <col min="15" max="15" width="18.1640625" style="43" customWidth="1"/>
    <col min="16" max="17" width="15.1640625" style="43" customWidth="1"/>
    <col min="18" max="18" width="18.1640625" style="43" customWidth="1"/>
    <col min="19" max="20" width="15.1640625" style="43" customWidth="1"/>
    <col min="21" max="21" width="18.1640625" style="43" customWidth="1"/>
    <col min="22" max="23" width="15.1640625" style="43" customWidth="1"/>
    <col min="24" max="24" width="18.1640625" style="43" customWidth="1"/>
    <col min="25" max="26" width="15.1640625" style="43" customWidth="1"/>
    <col min="27" max="27" width="18.1640625" style="43" customWidth="1"/>
    <col min="28" max="29" width="15.1640625" style="43" customWidth="1"/>
    <col min="30" max="30" width="18.1640625" style="43" customWidth="1"/>
    <col min="31" max="32" width="15.1640625" style="43" customWidth="1"/>
    <col min="33" max="33" width="18.1640625" style="43" customWidth="1"/>
    <col min="34" max="35" width="15.1640625" style="43" customWidth="1"/>
    <col min="36" max="36" width="18.1640625" style="43" customWidth="1"/>
    <col min="37" max="38" width="15.1640625" style="43" customWidth="1"/>
    <col min="39" max="39" width="18.1640625" style="43" customWidth="1"/>
    <col min="40" max="40" width="15.1640625" style="43" customWidth="1"/>
    <col min="41" max="41" width="24.5" style="43" customWidth="1"/>
    <col min="42" max="42" width="18.1640625" style="43" customWidth="1"/>
    <col min="43" max="44" width="15.1640625" style="43" customWidth="1"/>
    <col min="45" max="45" width="18.1640625" style="43" customWidth="1"/>
    <col min="46" max="47" width="15.1640625" style="43" customWidth="1"/>
    <col min="48" max="48" width="18.1640625" style="43" customWidth="1"/>
    <col min="49" max="122" width="15.1640625" style="43" customWidth="1"/>
    <col min="123" max="123" width="15.1640625" style="104" customWidth="1"/>
    <col min="124" max="126" width="15.1640625" style="42" customWidth="1"/>
    <col min="127" max="128" width="15.1640625" style="43" customWidth="1"/>
    <col min="129" max="129" width="15.1640625" style="104" customWidth="1"/>
    <col min="130" max="141" width="15.1640625" style="43" customWidth="1"/>
    <col min="142" max="149" width="15.1640625" style="80" customWidth="1"/>
    <col min="150" max="171" width="15.1640625" style="81" customWidth="1"/>
    <col min="172" max="178" width="15.1640625" style="82" customWidth="1"/>
    <col min="179" max="16384" width="15.1640625" style="28"/>
  </cols>
  <sheetData>
    <row r="1" spans="1:178" s="1" customFormat="1" x14ac:dyDescent="0.2">
      <c r="A1" s="45" t="s">
        <v>58</v>
      </c>
      <c r="B1" s="46">
        <f>+A6</f>
        <v>36708</v>
      </c>
      <c r="C1" s="4"/>
      <c r="D1" s="4"/>
      <c r="E1" s="4"/>
      <c r="F1" s="4" t="s">
        <v>74</v>
      </c>
      <c r="G1" s="4"/>
      <c r="H1" s="4"/>
      <c r="I1" s="4" t="s">
        <v>74</v>
      </c>
      <c r="J1" s="4"/>
      <c r="K1" s="4"/>
      <c r="L1" s="4" t="s">
        <v>75</v>
      </c>
      <c r="M1" s="4"/>
      <c r="N1" s="4"/>
      <c r="O1" s="4" t="s">
        <v>5</v>
      </c>
      <c r="P1" s="4"/>
      <c r="Q1" s="4"/>
      <c r="R1" s="4"/>
      <c r="S1" s="4"/>
      <c r="T1" s="4"/>
      <c r="U1" s="4" t="s">
        <v>74</v>
      </c>
      <c r="V1" s="4"/>
      <c r="W1" s="4"/>
      <c r="X1" s="4" t="s">
        <v>4</v>
      </c>
      <c r="Y1" s="4"/>
      <c r="Z1" s="4"/>
      <c r="AA1" s="4">
        <v>4.7300000000000004</v>
      </c>
      <c r="AB1" s="4"/>
      <c r="AC1" s="4"/>
      <c r="AD1" s="4">
        <v>4.7300000000000004</v>
      </c>
      <c r="AE1" s="4"/>
      <c r="AF1" s="4"/>
      <c r="AG1" s="4" t="s">
        <v>76</v>
      </c>
      <c r="AH1" s="4"/>
      <c r="AI1" s="4"/>
      <c r="AJ1" s="4" t="s">
        <v>76</v>
      </c>
      <c r="AK1" s="4"/>
      <c r="AL1" s="4"/>
      <c r="AM1" s="4">
        <v>4.8600000000000003</v>
      </c>
      <c r="AN1" s="4"/>
      <c r="AO1" s="4"/>
      <c r="AP1" s="4" t="s">
        <v>4</v>
      </c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5"/>
      <c r="DT1" s="45"/>
      <c r="DU1" s="45"/>
      <c r="DV1" s="45"/>
      <c r="DW1" s="4"/>
      <c r="DX1" s="4"/>
      <c r="DY1" s="107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</row>
    <row r="2" spans="1:178" s="16" customFormat="1" ht="12.75" customHeight="1" x14ac:dyDescent="0.2">
      <c r="A2" s="6" t="s">
        <v>35</v>
      </c>
      <c r="B2" s="6"/>
      <c r="C2" s="9">
        <v>111891</v>
      </c>
      <c r="D2" s="9"/>
      <c r="E2" s="9"/>
      <c r="F2" s="9">
        <v>302097</v>
      </c>
      <c r="G2" s="9"/>
      <c r="H2" s="9"/>
      <c r="I2" s="9">
        <v>302218</v>
      </c>
      <c r="J2" s="9"/>
      <c r="K2" s="9"/>
      <c r="L2" s="9">
        <v>303339</v>
      </c>
      <c r="M2" s="9"/>
      <c r="N2" s="9"/>
      <c r="O2" s="9">
        <v>307088</v>
      </c>
      <c r="P2" s="9"/>
      <c r="Q2" s="9"/>
      <c r="R2" s="9">
        <v>293828</v>
      </c>
      <c r="S2" s="9"/>
      <c r="T2" s="9"/>
      <c r="U2" s="9">
        <v>302212</v>
      </c>
      <c r="V2" s="9"/>
      <c r="W2" s="9"/>
      <c r="X2" s="9">
        <v>312190</v>
      </c>
      <c r="Y2" s="9"/>
      <c r="Z2" s="9"/>
      <c r="AA2" s="9">
        <v>312005</v>
      </c>
      <c r="AB2" s="9"/>
      <c r="AC2" s="9"/>
      <c r="AD2" s="9">
        <v>312510</v>
      </c>
      <c r="AE2" s="9"/>
      <c r="AF2" s="9"/>
      <c r="AG2" s="9">
        <v>314685</v>
      </c>
      <c r="AH2" s="9"/>
      <c r="AI2" s="9"/>
      <c r="AJ2" s="9">
        <v>314685</v>
      </c>
      <c r="AK2" s="9"/>
      <c r="AL2" s="9"/>
      <c r="AM2" s="9">
        <v>317041</v>
      </c>
      <c r="AN2" s="9"/>
      <c r="AO2" s="9"/>
      <c r="AP2" s="9">
        <v>311888</v>
      </c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55"/>
      <c r="DV2" s="56"/>
      <c r="DW2" s="9"/>
      <c r="DX2" s="9"/>
      <c r="DY2" s="108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57"/>
      <c r="EM2" s="57"/>
      <c r="EN2" s="57"/>
      <c r="EO2" s="57"/>
      <c r="EP2" s="57"/>
      <c r="EQ2" s="57"/>
      <c r="ER2" s="57"/>
      <c r="ES2" s="57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9"/>
      <c r="FQ2" s="59"/>
      <c r="FR2" s="59"/>
      <c r="FS2" s="59"/>
      <c r="FT2" s="59"/>
      <c r="FU2" s="59"/>
      <c r="FV2" s="59"/>
    </row>
    <row r="3" spans="1:178" s="16" customFormat="1" ht="12.75" customHeight="1" x14ac:dyDescent="0.2">
      <c r="A3" s="6" t="s">
        <v>77</v>
      </c>
      <c r="B3" s="6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 t="s">
        <v>12</v>
      </c>
      <c r="P3" s="9"/>
      <c r="Q3" s="9"/>
      <c r="R3" s="9" t="s">
        <v>11</v>
      </c>
      <c r="S3" s="9"/>
      <c r="T3" s="9"/>
      <c r="U3" s="9" t="s">
        <v>78</v>
      </c>
      <c r="V3" s="9"/>
      <c r="W3" s="9"/>
      <c r="X3" s="9" t="s">
        <v>78</v>
      </c>
      <c r="Y3" s="9"/>
      <c r="Z3" s="9"/>
      <c r="AA3" s="9" t="s">
        <v>79</v>
      </c>
      <c r="AB3" s="9"/>
      <c r="AC3" s="9"/>
      <c r="AD3" s="9" t="s">
        <v>79</v>
      </c>
      <c r="AE3" s="9"/>
      <c r="AF3" s="9"/>
      <c r="AG3" s="9" t="s">
        <v>80</v>
      </c>
      <c r="AH3" s="9"/>
      <c r="AI3" s="9"/>
      <c r="AJ3" s="9" t="s">
        <v>80</v>
      </c>
      <c r="AK3" s="9"/>
      <c r="AL3" s="9"/>
      <c r="AM3" s="9" t="s">
        <v>81</v>
      </c>
      <c r="AN3" s="9"/>
      <c r="AO3" s="9"/>
      <c r="AP3" s="9" t="s">
        <v>19</v>
      </c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55"/>
      <c r="DV3" s="56"/>
      <c r="DW3" s="9"/>
      <c r="DX3" s="9"/>
      <c r="DY3" s="108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57"/>
      <c r="EM3" s="57"/>
      <c r="EN3" s="57"/>
      <c r="EO3" s="57"/>
      <c r="EP3" s="57"/>
      <c r="EQ3" s="57"/>
      <c r="ER3" s="57"/>
      <c r="ES3" s="57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9"/>
      <c r="FQ3" s="59"/>
      <c r="FR3" s="59"/>
      <c r="FS3" s="59"/>
      <c r="FT3" s="59"/>
      <c r="FU3" s="59"/>
      <c r="FV3" s="59"/>
    </row>
    <row r="4" spans="1:178" s="16" customFormat="1" ht="12.75" customHeight="1" x14ac:dyDescent="0.2">
      <c r="A4" s="6" t="s">
        <v>65</v>
      </c>
      <c r="B4" s="6" t="s">
        <v>66</v>
      </c>
      <c r="C4" s="9" t="s">
        <v>82</v>
      </c>
      <c r="D4" s="9"/>
      <c r="E4" s="9" t="s">
        <v>62</v>
      </c>
      <c r="F4" s="9" t="s">
        <v>78</v>
      </c>
      <c r="G4" s="9"/>
      <c r="H4" s="9" t="s">
        <v>62</v>
      </c>
      <c r="I4" s="9" t="s">
        <v>78</v>
      </c>
      <c r="J4" s="9"/>
      <c r="K4" s="9" t="s">
        <v>62</v>
      </c>
      <c r="L4" s="9" t="s">
        <v>83</v>
      </c>
      <c r="M4" s="9"/>
      <c r="N4" s="9" t="s">
        <v>62</v>
      </c>
      <c r="O4" s="9"/>
      <c r="P4" s="9"/>
      <c r="Q4" s="9" t="s">
        <v>62</v>
      </c>
      <c r="R4" s="9"/>
      <c r="S4" s="9"/>
      <c r="T4" s="9" t="s">
        <v>62</v>
      </c>
      <c r="U4" s="9"/>
      <c r="V4" s="9"/>
      <c r="W4" s="9" t="s">
        <v>62</v>
      </c>
      <c r="X4" s="9"/>
      <c r="Y4" s="9"/>
      <c r="Z4" s="9" t="s">
        <v>62</v>
      </c>
      <c r="AA4" s="9"/>
      <c r="AB4" s="9"/>
      <c r="AC4" s="9" t="s">
        <v>62</v>
      </c>
      <c r="AD4" s="9"/>
      <c r="AE4" s="9"/>
      <c r="AF4" s="9" t="s">
        <v>62</v>
      </c>
      <c r="AG4" s="9"/>
      <c r="AH4" s="9"/>
      <c r="AI4" s="9" t="s">
        <v>62</v>
      </c>
      <c r="AJ4" s="9"/>
      <c r="AK4" s="9"/>
      <c r="AL4" s="9" t="s">
        <v>62</v>
      </c>
      <c r="AM4" s="9"/>
      <c r="AN4" s="9"/>
      <c r="AO4" s="9" t="s">
        <v>62</v>
      </c>
      <c r="AP4" s="9"/>
      <c r="AQ4" s="9"/>
      <c r="AR4" s="9" t="s">
        <v>62</v>
      </c>
      <c r="AS4" s="9"/>
      <c r="AT4" s="9"/>
      <c r="AU4" s="9" t="s">
        <v>62</v>
      </c>
      <c r="AV4" s="9"/>
      <c r="AW4" s="9"/>
      <c r="AX4" s="9" t="s">
        <v>62</v>
      </c>
      <c r="AY4" s="9"/>
      <c r="AZ4" s="9"/>
      <c r="BA4" s="9" t="s">
        <v>62</v>
      </c>
      <c r="BB4" s="9"/>
      <c r="BC4" s="9"/>
      <c r="BD4" s="9" t="s">
        <v>62</v>
      </c>
      <c r="BE4" s="9"/>
      <c r="BF4" s="9"/>
      <c r="BG4" s="9" t="s">
        <v>62</v>
      </c>
      <c r="BH4" s="9"/>
      <c r="BI4" s="9"/>
      <c r="BJ4" s="9" t="s">
        <v>62</v>
      </c>
      <c r="BK4" s="9"/>
      <c r="BL4" s="9"/>
      <c r="BM4" s="9" t="s">
        <v>62</v>
      </c>
      <c r="BN4" s="9"/>
      <c r="BO4" s="9"/>
      <c r="BP4" s="9" t="s">
        <v>62</v>
      </c>
      <c r="BQ4" s="9"/>
      <c r="BR4" s="9"/>
      <c r="BS4" s="9" t="s">
        <v>62</v>
      </c>
      <c r="BT4" s="9"/>
      <c r="BU4" s="9"/>
      <c r="BV4" s="9" t="s">
        <v>62</v>
      </c>
      <c r="BW4" s="9"/>
      <c r="BX4" s="9"/>
      <c r="BY4" s="9" t="s">
        <v>62</v>
      </c>
      <c r="BZ4" s="9"/>
      <c r="CA4" s="9"/>
      <c r="CB4" s="9" t="s">
        <v>62</v>
      </c>
      <c r="CC4" s="9"/>
      <c r="CD4" s="9"/>
      <c r="CE4" s="9" t="s">
        <v>62</v>
      </c>
      <c r="CF4" s="9"/>
      <c r="CG4" s="9"/>
      <c r="CH4" s="9" t="s">
        <v>62</v>
      </c>
      <c r="CI4" s="9"/>
      <c r="CJ4" s="9"/>
      <c r="CK4" s="9" t="s">
        <v>62</v>
      </c>
      <c r="CL4" s="9"/>
      <c r="CM4" s="9"/>
      <c r="CN4" s="9" t="s">
        <v>62</v>
      </c>
      <c r="CO4" s="9"/>
      <c r="CP4" s="9"/>
      <c r="CQ4" s="9" t="s">
        <v>62</v>
      </c>
      <c r="CR4" s="9"/>
      <c r="CS4" s="9"/>
      <c r="CT4" s="9" t="s">
        <v>62</v>
      </c>
      <c r="CU4" s="9"/>
      <c r="CV4" s="9"/>
      <c r="CW4" s="9" t="s">
        <v>62</v>
      </c>
      <c r="CX4" s="9"/>
      <c r="CY4" s="9"/>
      <c r="CZ4" s="9" t="s">
        <v>62</v>
      </c>
      <c r="DA4" s="9"/>
      <c r="DB4" s="9"/>
      <c r="DC4" s="9" t="s">
        <v>62</v>
      </c>
      <c r="DD4" s="9"/>
      <c r="DE4" s="9"/>
      <c r="DF4" s="9" t="s">
        <v>62</v>
      </c>
      <c r="DG4" s="9"/>
      <c r="DH4" s="9"/>
      <c r="DI4" s="9" t="s">
        <v>62</v>
      </c>
      <c r="DJ4" s="9"/>
      <c r="DK4" s="9"/>
      <c r="DL4" s="9" t="s">
        <v>62</v>
      </c>
      <c r="DM4" s="9"/>
      <c r="DN4" s="9"/>
      <c r="DO4" s="9" t="s">
        <v>62</v>
      </c>
      <c r="DP4" s="9"/>
      <c r="DQ4" s="9"/>
      <c r="DR4" s="9" t="s">
        <v>62</v>
      </c>
      <c r="DS4" s="6" t="s">
        <v>40</v>
      </c>
      <c r="DT4" s="7" t="s">
        <v>40</v>
      </c>
      <c r="DV4" s="56"/>
      <c r="DW4" s="9"/>
      <c r="DX4" s="9"/>
      <c r="DY4" s="108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57"/>
      <c r="EM4" s="57"/>
      <c r="EN4" s="57"/>
      <c r="EO4" s="57"/>
      <c r="EP4" s="57"/>
      <c r="EQ4" s="57"/>
      <c r="ER4" s="57"/>
      <c r="ES4" s="57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9"/>
      <c r="FQ4" s="59"/>
      <c r="FR4" s="59"/>
      <c r="FS4" s="59"/>
      <c r="FT4" s="59"/>
      <c r="FU4" s="59"/>
      <c r="FV4" s="59"/>
    </row>
    <row r="5" spans="1:178" s="71" customFormat="1" ht="12.75" customHeight="1" x14ac:dyDescent="0.2">
      <c r="A5" s="6" t="s">
        <v>41</v>
      </c>
      <c r="B5" s="6" t="s">
        <v>68</v>
      </c>
      <c r="C5" s="20"/>
      <c r="D5" s="20"/>
      <c r="E5" s="20" t="s">
        <v>69</v>
      </c>
      <c r="F5" s="20" t="s">
        <v>44</v>
      </c>
      <c r="G5" s="20"/>
      <c r="H5" s="20" t="s">
        <v>69</v>
      </c>
      <c r="I5" s="20" t="s">
        <v>51</v>
      </c>
      <c r="J5" s="20"/>
      <c r="K5" s="20" t="s">
        <v>69</v>
      </c>
      <c r="L5" s="20" t="s">
        <v>46</v>
      </c>
      <c r="M5" s="20"/>
      <c r="N5" s="20" t="s">
        <v>69</v>
      </c>
      <c r="O5" s="20" t="s">
        <v>47</v>
      </c>
      <c r="P5" s="20"/>
      <c r="Q5" s="20" t="s">
        <v>69</v>
      </c>
      <c r="R5" s="20" t="s">
        <v>84</v>
      </c>
      <c r="S5" s="20"/>
      <c r="T5" s="20" t="s">
        <v>69</v>
      </c>
      <c r="U5" s="20" t="s">
        <v>47</v>
      </c>
      <c r="V5" s="20"/>
      <c r="W5" s="20" t="s">
        <v>69</v>
      </c>
      <c r="X5" s="20" t="s">
        <v>44</v>
      </c>
      <c r="Y5" s="20"/>
      <c r="Z5" s="20" t="s">
        <v>69</v>
      </c>
      <c r="AA5" s="20" t="s">
        <v>44</v>
      </c>
      <c r="AB5" s="20"/>
      <c r="AC5" s="20" t="s">
        <v>69</v>
      </c>
      <c r="AD5" s="20" t="s">
        <v>44</v>
      </c>
      <c r="AE5" s="20"/>
      <c r="AF5" s="20" t="s">
        <v>69</v>
      </c>
      <c r="AG5" s="20" t="s">
        <v>45</v>
      </c>
      <c r="AH5" s="20"/>
      <c r="AI5" s="20" t="s">
        <v>69</v>
      </c>
      <c r="AJ5" s="20" t="s">
        <v>43</v>
      </c>
      <c r="AK5" s="20"/>
      <c r="AL5" s="20" t="s">
        <v>69</v>
      </c>
      <c r="AM5" s="20" t="s">
        <v>51</v>
      </c>
      <c r="AN5" s="20"/>
      <c r="AO5" s="20" t="s">
        <v>69</v>
      </c>
      <c r="AP5" s="20" t="s">
        <v>46</v>
      </c>
      <c r="AQ5" s="20"/>
      <c r="AR5" s="20" t="s">
        <v>69</v>
      </c>
      <c r="AS5" s="20"/>
      <c r="AT5" s="20"/>
      <c r="AU5" s="20" t="s">
        <v>69</v>
      </c>
      <c r="AV5" s="20"/>
      <c r="AW5" s="20"/>
      <c r="AX5" s="20" t="s">
        <v>69</v>
      </c>
      <c r="AY5" s="20"/>
      <c r="AZ5" s="20"/>
      <c r="BA5" s="20" t="s">
        <v>69</v>
      </c>
      <c r="BB5" s="20"/>
      <c r="BC5" s="20"/>
      <c r="BD5" s="20" t="s">
        <v>69</v>
      </c>
      <c r="BE5" s="20"/>
      <c r="BF5" s="20"/>
      <c r="BG5" s="20" t="s">
        <v>69</v>
      </c>
      <c r="BH5" s="20"/>
      <c r="BI5" s="20"/>
      <c r="BJ5" s="20" t="s">
        <v>69</v>
      </c>
      <c r="BK5" s="20"/>
      <c r="BL5" s="20"/>
      <c r="BM5" s="20" t="s">
        <v>69</v>
      </c>
      <c r="BN5" s="20"/>
      <c r="BO5" s="20"/>
      <c r="BP5" s="20" t="s">
        <v>69</v>
      </c>
      <c r="BQ5" s="20"/>
      <c r="BR5" s="20"/>
      <c r="BS5" s="20" t="s">
        <v>69</v>
      </c>
      <c r="BT5" s="20"/>
      <c r="BU5" s="20"/>
      <c r="BV5" s="20" t="s">
        <v>69</v>
      </c>
      <c r="BW5" s="20"/>
      <c r="BX5" s="20"/>
      <c r="BY5" s="20" t="s">
        <v>69</v>
      </c>
      <c r="BZ5" s="20"/>
      <c r="CA5" s="20"/>
      <c r="CB5" s="20" t="s">
        <v>69</v>
      </c>
      <c r="CC5" s="20"/>
      <c r="CD5" s="20"/>
      <c r="CE5" s="20" t="s">
        <v>69</v>
      </c>
      <c r="CF5" s="20"/>
      <c r="CG5" s="20"/>
      <c r="CH5" s="20" t="s">
        <v>69</v>
      </c>
      <c r="CI5" s="20"/>
      <c r="CJ5" s="20"/>
      <c r="CK5" s="20" t="s">
        <v>69</v>
      </c>
      <c r="CL5" s="20"/>
      <c r="CM5" s="20"/>
      <c r="CN5" s="20" t="s">
        <v>69</v>
      </c>
      <c r="CO5" s="20"/>
      <c r="CP5" s="20"/>
      <c r="CQ5" s="20" t="s">
        <v>69</v>
      </c>
      <c r="CR5" s="20"/>
      <c r="CS5" s="20"/>
      <c r="CT5" s="20" t="s">
        <v>69</v>
      </c>
      <c r="CU5" s="20"/>
      <c r="CV5" s="20"/>
      <c r="CW5" s="20" t="s">
        <v>69</v>
      </c>
      <c r="CX5" s="20"/>
      <c r="CY5" s="20"/>
      <c r="CZ5" s="20" t="s">
        <v>69</v>
      </c>
      <c r="DA5" s="20"/>
      <c r="DB5" s="20"/>
      <c r="DC5" s="20" t="s">
        <v>69</v>
      </c>
      <c r="DD5" s="20"/>
      <c r="DE5" s="20"/>
      <c r="DF5" s="20" t="s">
        <v>69</v>
      </c>
      <c r="DG5" s="20"/>
      <c r="DH5" s="20"/>
      <c r="DI5" s="20" t="s">
        <v>69</v>
      </c>
      <c r="DJ5" s="20"/>
      <c r="DK5" s="20"/>
      <c r="DL5" s="20" t="s">
        <v>69</v>
      </c>
      <c r="DM5" s="20"/>
      <c r="DN5" s="20"/>
      <c r="DO5" s="20" t="s">
        <v>69</v>
      </c>
      <c r="DP5" s="20"/>
      <c r="DQ5" s="20"/>
      <c r="DR5" s="20" t="s">
        <v>69</v>
      </c>
      <c r="DS5" s="56" t="s">
        <v>58</v>
      </c>
      <c r="DT5" s="56" t="s">
        <v>70</v>
      </c>
      <c r="DU5" s="56" t="s">
        <v>69</v>
      </c>
      <c r="DV5" s="20"/>
      <c r="DW5" s="20"/>
      <c r="DX5" s="20"/>
      <c r="DY5" s="109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68"/>
      <c r="EM5" s="68"/>
      <c r="EN5" s="68"/>
      <c r="EO5" s="68"/>
      <c r="EP5" s="68"/>
      <c r="EQ5" s="68"/>
      <c r="ER5" s="68"/>
      <c r="ES5" s="68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70"/>
      <c r="FQ5" s="70"/>
      <c r="FR5" s="70"/>
      <c r="FS5" s="70"/>
      <c r="FT5" s="70"/>
      <c r="FU5" s="70"/>
      <c r="FV5" s="70"/>
    </row>
    <row r="6" spans="1:178" s="78" customFormat="1" x14ac:dyDescent="0.2">
      <c r="A6" s="110">
        <v>36708</v>
      </c>
      <c r="B6" s="72" t="s">
        <v>85</v>
      </c>
      <c r="C6" s="23">
        <v>4178</v>
      </c>
      <c r="D6" s="23">
        <v>4178</v>
      </c>
      <c r="E6" s="73">
        <f t="shared" ref="E6:E36" si="0">D6-C6</f>
        <v>0</v>
      </c>
      <c r="F6" s="23">
        <v>20000</v>
      </c>
      <c r="G6" s="23">
        <v>20000</v>
      </c>
      <c r="H6" s="73">
        <f t="shared" ref="H6:H36" si="1">G6-F6</f>
        <v>0</v>
      </c>
      <c r="I6" s="23">
        <v>2489</v>
      </c>
      <c r="J6" s="23">
        <v>2489</v>
      </c>
      <c r="K6" s="73">
        <f t="shared" ref="K6:K36" si="2">J6-I6</f>
        <v>0</v>
      </c>
      <c r="L6" s="23">
        <v>10000</v>
      </c>
      <c r="M6" s="23">
        <v>10000</v>
      </c>
      <c r="N6" s="73">
        <f t="shared" ref="N6:N36" si="3">M6-L6</f>
        <v>0</v>
      </c>
      <c r="O6" s="23">
        <f t="shared" ref="O6:O36" si="4">5000+5000</f>
        <v>10000</v>
      </c>
      <c r="P6" s="23">
        <v>10000</v>
      </c>
      <c r="Q6" s="73">
        <f t="shared" ref="Q6:Q36" si="5">P6-O6</f>
        <v>0</v>
      </c>
      <c r="R6" s="23">
        <v>5000</v>
      </c>
      <c r="S6" s="23">
        <v>5000</v>
      </c>
      <c r="T6" s="73">
        <f t="shared" ref="T6:T36" si="6">S6-R6</f>
        <v>0</v>
      </c>
      <c r="U6" s="23">
        <f t="shared" ref="U6:V36" si="7">1000+4000</f>
        <v>5000</v>
      </c>
      <c r="V6" s="23">
        <f t="shared" si="7"/>
        <v>5000</v>
      </c>
      <c r="W6" s="73">
        <f t="shared" ref="W6:W36" si="8">V6-U6</f>
        <v>0</v>
      </c>
      <c r="X6" s="23">
        <v>10000</v>
      </c>
      <c r="Y6" s="23">
        <v>10000</v>
      </c>
      <c r="Z6" s="73">
        <f t="shared" ref="Z6:Z36" si="9">Y6-X6</f>
        <v>0</v>
      </c>
      <c r="AA6" s="23">
        <v>4047</v>
      </c>
      <c r="AB6" s="23">
        <v>4047</v>
      </c>
      <c r="AC6" s="73">
        <f t="shared" ref="AC6:AC36" si="10">AB6-AA6</f>
        <v>0</v>
      </c>
      <c r="AD6" s="23">
        <v>4047</v>
      </c>
      <c r="AE6" s="23">
        <v>4047</v>
      </c>
      <c r="AF6" s="73">
        <f t="shared" ref="AF6:AF36" si="11">AE6-AD6</f>
        <v>0</v>
      </c>
      <c r="AG6" s="23">
        <v>4810</v>
      </c>
      <c r="AH6" s="23">
        <v>4810</v>
      </c>
      <c r="AI6" s="73">
        <f t="shared" ref="AI6:AI36" si="12">AH6-AG6</f>
        <v>0</v>
      </c>
      <c r="AJ6" s="23">
        <v>3000</v>
      </c>
      <c r="AK6" s="23">
        <v>3000</v>
      </c>
      <c r="AL6" s="73">
        <f t="shared" ref="AL6:AL36" si="13">AK6-AJ6</f>
        <v>0</v>
      </c>
      <c r="AM6" s="23">
        <v>5165</v>
      </c>
      <c r="AN6" s="23">
        <v>5165</v>
      </c>
      <c r="AO6" s="73">
        <f t="shared" ref="AO6:AO36" si="14">AN6-AM6</f>
        <v>0</v>
      </c>
      <c r="AP6" s="23">
        <v>5000</v>
      </c>
      <c r="AQ6" s="23">
        <v>5000</v>
      </c>
      <c r="AR6" s="73">
        <f t="shared" ref="AR6:AR36" si="15">AQ6-AP6</f>
        <v>0</v>
      </c>
      <c r="AS6" s="23"/>
      <c r="AT6" s="23"/>
      <c r="AU6" s="73">
        <f t="shared" ref="AU6:AU36" si="16">AT6-AS6</f>
        <v>0</v>
      </c>
      <c r="AV6" s="23"/>
      <c r="AW6" s="23"/>
      <c r="AX6" s="73">
        <f t="shared" ref="AX6:AX36" si="17">AW6-AV6</f>
        <v>0</v>
      </c>
      <c r="AY6" s="23"/>
      <c r="AZ6" s="23"/>
      <c r="BA6" s="73">
        <f t="shared" ref="BA6:BA36" si="18">AZ6-AY6</f>
        <v>0</v>
      </c>
      <c r="BB6" s="23"/>
      <c r="BC6" s="23"/>
      <c r="BD6" s="73">
        <f t="shared" ref="BD6:BD36" si="19">BC6-BB6</f>
        <v>0</v>
      </c>
      <c r="BE6" s="23"/>
      <c r="BF6" s="23"/>
      <c r="BG6" s="73">
        <f t="shared" ref="BG6:BG36" si="20">BF6-BE6</f>
        <v>0</v>
      </c>
      <c r="BH6" s="23"/>
      <c r="BI6" s="23"/>
      <c r="BJ6" s="73">
        <f t="shared" ref="BJ6:BJ36" si="21">BI6-BH6</f>
        <v>0</v>
      </c>
      <c r="BK6" s="23"/>
      <c r="BL6" s="23"/>
      <c r="BM6" s="73">
        <f t="shared" ref="BM6:BM36" si="22">BL6-BK6</f>
        <v>0</v>
      </c>
      <c r="BN6" s="23"/>
      <c r="BO6" s="23"/>
      <c r="BP6" s="73">
        <f t="shared" ref="BP6:BP36" si="23">BO6-BN6</f>
        <v>0</v>
      </c>
      <c r="BQ6" s="23"/>
      <c r="BR6" s="23"/>
      <c r="BS6" s="73">
        <f t="shared" ref="BS6:BS36" si="24">BR6-BQ6</f>
        <v>0</v>
      </c>
      <c r="BT6" s="23"/>
      <c r="BU6" s="23"/>
      <c r="BV6" s="73">
        <f t="shared" ref="BV6:BV36" si="25">BU6-BT6</f>
        <v>0</v>
      </c>
      <c r="BW6" s="23"/>
      <c r="BX6" s="23"/>
      <c r="BY6" s="73">
        <f t="shared" ref="BY6:BY36" si="26">BX6-BW6</f>
        <v>0</v>
      </c>
      <c r="BZ6" s="23"/>
      <c r="CA6" s="23"/>
      <c r="CB6" s="73">
        <f t="shared" ref="CB6:CB36" si="27">CA6-BZ6</f>
        <v>0</v>
      </c>
      <c r="CC6" s="23"/>
      <c r="CD6" s="23"/>
      <c r="CE6" s="73">
        <f t="shared" ref="CE6:CE36" si="28">CD6-CC6</f>
        <v>0</v>
      </c>
      <c r="CF6" s="23"/>
      <c r="CG6" s="23"/>
      <c r="CH6" s="73">
        <f t="shared" ref="CH6:CH36" si="29">CG6-CF6</f>
        <v>0</v>
      </c>
      <c r="CI6" s="23"/>
      <c r="CJ6" s="23"/>
      <c r="CK6" s="73">
        <f t="shared" ref="CK6:CK36" si="30">CJ6-CI6</f>
        <v>0</v>
      </c>
      <c r="CL6" s="23"/>
      <c r="CM6" s="23"/>
      <c r="CN6" s="73">
        <f t="shared" ref="CN6:CN36" si="31">CM6-CL6</f>
        <v>0</v>
      </c>
      <c r="CO6" s="23"/>
      <c r="CP6" s="23"/>
      <c r="CQ6" s="73">
        <f t="shared" ref="CQ6:CQ36" si="32">CP6-CO6</f>
        <v>0</v>
      </c>
      <c r="CR6" s="23"/>
      <c r="CS6" s="23"/>
      <c r="CT6" s="73">
        <f t="shared" ref="CT6:CT36" si="33">CS6-CR6</f>
        <v>0</v>
      </c>
      <c r="CU6" s="23"/>
      <c r="CV6" s="23"/>
      <c r="CW6" s="73">
        <f t="shared" ref="CW6:CW36" si="34">CV6-CU6</f>
        <v>0</v>
      </c>
      <c r="CX6" s="23"/>
      <c r="CY6" s="23"/>
      <c r="CZ6" s="73">
        <f t="shared" ref="CZ6:CZ36" si="35">CY6-CX6</f>
        <v>0</v>
      </c>
      <c r="DA6" s="23"/>
      <c r="DB6" s="23"/>
      <c r="DC6" s="73">
        <f t="shared" ref="DC6:DC36" si="36">DB6-DA6</f>
        <v>0</v>
      </c>
      <c r="DD6" s="23"/>
      <c r="DE6" s="23"/>
      <c r="DF6" s="73">
        <f t="shared" ref="DF6:DF36" si="37">DE6-DD6</f>
        <v>0</v>
      </c>
      <c r="DG6" s="23"/>
      <c r="DH6" s="23"/>
      <c r="DI6" s="73">
        <f t="shared" ref="DI6:DI36" si="38">DH6-DG6</f>
        <v>0</v>
      </c>
      <c r="DJ6" s="23"/>
      <c r="DK6" s="23"/>
      <c r="DL6" s="73">
        <f t="shared" ref="DL6:DL36" si="39">DK6-DJ6</f>
        <v>0</v>
      </c>
      <c r="DM6" s="23"/>
      <c r="DN6" s="23"/>
      <c r="DO6" s="73">
        <f t="shared" ref="DO6:DO36" si="40">DN6-DM6</f>
        <v>0</v>
      </c>
      <c r="DP6" s="23"/>
      <c r="DQ6" s="23"/>
      <c r="DR6" s="73">
        <f t="shared" ref="DR6:DR36" si="41">DQ6-DP6</f>
        <v>0</v>
      </c>
      <c r="DS6" s="73">
        <f t="shared" ref="DS6:DS36" si="42">+C6+F6+I6+L6+O6+R6+U6+X6+AA6+AD6+AG6+AJ6+AM6+AP6+AS6+AV6+AY6+BB6+BE6+BH6+BK6+BN6+BQ6+BT6+BW6+BZ6+CC6+CF6+CI6+CL6+CO6+CR6+CU6+CX6+DA6+DD6+DG6+DJ6+DM6+DP6</f>
        <v>92736</v>
      </c>
      <c r="DT6" s="73">
        <f t="shared" ref="DT6:DT36" si="43">+D6+G6+J6+M6+P6+S6+V6+Y6+AB6+AE6+AH6+AK6+AN6+AQ6+AT6+AW6+AZ6+BC6+BF6+BI6+BL6+BO6+BR6+BU6+BX6+CA6+CD6+CG6+CJ6+CM6+CP6+CS6+CV6+CY6+DB6+DE6+DH6+DK6+DN6+DQ6</f>
        <v>92736</v>
      </c>
      <c r="DU6" s="73">
        <f t="shared" ref="DU6:DU36" si="44">DT6-DS6</f>
        <v>0</v>
      </c>
      <c r="DV6" s="23"/>
      <c r="DW6" s="23"/>
      <c r="DX6" s="7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40"/>
      <c r="EM6" s="40"/>
      <c r="EN6" s="40"/>
      <c r="EO6" s="40"/>
      <c r="EP6" s="40"/>
      <c r="EQ6" s="40"/>
      <c r="ER6" s="40"/>
      <c r="ES6" s="40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/>
      <c r="FF6" s="76"/>
      <c r="FG6" s="76"/>
      <c r="FH6" s="76"/>
      <c r="FI6" s="76"/>
      <c r="FJ6" s="76"/>
      <c r="FK6" s="76"/>
      <c r="FL6" s="76"/>
      <c r="FM6" s="76"/>
      <c r="FN6" s="76"/>
      <c r="FO6" s="76"/>
      <c r="FP6" s="77"/>
      <c r="FQ6" s="77"/>
      <c r="FR6" s="77"/>
      <c r="FS6" s="77"/>
      <c r="FT6" s="77"/>
      <c r="FU6" s="77"/>
      <c r="FV6" s="77"/>
    </row>
    <row r="7" spans="1:178" s="78" customFormat="1" x14ac:dyDescent="0.2">
      <c r="A7" s="72">
        <f t="shared" ref="A7:A36" si="45">A6+1</f>
        <v>36709</v>
      </c>
      <c r="B7" s="72" t="s">
        <v>86</v>
      </c>
      <c r="C7" s="23">
        <v>4178</v>
      </c>
      <c r="D7" s="23">
        <v>4178</v>
      </c>
      <c r="E7" s="73">
        <f t="shared" si="0"/>
        <v>0</v>
      </c>
      <c r="F7" s="23">
        <v>20000</v>
      </c>
      <c r="G7" s="23">
        <v>20000</v>
      </c>
      <c r="H7" s="73">
        <f t="shared" si="1"/>
        <v>0</v>
      </c>
      <c r="I7" s="23">
        <v>2316</v>
      </c>
      <c r="J7" s="23">
        <v>2316</v>
      </c>
      <c r="K7" s="73">
        <f t="shared" si="2"/>
        <v>0</v>
      </c>
      <c r="L7" s="23">
        <v>10000</v>
      </c>
      <c r="M7" s="23">
        <v>10000</v>
      </c>
      <c r="N7" s="73">
        <f t="shared" si="3"/>
        <v>0</v>
      </c>
      <c r="O7" s="23">
        <f t="shared" si="4"/>
        <v>10000</v>
      </c>
      <c r="P7" s="23">
        <v>10000</v>
      </c>
      <c r="Q7" s="73">
        <f t="shared" si="5"/>
        <v>0</v>
      </c>
      <c r="R7" s="23">
        <v>5000</v>
      </c>
      <c r="S7" s="23">
        <v>5000</v>
      </c>
      <c r="T7" s="73">
        <f t="shared" si="6"/>
        <v>0</v>
      </c>
      <c r="U7" s="23">
        <f t="shared" si="7"/>
        <v>5000</v>
      </c>
      <c r="V7" s="23">
        <f t="shared" si="7"/>
        <v>5000</v>
      </c>
      <c r="W7" s="73">
        <f t="shared" si="8"/>
        <v>0</v>
      </c>
      <c r="X7" s="23">
        <v>10000</v>
      </c>
      <c r="Y7" s="23">
        <v>10000</v>
      </c>
      <c r="Z7" s="73">
        <f t="shared" si="9"/>
        <v>0</v>
      </c>
      <c r="AA7" s="23">
        <v>3394</v>
      </c>
      <c r="AB7" s="23">
        <v>3394</v>
      </c>
      <c r="AC7" s="73">
        <f t="shared" si="10"/>
        <v>0</v>
      </c>
      <c r="AD7" s="23">
        <v>3394</v>
      </c>
      <c r="AE7" s="23">
        <v>3394</v>
      </c>
      <c r="AF7" s="73">
        <f t="shared" si="11"/>
        <v>0</v>
      </c>
      <c r="AG7" s="23">
        <v>4847</v>
      </c>
      <c r="AH7" s="23">
        <v>4847</v>
      </c>
      <c r="AI7" s="73">
        <f t="shared" si="12"/>
        <v>0</v>
      </c>
      <c r="AJ7" s="23">
        <v>3000</v>
      </c>
      <c r="AK7" s="23">
        <v>3000</v>
      </c>
      <c r="AL7" s="73">
        <f t="shared" si="13"/>
        <v>0</v>
      </c>
      <c r="AM7" s="23">
        <v>4807</v>
      </c>
      <c r="AN7" s="23">
        <v>4807</v>
      </c>
      <c r="AO7" s="73">
        <f t="shared" si="14"/>
        <v>0</v>
      </c>
      <c r="AP7" s="23">
        <v>5000</v>
      </c>
      <c r="AQ7" s="23">
        <v>5000</v>
      </c>
      <c r="AR7" s="73">
        <f t="shared" si="15"/>
        <v>0</v>
      </c>
      <c r="AS7" s="23"/>
      <c r="AT7" s="23"/>
      <c r="AU7" s="73">
        <f t="shared" si="16"/>
        <v>0</v>
      </c>
      <c r="AV7" s="23"/>
      <c r="AW7" s="23"/>
      <c r="AX7" s="73">
        <f t="shared" si="17"/>
        <v>0</v>
      </c>
      <c r="AY7" s="23"/>
      <c r="AZ7" s="23"/>
      <c r="BA7" s="73">
        <f t="shared" si="18"/>
        <v>0</v>
      </c>
      <c r="BB7" s="23"/>
      <c r="BC7" s="23"/>
      <c r="BD7" s="73">
        <f t="shared" si="19"/>
        <v>0</v>
      </c>
      <c r="BE7" s="23"/>
      <c r="BF7" s="23"/>
      <c r="BG7" s="73">
        <f t="shared" si="20"/>
        <v>0</v>
      </c>
      <c r="BH7" s="23"/>
      <c r="BI7" s="23"/>
      <c r="BJ7" s="73">
        <f t="shared" si="21"/>
        <v>0</v>
      </c>
      <c r="BK7" s="23"/>
      <c r="BL7" s="23"/>
      <c r="BM7" s="73">
        <f t="shared" si="22"/>
        <v>0</v>
      </c>
      <c r="BN7" s="23"/>
      <c r="BO7" s="23"/>
      <c r="BP7" s="73">
        <f t="shared" si="23"/>
        <v>0</v>
      </c>
      <c r="BQ7" s="23"/>
      <c r="BR7" s="23"/>
      <c r="BS7" s="73">
        <f t="shared" si="24"/>
        <v>0</v>
      </c>
      <c r="BT7" s="23"/>
      <c r="BU7" s="23"/>
      <c r="BV7" s="73">
        <f t="shared" si="25"/>
        <v>0</v>
      </c>
      <c r="BW7" s="23"/>
      <c r="BX7" s="23"/>
      <c r="BY7" s="73">
        <f t="shared" si="26"/>
        <v>0</v>
      </c>
      <c r="BZ7" s="23"/>
      <c r="CA7" s="23"/>
      <c r="CB7" s="73">
        <f t="shared" si="27"/>
        <v>0</v>
      </c>
      <c r="CC7" s="23"/>
      <c r="CD7" s="23"/>
      <c r="CE7" s="73">
        <f t="shared" si="28"/>
        <v>0</v>
      </c>
      <c r="CF7" s="23"/>
      <c r="CG7" s="23"/>
      <c r="CH7" s="73">
        <f t="shared" si="29"/>
        <v>0</v>
      </c>
      <c r="CI7" s="23"/>
      <c r="CJ7" s="23"/>
      <c r="CK7" s="73">
        <f t="shared" si="30"/>
        <v>0</v>
      </c>
      <c r="CL7" s="23"/>
      <c r="CM7" s="23"/>
      <c r="CN7" s="73">
        <f t="shared" si="31"/>
        <v>0</v>
      </c>
      <c r="CO7" s="23"/>
      <c r="CP7" s="23"/>
      <c r="CQ7" s="73">
        <f t="shared" si="32"/>
        <v>0</v>
      </c>
      <c r="CR7" s="23"/>
      <c r="CS7" s="23"/>
      <c r="CT7" s="73">
        <f t="shared" si="33"/>
        <v>0</v>
      </c>
      <c r="CU7" s="23"/>
      <c r="CV7" s="23"/>
      <c r="CW7" s="73">
        <f t="shared" si="34"/>
        <v>0</v>
      </c>
      <c r="CX7" s="23"/>
      <c r="CY7" s="23"/>
      <c r="CZ7" s="73">
        <f t="shared" si="35"/>
        <v>0</v>
      </c>
      <c r="DA7" s="23"/>
      <c r="DB7" s="23"/>
      <c r="DC7" s="73">
        <f t="shared" si="36"/>
        <v>0</v>
      </c>
      <c r="DD7" s="23"/>
      <c r="DE7" s="23"/>
      <c r="DF7" s="73">
        <f t="shared" si="37"/>
        <v>0</v>
      </c>
      <c r="DG7" s="23"/>
      <c r="DH7" s="23"/>
      <c r="DI7" s="73">
        <f t="shared" si="38"/>
        <v>0</v>
      </c>
      <c r="DJ7" s="23"/>
      <c r="DK7" s="23"/>
      <c r="DL7" s="73">
        <f t="shared" si="39"/>
        <v>0</v>
      </c>
      <c r="DM7" s="23"/>
      <c r="DN7" s="23"/>
      <c r="DO7" s="73">
        <f t="shared" si="40"/>
        <v>0</v>
      </c>
      <c r="DP7" s="23"/>
      <c r="DQ7" s="23"/>
      <c r="DR7" s="73">
        <f t="shared" si="41"/>
        <v>0</v>
      </c>
      <c r="DS7" s="73">
        <f t="shared" si="42"/>
        <v>90936</v>
      </c>
      <c r="DT7" s="73">
        <f t="shared" si="43"/>
        <v>90936</v>
      </c>
      <c r="DU7" s="73">
        <f t="shared" si="44"/>
        <v>0</v>
      </c>
      <c r="DV7" s="23"/>
      <c r="DW7" s="23"/>
      <c r="DX7" s="7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40"/>
      <c r="EM7" s="40"/>
      <c r="EN7" s="40"/>
      <c r="EO7" s="40"/>
      <c r="EP7" s="40"/>
      <c r="EQ7" s="40"/>
      <c r="ER7" s="40"/>
      <c r="ES7" s="40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7"/>
      <c r="FQ7" s="77"/>
      <c r="FR7" s="77"/>
      <c r="FS7" s="77"/>
      <c r="FT7" s="77"/>
      <c r="FU7" s="77"/>
      <c r="FV7" s="77"/>
    </row>
    <row r="8" spans="1:178" x14ac:dyDescent="0.2">
      <c r="A8" s="72">
        <f t="shared" si="45"/>
        <v>36710</v>
      </c>
      <c r="B8" s="72" t="s">
        <v>87</v>
      </c>
      <c r="C8" s="23">
        <v>4178</v>
      </c>
      <c r="D8" s="23">
        <v>4178</v>
      </c>
      <c r="E8" s="73">
        <f t="shared" si="0"/>
        <v>0</v>
      </c>
      <c r="F8" s="23">
        <v>20000</v>
      </c>
      <c r="G8" s="23">
        <v>20000</v>
      </c>
      <c r="H8" s="73">
        <f t="shared" si="1"/>
        <v>0</v>
      </c>
      <c r="I8" s="23">
        <v>1852</v>
      </c>
      <c r="J8" s="23">
        <v>1852</v>
      </c>
      <c r="K8" s="73">
        <f t="shared" si="2"/>
        <v>0</v>
      </c>
      <c r="L8" s="23">
        <v>10000</v>
      </c>
      <c r="M8" s="23">
        <v>10000</v>
      </c>
      <c r="N8" s="73">
        <f t="shared" si="3"/>
        <v>0</v>
      </c>
      <c r="O8" s="23">
        <f t="shared" si="4"/>
        <v>10000</v>
      </c>
      <c r="P8" s="23">
        <v>10000</v>
      </c>
      <c r="Q8" s="73">
        <f t="shared" si="5"/>
        <v>0</v>
      </c>
      <c r="R8" s="23">
        <v>5000</v>
      </c>
      <c r="S8" s="23">
        <v>5000</v>
      </c>
      <c r="T8" s="73">
        <f t="shared" si="6"/>
        <v>0</v>
      </c>
      <c r="U8" s="23">
        <f t="shared" si="7"/>
        <v>5000</v>
      </c>
      <c r="V8" s="23">
        <f t="shared" si="7"/>
        <v>5000</v>
      </c>
      <c r="W8" s="73">
        <f t="shared" si="8"/>
        <v>0</v>
      </c>
      <c r="X8" s="23">
        <v>10000</v>
      </c>
      <c r="Y8" s="23">
        <v>10000</v>
      </c>
      <c r="Z8" s="73">
        <f t="shared" si="9"/>
        <v>0</v>
      </c>
      <c r="AA8" s="23">
        <v>3778</v>
      </c>
      <c r="AB8" s="23">
        <v>3778</v>
      </c>
      <c r="AC8" s="73">
        <f t="shared" si="10"/>
        <v>0</v>
      </c>
      <c r="AD8" s="23">
        <v>3778</v>
      </c>
      <c r="AE8" s="23">
        <v>3778</v>
      </c>
      <c r="AF8" s="73">
        <f t="shared" si="11"/>
        <v>0</v>
      </c>
      <c r="AG8" s="23">
        <v>4732</v>
      </c>
      <c r="AH8" s="23">
        <v>4732</v>
      </c>
      <c r="AI8" s="73">
        <f t="shared" si="12"/>
        <v>0</v>
      </c>
      <c r="AJ8" s="23">
        <v>3000</v>
      </c>
      <c r="AK8" s="23">
        <v>3000</v>
      </c>
      <c r="AL8" s="73">
        <f t="shared" si="13"/>
        <v>0</v>
      </c>
      <c r="AM8" s="23">
        <v>5039</v>
      </c>
      <c r="AN8" s="23">
        <v>5039</v>
      </c>
      <c r="AO8" s="73">
        <f t="shared" si="14"/>
        <v>0</v>
      </c>
      <c r="AP8" s="23">
        <v>5000</v>
      </c>
      <c r="AQ8" s="23">
        <v>5000</v>
      </c>
      <c r="AR8" s="73">
        <f t="shared" si="15"/>
        <v>0</v>
      </c>
      <c r="AS8" s="23"/>
      <c r="AT8" s="23"/>
      <c r="AU8" s="73">
        <f t="shared" si="16"/>
        <v>0</v>
      </c>
      <c r="AV8" s="23"/>
      <c r="AW8" s="23"/>
      <c r="AX8" s="73">
        <f t="shared" si="17"/>
        <v>0</v>
      </c>
      <c r="AY8" s="23"/>
      <c r="AZ8" s="23"/>
      <c r="BA8" s="73">
        <f t="shared" si="18"/>
        <v>0</v>
      </c>
      <c r="BB8" s="23"/>
      <c r="BC8" s="23"/>
      <c r="BD8" s="73">
        <f t="shared" si="19"/>
        <v>0</v>
      </c>
      <c r="BE8" s="23"/>
      <c r="BF8" s="23"/>
      <c r="BG8" s="73">
        <f t="shared" si="20"/>
        <v>0</v>
      </c>
      <c r="BH8" s="23"/>
      <c r="BI8" s="23"/>
      <c r="BJ8" s="73">
        <f t="shared" si="21"/>
        <v>0</v>
      </c>
      <c r="BK8" s="23"/>
      <c r="BL8" s="23"/>
      <c r="BM8" s="73">
        <f t="shared" si="22"/>
        <v>0</v>
      </c>
      <c r="BN8" s="23"/>
      <c r="BO8" s="23"/>
      <c r="BP8" s="73">
        <f t="shared" si="23"/>
        <v>0</v>
      </c>
      <c r="BQ8" s="23"/>
      <c r="BR8" s="23"/>
      <c r="BS8" s="73">
        <f t="shared" si="24"/>
        <v>0</v>
      </c>
      <c r="BT8" s="23"/>
      <c r="BU8" s="23"/>
      <c r="BV8" s="73">
        <f t="shared" si="25"/>
        <v>0</v>
      </c>
      <c r="BW8" s="23"/>
      <c r="BX8" s="23"/>
      <c r="BY8" s="73">
        <f t="shared" si="26"/>
        <v>0</v>
      </c>
      <c r="BZ8" s="23"/>
      <c r="CA8" s="23"/>
      <c r="CB8" s="73">
        <f t="shared" si="27"/>
        <v>0</v>
      </c>
      <c r="CC8" s="23"/>
      <c r="CD8" s="23"/>
      <c r="CE8" s="73">
        <f t="shared" si="28"/>
        <v>0</v>
      </c>
      <c r="CF8" s="23"/>
      <c r="CG8" s="23"/>
      <c r="CH8" s="73">
        <f t="shared" si="29"/>
        <v>0</v>
      </c>
      <c r="CI8" s="23"/>
      <c r="CJ8" s="23"/>
      <c r="CK8" s="73">
        <f t="shared" si="30"/>
        <v>0</v>
      </c>
      <c r="CL8" s="23"/>
      <c r="CM8" s="23"/>
      <c r="CN8" s="73">
        <f t="shared" si="31"/>
        <v>0</v>
      </c>
      <c r="CO8" s="23"/>
      <c r="CP8" s="23"/>
      <c r="CQ8" s="73">
        <f t="shared" si="32"/>
        <v>0</v>
      </c>
      <c r="CR8" s="23"/>
      <c r="CS8" s="23"/>
      <c r="CT8" s="73">
        <f t="shared" si="33"/>
        <v>0</v>
      </c>
      <c r="CU8" s="23"/>
      <c r="CV8" s="23"/>
      <c r="CW8" s="73">
        <f t="shared" si="34"/>
        <v>0</v>
      </c>
      <c r="CX8" s="23"/>
      <c r="CY8" s="23"/>
      <c r="CZ8" s="73">
        <f t="shared" si="35"/>
        <v>0</v>
      </c>
      <c r="DA8" s="23"/>
      <c r="DB8" s="23"/>
      <c r="DC8" s="73">
        <f t="shared" si="36"/>
        <v>0</v>
      </c>
      <c r="DD8" s="23"/>
      <c r="DE8" s="23"/>
      <c r="DF8" s="73">
        <f t="shared" si="37"/>
        <v>0</v>
      </c>
      <c r="DG8" s="23"/>
      <c r="DH8" s="23"/>
      <c r="DI8" s="73">
        <f t="shared" si="38"/>
        <v>0</v>
      </c>
      <c r="DJ8" s="23"/>
      <c r="DK8" s="23"/>
      <c r="DL8" s="73">
        <f t="shared" si="39"/>
        <v>0</v>
      </c>
      <c r="DM8" s="23"/>
      <c r="DN8" s="23"/>
      <c r="DO8" s="73">
        <f t="shared" si="40"/>
        <v>0</v>
      </c>
      <c r="DP8" s="23"/>
      <c r="DQ8" s="23"/>
      <c r="DR8" s="73">
        <f t="shared" si="41"/>
        <v>0</v>
      </c>
      <c r="DS8" s="73">
        <f t="shared" si="42"/>
        <v>91357</v>
      </c>
      <c r="DT8" s="73">
        <f t="shared" si="43"/>
        <v>91357</v>
      </c>
      <c r="DU8" s="73">
        <f t="shared" si="44"/>
        <v>0</v>
      </c>
      <c r="DV8" s="111"/>
      <c r="DW8" s="79"/>
      <c r="DX8" s="79"/>
      <c r="DY8" s="111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</row>
    <row r="9" spans="1:178" x14ac:dyDescent="0.2">
      <c r="A9" s="72">
        <f t="shared" si="45"/>
        <v>36711</v>
      </c>
      <c r="B9" s="72" t="s">
        <v>88</v>
      </c>
      <c r="C9" s="23">
        <v>4178</v>
      </c>
      <c r="D9" s="23">
        <v>4178</v>
      </c>
      <c r="E9" s="73">
        <f t="shared" si="0"/>
        <v>0</v>
      </c>
      <c r="F9" s="23">
        <v>20000</v>
      </c>
      <c r="G9" s="23">
        <v>20000</v>
      </c>
      <c r="H9" s="73">
        <f t="shared" si="1"/>
        <v>0</v>
      </c>
      <c r="I9" s="23">
        <v>2497</v>
      </c>
      <c r="J9" s="23">
        <v>2497</v>
      </c>
      <c r="K9" s="73">
        <f t="shared" si="2"/>
        <v>0</v>
      </c>
      <c r="L9" s="23">
        <v>10000</v>
      </c>
      <c r="M9" s="23">
        <v>10000</v>
      </c>
      <c r="N9" s="73">
        <f t="shared" si="3"/>
        <v>0</v>
      </c>
      <c r="O9" s="23">
        <f t="shared" si="4"/>
        <v>10000</v>
      </c>
      <c r="P9" s="23">
        <v>10000</v>
      </c>
      <c r="Q9" s="73">
        <f t="shared" si="5"/>
        <v>0</v>
      </c>
      <c r="R9" s="23">
        <v>5000</v>
      </c>
      <c r="S9" s="23">
        <v>5000</v>
      </c>
      <c r="T9" s="73">
        <f t="shared" si="6"/>
        <v>0</v>
      </c>
      <c r="U9" s="23">
        <f t="shared" si="7"/>
        <v>5000</v>
      </c>
      <c r="V9" s="23">
        <f t="shared" si="7"/>
        <v>5000</v>
      </c>
      <c r="W9" s="73">
        <f t="shared" si="8"/>
        <v>0</v>
      </c>
      <c r="X9" s="23">
        <v>10000</v>
      </c>
      <c r="Y9" s="23">
        <v>10000</v>
      </c>
      <c r="Z9" s="73">
        <f t="shared" si="9"/>
        <v>0</v>
      </c>
      <c r="AA9" s="23">
        <v>3253</v>
      </c>
      <c r="AB9" s="23">
        <v>3253</v>
      </c>
      <c r="AC9" s="73">
        <f t="shared" si="10"/>
        <v>0</v>
      </c>
      <c r="AD9" s="23">
        <v>3253</v>
      </c>
      <c r="AE9" s="23">
        <v>3253</v>
      </c>
      <c r="AF9" s="73">
        <f t="shared" si="11"/>
        <v>0</v>
      </c>
      <c r="AG9" s="23">
        <v>4749</v>
      </c>
      <c r="AH9" s="23">
        <f>2847+1902</f>
        <v>4749</v>
      </c>
      <c r="AI9" s="73">
        <f t="shared" si="12"/>
        <v>0</v>
      </c>
      <c r="AJ9" s="23">
        <v>3000</v>
      </c>
      <c r="AK9" s="23">
        <v>3000</v>
      </c>
      <c r="AL9" s="73">
        <f t="shared" si="13"/>
        <v>0</v>
      </c>
      <c r="AM9" s="23">
        <v>8326</v>
      </c>
      <c r="AN9" s="23">
        <v>8326</v>
      </c>
      <c r="AO9" s="73">
        <f t="shared" si="14"/>
        <v>0</v>
      </c>
      <c r="AP9" s="23">
        <v>5000</v>
      </c>
      <c r="AQ9" s="23">
        <v>5000</v>
      </c>
      <c r="AR9" s="73">
        <f t="shared" si="15"/>
        <v>0</v>
      </c>
      <c r="AS9" s="23"/>
      <c r="AT9" s="23"/>
      <c r="AU9" s="73">
        <f t="shared" si="16"/>
        <v>0</v>
      </c>
      <c r="AV9" s="23"/>
      <c r="AW9" s="23"/>
      <c r="AX9" s="73">
        <f t="shared" si="17"/>
        <v>0</v>
      </c>
      <c r="AY9" s="23"/>
      <c r="AZ9" s="23"/>
      <c r="BA9" s="73">
        <f t="shared" si="18"/>
        <v>0</v>
      </c>
      <c r="BB9" s="23"/>
      <c r="BC9" s="23"/>
      <c r="BD9" s="73">
        <f t="shared" si="19"/>
        <v>0</v>
      </c>
      <c r="BE9" s="23"/>
      <c r="BF9" s="23"/>
      <c r="BG9" s="73">
        <f t="shared" si="20"/>
        <v>0</v>
      </c>
      <c r="BH9" s="23"/>
      <c r="BI9" s="23"/>
      <c r="BJ9" s="73">
        <f t="shared" si="21"/>
        <v>0</v>
      </c>
      <c r="BK9" s="23"/>
      <c r="BL9" s="23"/>
      <c r="BM9" s="73">
        <f t="shared" si="22"/>
        <v>0</v>
      </c>
      <c r="BN9" s="23"/>
      <c r="BO9" s="23"/>
      <c r="BP9" s="73">
        <f t="shared" si="23"/>
        <v>0</v>
      </c>
      <c r="BQ9" s="23"/>
      <c r="BR9" s="23"/>
      <c r="BS9" s="73">
        <f t="shared" si="24"/>
        <v>0</v>
      </c>
      <c r="BT9" s="23"/>
      <c r="BU9" s="23"/>
      <c r="BV9" s="73">
        <f t="shared" si="25"/>
        <v>0</v>
      </c>
      <c r="BW9" s="23"/>
      <c r="BX9" s="23"/>
      <c r="BY9" s="73">
        <f t="shared" si="26"/>
        <v>0</v>
      </c>
      <c r="BZ9" s="23"/>
      <c r="CA9" s="23"/>
      <c r="CB9" s="73">
        <f t="shared" si="27"/>
        <v>0</v>
      </c>
      <c r="CC9" s="23"/>
      <c r="CD9" s="23"/>
      <c r="CE9" s="73">
        <f t="shared" si="28"/>
        <v>0</v>
      </c>
      <c r="CF9" s="23"/>
      <c r="CG9" s="23"/>
      <c r="CH9" s="73">
        <f t="shared" si="29"/>
        <v>0</v>
      </c>
      <c r="CI9" s="23"/>
      <c r="CJ9" s="23"/>
      <c r="CK9" s="73">
        <f t="shared" si="30"/>
        <v>0</v>
      </c>
      <c r="CL9" s="23"/>
      <c r="CM9" s="23"/>
      <c r="CN9" s="73">
        <f t="shared" si="31"/>
        <v>0</v>
      </c>
      <c r="CO9" s="23"/>
      <c r="CP9" s="23"/>
      <c r="CQ9" s="73">
        <f t="shared" si="32"/>
        <v>0</v>
      </c>
      <c r="CR9" s="23"/>
      <c r="CS9" s="23"/>
      <c r="CT9" s="73">
        <f t="shared" si="33"/>
        <v>0</v>
      </c>
      <c r="CU9" s="23"/>
      <c r="CV9" s="23"/>
      <c r="CW9" s="73">
        <f t="shared" si="34"/>
        <v>0</v>
      </c>
      <c r="CX9" s="23"/>
      <c r="CY9" s="23"/>
      <c r="CZ9" s="73">
        <f t="shared" si="35"/>
        <v>0</v>
      </c>
      <c r="DA9" s="23"/>
      <c r="DB9" s="23"/>
      <c r="DC9" s="73">
        <f t="shared" si="36"/>
        <v>0</v>
      </c>
      <c r="DD9" s="23"/>
      <c r="DE9" s="23"/>
      <c r="DF9" s="73">
        <f t="shared" si="37"/>
        <v>0</v>
      </c>
      <c r="DG9" s="23"/>
      <c r="DH9" s="23"/>
      <c r="DI9" s="73">
        <f t="shared" si="38"/>
        <v>0</v>
      </c>
      <c r="DJ9" s="23"/>
      <c r="DK9" s="23"/>
      <c r="DL9" s="73">
        <f t="shared" si="39"/>
        <v>0</v>
      </c>
      <c r="DM9" s="23"/>
      <c r="DN9" s="23"/>
      <c r="DO9" s="73">
        <f t="shared" si="40"/>
        <v>0</v>
      </c>
      <c r="DP9" s="23"/>
      <c r="DQ9" s="23"/>
      <c r="DR9" s="73">
        <f t="shared" si="41"/>
        <v>0</v>
      </c>
      <c r="DS9" s="73">
        <f t="shared" si="42"/>
        <v>94256</v>
      </c>
      <c r="DT9" s="73">
        <f t="shared" si="43"/>
        <v>94256</v>
      </c>
      <c r="DU9" s="73">
        <f t="shared" si="44"/>
        <v>0</v>
      </c>
      <c r="DV9" s="111"/>
      <c r="DW9" s="79"/>
      <c r="DX9" s="79"/>
      <c r="DY9" s="111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</row>
    <row r="10" spans="1:178" x14ac:dyDescent="0.2">
      <c r="A10" s="72">
        <f t="shared" si="45"/>
        <v>36712</v>
      </c>
      <c r="B10" s="72" t="s">
        <v>89</v>
      </c>
      <c r="C10" s="23">
        <v>4178</v>
      </c>
      <c r="D10" s="23">
        <v>4178</v>
      </c>
      <c r="E10" s="73">
        <f t="shared" si="0"/>
        <v>0</v>
      </c>
      <c r="F10" s="23">
        <v>20000</v>
      </c>
      <c r="G10" s="23">
        <v>20000</v>
      </c>
      <c r="H10" s="73">
        <f t="shared" si="1"/>
        <v>0</v>
      </c>
      <c r="I10" s="23">
        <v>2430</v>
      </c>
      <c r="J10" s="23">
        <v>2430</v>
      </c>
      <c r="K10" s="73">
        <f t="shared" si="2"/>
        <v>0</v>
      </c>
      <c r="L10" s="23">
        <v>10000</v>
      </c>
      <c r="M10" s="23">
        <v>10000</v>
      </c>
      <c r="N10" s="73">
        <f t="shared" si="3"/>
        <v>0</v>
      </c>
      <c r="O10" s="23">
        <f t="shared" si="4"/>
        <v>10000</v>
      </c>
      <c r="P10" s="23">
        <v>10000</v>
      </c>
      <c r="Q10" s="73">
        <f t="shared" si="5"/>
        <v>0</v>
      </c>
      <c r="R10" s="23">
        <v>5000</v>
      </c>
      <c r="S10" s="23">
        <v>5000</v>
      </c>
      <c r="T10" s="73">
        <f t="shared" si="6"/>
        <v>0</v>
      </c>
      <c r="U10" s="23">
        <f t="shared" si="7"/>
        <v>5000</v>
      </c>
      <c r="V10" s="23">
        <f t="shared" si="7"/>
        <v>5000</v>
      </c>
      <c r="W10" s="73">
        <f t="shared" si="8"/>
        <v>0</v>
      </c>
      <c r="X10" s="23">
        <v>10000</v>
      </c>
      <c r="Y10" s="23">
        <v>10000</v>
      </c>
      <c r="Z10" s="73">
        <f t="shared" si="9"/>
        <v>0</v>
      </c>
      <c r="AA10" s="23">
        <v>2974</v>
      </c>
      <c r="AB10" s="23">
        <v>2974</v>
      </c>
      <c r="AC10" s="73">
        <f t="shared" si="10"/>
        <v>0</v>
      </c>
      <c r="AD10" s="23">
        <v>2974</v>
      </c>
      <c r="AE10" s="23">
        <v>2974</v>
      </c>
      <c r="AF10" s="73">
        <f t="shared" si="11"/>
        <v>0</v>
      </c>
      <c r="AG10" s="23">
        <v>4765</v>
      </c>
      <c r="AH10" s="23">
        <f>2857+1908</f>
        <v>4765</v>
      </c>
      <c r="AI10" s="73">
        <f t="shared" si="12"/>
        <v>0</v>
      </c>
      <c r="AJ10" s="23">
        <v>3000</v>
      </c>
      <c r="AK10" s="23">
        <v>3000</v>
      </c>
      <c r="AL10" s="73">
        <f t="shared" si="13"/>
        <v>0</v>
      </c>
      <c r="AM10" s="23">
        <v>5611</v>
      </c>
      <c r="AN10" s="23">
        <v>5611</v>
      </c>
      <c r="AO10" s="73">
        <f t="shared" si="14"/>
        <v>0</v>
      </c>
      <c r="AP10" s="23">
        <v>5000</v>
      </c>
      <c r="AQ10" s="23">
        <v>5000</v>
      </c>
      <c r="AR10" s="73">
        <f t="shared" si="15"/>
        <v>0</v>
      </c>
      <c r="AS10" s="23"/>
      <c r="AT10" s="23"/>
      <c r="AU10" s="73">
        <f t="shared" si="16"/>
        <v>0</v>
      </c>
      <c r="AV10" s="23"/>
      <c r="AW10" s="23"/>
      <c r="AX10" s="73">
        <f t="shared" si="17"/>
        <v>0</v>
      </c>
      <c r="AY10" s="23"/>
      <c r="AZ10" s="23"/>
      <c r="BA10" s="73">
        <f t="shared" si="18"/>
        <v>0</v>
      </c>
      <c r="BB10" s="23"/>
      <c r="BC10" s="23"/>
      <c r="BD10" s="73">
        <f t="shared" si="19"/>
        <v>0</v>
      </c>
      <c r="BE10" s="23"/>
      <c r="BF10" s="23"/>
      <c r="BG10" s="73">
        <f t="shared" si="20"/>
        <v>0</v>
      </c>
      <c r="BH10" s="23"/>
      <c r="BI10" s="23"/>
      <c r="BJ10" s="73">
        <f t="shared" si="21"/>
        <v>0</v>
      </c>
      <c r="BK10" s="23"/>
      <c r="BL10" s="23"/>
      <c r="BM10" s="73">
        <f t="shared" si="22"/>
        <v>0</v>
      </c>
      <c r="BN10" s="23"/>
      <c r="BO10" s="23"/>
      <c r="BP10" s="73">
        <f t="shared" si="23"/>
        <v>0</v>
      </c>
      <c r="BQ10" s="23"/>
      <c r="BR10" s="23"/>
      <c r="BS10" s="73">
        <f t="shared" si="24"/>
        <v>0</v>
      </c>
      <c r="BT10" s="23"/>
      <c r="BU10" s="23"/>
      <c r="BV10" s="73">
        <f t="shared" si="25"/>
        <v>0</v>
      </c>
      <c r="BW10" s="23"/>
      <c r="BX10" s="23"/>
      <c r="BY10" s="73">
        <f t="shared" si="26"/>
        <v>0</v>
      </c>
      <c r="BZ10" s="23"/>
      <c r="CA10" s="23"/>
      <c r="CB10" s="73">
        <f t="shared" si="27"/>
        <v>0</v>
      </c>
      <c r="CC10" s="23"/>
      <c r="CD10" s="23"/>
      <c r="CE10" s="73">
        <f t="shared" si="28"/>
        <v>0</v>
      </c>
      <c r="CF10" s="23"/>
      <c r="CG10" s="23"/>
      <c r="CH10" s="73">
        <f t="shared" si="29"/>
        <v>0</v>
      </c>
      <c r="CI10" s="23"/>
      <c r="CJ10" s="23"/>
      <c r="CK10" s="73">
        <f t="shared" si="30"/>
        <v>0</v>
      </c>
      <c r="CL10" s="23"/>
      <c r="CM10" s="23"/>
      <c r="CN10" s="73">
        <f t="shared" si="31"/>
        <v>0</v>
      </c>
      <c r="CO10" s="23"/>
      <c r="CP10" s="23"/>
      <c r="CQ10" s="73">
        <f t="shared" si="32"/>
        <v>0</v>
      </c>
      <c r="CR10" s="23"/>
      <c r="CS10" s="23"/>
      <c r="CT10" s="73">
        <f t="shared" si="33"/>
        <v>0</v>
      </c>
      <c r="CU10" s="23"/>
      <c r="CV10" s="23"/>
      <c r="CW10" s="73">
        <f t="shared" si="34"/>
        <v>0</v>
      </c>
      <c r="CX10" s="23"/>
      <c r="CY10" s="23"/>
      <c r="CZ10" s="73">
        <f t="shared" si="35"/>
        <v>0</v>
      </c>
      <c r="DA10" s="23"/>
      <c r="DB10" s="23"/>
      <c r="DC10" s="73">
        <f t="shared" si="36"/>
        <v>0</v>
      </c>
      <c r="DD10" s="23"/>
      <c r="DE10" s="23"/>
      <c r="DF10" s="73">
        <f t="shared" si="37"/>
        <v>0</v>
      </c>
      <c r="DG10" s="23"/>
      <c r="DH10" s="23"/>
      <c r="DI10" s="73">
        <f t="shared" si="38"/>
        <v>0</v>
      </c>
      <c r="DJ10" s="23"/>
      <c r="DK10" s="23"/>
      <c r="DL10" s="73">
        <f t="shared" si="39"/>
        <v>0</v>
      </c>
      <c r="DM10" s="23"/>
      <c r="DN10" s="23"/>
      <c r="DO10" s="73">
        <f t="shared" si="40"/>
        <v>0</v>
      </c>
      <c r="DP10" s="23"/>
      <c r="DQ10" s="23"/>
      <c r="DR10" s="73">
        <f t="shared" si="41"/>
        <v>0</v>
      </c>
      <c r="DS10" s="73">
        <f t="shared" si="42"/>
        <v>90932</v>
      </c>
      <c r="DT10" s="73">
        <f t="shared" si="43"/>
        <v>90932</v>
      </c>
      <c r="DU10" s="73">
        <f t="shared" si="44"/>
        <v>0</v>
      </c>
      <c r="DV10" s="111"/>
      <c r="DW10" s="79"/>
      <c r="DX10" s="79"/>
      <c r="DY10" s="111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</row>
    <row r="11" spans="1:178" x14ac:dyDescent="0.2">
      <c r="A11" s="72">
        <f t="shared" si="45"/>
        <v>36713</v>
      </c>
      <c r="B11" s="72" t="s">
        <v>90</v>
      </c>
      <c r="C11" s="23">
        <v>4178</v>
      </c>
      <c r="D11" s="23">
        <v>4178</v>
      </c>
      <c r="E11" s="73">
        <f t="shared" si="0"/>
        <v>0</v>
      </c>
      <c r="F11" s="23">
        <v>20000</v>
      </c>
      <c r="G11" s="23">
        <v>20000</v>
      </c>
      <c r="H11" s="73">
        <f t="shared" si="1"/>
        <v>0</v>
      </c>
      <c r="I11" s="23">
        <v>2861</v>
      </c>
      <c r="J11" s="23">
        <v>2861</v>
      </c>
      <c r="K11" s="73">
        <f t="shared" si="2"/>
        <v>0</v>
      </c>
      <c r="L11" s="23">
        <v>10000</v>
      </c>
      <c r="M11" s="23">
        <v>10000</v>
      </c>
      <c r="N11" s="73">
        <f t="shared" si="3"/>
        <v>0</v>
      </c>
      <c r="O11" s="23">
        <f t="shared" si="4"/>
        <v>10000</v>
      </c>
      <c r="P11" s="23">
        <v>10000</v>
      </c>
      <c r="Q11" s="73">
        <f t="shared" si="5"/>
        <v>0</v>
      </c>
      <c r="R11" s="23">
        <v>5000</v>
      </c>
      <c r="S11" s="23">
        <v>5000</v>
      </c>
      <c r="T11" s="73">
        <f t="shared" si="6"/>
        <v>0</v>
      </c>
      <c r="U11" s="23">
        <f t="shared" si="7"/>
        <v>5000</v>
      </c>
      <c r="V11" s="23">
        <f t="shared" si="7"/>
        <v>5000</v>
      </c>
      <c r="W11" s="73">
        <f t="shared" si="8"/>
        <v>0</v>
      </c>
      <c r="X11" s="23">
        <v>10000</v>
      </c>
      <c r="Y11" s="23">
        <v>10000</v>
      </c>
      <c r="Z11" s="73">
        <f t="shared" si="9"/>
        <v>0</v>
      </c>
      <c r="AA11" s="23">
        <v>3055</v>
      </c>
      <c r="AB11" s="23">
        <v>3055</v>
      </c>
      <c r="AC11" s="73">
        <f t="shared" si="10"/>
        <v>0</v>
      </c>
      <c r="AD11" s="23">
        <v>3055</v>
      </c>
      <c r="AE11" s="23">
        <v>3055</v>
      </c>
      <c r="AF11" s="73">
        <f t="shared" si="11"/>
        <v>0</v>
      </c>
      <c r="AG11" s="23">
        <v>7741</v>
      </c>
      <c r="AH11" s="23">
        <f>4641+3100</f>
        <v>7741</v>
      </c>
      <c r="AI11" s="73">
        <f t="shared" si="12"/>
        <v>0</v>
      </c>
      <c r="AJ11" s="23">
        <v>3000</v>
      </c>
      <c r="AK11" s="23">
        <v>3000</v>
      </c>
      <c r="AL11" s="73">
        <f t="shared" si="13"/>
        <v>0</v>
      </c>
      <c r="AM11" s="23">
        <v>5936</v>
      </c>
      <c r="AN11" s="23">
        <v>5936</v>
      </c>
      <c r="AO11" s="73">
        <f t="shared" si="14"/>
        <v>0</v>
      </c>
      <c r="AP11" s="23">
        <v>5000</v>
      </c>
      <c r="AQ11" s="23">
        <v>5000</v>
      </c>
      <c r="AR11" s="73">
        <f t="shared" si="15"/>
        <v>0</v>
      </c>
      <c r="AS11" s="23"/>
      <c r="AT11" s="23"/>
      <c r="AU11" s="73">
        <f t="shared" si="16"/>
        <v>0</v>
      </c>
      <c r="AV11" s="23"/>
      <c r="AW11" s="23"/>
      <c r="AX11" s="73">
        <f t="shared" si="17"/>
        <v>0</v>
      </c>
      <c r="AY11" s="23"/>
      <c r="AZ11" s="23"/>
      <c r="BA11" s="73">
        <f t="shared" si="18"/>
        <v>0</v>
      </c>
      <c r="BB11" s="23"/>
      <c r="BC11" s="23"/>
      <c r="BD11" s="73">
        <f t="shared" si="19"/>
        <v>0</v>
      </c>
      <c r="BE11" s="23"/>
      <c r="BF11" s="23"/>
      <c r="BG11" s="73">
        <f t="shared" si="20"/>
        <v>0</v>
      </c>
      <c r="BH11" s="23"/>
      <c r="BI11" s="23"/>
      <c r="BJ11" s="73">
        <f t="shared" si="21"/>
        <v>0</v>
      </c>
      <c r="BK11" s="23"/>
      <c r="BL11" s="23"/>
      <c r="BM11" s="73">
        <f t="shared" si="22"/>
        <v>0</v>
      </c>
      <c r="BN11" s="23"/>
      <c r="BO11" s="23"/>
      <c r="BP11" s="73">
        <f t="shared" si="23"/>
        <v>0</v>
      </c>
      <c r="BQ11" s="23"/>
      <c r="BR11" s="23"/>
      <c r="BS11" s="73">
        <f t="shared" si="24"/>
        <v>0</v>
      </c>
      <c r="BT11" s="23"/>
      <c r="BU11" s="23"/>
      <c r="BV11" s="73">
        <f t="shared" si="25"/>
        <v>0</v>
      </c>
      <c r="BW11" s="23"/>
      <c r="BX11" s="23"/>
      <c r="BY11" s="73">
        <f t="shared" si="26"/>
        <v>0</v>
      </c>
      <c r="BZ11" s="23"/>
      <c r="CA11" s="23"/>
      <c r="CB11" s="73">
        <f t="shared" si="27"/>
        <v>0</v>
      </c>
      <c r="CC11" s="23"/>
      <c r="CD11" s="23"/>
      <c r="CE11" s="73">
        <f t="shared" si="28"/>
        <v>0</v>
      </c>
      <c r="CF11" s="23"/>
      <c r="CG11" s="23"/>
      <c r="CH11" s="73">
        <f t="shared" si="29"/>
        <v>0</v>
      </c>
      <c r="CI11" s="23"/>
      <c r="CJ11" s="23"/>
      <c r="CK11" s="73">
        <f t="shared" si="30"/>
        <v>0</v>
      </c>
      <c r="CL11" s="23"/>
      <c r="CM11" s="23"/>
      <c r="CN11" s="73">
        <f t="shared" si="31"/>
        <v>0</v>
      </c>
      <c r="CO11" s="23"/>
      <c r="CP11" s="23"/>
      <c r="CQ11" s="73">
        <f t="shared" si="32"/>
        <v>0</v>
      </c>
      <c r="CR11" s="23"/>
      <c r="CS11" s="23"/>
      <c r="CT11" s="73">
        <f t="shared" si="33"/>
        <v>0</v>
      </c>
      <c r="CU11" s="23"/>
      <c r="CV11" s="23"/>
      <c r="CW11" s="73">
        <f t="shared" si="34"/>
        <v>0</v>
      </c>
      <c r="CX11" s="23"/>
      <c r="CY11" s="23"/>
      <c r="CZ11" s="73">
        <f t="shared" si="35"/>
        <v>0</v>
      </c>
      <c r="DA11" s="23"/>
      <c r="DB11" s="23"/>
      <c r="DC11" s="73">
        <f t="shared" si="36"/>
        <v>0</v>
      </c>
      <c r="DD11" s="23"/>
      <c r="DE11" s="23"/>
      <c r="DF11" s="73">
        <f t="shared" si="37"/>
        <v>0</v>
      </c>
      <c r="DG11" s="23"/>
      <c r="DH11" s="23"/>
      <c r="DI11" s="73">
        <f t="shared" si="38"/>
        <v>0</v>
      </c>
      <c r="DJ11" s="23"/>
      <c r="DK11" s="23"/>
      <c r="DL11" s="73">
        <f t="shared" si="39"/>
        <v>0</v>
      </c>
      <c r="DM11" s="23"/>
      <c r="DN11" s="23"/>
      <c r="DO11" s="73">
        <f t="shared" si="40"/>
        <v>0</v>
      </c>
      <c r="DP11" s="23"/>
      <c r="DQ11" s="23"/>
      <c r="DR11" s="73">
        <f t="shared" si="41"/>
        <v>0</v>
      </c>
      <c r="DS11" s="73">
        <f t="shared" si="42"/>
        <v>94826</v>
      </c>
      <c r="DT11" s="73">
        <f t="shared" si="43"/>
        <v>94826</v>
      </c>
      <c r="DU11" s="73">
        <f t="shared" si="44"/>
        <v>0</v>
      </c>
      <c r="DV11" s="111"/>
      <c r="DW11" s="79"/>
      <c r="DX11" s="79"/>
      <c r="DY11" s="111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</row>
    <row r="12" spans="1:178" x14ac:dyDescent="0.2">
      <c r="A12" s="72">
        <f t="shared" si="45"/>
        <v>36714</v>
      </c>
      <c r="B12" s="72" t="s">
        <v>91</v>
      </c>
      <c r="C12" s="23">
        <v>4178</v>
      </c>
      <c r="D12" s="23">
        <v>4178</v>
      </c>
      <c r="E12" s="73">
        <f t="shared" si="0"/>
        <v>0</v>
      </c>
      <c r="F12" s="23">
        <v>20000</v>
      </c>
      <c r="G12" s="23">
        <v>20000</v>
      </c>
      <c r="H12" s="73">
        <f t="shared" si="1"/>
        <v>0</v>
      </c>
      <c r="I12" s="23">
        <v>3130</v>
      </c>
      <c r="J12" s="23">
        <v>3130</v>
      </c>
      <c r="K12" s="73">
        <f t="shared" si="2"/>
        <v>0</v>
      </c>
      <c r="L12" s="23">
        <v>10000</v>
      </c>
      <c r="M12" s="23">
        <v>10000</v>
      </c>
      <c r="N12" s="73">
        <f t="shared" si="3"/>
        <v>0</v>
      </c>
      <c r="O12" s="23">
        <f t="shared" si="4"/>
        <v>10000</v>
      </c>
      <c r="P12" s="23">
        <v>10000</v>
      </c>
      <c r="Q12" s="73">
        <f t="shared" si="5"/>
        <v>0</v>
      </c>
      <c r="R12" s="23">
        <v>5000</v>
      </c>
      <c r="S12" s="23">
        <v>5000</v>
      </c>
      <c r="T12" s="73">
        <f t="shared" si="6"/>
        <v>0</v>
      </c>
      <c r="U12" s="23">
        <f t="shared" si="7"/>
        <v>5000</v>
      </c>
      <c r="V12" s="23">
        <f t="shared" si="7"/>
        <v>5000</v>
      </c>
      <c r="W12" s="73">
        <f t="shared" si="8"/>
        <v>0</v>
      </c>
      <c r="X12" s="23">
        <v>10000</v>
      </c>
      <c r="Y12" s="23">
        <v>10000</v>
      </c>
      <c r="Z12" s="73">
        <f t="shared" si="9"/>
        <v>0</v>
      </c>
      <c r="AA12" s="23">
        <v>3369</v>
      </c>
      <c r="AB12" s="23">
        <v>3369</v>
      </c>
      <c r="AC12" s="73">
        <f t="shared" si="10"/>
        <v>0</v>
      </c>
      <c r="AD12" s="23">
        <v>3369</v>
      </c>
      <c r="AE12" s="23">
        <v>3369</v>
      </c>
      <c r="AF12" s="73">
        <f t="shared" si="11"/>
        <v>0</v>
      </c>
      <c r="AG12" s="23">
        <v>7741</v>
      </c>
      <c r="AH12" s="23">
        <v>7741</v>
      </c>
      <c r="AI12" s="73">
        <f t="shared" si="12"/>
        <v>0</v>
      </c>
      <c r="AJ12" s="23">
        <v>3000</v>
      </c>
      <c r="AK12" s="23">
        <v>3000</v>
      </c>
      <c r="AL12" s="73">
        <f t="shared" si="13"/>
        <v>0</v>
      </c>
      <c r="AM12" s="23">
        <v>6572</v>
      </c>
      <c r="AN12" s="23">
        <v>6572</v>
      </c>
      <c r="AO12" s="73">
        <f t="shared" si="14"/>
        <v>0</v>
      </c>
      <c r="AP12" s="23">
        <v>5000</v>
      </c>
      <c r="AQ12" s="23">
        <v>5000</v>
      </c>
      <c r="AR12" s="73">
        <f t="shared" si="15"/>
        <v>0</v>
      </c>
      <c r="AS12" s="23"/>
      <c r="AT12" s="23"/>
      <c r="AU12" s="73">
        <f t="shared" si="16"/>
        <v>0</v>
      </c>
      <c r="AV12" s="23"/>
      <c r="AW12" s="23"/>
      <c r="AX12" s="73">
        <f t="shared" si="17"/>
        <v>0</v>
      </c>
      <c r="AY12" s="23"/>
      <c r="AZ12" s="23"/>
      <c r="BA12" s="73">
        <f t="shared" si="18"/>
        <v>0</v>
      </c>
      <c r="BB12" s="23"/>
      <c r="BC12" s="23"/>
      <c r="BD12" s="73">
        <f t="shared" si="19"/>
        <v>0</v>
      </c>
      <c r="BE12" s="23"/>
      <c r="BF12" s="23"/>
      <c r="BG12" s="73">
        <f t="shared" si="20"/>
        <v>0</v>
      </c>
      <c r="BH12" s="23"/>
      <c r="BI12" s="23"/>
      <c r="BJ12" s="73">
        <f t="shared" si="21"/>
        <v>0</v>
      </c>
      <c r="BK12" s="23"/>
      <c r="BL12" s="23"/>
      <c r="BM12" s="73">
        <f t="shared" si="22"/>
        <v>0</v>
      </c>
      <c r="BN12" s="23"/>
      <c r="BO12" s="23"/>
      <c r="BP12" s="73">
        <f t="shared" si="23"/>
        <v>0</v>
      </c>
      <c r="BQ12" s="23"/>
      <c r="BR12" s="23"/>
      <c r="BS12" s="73">
        <f t="shared" si="24"/>
        <v>0</v>
      </c>
      <c r="BT12" s="23"/>
      <c r="BU12" s="23"/>
      <c r="BV12" s="73">
        <f t="shared" si="25"/>
        <v>0</v>
      </c>
      <c r="BW12" s="23"/>
      <c r="BX12" s="23"/>
      <c r="BY12" s="73">
        <f t="shared" si="26"/>
        <v>0</v>
      </c>
      <c r="BZ12" s="23"/>
      <c r="CA12" s="23"/>
      <c r="CB12" s="73">
        <f t="shared" si="27"/>
        <v>0</v>
      </c>
      <c r="CC12" s="23"/>
      <c r="CD12" s="23"/>
      <c r="CE12" s="73">
        <f t="shared" si="28"/>
        <v>0</v>
      </c>
      <c r="CF12" s="23"/>
      <c r="CG12" s="23"/>
      <c r="CH12" s="73">
        <f t="shared" si="29"/>
        <v>0</v>
      </c>
      <c r="CI12" s="23"/>
      <c r="CJ12" s="23"/>
      <c r="CK12" s="73">
        <f t="shared" si="30"/>
        <v>0</v>
      </c>
      <c r="CL12" s="23"/>
      <c r="CM12" s="23"/>
      <c r="CN12" s="73">
        <f t="shared" si="31"/>
        <v>0</v>
      </c>
      <c r="CO12" s="23"/>
      <c r="CP12" s="23"/>
      <c r="CQ12" s="73">
        <f t="shared" si="32"/>
        <v>0</v>
      </c>
      <c r="CR12" s="23"/>
      <c r="CS12" s="23"/>
      <c r="CT12" s="73">
        <f t="shared" si="33"/>
        <v>0</v>
      </c>
      <c r="CU12" s="23"/>
      <c r="CV12" s="23"/>
      <c r="CW12" s="73">
        <f t="shared" si="34"/>
        <v>0</v>
      </c>
      <c r="CX12" s="23"/>
      <c r="CY12" s="23"/>
      <c r="CZ12" s="73">
        <f t="shared" si="35"/>
        <v>0</v>
      </c>
      <c r="DA12" s="23"/>
      <c r="DB12" s="23"/>
      <c r="DC12" s="73">
        <f t="shared" si="36"/>
        <v>0</v>
      </c>
      <c r="DD12" s="23"/>
      <c r="DE12" s="23"/>
      <c r="DF12" s="73">
        <f t="shared" si="37"/>
        <v>0</v>
      </c>
      <c r="DG12" s="23"/>
      <c r="DH12" s="23"/>
      <c r="DI12" s="73">
        <f t="shared" si="38"/>
        <v>0</v>
      </c>
      <c r="DJ12" s="23"/>
      <c r="DK12" s="23"/>
      <c r="DL12" s="73">
        <f t="shared" si="39"/>
        <v>0</v>
      </c>
      <c r="DM12" s="23"/>
      <c r="DN12" s="23"/>
      <c r="DO12" s="73">
        <f t="shared" si="40"/>
        <v>0</v>
      </c>
      <c r="DP12" s="23"/>
      <c r="DQ12" s="23"/>
      <c r="DR12" s="73">
        <f t="shared" si="41"/>
        <v>0</v>
      </c>
      <c r="DS12" s="73">
        <f t="shared" si="42"/>
        <v>96359</v>
      </c>
      <c r="DT12" s="73">
        <f t="shared" si="43"/>
        <v>96359</v>
      </c>
      <c r="DU12" s="73">
        <f t="shared" si="44"/>
        <v>0</v>
      </c>
      <c r="DV12" s="111"/>
      <c r="DW12" s="79"/>
      <c r="DX12" s="79"/>
      <c r="DY12" s="111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</row>
    <row r="13" spans="1:178" x14ac:dyDescent="0.2">
      <c r="A13" s="72">
        <f t="shared" si="45"/>
        <v>36715</v>
      </c>
      <c r="B13" s="72" t="s">
        <v>85</v>
      </c>
      <c r="C13" s="23">
        <v>4178</v>
      </c>
      <c r="D13" s="23">
        <v>4178</v>
      </c>
      <c r="E13" s="73">
        <f t="shared" si="0"/>
        <v>0</v>
      </c>
      <c r="F13" s="23">
        <v>20000</v>
      </c>
      <c r="G13" s="23">
        <v>20000</v>
      </c>
      <c r="H13" s="73">
        <f t="shared" si="1"/>
        <v>0</v>
      </c>
      <c r="I13" s="23">
        <v>3168</v>
      </c>
      <c r="J13" s="23">
        <v>3168</v>
      </c>
      <c r="K13" s="73">
        <f t="shared" si="2"/>
        <v>0</v>
      </c>
      <c r="L13" s="23">
        <v>10000</v>
      </c>
      <c r="M13" s="23">
        <v>10000</v>
      </c>
      <c r="N13" s="73">
        <f t="shared" si="3"/>
        <v>0</v>
      </c>
      <c r="O13" s="23">
        <f t="shared" si="4"/>
        <v>10000</v>
      </c>
      <c r="P13" s="23">
        <v>10000</v>
      </c>
      <c r="Q13" s="73">
        <f t="shared" si="5"/>
        <v>0</v>
      </c>
      <c r="R13" s="23">
        <v>5000</v>
      </c>
      <c r="S13" s="23">
        <v>5000</v>
      </c>
      <c r="T13" s="73">
        <f t="shared" si="6"/>
        <v>0</v>
      </c>
      <c r="U13" s="23">
        <f t="shared" si="7"/>
        <v>5000</v>
      </c>
      <c r="V13" s="23">
        <f t="shared" si="7"/>
        <v>5000</v>
      </c>
      <c r="W13" s="73">
        <f t="shared" si="8"/>
        <v>0</v>
      </c>
      <c r="X13" s="23">
        <v>10000</v>
      </c>
      <c r="Y13" s="23">
        <v>10000</v>
      </c>
      <c r="Z13" s="73">
        <f t="shared" si="9"/>
        <v>0</v>
      </c>
      <c r="AA13" s="23">
        <v>2976</v>
      </c>
      <c r="AB13" s="23">
        <v>2976</v>
      </c>
      <c r="AC13" s="73">
        <f t="shared" si="10"/>
        <v>0</v>
      </c>
      <c r="AD13" s="23">
        <v>2976</v>
      </c>
      <c r="AE13" s="23">
        <v>2976</v>
      </c>
      <c r="AF13" s="73">
        <f t="shared" si="11"/>
        <v>0</v>
      </c>
      <c r="AG13" s="23">
        <v>7741</v>
      </c>
      <c r="AH13" s="23">
        <v>7741</v>
      </c>
      <c r="AI13" s="73">
        <f t="shared" si="12"/>
        <v>0</v>
      </c>
      <c r="AJ13" s="23">
        <v>3000</v>
      </c>
      <c r="AK13" s="23">
        <v>3000</v>
      </c>
      <c r="AL13" s="73">
        <f t="shared" si="13"/>
        <v>0</v>
      </c>
      <c r="AM13" s="23">
        <v>6820</v>
      </c>
      <c r="AN13" s="23">
        <v>6820</v>
      </c>
      <c r="AO13" s="73">
        <f t="shared" si="14"/>
        <v>0</v>
      </c>
      <c r="AP13" s="23">
        <v>5000</v>
      </c>
      <c r="AQ13" s="23">
        <v>5000</v>
      </c>
      <c r="AR13" s="73">
        <f t="shared" si="15"/>
        <v>0</v>
      </c>
      <c r="AS13" s="23"/>
      <c r="AT13" s="23"/>
      <c r="AU13" s="73">
        <f t="shared" si="16"/>
        <v>0</v>
      </c>
      <c r="AV13" s="23"/>
      <c r="AW13" s="23"/>
      <c r="AX13" s="73">
        <f t="shared" si="17"/>
        <v>0</v>
      </c>
      <c r="AY13" s="23"/>
      <c r="AZ13" s="23"/>
      <c r="BA13" s="73">
        <f t="shared" si="18"/>
        <v>0</v>
      </c>
      <c r="BB13" s="23"/>
      <c r="BC13" s="23"/>
      <c r="BD13" s="73">
        <f t="shared" si="19"/>
        <v>0</v>
      </c>
      <c r="BE13" s="23"/>
      <c r="BF13" s="23"/>
      <c r="BG13" s="73">
        <f t="shared" si="20"/>
        <v>0</v>
      </c>
      <c r="BH13" s="23"/>
      <c r="BI13" s="23"/>
      <c r="BJ13" s="73">
        <f t="shared" si="21"/>
        <v>0</v>
      </c>
      <c r="BK13" s="23"/>
      <c r="BL13" s="23"/>
      <c r="BM13" s="73">
        <f t="shared" si="22"/>
        <v>0</v>
      </c>
      <c r="BN13" s="23"/>
      <c r="BO13" s="23"/>
      <c r="BP13" s="73">
        <f t="shared" si="23"/>
        <v>0</v>
      </c>
      <c r="BQ13" s="23"/>
      <c r="BR13" s="23"/>
      <c r="BS13" s="73">
        <f t="shared" si="24"/>
        <v>0</v>
      </c>
      <c r="BT13" s="23"/>
      <c r="BU13" s="23"/>
      <c r="BV13" s="73">
        <f t="shared" si="25"/>
        <v>0</v>
      </c>
      <c r="BW13" s="23"/>
      <c r="BX13" s="23"/>
      <c r="BY13" s="73">
        <f t="shared" si="26"/>
        <v>0</v>
      </c>
      <c r="BZ13" s="23"/>
      <c r="CA13" s="23"/>
      <c r="CB13" s="73">
        <f t="shared" si="27"/>
        <v>0</v>
      </c>
      <c r="CC13" s="23"/>
      <c r="CD13" s="23"/>
      <c r="CE13" s="73">
        <f t="shared" si="28"/>
        <v>0</v>
      </c>
      <c r="CF13" s="23"/>
      <c r="CG13" s="23"/>
      <c r="CH13" s="73">
        <f t="shared" si="29"/>
        <v>0</v>
      </c>
      <c r="CI13" s="23"/>
      <c r="CJ13" s="23"/>
      <c r="CK13" s="73">
        <f t="shared" si="30"/>
        <v>0</v>
      </c>
      <c r="CL13" s="23"/>
      <c r="CM13" s="23"/>
      <c r="CN13" s="73">
        <f t="shared" si="31"/>
        <v>0</v>
      </c>
      <c r="CO13" s="23"/>
      <c r="CP13" s="23"/>
      <c r="CQ13" s="73">
        <f t="shared" si="32"/>
        <v>0</v>
      </c>
      <c r="CR13" s="23"/>
      <c r="CS13" s="23"/>
      <c r="CT13" s="73">
        <f t="shared" si="33"/>
        <v>0</v>
      </c>
      <c r="CU13" s="23"/>
      <c r="CV13" s="23"/>
      <c r="CW13" s="73">
        <f t="shared" si="34"/>
        <v>0</v>
      </c>
      <c r="CX13" s="23"/>
      <c r="CY13" s="23"/>
      <c r="CZ13" s="73">
        <f t="shared" si="35"/>
        <v>0</v>
      </c>
      <c r="DA13" s="23"/>
      <c r="DB13" s="23"/>
      <c r="DC13" s="73">
        <f t="shared" si="36"/>
        <v>0</v>
      </c>
      <c r="DD13" s="23"/>
      <c r="DE13" s="23"/>
      <c r="DF13" s="73">
        <f t="shared" si="37"/>
        <v>0</v>
      </c>
      <c r="DG13" s="23"/>
      <c r="DH13" s="23"/>
      <c r="DI13" s="73">
        <f t="shared" si="38"/>
        <v>0</v>
      </c>
      <c r="DJ13" s="23"/>
      <c r="DK13" s="23"/>
      <c r="DL13" s="73">
        <f t="shared" si="39"/>
        <v>0</v>
      </c>
      <c r="DM13" s="23"/>
      <c r="DN13" s="23"/>
      <c r="DO13" s="73">
        <f t="shared" si="40"/>
        <v>0</v>
      </c>
      <c r="DP13" s="23"/>
      <c r="DQ13" s="23"/>
      <c r="DR13" s="73">
        <f t="shared" si="41"/>
        <v>0</v>
      </c>
      <c r="DS13" s="73">
        <f t="shared" si="42"/>
        <v>95859</v>
      </c>
      <c r="DT13" s="73">
        <f t="shared" si="43"/>
        <v>95859</v>
      </c>
      <c r="DU13" s="73">
        <f t="shared" si="44"/>
        <v>0</v>
      </c>
      <c r="DV13" s="111"/>
      <c r="DW13" s="79"/>
      <c r="DX13" s="79"/>
      <c r="DY13" s="111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</row>
    <row r="14" spans="1:178" x14ac:dyDescent="0.2">
      <c r="A14" s="72">
        <f t="shared" si="45"/>
        <v>36716</v>
      </c>
      <c r="B14" s="72" t="s">
        <v>86</v>
      </c>
      <c r="C14" s="23">
        <v>4178</v>
      </c>
      <c r="D14" s="23">
        <v>4178</v>
      </c>
      <c r="E14" s="73">
        <f t="shared" si="0"/>
        <v>0</v>
      </c>
      <c r="F14" s="23">
        <v>20000</v>
      </c>
      <c r="G14" s="23">
        <v>20000</v>
      </c>
      <c r="H14" s="73">
        <f t="shared" si="1"/>
        <v>0</v>
      </c>
      <c r="I14" s="23">
        <v>2292</v>
      </c>
      <c r="J14" s="23">
        <v>2292</v>
      </c>
      <c r="K14" s="73">
        <f t="shared" si="2"/>
        <v>0</v>
      </c>
      <c r="L14" s="23">
        <v>10000</v>
      </c>
      <c r="M14" s="23">
        <v>10000</v>
      </c>
      <c r="N14" s="73">
        <f t="shared" si="3"/>
        <v>0</v>
      </c>
      <c r="O14" s="23">
        <f t="shared" si="4"/>
        <v>10000</v>
      </c>
      <c r="P14" s="23">
        <v>10000</v>
      </c>
      <c r="Q14" s="73">
        <f t="shared" si="5"/>
        <v>0</v>
      </c>
      <c r="R14" s="23">
        <v>5000</v>
      </c>
      <c r="S14" s="23">
        <v>5000</v>
      </c>
      <c r="T14" s="73">
        <f t="shared" si="6"/>
        <v>0</v>
      </c>
      <c r="U14" s="23">
        <f t="shared" si="7"/>
        <v>5000</v>
      </c>
      <c r="V14" s="23">
        <f t="shared" si="7"/>
        <v>5000</v>
      </c>
      <c r="W14" s="73">
        <f t="shared" si="8"/>
        <v>0</v>
      </c>
      <c r="X14" s="23">
        <v>10000</v>
      </c>
      <c r="Y14" s="23">
        <v>10000</v>
      </c>
      <c r="Z14" s="73">
        <f t="shared" si="9"/>
        <v>0</v>
      </c>
      <c r="AA14" s="23">
        <v>3114</v>
      </c>
      <c r="AB14" s="23">
        <v>3114</v>
      </c>
      <c r="AC14" s="73">
        <f t="shared" si="10"/>
        <v>0</v>
      </c>
      <c r="AD14" s="23">
        <v>3114</v>
      </c>
      <c r="AE14" s="23">
        <v>3114</v>
      </c>
      <c r="AF14" s="73">
        <f t="shared" si="11"/>
        <v>0</v>
      </c>
      <c r="AG14" s="23">
        <v>7741</v>
      </c>
      <c r="AH14" s="23">
        <v>7741</v>
      </c>
      <c r="AI14" s="73">
        <f t="shared" si="12"/>
        <v>0</v>
      </c>
      <c r="AJ14" s="23">
        <v>3000</v>
      </c>
      <c r="AK14" s="23">
        <v>3000</v>
      </c>
      <c r="AL14" s="73">
        <f t="shared" si="13"/>
        <v>0</v>
      </c>
      <c r="AM14" s="23">
        <v>4757</v>
      </c>
      <c r="AN14" s="23">
        <v>4757</v>
      </c>
      <c r="AO14" s="73">
        <f t="shared" si="14"/>
        <v>0</v>
      </c>
      <c r="AP14" s="23">
        <v>5000</v>
      </c>
      <c r="AQ14" s="23">
        <v>5000</v>
      </c>
      <c r="AR14" s="73">
        <f t="shared" si="15"/>
        <v>0</v>
      </c>
      <c r="AS14" s="23"/>
      <c r="AT14" s="23"/>
      <c r="AU14" s="73">
        <f t="shared" si="16"/>
        <v>0</v>
      </c>
      <c r="AV14" s="23"/>
      <c r="AW14" s="23"/>
      <c r="AX14" s="73">
        <f t="shared" si="17"/>
        <v>0</v>
      </c>
      <c r="AY14" s="23"/>
      <c r="AZ14" s="23"/>
      <c r="BA14" s="73">
        <f t="shared" si="18"/>
        <v>0</v>
      </c>
      <c r="BB14" s="23"/>
      <c r="BC14" s="23"/>
      <c r="BD14" s="73">
        <f t="shared" si="19"/>
        <v>0</v>
      </c>
      <c r="BE14" s="23"/>
      <c r="BF14" s="23"/>
      <c r="BG14" s="73">
        <f t="shared" si="20"/>
        <v>0</v>
      </c>
      <c r="BH14" s="23"/>
      <c r="BI14" s="23"/>
      <c r="BJ14" s="73">
        <f t="shared" si="21"/>
        <v>0</v>
      </c>
      <c r="BK14" s="23"/>
      <c r="BL14" s="23"/>
      <c r="BM14" s="73">
        <f t="shared" si="22"/>
        <v>0</v>
      </c>
      <c r="BN14" s="23"/>
      <c r="BO14" s="23"/>
      <c r="BP14" s="73">
        <f t="shared" si="23"/>
        <v>0</v>
      </c>
      <c r="BQ14" s="23"/>
      <c r="BR14" s="23"/>
      <c r="BS14" s="73">
        <f t="shared" si="24"/>
        <v>0</v>
      </c>
      <c r="BT14" s="23"/>
      <c r="BU14" s="23"/>
      <c r="BV14" s="73">
        <f t="shared" si="25"/>
        <v>0</v>
      </c>
      <c r="BW14" s="23"/>
      <c r="BX14" s="23"/>
      <c r="BY14" s="73">
        <f t="shared" si="26"/>
        <v>0</v>
      </c>
      <c r="BZ14" s="23"/>
      <c r="CA14" s="23"/>
      <c r="CB14" s="73">
        <f t="shared" si="27"/>
        <v>0</v>
      </c>
      <c r="CC14" s="23"/>
      <c r="CD14" s="23"/>
      <c r="CE14" s="73">
        <f t="shared" si="28"/>
        <v>0</v>
      </c>
      <c r="CF14" s="23"/>
      <c r="CG14" s="23"/>
      <c r="CH14" s="73">
        <f t="shared" si="29"/>
        <v>0</v>
      </c>
      <c r="CI14" s="23"/>
      <c r="CJ14" s="23"/>
      <c r="CK14" s="73">
        <f t="shared" si="30"/>
        <v>0</v>
      </c>
      <c r="CL14" s="23"/>
      <c r="CM14" s="23"/>
      <c r="CN14" s="73">
        <f t="shared" si="31"/>
        <v>0</v>
      </c>
      <c r="CO14" s="23"/>
      <c r="CP14" s="23"/>
      <c r="CQ14" s="73">
        <f t="shared" si="32"/>
        <v>0</v>
      </c>
      <c r="CR14" s="23"/>
      <c r="CS14" s="23"/>
      <c r="CT14" s="73">
        <f t="shared" si="33"/>
        <v>0</v>
      </c>
      <c r="CU14" s="23"/>
      <c r="CV14" s="23"/>
      <c r="CW14" s="73">
        <f t="shared" si="34"/>
        <v>0</v>
      </c>
      <c r="CX14" s="23"/>
      <c r="CY14" s="23"/>
      <c r="CZ14" s="73">
        <f t="shared" si="35"/>
        <v>0</v>
      </c>
      <c r="DA14" s="23"/>
      <c r="DB14" s="23"/>
      <c r="DC14" s="73">
        <f t="shared" si="36"/>
        <v>0</v>
      </c>
      <c r="DD14" s="23"/>
      <c r="DE14" s="23"/>
      <c r="DF14" s="73">
        <f t="shared" si="37"/>
        <v>0</v>
      </c>
      <c r="DG14" s="23"/>
      <c r="DH14" s="23"/>
      <c r="DI14" s="73">
        <f t="shared" si="38"/>
        <v>0</v>
      </c>
      <c r="DJ14" s="23"/>
      <c r="DK14" s="23"/>
      <c r="DL14" s="73">
        <f t="shared" si="39"/>
        <v>0</v>
      </c>
      <c r="DM14" s="23"/>
      <c r="DN14" s="23"/>
      <c r="DO14" s="73">
        <f t="shared" si="40"/>
        <v>0</v>
      </c>
      <c r="DP14" s="23"/>
      <c r="DQ14" s="23"/>
      <c r="DR14" s="73">
        <f t="shared" si="41"/>
        <v>0</v>
      </c>
      <c r="DS14" s="73">
        <f t="shared" si="42"/>
        <v>93196</v>
      </c>
      <c r="DT14" s="73">
        <f t="shared" si="43"/>
        <v>93196</v>
      </c>
      <c r="DU14" s="73">
        <f t="shared" si="44"/>
        <v>0</v>
      </c>
      <c r="DV14" s="111"/>
      <c r="DW14" s="79"/>
      <c r="DX14" s="79"/>
      <c r="DY14" s="111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</row>
    <row r="15" spans="1:178" x14ac:dyDescent="0.2">
      <c r="A15" s="72">
        <f t="shared" si="45"/>
        <v>36717</v>
      </c>
      <c r="B15" s="72" t="s">
        <v>87</v>
      </c>
      <c r="C15" s="23">
        <v>4178</v>
      </c>
      <c r="D15" s="23">
        <v>4178</v>
      </c>
      <c r="E15" s="73">
        <f t="shared" si="0"/>
        <v>0</v>
      </c>
      <c r="F15" s="23">
        <v>20000</v>
      </c>
      <c r="G15" s="23">
        <v>20000</v>
      </c>
      <c r="H15" s="73">
        <f t="shared" si="1"/>
        <v>0</v>
      </c>
      <c r="I15" s="23">
        <v>2489</v>
      </c>
      <c r="J15" s="23">
        <v>2489</v>
      </c>
      <c r="K15" s="73">
        <f t="shared" si="2"/>
        <v>0</v>
      </c>
      <c r="L15" s="23">
        <v>10000</v>
      </c>
      <c r="M15" s="23">
        <v>10000</v>
      </c>
      <c r="N15" s="73">
        <f t="shared" si="3"/>
        <v>0</v>
      </c>
      <c r="O15" s="23">
        <f t="shared" si="4"/>
        <v>10000</v>
      </c>
      <c r="P15" s="23">
        <v>10000</v>
      </c>
      <c r="Q15" s="73">
        <f t="shared" si="5"/>
        <v>0</v>
      </c>
      <c r="R15" s="23">
        <v>5000</v>
      </c>
      <c r="S15" s="23">
        <v>5000</v>
      </c>
      <c r="T15" s="73">
        <f t="shared" si="6"/>
        <v>0</v>
      </c>
      <c r="U15" s="23">
        <f t="shared" si="7"/>
        <v>5000</v>
      </c>
      <c r="V15" s="23">
        <f t="shared" si="7"/>
        <v>5000</v>
      </c>
      <c r="W15" s="73">
        <f t="shared" si="8"/>
        <v>0</v>
      </c>
      <c r="X15" s="23">
        <v>10000</v>
      </c>
      <c r="Y15" s="23">
        <v>10000</v>
      </c>
      <c r="Z15" s="73">
        <f t="shared" si="9"/>
        <v>0</v>
      </c>
      <c r="AA15" s="23">
        <v>2670</v>
      </c>
      <c r="AB15" s="23">
        <v>2670</v>
      </c>
      <c r="AC15" s="73">
        <f t="shared" si="10"/>
        <v>0</v>
      </c>
      <c r="AD15" s="23">
        <v>2670</v>
      </c>
      <c r="AE15" s="23">
        <v>2670</v>
      </c>
      <c r="AF15" s="73">
        <f t="shared" si="11"/>
        <v>0</v>
      </c>
      <c r="AG15" s="23">
        <v>7741</v>
      </c>
      <c r="AH15" s="23">
        <v>7741</v>
      </c>
      <c r="AI15" s="73">
        <f t="shared" si="12"/>
        <v>0</v>
      </c>
      <c r="AJ15" s="23">
        <v>3000</v>
      </c>
      <c r="AK15" s="23">
        <v>3000</v>
      </c>
      <c r="AL15" s="73">
        <f t="shared" si="13"/>
        <v>0</v>
      </c>
      <c r="AM15" s="23">
        <v>5165</v>
      </c>
      <c r="AN15" s="23">
        <v>5165</v>
      </c>
      <c r="AO15" s="73">
        <f t="shared" si="14"/>
        <v>0</v>
      </c>
      <c r="AP15" s="23">
        <v>5000</v>
      </c>
      <c r="AQ15" s="23">
        <v>5000</v>
      </c>
      <c r="AR15" s="73">
        <f t="shared" si="15"/>
        <v>0</v>
      </c>
      <c r="AS15" s="23"/>
      <c r="AT15" s="23"/>
      <c r="AU15" s="73">
        <f t="shared" si="16"/>
        <v>0</v>
      </c>
      <c r="AV15" s="23"/>
      <c r="AW15" s="23"/>
      <c r="AX15" s="73">
        <f t="shared" si="17"/>
        <v>0</v>
      </c>
      <c r="AY15" s="23"/>
      <c r="AZ15" s="23"/>
      <c r="BA15" s="73">
        <f t="shared" si="18"/>
        <v>0</v>
      </c>
      <c r="BB15" s="23"/>
      <c r="BC15" s="23"/>
      <c r="BD15" s="73">
        <f t="shared" si="19"/>
        <v>0</v>
      </c>
      <c r="BE15" s="23"/>
      <c r="BF15" s="23"/>
      <c r="BG15" s="73">
        <f t="shared" si="20"/>
        <v>0</v>
      </c>
      <c r="BH15" s="23"/>
      <c r="BI15" s="23"/>
      <c r="BJ15" s="73">
        <f t="shared" si="21"/>
        <v>0</v>
      </c>
      <c r="BK15" s="23"/>
      <c r="BL15" s="23"/>
      <c r="BM15" s="73">
        <f t="shared" si="22"/>
        <v>0</v>
      </c>
      <c r="BN15" s="23"/>
      <c r="BO15" s="23"/>
      <c r="BP15" s="73">
        <f t="shared" si="23"/>
        <v>0</v>
      </c>
      <c r="BQ15" s="23"/>
      <c r="BR15" s="23"/>
      <c r="BS15" s="73">
        <f t="shared" si="24"/>
        <v>0</v>
      </c>
      <c r="BT15" s="23"/>
      <c r="BU15" s="23"/>
      <c r="BV15" s="73">
        <f t="shared" si="25"/>
        <v>0</v>
      </c>
      <c r="BW15" s="23"/>
      <c r="BX15" s="23"/>
      <c r="BY15" s="73">
        <f t="shared" si="26"/>
        <v>0</v>
      </c>
      <c r="BZ15" s="23"/>
      <c r="CA15" s="23"/>
      <c r="CB15" s="73">
        <f t="shared" si="27"/>
        <v>0</v>
      </c>
      <c r="CC15" s="23"/>
      <c r="CD15" s="23"/>
      <c r="CE15" s="73">
        <f t="shared" si="28"/>
        <v>0</v>
      </c>
      <c r="CF15" s="23"/>
      <c r="CG15" s="23"/>
      <c r="CH15" s="73">
        <f t="shared" si="29"/>
        <v>0</v>
      </c>
      <c r="CI15" s="23"/>
      <c r="CJ15" s="23"/>
      <c r="CK15" s="73">
        <f t="shared" si="30"/>
        <v>0</v>
      </c>
      <c r="CL15" s="23"/>
      <c r="CM15" s="23"/>
      <c r="CN15" s="73">
        <f t="shared" si="31"/>
        <v>0</v>
      </c>
      <c r="CO15" s="23"/>
      <c r="CP15" s="23"/>
      <c r="CQ15" s="73">
        <f t="shared" si="32"/>
        <v>0</v>
      </c>
      <c r="CR15" s="23"/>
      <c r="CS15" s="23"/>
      <c r="CT15" s="73">
        <f t="shared" si="33"/>
        <v>0</v>
      </c>
      <c r="CU15" s="23"/>
      <c r="CV15" s="23"/>
      <c r="CW15" s="73">
        <f t="shared" si="34"/>
        <v>0</v>
      </c>
      <c r="CX15" s="23"/>
      <c r="CY15" s="23"/>
      <c r="CZ15" s="73">
        <f t="shared" si="35"/>
        <v>0</v>
      </c>
      <c r="DA15" s="23"/>
      <c r="DB15" s="23"/>
      <c r="DC15" s="73">
        <f t="shared" si="36"/>
        <v>0</v>
      </c>
      <c r="DD15" s="23"/>
      <c r="DE15" s="23"/>
      <c r="DF15" s="73">
        <f t="shared" si="37"/>
        <v>0</v>
      </c>
      <c r="DG15" s="23"/>
      <c r="DH15" s="23"/>
      <c r="DI15" s="73">
        <f t="shared" si="38"/>
        <v>0</v>
      </c>
      <c r="DJ15" s="23"/>
      <c r="DK15" s="23"/>
      <c r="DL15" s="73">
        <f t="shared" si="39"/>
        <v>0</v>
      </c>
      <c r="DM15" s="23"/>
      <c r="DN15" s="23"/>
      <c r="DO15" s="73">
        <f t="shared" si="40"/>
        <v>0</v>
      </c>
      <c r="DP15" s="23"/>
      <c r="DQ15" s="23"/>
      <c r="DR15" s="73">
        <f t="shared" si="41"/>
        <v>0</v>
      </c>
      <c r="DS15" s="73">
        <f t="shared" si="42"/>
        <v>92913</v>
      </c>
      <c r="DT15" s="73">
        <f t="shared" si="43"/>
        <v>92913</v>
      </c>
      <c r="DU15" s="73">
        <f t="shared" si="44"/>
        <v>0</v>
      </c>
      <c r="DV15" s="111"/>
      <c r="DW15" s="79"/>
      <c r="DX15" s="79"/>
      <c r="DY15" s="111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</row>
    <row r="16" spans="1:178" x14ac:dyDescent="0.2">
      <c r="A16" s="72">
        <f t="shared" si="45"/>
        <v>36718</v>
      </c>
      <c r="B16" s="72" t="s">
        <v>88</v>
      </c>
      <c r="C16" s="23">
        <v>4178</v>
      </c>
      <c r="D16" s="23">
        <v>4178</v>
      </c>
      <c r="E16" s="73">
        <f t="shared" si="0"/>
        <v>0</v>
      </c>
      <c r="F16" s="23">
        <v>20000</v>
      </c>
      <c r="G16" s="23">
        <v>20000</v>
      </c>
      <c r="H16" s="73">
        <f t="shared" si="1"/>
        <v>0</v>
      </c>
      <c r="I16" s="23">
        <v>2633</v>
      </c>
      <c r="J16" s="23">
        <v>2633</v>
      </c>
      <c r="K16" s="73">
        <f t="shared" si="2"/>
        <v>0</v>
      </c>
      <c r="L16" s="23">
        <v>10000</v>
      </c>
      <c r="M16" s="23">
        <v>10000</v>
      </c>
      <c r="N16" s="73">
        <f t="shared" si="3"/>
        <v>0</v>
      </c>
      <c r="O16" s="23">
        <f t="shared" si="4"/>
        <v>10000</v>
      </c>
      <c r="P16" s="23">
        <v>10000</v>
      </c>
      <c r="Q16" s="73">
        <f t="shared" si="5"/>
        <v>0</v>
      </c>
      <c r="R16" s="23">
        <v>5000</v>
      </c>
      <c r="S16" s="23">
        <v>5000</v>
      </c>
      <c r="T16" s="73">
        <f t="shared" si="6"/>
        <v>0</v>
      </c>
      <c r="U16" s="23">
        <f t="shared" si="7"/>
        <v>5000</v>
      </c>
      <c r="V16" s="23">
        <f t="shared" si="7"/>
        <v>5000</v>
      </c>
      <c r="W16" s="73">
        <f t="shared" si="8"/>
        <v>0</v>
      </c>
      <c r="X16" s="23">
        <v>10000</v>
      </c>
      <c r="Y16" s="23">
        <v>10000</v>
      </c>
      <c r="Z16" s="73">
        <f t="shared" si="9"/>
        <v>0</v>
      </c>
      <c r="AA16" s="23">
        <v>2907</v>
      </c>
      <c r="AB16" s="23">
        <v>2907</v>
      </c>
      <c r="AC16" s="73">
        <f t="shared" si="10"/>
        <v>0</v>
      </c>
      <c r="AD16" s="23">
        <v>2907</v>
      </c>
      <c r="AE16" s="23">
        <v>2907</v>
      </c>
      <c r="AF16" s="73">
        <f t="shared" si="11"/>
        <v>0</v>
      </c>
      <c r="AG16" s="23">
        <v>7741</v>
      </c>
      <c r="AH16" s="23">
        <v>7741</v>
      </c>
      <c r="AI16" s="73">
        <f t="shared" si="12"/>
        <v>0</v>
      </c>
      <c r="AJ16" s="23">
        <v>3000</v>
      </c>
      <c r="AK16" s="23">
        <v>3000</v>
      </c>
      <c r="AL16" s="73">
        <f t="shared" si="13"/>
        <v>0</v>
      </c>
      <c r="AM16" s="23">
        <v>5760</v>
      </c>
      <c r="AN16" s="23">
        <v>5760</v>
      </c>
      <c r="AO16" s="73">
        <f t="shared" si="14"/>
        <v>0</v>
      </c>
      <c r="AP16" s="23">
        <v>5000</v>
      </c>
      <c r="AQ16" s="23">
        <v>5000</v>
      </c>
      <c r="AR16" s="73">
        <f t="shared" si="15"/>
        <v>0</v>
      </c>
      <c r="AS16" s="23"/>
      <c r="AT16" s="23"/>
      <c r="AU16" s="73">
        <f t="shared" si="16"/>
        <v>0</v>
      </c>
      <c r="AV16" s="23"/>
      <c r="AW16" s="23"/>
      <c r="AX16" s="73">
        <f t="shared" si="17"/>
        <v>0</v>
      </c>
      <c r="AY16" s="23"/>
      <c r="AZ16" s="23"/>
      <c r="BA16" s="73">
        <f t="shared" si="18"/>
        <v>0</v>
      </c>
      <c r="BB16" s="23"/>
      <c r="BC16" s="23"/>
      <c r="BD16" s="73">
        <f t="shared" si="19"/>
        <v>0</v>
      </c>
      <c r="BE16" s="23"/>
      <c r="BF16" s="23"/>
      <c r="BG16" s="73">
        <f t="shared" si="20"/>
        <v>0</v>
      </c>
      <c r="BH16" s="23"/>
      <c r="BI16" s="23"/>
      <c r="BJ16" s="73">
        <f t="shared" si="21"/>
        <v>0</v>
      </c>
      <c r="BK16" s="23"/>
      <c r="BL16" s="23"/>
      <c r="BM16" s="73">
        <f t="shared" si="22"/>
        <v>0</v>
      </c>
      <c r="BN16" s="23"/>
      <c r="BO16" s="23"/>
      <c r="BP16" s="73">
        <f t="shared" si="23"/>
        <v>0</v>
      </c>
      <c r="BQ16" s="23"/>
      <c r="BR16" s="23"/>
      <c r="BS16" s="73">
        <f t="shared" si="24"/>
        <v>0</v>
      </c>
      <c r="BT16" s="23"/>
      <c r="BU16" s="23"/>
      <c r="BV16" s="73">
        <f t="shared" si="25"/>
        <v>0</v>
      </c>
      <c r="BW16" s="23"/>
      <c r="BX16" s="23"/>
      <c r="BY16" s="73">
        <f t="shared" si="26"/>
        <v>0</v>
      </c>
      <c r="BZ16" s="23"/>
      <c r="CA16" s="23"/>
      <c r="CB16" s="73">
        <f t="shared" si="27"/>
        <v>0</v>
      </c>
      <c r="CC16" s="23"/>
      <c r="CD16" s="23"/>
      <c r="CE16" s="73">
        <f t="shared" si="28"/>
        <v>0</v>
      </c>
      <c r="CF16" s="23"/>
      <c r="CG16" s="23"/>
      <c r="CH16" s="73">
        <f t="shared" si="29"/>
        <v>0</v>
      </c>
      <c r="CI16" s="23"/>
      <c r="CJ16" s="23"/>
      <c r="CK16" s="73">
        <f t="shared" si="30"/>
        <v>0</v>
      </c>
      <c r="CL16" s="23"/>
      <c r="CM16" s="23"/>
      <c r="CN16" s="73">
        <f t="shared" si="31"/>
        <v>0</v>
      </c>
      <c r="CO16" s="23"/>
      <c r="CP16" s="23"/>
      <c r="CQ16" s="73">
        <f t="shared" si="32"/>
        <v>0</v>
      </c>
      <c r="CR16" s="23"/>
      <c r="CS16" s="23"/>
      <c r="CT16" s="73">
        <f t="shared" si="33"/>
        <v>0</v>
      </c>
      <c r="CU16" s="23"/>
      <c r="CV16" s="23"/>
      <c r="CW16" s="73">
        <f t="shared" si="34"/>
        <v>0</v>
      </c>
      <c r="CX16" s="23"/>
      <c r="CY16" s="23"/>
      <c r="CZ16" s="73">
        <f t="shared" si="35"/>
        <v>0</v>
      </c>
      <c r="DA16" s="23"/>
      <c r="DB16" s="23"/>
      <c r="DC16" s="73">
        <f t="shared" si="36"/>
        <v>0</v>
      </c>
      <c r="DD16" s="23"/>
      <c r="DE16" s="23"/>
      <c r="DF16" s="73">
        <f t="shared" si="37"/>
        <v>0</v>
      </c>
      <c r="DG16" s="23"/>
      <c r="DH16" s="23"/>
      <c r="DI16" s="73">
        <f t="shared" si="38"/>
        <v>0</v>
      </c>
      <c r="DJ16" s="23"/>
      <c r="DK16" s="23"/>
      <c r="DL16" s="73">
        <f t="shared" si="39"/>
        <v>0</v>
      </c>
      <c r="DM16" s="23"/>
      <c r="DN16" s="23"/>
      <c r="DO16" s="73">
        <f t="shared" si="40"/>
        <v>0</v>
      </c>
      <c r="DP16" s="23"/>
      <c r="DQ16" s="23"/>
      <c r="DR16" s="73">
        <f t="shared" si="41"/>
        <v>0</v>
      </c>
      <c r="DS16" s="73">
        <f t="shared" si="42"/>
        <v>94126</v>
      </c>
      <c r="DT16" s="73">
        <f t="shared" si="43"/>
        <v>94126</v>
      </c>
      <c r="DU16" s="73">
        <f t="shared" si="44"/>
        <v>0</v>
      </c>
      <c r="DV16" s="111"/>
      <c r="DW16" s="79"/>
      <c r="DX16" s="79"/>
      <c r="DY16" s="111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</row>
    <row r="17" spans="1:141" x14ac:dyDescent="0.2">
      <c r="A17" s="72">
        <f t="shared" si="45"/>
        <v>36719</v>
      </c>
      <c r="B17" s="72" t="s">
        <v>89</v>
      </c>
      <c r="C17" s="23">
        <v>4178</v>
      </c>
      <c r="D17" s="23">
        <v>4178</v>
      </c>
      <c r="E17" s="73">
        <f t="shared" si="0"/>
        <v>0</v>
      </c>
      <c r="F17" s="23">
        <v>20000</v>
      </c>
      <c r="G17" s="23">
        <v>20000</v>
      </c>
      <c r="H17" s="73">
        <f t="shared" si="1"/>
        <v>0</v>
      </c>
      <c r="I17" s="23">
        <v>2846</v>
      </c>
      <c r="J17" s="23">
        <v>2846</v>
      </c>
      <c r="K17" s="73">
        <f t="shared" si="2"/>
        <v>0</v>
      </c>
      <c r="L17" s="23">
        <v>10000</v>
      </c>
      <c r="M17" s="23">
        <v>10000</v>
      </c>
      <c r="N17" s="73">
        <f t="shared" si="3"/>
        <v>0</v>
      </c>
      <c r="O17" s="23">
        <f t="shared" si="4"/>
        <v>10000</v>
      </c>
      <c r="P17" s="23">
        <v>10000</v>
      </c>
      <c r="Q17" s="73">
        <f t="shared" si="5"/>
        <v>0</v>
      </c>
      <c r="R17" s="23">
        <v>5000</v>
      </c>
      <c r="S17" s="23">
        <v>5000</v>
      </c>
      <c r="T17" s="73">
        <f t="shared" si="6"/>
        <v>0</v>
      </c>
      <c r="U17" s="23">
        <f t="shared" si="7"/>
        <v>5000</v>
      </c>
      <c r="V17" s="23">
        <f t="shared" si="7"/>
        <v>5000</v>
      </c>
      <c r="W17" s="73">
        <f t="shared" si="8"/>
        <v>0</v>
      </c>
      <c r="X17" s="23">
        <v>10000</v>
      </c>
      <c r="Y17" s="23">
        <v>10000</v>
      </c>
      <c r="Z17" s="73">
        <f t="shared" si="9"/>
        <v>0</v>
      </c>
      <c r="AA17" s="23">
        <v>2409</v>
      </c>
      <c r="AB17" s="23">
        <v>2409</v>
      </c>
      <c r="AC17" s="73">
        <f t="shared" si="10"/>
        <v>0</v>
      </c>
      <c r="AD17" s="23">
        <v>2409</v>
      </c>
      <c r="AE17" s="23">
        <v>2409</v>
      </c>
      <c r="AF17" s="73">
        <f t="shared" si="11"/>
        <v>0</v>
      </c>
      <c r="AG17" s="23">
        <v>7741</v>
      </c>
      <c r="AH17" s="23">
        <v>7741</v>
      </c>
      <c r="AI17" s="73">
        <f t="shared" si="12"/>
        <v>0</v>
      </c>
      <c r="AJ17" s="23">
        <v>3000</v>
      </c>
      <c r="AK17" s="23">
        <v>3000</v>
      </c>
      <c r="AL17" s="73">
        <f t="shared" si="13"/>
        <v>0</v>
      </c>
      <c r="AM17" s="23">
        <v>6285</v>
      </c>
      <c r="AN17" s="23">
        <v>6285</v>
      </c>
      <c r="AO17" s="73">
        <f t="shared" si="14"/>
        <v>0</v>
      </c>
      <c r="AP17" s="23">
        <v>5000</v>
      </c>
      <c r="AQ17" s="23">
        <v>5000</v>
      </c>
      <c r="AR17" s="73">
        <f t="shared" si="15"/>
        <v>0</v>
      </c>
      <c r="AS17" s="23"/>
      <c r="AT17" s="23"/>
      <c r="AU17" s="73">
        <f t="shared" si="16"/>
        <v>0</v>
      </c>
      <c r="AV17" s="23"/>
      <c r="AW17" s="23"/>
      <c r="AX17" s="73">
        <f t="shared" si="17"/>
        <v>0</v>
      </c>
      <c r="AY17" s="23"/>
      <c r="AZ17" s="23"/>
      <c r="BA17" s="73">
        <f t="shared" si="18"/>
        <v>0</v>
      </c>
      <c r="BB17" s="23"/>
      <c r="BC17" s="23"/>
      <c r="BD17" s="73">
        <f t="shared" si="19"/>
        <v>0</v>
      </c>
      <c r="BE17" s="23"/>
      <c r="BF17" s="23"/>
      <c r="BG17" s="73">
        <f t="shared" si="20"/>
        <v>0</v>
      </c>
      <c r="BH17" s="23"/>
      <c r="BI17" s="23"/>
      <c r="BJ17" s="73">
        <f t="shared" si="21"/>
        <v>0</v>
      </c>
      <c r="BK17" s="23"/>
      <c r="BL17" s="23"/>
      <c r="BM17" s="73">
        <f t="shared" si="22"/>
        <v>0</v>
      </c>
      <c r="BN17" s="23"/>
      <c r="BO17" s="23"/>
      <c r="BP17" s="73">
        <f t="shared" si="23"/>
        <v>0</v>
      </c>
      <c r="BQ17" s="23"/>
      <c r="BR17" s="23"/>
      <c r="BS17" s="73">
        <f t="shared" si="24"/>
        <v>0</v>
      </c>
      <c r="BT17" s="23"/>
      <c r="BU17" s="23"/>
      <c r="BV17" s="73">
        <f t="shared" si="25"/>
        <v>0</v>
      </c>
      <c r="BW17" s="23"/>
      <c r="BX17" s="23"/>
      <c r="BY17" s="73">
        <f t="shared" si="26"/>
        <v>0</v>
      </c>
      <c r="BZ17" s="23"/>
      <c r="CA17" s="23"/>
      <c r="CB17" s="73">
        <f t="shared" si="27"/>
        <v>0</v>
      </c>
      <c r="CC17" s="23"/>
      <c r="CD17" s="23"/>
      <c r="CE17" s="73">
        <f t="shared" si="28"/>
        <v>0</v>
      </c>
      <c r="CF17" s="23"/>
      <c r="CG17" s="23"/>
      <c r="CH17" s="73">
        <f t="shared" si="29"/>
        <v>0</v>
      </c>
      <c r="CI17" s="23"/>
      <c r="CJ17" s="23"/>
      <c r="CK17" s="73">
        <f t="shared" si="30"/>
        <v>0</v>
      </c>
      <c r="CL17" s="23"/>
      <c r="CM17" s="23"/>
      <c r="CN17" s="73">
        <f t="shared" si="31"/>
        <v>0</v>
      </c>
      <c r="CO17" s="23"/>
      <c r="CP17" s="23"/>
      <c r="CQ17" s="73">
        <f t="shared" si="32"/>
        <v>0</v>
      </c>
      <c r="CR17" s="23"/>
      <c r="CS17" s="23"/>
      <c r="CT17" s="73">
        <f t="shared" si="33"/>
        <v>0</v>
      </c>
      <c r="CU17" s="23"/>
      <c r="CV17" s="23"/>
      <c r="CW17" s="73">
        <f t="shared" si="34"/>
        <v>0</v>
      </c>
      <c r="CX17" s="23"/>
      <c r="CY17" s="23"/>
      <c r="CZ17" s="73">
        <f t="shared" si="35"/>
        <v>0</v>
      </c>
      <c r="DA17" s="23"/>
      <c r="DB17" s="23"/>
      <c r="DC17" s="73">
        <f t="shared" si="36"/>
        <v>0</v>
      </c>
      <c r="DD17" s="23"/>
      <c r="DE17" s="23"/>
      <c r="DF17" s="73">
        <f t="shared" si="37"/>
        <v>0</v>
      </c>
      <c r="DG17" s="23"/>
      <c r="DH17" s="23"/>
      <c r="DI17" s="73">
        <f t="shared" si="38"/>
        <v>0</v>
      </c>
      <c r="DJ17" s="23"/>
      <c r="DK17" s="23"/>
      <c r="DL17" s="73">
        <f t="shared" si="39"/>
        <v>0</v>
      </c>
      <c r="DM17" s="23"/>
      <c r="DN17" s="23"/>
      <c r="DO17" s="73">
        <f t="shared" si="40"/>
        <v>0</v>
      </c>
      <c r="DP17" s="23"/>
      <c r="DQ17" s="23"/>
      <c r="DR17" s="73">
        <f t="shared" si="41"/>
        <v>0</v>
      </c>
      <c r="DS17" s="73">
        <f t="shared" si="42"/>
        <v>93868</v>
      </c>
      <c r="DT17" s="73">
        <f t="shared" si="43"/>
        <v>93868</v>
      </c>
      <c r="DU17" s="73">
        <f t="shared" si="44"/>
        <v>0</v>
      </c>
      <c r="DV17" s="111"/>
      <c r="DW17" s="79"/>
      <c r="DX17" s="79"/>
      <c r="DY17" s="111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</row>
    <row r="18" spans="1:141" x14ac:dyDescent="0.2">
      <c r="A18" s="72">
        <f t="shared" si="45"/>
        <v>36720</v>
      </c>
      <c r="B18" s="72" t="s">
        <v>90</v>
      </c>
      <c r="C18" s="23">
        <v>4178</v>
      </c>
      <c r="D18" s="23">
        <v>4178</v>
      </c>
      <c r="E18" s="73">
        <f t="shared" si="0"/>
        <v>0</v>
      </c>
      <c r="F18" s="23">
        <v>20000</v>
      </c>
      <c r="G18" s="23">
        <v>20000</v>
      </c>
      <c r="H18" s="73">
        <f t="shared" si="1"/>
        <v>0</v>
      </c>
      <c r="I18" s="23">
        <v>3059</v>
      </c>
      <c r="J18" s="23">
        <v>3059</v>
      </c>
      <c r="K18" s="73">
        <f t="shared" si="2"/>
        <v>0</v>
      </c>
      <c r="L18" s="23">
        <v>10000</v>
      </c>
      <c r="M18" s="23">
        <v>10000</v>
      </c>
      <c r="N18" s="73">
        <f t="shared" si="3"/>
        <v>0</v>
      </c>
      <c r="O18" s="23">
        <f t="shared" si="4"/>
        <v>10000</v>
      </c>
      <c r="P18" s="23">
        <v>10000</v>
      </c>
      <c r="Q18" s="73">
        <f t="shared" si="5"/>
        <v>0</v>
      </c>
      <c r="R18" s="23">
        <v>5000</v>
      </c>
      <c r="S18" s="23">
        <v>5000</v>
      </c>
      <c r="T18" s="73">
        <f t="shared" si="6"/>
        <v>0</v>
      </c>
      <c r="U18" s="23">
        <f t="shared" si="7"/>
        <v>5000</v>
      </c>
      <c r="V18" s="23">
        <f t="shared" si="7"/>
        <v>5000</v>
      </c>
      <c r="W18" s="73">
        <f t="shared" si="8"/>
        <v>0</v>
      </c>
      <c r="X18" s="23">
        <v>10000</v>
      </c>
      <c r="Y18" s="23">
        <v>10000</v>
      </c>
      <c r="Z18" s="73">
        <f t="shared" si="9"/>
        <v>0</v>
      </c>
      <c r="AA18" s="23">
        <v>2814</v>
      </c>
      <c r="AB18" s="23">
        <v>2814</v>
      </c>
      <c r="AC18" s="73">
        <f t="shared" si="10"/>
        <v>0</v>
      </c>
      <c r="AD18" s="23">
        <v>2814</v>
      </c>
      <c r="AE18" s="23">
        <v>2814</v>
      </c>
      <c r="AF18" s="73">
        <f t="shared" si="11"/>
        <v>0</v>
      </c>
      <c r="AG18" s="23">
        <v>7741</v>
      </c>
      <c r="AH18" s="23">
        <v>7741</v>
      </c>
      <c r="AI18" s="73">
        <f t="shared" si="12"/>
        <v>0</v>
      </c>
      <c r="AJ18" s="23">
        <v>3000</v>
      </c>
      <c r="AK18" s="23">
        <v>3000</v>
      </c>
      <c r="AL18" s="73">
        <f t="shared" si="13"/>
        <v>0</v>
      </c>
      <c r="AM18" s="23">
        <v>6858</v>
      </c>
      <c r="AN18" s="23">
        <v>6858</v>
      </c>
      <c r="AO18" s="73">
        <f t="shared" si="14"/>
        <v>0</v>
      </c>
      <c r="AP18" s="23">
        <v>5000</v>
      </c>
      <c r="AQ18" s="23">
        <v>5000</v>
      </c>
      <c r="AR18" s="73">
        <f t="shared" si="15"/>
        <v>0</v>
      </c>
      <c r="AS18" s="23"/>
      <c r="AT18" s="23"/>
      <c r="AU18" s="73">
        <f t="shared" si="16"/>
        <v>0</v>
      </c>
      <c r="AV18" s="23"/>
      <c r="AW18" s="23"/>
      <c r="AX18" s="73">
        <f t="shared" si="17"/>
        <v>0</v>
      </c>
      <c r="AY18" s="23"/>
      <c r="AZ18" s="23"/>
      <c r="BA18" s="73">
        <f t="shared" si="18"/>
        <v>0</v>
      </c>
      <c r="BB18" s="23"/>
      <c r="BC18" s="23"/>
      <c r="BD18" s="73">
        <f t="shared" si="19"/>
        <v>0</v>
      </c>
      <c r="BE18" s="23"/>
      <c r="BF18" s="23"/>
      <c r="BG18" s="73">
        <f t="shared" si="20"/>
        <v>0</v>
      </c>
      <c r="BH18" s="23"/>
      <c r="BI18" s="23"/>
      <c r="BJ18" s="73">
        <f t="shared" si="21"/>
        <v>0</v>
      </c>
      <c r="BK18" s="23"/>
      <c r="BL18" s="23"/>
      <c r="BM18" s="73">
        <f t="shared" si="22"/>
        <v>0</v>
      </c>
      <c r="BN18" s="23"/>
      <c r="BO18" s="23"/>
      <c r="BP18" s="73">
        <f t="shared" si="23"/>
        <v>0</v>
      </c>
      <c r="BQ18" s="23"/>
      <c r="BR18" s="23"/>
      <c r="BS18" s="73">
        <f t="shared" si="24"/>
        <v>0</v>
      </c>
      <c r="BT18" s="23"/>
      <c r="BU18" s="23"/>
      <c r="BV18" s="73">
        <f t="shared" si="25"/>
        <v>0</v>
      </c>
      <c r="BW18" s="23"/>
      <c r="BX18" s="23"/>
      <c r="BY18" s="73">
        <f t="shared" si="26"/>
        <v>0</v>
      </c>
      <c r="BZ18" s="23"/>
      <c r="CA18" s="23"/>
      <c r="CB18" s="73">
        <f t="shared" si="27"/>
        <v>0</v>
      </c>
      <c r="CC18" s="23"/>
      <c r="CD18" s="23"/>
      <c r="CE18" s="73">
        <f t="shared" si="28"/>
        <v>0</v>
      </c>
      <c r="CF18" s="23"/>
      <c r="CG18" s="23"/>
      <c r="CH18" s="73">
        <f t="shared" si="29"/>
        <v>0</v>
      </c>
      <c r="CI18" s="23"/>
      <c r="CJ18" s="23"/>
      <c r="CK18" s="73">
        <f t="shared" si="30"/>
        <v>0</v>
      </c>
      <c r="CL18" s="23"/>
      <c r="CM18" s="23"/>
      <c r="CN18" s="73">
        <f t="shared" si="31"/>
        <v>0</v>
      </c>
      <c r="CO18" s="23"/>
      <c r="CP18" s="23"/>
      <c r="CQ18" s="73">
        <f t="shared" si="32"/>
        <v>0</v>
      </c>
      <c r="CR18" s="23"/>
      <c r="CS18" s="23"/>
      <c r="CT18" s="73">
        <f t="shared" si="33"/>
        <v>0</v>
      </c>
      <c r="CU18" s="23"/>
      <c r="CV18" s="23"/>
      <c r="CW18" s="73">
        <f t="shared" si="34"/>
        <v>0</v>
      </c>
      <c r="CX18" s="23"/>
      <c r="CY18" s="23"/>
      <c r="CZ18" s="73">
        <f t="shared" si="35"/>
        <v>0</v>
      </c>
      <c r="DA18" s="23"/>
      <c r="DB18" s="23"/>
      <c r="DC18" s="73">
        <f t="shared" si="36"/>
        <v>0</v>
      </c>
      <c r="DD18" s="23"/>
      <c r="DE18" s="23"/>
      <c r="DF18" s="73">
        <f t="shared" si="37"/>
        <v>0</v>
      </c>
      <c r="DG18" s="23"/>
      <c r="DH18" s="23"/>
      <c r="DI18" s="73">
        <f t="shared" si="38"/>
        <v>0</v>
      </c>
      <c r="DJ18" s="23"/>
      <c r="DK18" s="23"/>
      <c r="DL18" s="73">
        <f t="shared" si="39"/>
        <v>0</v>
      </c>
      <c r="DM18" s="23"/>
      <c r="DN18" s="23"/>
      <c r="DO18" s="73">
        <f t="shared" si="40"/>
        <v>0</v>
      </c>
      <c r="DP18" s="23"/>
      <c r="DQ18" s="23"/>
      <c r="DR18" s="73">
        <f t="shared" si="41"/>
        <v>0</v>
      </c>
      <c r="DS18" s="73">
        <f t="shared" si="42"/>
        <v>95464</v>
      </c>
      <c r="DT18" s="73">
        <f t="shared" si="43"/>
        <v>95464</v>
      </c>
      <c r="DU18" s="73">
        <f t="shared" si="44"/>
        <v>0</v>
      </c>
      <c r="DV18" s="111"/>
      <c r="DW18" s="79"/>
      <c r="DX18" s="79"/>
      <c r="DY18" s="111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</row>
    <row r="19" spans="1:141" x14ac:dyDescent="0.2">
      <c r="A19" s="72">
        <f t="shared" si="45"/>
        <v>36721</v>
      </c>
      <c r="B19" s="72" t="s">
        <v>91</v>
      </c>
      <c r="C19" s="23">
        <v>4178</v>
      </c>
      <c r="D19" s="23">
        <v>4178</v>
      </c>
      <c r="E19" s="73">
        <f t="shared" si="0"/>
        <v>0</v>
      </c>
      <c r="F19" s="23">
        <v>20000</v>
      </c>
      <c r="G19" s="23">
        <v>20000</v>
      </c>
      <c r="H19" s="73">
        <f t="shared" si="1"/>
        <v>0</v>
      </c>
      <c r="I19" s="23">
        <v>2737</v>
      </c>
      <c r="J19" s="23">
        <v>2737</v>
      </c>
      <c r="K19" s="73">
        <f t="shared" si="2"/>
        <v>0</v>
      </c>
      <c r="L19" s="23">
        <v>10000</v>
      </c>
      <c r="M19" s="23">
        <v>10000</v>
      </c>
      <c r="N19" s="73">
        <f t="shared" si="3"/>
        <v>0</v>
      </c>
      <c r="O19" s="23">
        <f t="shared" si="4"/>
        <v>10000</v>
      </c>
      <c r="P19" s="23">
        <v>10000</v>
      </c>
      <c r="Q19" s="73">
        <f t="shared" si="5"/>
        <v>0</v>
      </c>
      <c r="R19" s="23">
        <v>5000</v>
      </c>
      <c r="S19" s="23">
        <v>5000</v>
      </c>
      <c r="T19" s="73">
        <f t="shared" si="6"/>
        <v>0</v>
      </c>
      <c r="U19" s="23">
        <f t="shared" si="7"/>
        <v>5000</v>
      </c>
      <c r="V19" s="23">
        <f t="shared" si="7"/>
        <v>5000</v>
      </c>
      <c r="W19" s="73">
        <f t="shared" si="8"/>
        <v>0</v>
      </c>
      <c r="X19" s="23">
        <v>10000</v>
      </c>
      <c r="Y19" s="23">
        <v>10000</v>
      </c>
      <c r="Z19" s="73">
        <f t="shared" si="9"/>
        <v>0</v>
      </c>
      <c r="AA19" s="23">
        <v>3273</v>
      </c>
      <c r="AB19" s="23">
        <v>3273</v>
      </c>
      <c r="AC19" s="73">
        <f t="shared" si="10"/>
        <v>0</v>
      </c>
      <c r="AD19" s="23">
        <v>3273</v>
      </c>
      <c r="AE19" s="23">
        <v>3273</v>
      </c>
      <c r="AF19" s="73">
        <f t="shared" si="11"/>
        <v>0</v>
      </c>
      <c r="AG19" s="23">
        <v>7741</v>
      </c>
      <c r="AH19" s="23">
        <v>7741</v>
      </c>
      <c r="AI19" s="73">
        <f t="shared" si="12"/>
        <v>0</v>
      </c>
      <c r="AJ19" s="23">
        <v>3000</v>
      </c>
      <c r="AK19" s="23">
        <v>3000</v>
      </c>
      <c r="AL19" s="73">
        <f t="shared" si="13"/>
        <v>0</v>
      </c>
      <c r="AM19" s="23">
        <v>5747</v>
      </c>
      <c r="AN19" s="23">
        <v>5747</v>
      </c>
      <c r="AO19" s="73">
        <f t="shared" si="14"/>
        <v>0</v>
      </c>
      <c r="AP19" s="23">
        <v>5000</v>
      </c>
      <c r="AQ19" s="23">
        <v>5000</v>
      </c>
      <c r="AR19" s="73">
        <f t="shared" si="15"/>
        <v>0</v>
      </c>
      <c r="AS19" s="23"/>
      <c r="AT19" s="23"/>
      <c r="AU19" s="73">
        <f t="shared" si="16"/>
        <v>0</v>
      </c>
      <c r="AV19" s="23"/>
      <c r="AW19" s="23"/>
      <c r="AX19" s="73">
        <f t="shared" si="17"/>
        <v>0</v>
      </c>
      <c r="AY19" s="23"/>
      <c r="AZ19" s="23"/>
      <c r="BA19" s="73">
        <f t="shared" si="18"/>
        <v>0</v>
      </c>
      <c r="BB19" s="23"/>
      <c r="BC19" s="23"/>
      <c r="BD19" s="73">
        <f t="shared" si="19"/>
        <v>0</v>
      </c>
      <c r="BE19" s="23"/>
      <c r="BF19" s="23"/>
      <c r="BG19" s="73">
        <f t="shared" si="20"/>
        <v>0</v>
      </c>
      <c r="BH19" s="23"/>
      <c r="BI19" s="23"/>
      <c r="BJ19" s="73">
        <f t="shared" si="21"/>
        <v>0</v>
      </c>
      <c r="BK19" s="23"/>
      <c r="BL19" s="23"/>
      <c r="BM19" s="73">
        <f t="shared" si="22"/>
        <v>0</v>
      </c>
      <c r="BN19" s="23"/>
      <c r="BO19" s="23"/>
      <c r="BP19" s="73">
        <f t="shared" si="23"/>
        <v>0</v>
      </c>
      <c r="BQ19" s="23"/>
      <c r="BR19" s="23"/>
      <c r="BS19" s="73">
        <f t="shared" si="24"/>
        <v>0</v>
      </c>
      <c r="BT19" s="23"/>
      <c r="BU19" s="23"/>
      <c r="BV19" s="73">
        <f t="shared" si="25"/>
        <v>0</v>
      </c>
      <c r="BW19" s="23"/>
      <c r="BX19" s="23"/>
      <c r="BY19" s="73">
        <f t="shared" si="26"/>
        <v>0</v>
      </c>
      <c r="BZ19" s="23"/>
      <c r="CA19" s="23"/>
      <c r="CB19" s="73">
        <f t="shared" si="27"/>
        <v>0</v>
      </c>
      <c r="CC19" s="23"/>
      <c r="CD19" s="23"/>
      <c r="CE19" s="73">
        <f t="shared" si="28"/>
        <v>0</v>
      </c>
      <c r="CF19" s="23"/>
      <c r="CG19" s="23"/>
      <c r="CH19" s="73">
        <f t="shared" si="29"/>
        <v>0</v>
      </c>
      <c r="CI19" s="23"/>
      <c r="CJ19" s="23"/>
      <c r="CK19" s="73">
        <f t="shared" si="30"/>
        <v>0</v>
      </c>
      <c r="CL19" s="23"/>
      <c r="CM19" s="23"/>
      <c r="CN19" s="73">
        <f t="shared" si="31"/>
        <v>0</v>
      </c>
      <c r="CO19" s="23"/>
      <c r="CP19" s="23"/>
      <c r="CQ19" s="73">
        <f t="shared" si="32"/>
        <v>0</v>
      </c>
      <c r="CR19" s="23"/>
      <c r="CS19" s="23"/>
      <c r="CT19" s="73">
        <f t="shared" si="33"/>
        <v>0</v>
      </c>
      <c r="CU19" s="23"/>
      <c r="CV19" s="23"/>
      <c r="CW19" s="73">
        <f t="shared" si="34"/>
        <v>0</v>
      </c>
      <c r="CX19" s="23"/>
      <c r="CY19" s="23"/>
      <c r="CZ19" s="73">
        <f t="shared" si="35"/>
        <v>0</v>
      </c>
      <c r="DA19" s="23"/>
      <c r="DB19" s="23"/>
      <c r="DC19" s="73">
        <f t="shared" si="36"/>
        <v>0</v>
      </c>
      <c r="DD19" s="23"/>
      <c r="DE19" s="23"/>
      <c r="DF19" s="73">
        <f t="shared" si="37"/>
        <v>0</v>
      </c>
      <c r="DG19" s="23"/>
      <c r="DH19" s="23"/>
      <c r="DI19" s="73">
        <f t="shared" si="38"/>
        <v>0</v>
      </c>
      <c r="DJ19" s="23"/>
      <c r="DK19" s="23"/>
      <c r="DL19" s="73">
        <f t="shared" si="39"/>
        <v>0</v>
      </c>
      <c r="DM19" s="23"/>
      <c r="DN19" s="23"/>
      <c r="DO19" s="73">
        <f t="shared" si="40"/>
        <v>0</v>
      </c>
      <c r="DP19" s="23"/>
      <c r="DQ19" s="23"/>
      <c r="DR19" s="73">
        <f t="shared" si="41"/>
        <v>0</v>
      </c>
      <c r="DS19" s="73">
        <f t="shared" si="42"/>
        <v>94949</v>
      </c>
      <c r="DT19" s="73">
        <f t="shared" si="43"/>
        <v>94949</v>
      </c>
      <c r="DU19" s="73">
        <f t="shared" si="44"/>
        <v>0</v>
      </c>
      <c r="DV19" s="111"/>
      <c r="DW19" s="79"/>
      <c r="DX19" s="79"/>
      <c r="DY19" s="111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</row>
    <row r="20" spans="1:141" x14ac:dyDescent="0.2">
      <c r="A20" s="72">
        <f t="shared" si="45"/>
        <v>36722</v>
      </c>
      <c r="B20" s="72" t="s">
        <v>85</v>
      </c>
      <c r="C20" s="23">
        <v>4178</v>
      </c>
      <c r="D20" s="23">
        <v>4178</v>
      </c>
      <c r="E20" s="73">
        <f t="shared" si="0"/>
        <v>0</v>
      </c>
      <c r="F20" s="23">
        <v>20000</v>
      </c>
      <c r="G20" s="23">
        <v>20000</v>
      </c>
      <c r="H20" s="73">
        <f t="shared" si="1"/>
        <v>0</v>
      </c>
      <c r="I20" s="23">
        <v>2860</v>
      </c>
      <c r="J20" s="23">
        <v>2860</v>
      </c>
      <c r="K20" s="73">
        <f t="shared" si="2"/>
        <v>0</v>
      </c>
      <c r="L20" s="23">
        <v>10000</v>
      </c>
      <c r="M20" s="23">
        <v>10000</v>
      </c>
      <c r="N20" s="73">
        <f t="shared" si="3"/>
        <v>0</v>
      </c>
      <c r="O20" s="23">
        <f t="shared" si="4"/>
        <v>10000</v>
      </c>
      <c r="P20" s="23">
        <v>10000</v>
      </c>
      <c r="Q20" s="73">
        <f t="shared" si="5"/>
        <v>0</v>
      </c>
      <c r="R20" s="23">
        <v>5000</v>
      </c>
      <c r="S20" s="23">
        <v>5000</v>
      </c>
      <c r="T20" s="73">
        <f t="shared" si="6"/>
        <v>0</v>
      </c>
      <c r="U20" s="23">
        <f t="shared" si="7"/>
        <v>5000</v>
      </c>
      <c r="V20" s="23">
        <f t="shared" si="7"/>
        <v>5000</v>
      </c>
      <c r="W20" s="73">
        <f t="shared" si="8"/>
        <v>0</v>
      </c>
      <c r="X20" s="23">
        <v>10000</v>
      </c>
      <c r="Y20" s="23">
        <v>10000</v>
      </c>
      <c r="Z20" s="73">
        <f t="shared" si="9"/>
        <v>0</v>
      </c>
      <c r="AA20" s="23">
        <v>3251</v>
      </c>
      <c r="AB20" s="23">
        <v>3251</v>
      </c>
      <c r="AC20" s="73">
        <f t="shared" si="10"/>
        <v>0</v>
      </c>
      <c r="AD20" s="23">
        <v>3251</v>
      </c>
      <c r="AE20" s="23">
        <v>3251</v>
      </c>
      <c r="AF20" s="73">
        <f t="shared" si="11"/>
        <v>0</v>
      </c>
      <c r="AG20" s="23">
        <v>7741</v>
      </c>
      <c r="AH20" s="23">
        <v>7741</v>
      </c>
      <c r="AI20" s="73">
        <f t="shared" si="12"/>
        <v>0</v>
      </c>
      <c r="AJ20" s="23">
        <v>3000</v>
      </c>
      <c r="AK20" s="23">
        <v>3000</v>
      </c>
      <c r="AL20" s="73">
        <f t="shared" si="13"/>
        <v>0</v>
      </c>
      <c r="AM20" s="23">
        <v>5960</v>
      </c>
      <c r="AN20" s="23">
        <v>5960</v>
      </c>
      <c r="AO20" s="73">
        <f t="shared" si="14"/>
        <v>0</v>
      </c>
      <c r="AP20" s="23">
        <v>5000</v>
      </c>
      <c r="AQ20" s="23">
        <v>5000</v>
      </c>
      <c r="AR20" s="73">
        <f t="shared" si="15"/>
        <v>0</v>
      </c>
      <c r="AS20" s="23"/>
      <c r="AT20" s="23"/>
      <c r="AU20" s="73">
        <f t="shared" si="16"/>
        <v>0</v>
      </c>
      <c r="AV20" s="23"/>
      <c r="AW20" s="23"/>
      <c r="AX20" s="73">
        <f t="shared" si="17"/>
        <v>0</v>
      </c>
      <c r="AY20" s="23"/>
      <c r="AZ20" s="23"/>
      <c r="BA20" s="73">
        <f t="shared" si="18"/>
        <v>0</v>
      </c>
      <c r="BB20" s="23"/>
      <c r="BC20" s="23"/>
      <c r="BD20" s="73">
        <f t="shared" si="19"/>
        <v>0</v>
      </c>
      <c r="BE20" s="23"/>
      <c r="BF20" s="23"/>
      <c r="BG20" s="73">
        <f t="shared" si="20"/>
        <v>0</v>
      </c>
      <c r="BH20" s="23"/>
      <c r="BI20" s="23"/>
      <c r="BJ20" s="73">
        <f t="shared" si="21"/>
        <v>0</v>
      </c>
      <c r="BK20" s="23"/>
      <c r="BL20" s="23"/>
      <c r="BM20" s="73">
        <f t="shared" si="22"/>
        <v>0</v>
      </c>
      <c r="BN20" s="23"/>
      <c r="BO20" s="23"/>
      <c r="BP20" s="73">
        <f t="shared" si="23"/>
        <v>0</v>
      </c>
      <c r="BQ20" s="23"/>
      <c r="BR20" s="23"/>
      <c r="BS20" s="73">
        <f t="shared" si="24"/>
        <v>0</v>
      </c>
      <c r="BT20" s="23"/>
      <c r="BU20" s="23"/>
      <c r="BV20" s="73">
        <f t="shared" si="25"/>
        <v>0</v>
      </c>
      <c r="BW20" s="23"/>
      <c r="BX20" s="23"/>
      <c r="BY20" s="73">
        <f t="shared" si="26"/>
        <v>0</v>
      </c>
      <c r="BZ20" s="23"/>
      <c r="CA20" s="23"/>
      <c r="CB20" s="73">
        <f t="shared" si="27"/>
        <v>0</v>
      </c>
      <c r="CC20" s="23"/>
      <c r="CD20" s="23"/>
      <c r="CE20" s="73">
        <f t="shared" si="28"/>
        <v>0</v>
      </c>
      <c r="CF20" s="23"/>
      <c r="CG20" s="23"/>
      <c r="CH20" s="73">
        <f t="shared" si="29"/>
        <v>0</v>
      </c>
      <c r="CI20" s="23"/>
      <c r="CJ20" s="23"/>
      <c r="CK20" s="73">
        <f t="shared" si="30"/>
        <v>0</v>
      </c>
      <c r="CL20" s="23"/>
      <c r="CM20" s="23"/>
      <c r="CN20" s="73">
        <f t="shared" si="31"/>
        <v>0</v>
      </c>
      <c r="CO20" s="23"/>
      <c r="CP20" s="23"/>
      <c r="CQ20" s="73">
        <f t="shared" si="32"/>
        <v>0</v>
      </c>
      <c r="CR20" s="23"/>
      <c r="CS20" s="23"/>
      <c r="CT20" s="73">
        <f t="shared" si="33"/>
        <v>0</v>
      </c>
      <c r="CU20" s="23"/>
      <c r="CV20" s="23"/>
      <c r="CW20" s="73">
        <f t="shared" si="34"/>
        <v>0</v>
      </c>
      <c r="CX20" s="23"/>
      <c r="CY20" s="23"/>
      <c r="CZ20" s="73">
        <f t="shared" si="35"/>
        <v>0</v>
      </c>
      <c r="DA20" s="23"/>
      <c r="DB20" s="23"/>
      <c r="DC20" s="73">
        <f t="shared" si="36"/>
        <v>0</v>
      </c>
      <c r="DD20" s="23"/>
      <c r="DE20" s="23"/>
      <c r="DF20" s="73">
        <f t="shared" si="37"/>
        <v>0</v>
      </c>
      <c r="DG20" s="23"/>
      <c r="DH20" s="23"/>
      <c r="DI20" s="73">
        <f t="shared" si="38"/>
        <v>0</v>
      </c>
      <c r="DJ20" s="23"/>
      <c r="DK20" s="23"/>
      <c r="DL20" s="73">
        <f t="shared" si="39"/>
        <v>0</v>
      </c>
      <c r="DM20" s="23"/>
      <c r="DN20" s="23"/>
      <c r="DO20" s="73">
        <f t="shared" si="40"/>
        <v>0</v>
      </c>
      <c r="DP20" s="23"/>
      <c r="DQ20" s="23"/>
      <c r="DR20" s="73">
        <f t="shared" si="41"/>
        <v>0</v>
      </c>
      <c r="DS20" s="73">
        <f t="shared" si="42"/>
        <v>95241</v>
      </c>
      <c r="DT20" s="73">
        <f t="shared" si="43"/>
        <v>95241</v>
      </c>
      <c r="DU20" s="73">
        <f t="shared" si="44"/>
        <v>0</v>
      </c>
      <c r="DV20" s="111"/>
      <c r="DW20" s="79"/>
      <c r="DX20" s="79"/>
      <c r="DY20" s="111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</row>
    <row r="21" spans="1:141" x14ac:dyDescent="0.2">
      <c r="A21" s="72">
        <f t="shared" si="45"/>
        <v>36723</v>
      </c>
      <c r="B21" s="72" t="s">
        <v>86</v>
      </c>
      <c r="C21" s="23">
        <v>4178</v>
      </c>
      <c r="D21" s="23">
        <v>4178</v>
      </c>
      <c r="E21" s="73">
        <f t="shared" si="0"/>
        <v>0</v>
      </c>
      <c r="F21" s="23">
        <v>20000</v>
      </c>
      <c r="G21" s="23">
        <v>20000</v>
      </c>
      <c r="H21" s="73">
        <f t="shared" si="1"/>
        <v>0</v>
      </c>
      <c r="I21" s="23">
        <v>2668</v>
      </c>
      <c r="J21" s="23">
        <v>2668</v>
      </c>
      <c r="K21" s="73">
        <f t="shared" si="2"/>
        <v>0</v>
      </c>
      <c r="L21" s="23">
        <v>10000</v>
      </c>
      <c r="M21" s="23">
        <v>10000</v>
      </c>
      <c r="N21" s="73">
        <f t="shared" si="3"/>
        <v>0</v>
      </c>
      <c r="O21" s="23">
        <f t="shared" si="4"/>
        <v>10000</v>
      </c>
      <c r="P21" s="23">
        <v>10000</v>
      </c>
      <c r="Q21" s="73">
        <f t="shared" si="5"/>
        <v>0</v>
      </c>
      <c r="R21" s="23">
        <v>5000</v>
      </c>
      <c r="S21" s="23">
        <v>5000</v>
      </c>
      <c r="T21" s="73">
        <f t="shared" si="6"/>
        <v>0</v>
      </c>
      <c r="U21" s="23">
        <f t="shared" si="7"/>
        <v>5000</v>
      </c>
      <c r="V21" s="23">
        <f t="shared" si="7"/>
        <v>5000</v>
      </c>
      <c r="W21" s="73">
        <f t="shared" si="8"/>
        <v>0</v>
      </c>
      <c r="X21" s="23">
        <v>10000</v>
      </c>
      <c r="Y21" s="23">
        <v>10000</v>
      </c>
      <c r="Z21" s="73">
        <f t="shared" si="9"/>
        <v>0</v>
      </c>
      <c r="AA21" s="23">
        <v>3218</v>
      </c>
      <c r="AB21" s="23">
        <v>3218</v>
      </c>
      <c r="AC21" s="73">
        <f t="shared" si="10"/>
        <v>0</v>
      </c>
      <c r="AD21" s="23">
        <v>3217</v>
      </c>
      <c r="AE21" s="23">
        <v>3217</v>
      </c>
      <c r="AF21" s="73">
        <f t="shared" si="11"/>
        <v>0</v>
      </c>
      <c r="AG21" s="23">
        <v>7741</v>
      </c>
      <c r="AH21" s="23">
        <v>7741</v>
      </c>
      <c r="AI21" s="73">
        <f t="shared" si="12"/>
        <v>0</v>
      </c>
      <c r="AJ21" s="23">
        <v>3000</v>
      </c>
      <c r="AK21" s="23">
        <v>3000</v>
      </c>
      <c r="AL21" s="73">
        <f t="shared" si="13"/>
        <v>0</v>
      </c>
      <c r="AM21" s="23">
        <v>7102</v>
      </c>
      <c r="AN21" s="23">
        <v>7102</v>
      </c>
      <c r="AO21" s="73">
        <f t="shared" si="14"/>
        <v>0</v>
      </c>
      <c r="AP21" s="23">
        <v>5000</v>
      </c>
      <c r="AQ21" s="23">
        <v>5000</v>
      </c>
      <c r="AR21" s="73">
        <f t="shared" si="15"/>
        <v>0</v>
      </c>
      <c r="AS21" s="23"/>
      <c r="AT21" s="23"/>
      <c r="AU21" s="73">
        <f t="shared" si="16"/>
        <v>0</v>
      </c>
      <c r="AV21" s="23"/>
      <c r="AW21" s="23"/>
      <c r="AX21" s="73">
        <f t="shared" si="17"/>
        <v>0</v>
      </c>
      <c r="AY21" s="23"/>
      <c r="AZ21" s="23"/>
      <c r="BA21" s="73">
        <f t="shared" si="18"/>
        <v>0</v>
      </c>
      <c r="BB21" s="23"/>
      <c r="BC21" s="23"/>
      <c r="BD21" s="73">
        <f t="shared" si="19"/>
        <v>0</v>
      </c>
      <c r="BE21" s="23"/>
      <c r="BF21" s="23"/>
      <c r="BG21" s="73">
        <f t="shared" si="20"/>
        <v>0</v>
      </c>
      <c r="BH21" s="23"/>
      <c r="BI21" s="23"/>
      <c r="BJ21" s="73">
        <f t="shared" si="21"/>
        <v>0</v>
      </c>
      <c r="BK21" s="23"/>
      <c r="BL21" s="23"/>
      <c r="BM21" s="73">
        <f t="shared" si="22"/>
        <v>0</v>
      </c>
      <c r="BN21" s="23"/>
      <c r="BO21" s="23"/>
      <c r="BP21" s="73">
        <f t="shared" si="23"/>
        <v>0</v>
      </c>
      <c r="BQ21" s="23"/>
      <c r="BR21" s="23"/>
      <c r="BS21" s="73">
        <f t="shared" si="24"/>
        <v>0</v>
      </c>
      <c r="BT21" s="23"/>
      <c r="BU21" s="23"/>
      <c r="BV21" s="73">
        <f t="shared" si="25"/>
        <v>0</v>
      </c>
      <c r="BW21" s="23"/>
      <c r="BX21" s="23"/>
      <c r="BY21" s="73">
        <f t="shared" si="26"/>
        <v>0</v>
      </c>
      <c r="BZ21" s="23"/>
      <c r="CA21" s="23"/>
      <c r="CB21" s="73">
        <f t="shared" si="27"/>
        <v>0</v>
      </c>
      <c r="CC21" s="23"/>
      <c r="CD21" s="23"/>
      <c r="CE21" s="73">
        <f t="shared" si="28"/>
        <v>0</v>
      </c>
      <c r="CF21" s="23"/>
      <c r="CG21" s="23"/>
      <c r="CH21" s="73">
        <f t="shared" si="29"/>
        <v>0</v>
      </c>
      <c r="CI21" s="23"/>
      <c r="CJ21" s="23"/>
      <c r="CK21" s="73">
        <f t="shared" si="30"/>
        <v>0</v>
      </c>
      <c r="CL21" s="23"/>
      <c r="CM21" s="23"/>
      <c r="CN21" s="73">
        <f t="shared" si="31"/>
        <v>0</v>
      </c>
      <c r="CO21" s="23"/>
      <c r="CP21" s="23"/>
      <c r="CQ21" s="73">
        <f t="shared" si="32"/>
        <v>0</v>
      </c>
      <c r="CR21" s="23"/>
      <c r="CS21" s="23"/>
      <c r="CT21" s="73">
        <f t="shared" si="33"/>
        <v>0</v>
      </c>
      <c r="CU21" s="23"/>
      <c r="CV21" s="23"/>
      <c r="CW21" s="73">
        <f t="shared" si="34"/>
        <v>0</v>
      </c>
      <c r="CX21" s="23"/>
      <c r="CY21" s="23"/>
      <c r="CZ21" s="73">
        <f t="shared" si="35"/>
        <v>0</v>
      </c>
      <c r="DA21" s="23"/>
      <c r="DB21" s="23"/>
      <c r="DC21" s="73">
        <f t="shared" si="36"/>
        <v>0</v>
      </c>
      <c r="DD21" s="23"/>
      <c r="DE21" s="23"/>
      <c r="DF21" s="73">
        <f t="shared" si="37"/>
        <v>0</v>
      </c>
      <c r="DG21" s="23"/>
      <c r="DH21" s="23"/>
      <c r="DI21" s="73">
        <f t="shared" si="38"/>
        <v>0</v>
      </c>
      <c r="DJ21" s="23"/>
      <c r="DK21" s="23"/>
      <c r="DL21" s="73">
        <f t="shared" si="39"/>
        <v>0</v>
      </c>
      <c r="DM21" s="23"/>
      <c r="DN21" s="23"/>
      <c r="DO21" s="73">
        <f t="shared" si="40"/>
        <v>0</v>
      </c>
      <c r="DP21" s="23"/>
      <c r="DQ21" s="23"/>
      <c r="DR21" s="73">
        <f t="shared" si="41"/>
        <v>0</v>
      </c>
      <c r="DS21" s="73">
        <f t="shared" si="42"/>
        <v>96124</v>
      </c>
      <c r="DT21" s="73">
        <f t="shared" si="43"/>
        <v>96124</v>
      </c>
      <c r="DU21" s="73">
        <f t="shared" si="44"/>
        <v>0</v>
      </c>
      <c r="DV21" s="111"/>
      <c r="DW21" s="79"/>
      <c r="DX21" s="79"/>
      <c r="DY21" s="111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</row>
    <row r="22" spans="1:141" x14ac:dyDescent="0.2">
      <c r="A22" s="72">
        <f t="shared" si="45"/>
        <v>36724</v>
      </c>
      <c r="B22" s="72" t="s">
        <v>87</v>
      </c>
      <c r="C22" s="23">
        <v>4178</v>
      </c>
      <c r="D22" s="23">
        <v>4178</v>
      </c>
      <c r="E22" s="73">
        <f t="shared" si="0"/>
        <v>0</v>
      </c>
      <c r="F22" s="23">
        <v>20000</v>
      </c>
      <c r="G22" s="23">
        <v>20000</v>
      </c>
      <c r="H22" s="73">
        <f t="shared" si="1"/>
        <v>0</v>
      </c>
      <c r="I22" s="23">
        <v>2620</v>
      </c>
      <c r="J22" s="23">
        <v>2620</v>
      </c>
      <c r="K22" s="73">
        <f t="shared" si="2"/>
        <v>0</v>
      </c>
      <c r="L22" s="23">
        <v>10000</v>
      </c>
      <c r="M22" s="23">
        <v>10000</v>
      </c>
      <c r="N22" s="73">
        <f t="shared" si="3"/>
        <v>0</v>
      </c>
      <c r="O22" s="23">
        <f t="shared" si="4"/>
        <v>10000</v>
      </c>
      <c r="P22" s="23">
        <v>10000</v>
      </c>
      <c r="Q22" s="73">
        <f t="shared" si="5"/>
        <v>0</v>
      </c>
      <c r="R22" s="23">
        <v>5000</v>
      </c>
      <c r="S22" s="23">
        <v>5000</v>
      </c>
      <c r="T22" s="73">
        <f t="shared" si="6"/>
        <v>0</v>
      </c>
      <c r="U22" s="23">
        <f t="shared" si="7"/>
        <v>5000</v>
      </c>
      <c r="V22" s="23">
        <f t="shared" si="7"/>
        <v>5000</v>
      </c>
      <c r="W22" s="73">
        <f t="shared" si="8"/>
        <v>0</v>
      </c>
      <c r="X22" s="23">
        <v>10000</v>
      </c>
      <c r="Y22" s="23">
        <v>10000</v>
      </c>
      <c r="Z22" s="73">
        <f t="shared" si="9"/>
        <v>0</v>
      </c>
      <c r="AA22" s="23">
        <v>3090</v>
      </c>
      <c r="AB22" s="23">
        <v>3090</v>
      </c>
      <c r="AC22" s="73">
        <f t="shared" si="10"/>
        <v>0</v>
      </c>
      <c r="AD22" s="23">
        <v>3090</v>
      </c>
      <c r="AE22" s="23">
        <v>3090</v>
      </c>
      <c r="AF22" s="73">
        <f t="shared" si="11"/>
        <v>0</v>
      </c>
      <c r="AG22" s="23">
        <v>7741</v>
      </c>
      <c r="AH22" s="23">
        <v>7741</v>
      </c>
      <c r="AI22" s="73">
        <f t="shared" si="12"/>
        <v>0</v>
      </c>
      <c r="AJ22" s="23">
        <v>3000</v>
      </c>
      <c r="AK22" s="23">
        <v>3000</v>
      </c>
      <c r="AL22" s="73">
        <f t="shared" si="13"/>
        <v>0</v>
      </c>
      <c r="AM22" s="23">
        <v>5884</v>
      </c>
      <c r="AN22" s="23">
        <v>5884</v>
      </c>
      <c r="AO22" s="73">
        <f t="shared" si="14"/>
        <v>0</v>
      </c>
      <c r="AP22" s="23">
        <v>5000</v>
      </c>
      <c r="AQ22" s="23">
        <v>5000</v>
      </c>
      <c r="AR22" s="73">
        <f t="shared" si="15"/>
        <v>0</v>
      </c>
      <c r="AS22" s="23"/>
      <c r="AT22" s="23"/>
      <c r="AU22" s="73">
        <f t="shared" si="16"/>
        <v>0</v>
      </c>
      <c r="AV22" s="23"/>
      <c r="AW22" s="23"/>
      <c r="AX22" s="73">
        <f t="shared" si="17"/>
        <v>0</v>
      </c>
      <c r="AY22" s="23"/>
      <c r="AZ22" s="23"/>
      <c r="BA22" s="73">
        <f t="shared" si="18"/>
        <v>0</v>
      </c>
      <c r="BB22" s="23"/>
      <c r="BC22" s="23"/>
      <c r="BD22" s="73">
        <f t="shared" si="19"/>
        <v>0</v>
      </c>
      <c r="BE22" s="23"/>
      <c r="BF22" s="23"/>
      <c r="BG22" s="73">
        <f t="shared" si="20"/>
        <v>0</v>
      </c>
      <c r="BH22" s="23"/>
      <c r="BI22" s="23"/>
      <c r="BJ22" s="73">
        <f t="shared" si="21"/>
        <v>0</v>
      </c>
      <c r="BK22" s="23"/>
      <c r="BL22" s="23"/>
      <c r="BM22" s="73">
        <f t="shared" si="22"/>
        <v>0</v>
      </c>
      <c r="BN22" s="23"/>
      <c r="BO22" s="23"/>
      <c r="BP22" s="73">
        <f t="shared" si="23"/>
        <v>0</v>
      </c>
      <c r="BQ22" s="23"/>
      <c r="BR22" s="23"/>
      <c r="BS22" s="73">
        <f t="shared" si="24"/>
        <v>0</v>
      </c>
      <c r="BT22" s="23"/>
      <c r="BU22" s="23"/>
      <c r="BV22" s="73">
        <f t="shared" si="25"/>
        <v>0</v>
      </c>
      <c r="BW22" s="23"/>
      <c r="BX22" s="23"/>
      <c r="BY22" s="73">
        <f t="shared" si="26"/>
        <v>0</v>
      </c>
      <c r="BZ22" s="23"/>
      <c r="CA22" s="23"/>
      <c r="CB22" s="73">
        <f t="shared" si="27"/>
        <v>0</v>
      </c>
      <c r="CC22" s="23"/>
      <c r="CD22" s="23"/>
      <c r="CE22" s="73">
        <f t="shared" si="28"/>
        <v>0</v>
      </c>
      <c r="CF22" s="23"/>
      <c r="CG22" s="23"/>
      <c r="CH22" s="73">
        <f t="shared" si="29"/>
        <v>0</v>
      </c>
      <c r="CI22" s="23"/>
      <c r="CJ22" s="23"/>
      <c r="CK22" s="73">
        <f t="shared" si="30"/>
        <v>0</v>
      </c>
      <c r="CL22" s="23"/>
      <c r="CM22" s="23"/>
      <c r="CN22" s="73">
        <f t="shared" si="31"/>
        <v>0</v>
      </c>
      <c r="CO22" s="23"/>
      <c r="CP22" s="23"/>
      <c r="CQ22" s="73">
        <f t="shared" si="32"/>
        <v>0</v>
      </c>
      <c r="CR22" s="23"/>
      <c r="CS22" s="23"/>
      <c r="CT22" s="73">
        <f t="shared" si="33"/>
        <v>0</v>
      </c>
      <c r="CU22" s="23"/>
      <c r="CV22" s="23"/>
      <c r="CW22" s="73">
        <f t="shared" si="34"/>
        <v>0</v>
      </c>
      <c r="CX22" s="23"/>
      <c r="CY22" s="23"/>
      <c r="CZ22" s="73">
        <f t="shared" si="35"/>
        <v>0</v>
      </c>
      <c r="DA22" s="23"/>
      <c r="DB22" s="23"/>
      <c r="DC22" s="73">
        <f t="shared" si="36"/>
        <v>0</v>
      </c>
      <c r="DD22" s="23"/>
      <c r="DE22" s="23"/>
      <c r="DF22" s="73">
        <f t="shared" si="37"/>
        <v>0</v>
      </c>
      <c r="DG22" s="23"/>
      <c r="DH22" s="23"/>
      <c r="DI22" s="73">
        <f t="shared" si="38"/>
        <v>0</v>
      </c>
      <c r="DJ22" s="23"/>
      <c r="DK22" s="23"/>
      <c r="DL22" s="73">
        <f t="shared" si="39"/>
        <v>0</v>
      </c>
      <c r="DM22" s="23"/>
      <c r="DN22" s="23"/>
      <c r="DO22" s="73">
        <f t="shared" si="40"/>
        <v>0</v>
      </c>
      <c r="DP22" s="23"/>
      <c r="DQ22" s="23"/>
      <c r="DR22" s="73">
        <f t="shared" si="41"/>
        <v>0</v>
      </c>
      <c r="DS22" s="73">
        <f t="shared" si="42"/>
        <v>94603</v>
      </c>
      <c r="DT22" s="73">
        <f t="shared" si="43"/>
        <v>94603</v>
      </c>
      <c r="DU22" s="73">
        <f t="shared" si="44"/>
        <v>0</v>
      </c>
      <c r="DV22" s="111"/>
      <c r="DW22" s="79"/>
      <c r="DX22" s="79"/>
      <c r="DY22" s="111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</row>
    <row r="23" spans="1:141" x14ac:dyDescent="0.2">
      <c r="A23" s="72">
        <f t="shared" si="45"/>
        <v>36725</v>
      </c>
      <c r="B23" s="72" t="s">
        <v>88</v>
      </c>
      <c r="C23" s="23">
        <v>4178</v>
      </c>
      <c r="D23" s="23">
        <v>4178</v>
      </c>
      <c r="E23" s="73">
        <f t="shared" si="0"/>
        <v>0</v>
      </c>
      <c r="F23" s="23">
        <v>20000</v>
      </c>
      <c r="G23" s="23">
        <v>20000</v>
      </c>
      <c r="H23" s="73">
        <f t="shared" si="1"/>
        <v>0</v>
      </c>
      <c r="I23" s="23">
        <v>2602</v>
      </c>
      <c r="J23" s="23">
        <v>2602</v>
      </c>
      <c r="K23" s="73">
        <f t="shared" si="2"/>
        <v>0</v>
      </c>
      <c r="L23" s="23">
        <v>10000</v>
      </c>
      <c r="M23" s="23">
        <v>10000</v>
      </c>
      <c r="N23" s="73">
        <f t="shared" si="3"/>
        <v>0</v>
      </c>
      <c r="O23" s="23">
        <f t="shared" si="4"/>
        <v>10000</v>
      </c>
      <c r="P23" s="23">
        <v>10000</v>
      </c>
      <c r="Q23" s="73">
        <f t="shared" si="5"/>
        <v>0</v>
      </c>
      <c r="R23" s="23">
        <v>5000</v>
      </c>
      <c r="S23" s="23">
        <v>5000</v>
      </c>
      <c r="T23" s="73">
        <f t="shared" si="6"/>
        <v>0</v>
      </c>
      <c r="U23" s="23">
        <f t="shared" si="7"/>
        <v>5000</v>
      </c>
      <c r="V23" s="23">
        <f t="shared" si="7"/>
        <v>5000</v>
      </c>
      <c r="W23" s="73">
        <f t="shared" si="8"/>
        <v>0</v>
      </c>
      <c r="X23" s="23">
        <v>10000</v>
      </c>
      <c r="Y23" s="23">
        <v>10000</v>
      </c>
      <c r="Z23" s="73">
        <f t="shared" si="9"/>
        <v>0</v>
      </c>
      <c r="AA23" s="23">
        <v>5000</v>
      </c>
      <c r="AB23" s="23">
        <v>5000</v>
      </c>
      <c r="AC23" s="73">
        <f t="shared" si="10"/>
        <v>0</v>
      </c>
      <c r="AD23" s="23">
        <v>5000</v>
      </c>
      <c r="AE23" s="23">
        <v>5000</v>
      </c>
      <c r="AF23" s="73">
        <f t="shared" si="11"/>
        <v>0</v>
      </c>
      <c r="AG23" s="23">
        <v>7741</v>
      </c>
      <c r="AH23" s="23">
        <v>7741</v>
      </c>
      <c r="AI23" s="73">
        <f t="shared" si="12"/>
        <v>0</v>
      </c>
      <c r="AJ23" s="23">
        <v>3000</v>
      </c>
      <c r="AK23" s="23">
        <v>3000</v>
      </c>
      <c r="AL23" s="73">
        <f t="shared" si="13"/>
        <v>0</v>
      </c>
      <c r="AM23" s="23">
        <v>6499</v>
      </c>
      <c r="AN23" s="23">
        <v>6499</v>
      </c>
      <c r="AO23" s="73">
        <f t="shared" si="14"/>
        <v>0</v>
      </c>
      <c r="AP23" s="23">
        <v>5000</v>
      </c>
      <c r="AQ23" s="23">
        <v>5000</v>
      </c>
      <c r="AR23" s="73">
        <f t="shared" si="15"/>
        <v>0</v>
      </c>
      <c r="AS23" s="23"/>
      <c r="AT23" s="23"/>
      <c r="AU23" s="73">
        <f t="shared" si="16"/>
        <v>0</v>
      </c>
      <c r="AV23" s="23"/>
      <c r="AW23" s="23"/>
      <c r="AX23" s="73">
        <f t="shared" si="17"/>
        <v>0</v>
      </c>
      <c r="AY23" s="23"/>
      <c r="AZ23" s="23"/>
      <c r="BA23" s="73">
        <f t="shared" si="18"/>
        <v>0</v>
      </c>
      <c r="BB23" s="23"/>
      <c r="BC23" s="23"/>
      <c r="BD23" s="73">
        <f t="shared" si="19"/>
        <v>0</v>
      </c>
      <c r="BE23" s="23"/>
      <c r="BF23" s="23"/>
      <c r="BG23" s="73">
        <f t="shared" si="20"/>
        <v>0</v>
      </c>
      <c r="BH23" s="23"/>
      <c r="BI23" s="23"/>
      <c r="BJ23" s="73">
        <f t="shared" si="21"/>
        <v>0</v>
      </c>
      <c r="BK23" s="23"/>
      <c r="BL23" s="23"/>
      <c r="BM23" s="73">
        <f t="shared" si="22"/>
        <v>0</v>
      </c>
      <c r="BN23" s="23"/>
      <c r="BO23" s="23"/>
      <c r="BP23" s="73">
        <f t="shared" si="23"/>
        <v>0</v>
      </c>
      <c r="BQ23" s="23"/>
      <c r="BR23" s="23"/>
      <c r="BS23" s="73">
        <f t="shared" si="24"/>
        <v>0</v>
      </c>
      <c r="BT23" s="23"/>
      <c r="BU23" s="23"/>
      <c r="BV23" s="73">
        <f t="shared" si="25"/>
        <v>0</v>
      </c>
      <c r="BW23" s="23"/>
      <c r="BX23" s="23"/>
      <c r="BY23" s="73">
        <f t="shared" si="26"/>
        <v>0</v>
      </c>
      <c r="BZ23" s="23"/>
      <c r="CA23" s="23"/>
      <c r="CB23" s="73">
        <f t="shared" si="27"/>
        <v>0</v>
      </c>
      <c r="CC23" s="23"/>
      <c r="CD23" s="23"/>
      <c r="CE23" s="73">
        <f t="shared" si="28"/>
        <v>0</v>
      </c>
      <c r="CF23" s="23"/>
      <c r="CG23" s="23"/>
      <c r="CH23" s="73">
        <f t="shared" si="29"/>
        <v>0</v>
      </c>
      <c r="CI23" s="23"/>
      <c r="CJ23" s="23"/>
      <c r="CK23" s="73">
        <f t="shared" si="30"/>
        <v>0</v>
      </c>
      <c r="CL23" s="23"/>
      <c r="CM23" s="23"/>
      <c r="CN23" s="73">
        <f t="shared" si="31"/>
        <v>0</v>
      </c>
      <c r="CO23" s="23"/>
      <c r="CP23" s="23"/>
      <c r="CQ23" s="73">
        <f t="shared" si="32"/>
        <v>0</v>
      </c>
      <c r="CR23" s="23"/>
      <c r="CS23" s="23"/>
      <c r="CT23" s="73">
        <f t="shared" si="33"/>
        <v>0</v>
      </c>
      <c r="CU23" s="23"/>
      <c r="CV23" s="23"/>
      <c r="CW23" s="73">
        <f t="shared" si="34"/>
        <v>0</v>
      </c>
      <c r="CX23" s="23"/>
      <c r="CY23" s="23"/>
      <c r="CZ23" s="73">
        <f t="shared" si="35"/>
        <v>0</v>
      </c>
      <c r="DA23" s="23"/>
      <c r="DB23" s="23"/>
      <c r="DC23" s="73">
        <f t="shared" si="36"/>
        <v>0</v>
      </c>
      <c r="DD23" s="23"/>
      <c r="DE23" s="23"/>
      <c r="DF23" s="73">
        <f t="shared" si="37"/>
        <v>0</v>
      </c>
      <c r="DG23" s="23"/>
      <c r="DH23" s="23"/>
      <c r="DI23" s="73">
        <f t="shared" si="38"/>
        <v>0</v>
      </c>
      <c r="DJ23" s="23"/>
      <c r="DK23" s="23"/>
      <c r="DL23" s="73">
        <f t="shared" si="39"/>
        <v>0</v>
      </c>
      <c r="DM23" s="23"/>
      <c r="DN23" s="23"/>
      <c r="DO23" s="73">
        <f t="shared" si="40"/>
        <v>0</v>
      </c>
      <c r="DP23" s="23"/>
      <c r="DQ23" s="23"/>
      <c r="DR23" s="73">
        <f t="shared" si="41"/>
        <v>0</v>
      </c>
      <c r="DS23" s="73">
        <f t="shared" si="42"/>
        <v>99020</v>
      </c>
      <c r="DT23" s="73">
        <f t="shared" si="43"/>
        <v>99020</v>
      </c>
      <c r="DU23" s="73">
        <f t="shared" si="44"/>
        <v>0</v>
      </c>
      <c r="DV23" s="111"/>
      <c r="DW23" s="79"/>
      <c r="DX23" s="79"/>
      <c r="DY23" s="111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</row>
    <row r="24" spans="1:141" x14ac:dyDescent="0.2">
      <c r="A24" s="72">
        <f t="shared" si="45"/>
        <v>36726</v>
      </c>
      <c r="B24" s="72" t="s">
        <v>89</v>
      </c>
      <c r="C24" s="23">
        <v>4178</v>
      </c>
      <c r="D24" s="23">
        <v>4178</v>
      </c>
      <c r="E24" s="73">
        <f t="shared" si="0"/>
        <v>0</v>
      </c>
      <c r="F24" s="23">
        <v>20000</v>
      </c>
      <c r="G24" s="23">
        <v>20000</v>
      </c>
      <c r="H24" s="73">
        <f t="shared" si="1"/>
        <v>0</v>
      </c>
      <c r="I24" s="23">
        <v>2940</v>
      </c>
      <c r="J24" s="23">
        <v>2940</v>
      </c>
      <c r="K24" s="73">
        <f t="shared" si="2"/>
        <v>0</v>
      </c>
      <c r="L24" s="23">
        <v>10000</v>
      </c>
      <c r="M24" s="23">
        <v>10000</v>
      </c>
      <c r="N24" s="73">
        <f t="shared" si="3"/>
        <v>0</v>
      </c>
      <c r="O24" s="23">
        <f t="shared" si="4"/>
        <v>10000</v>
      </c>
      <c r="P24" s="23">
        <v>10000</v>
      </c>
      <c r="Q24" s="73">
        <f t="shared" si="5"/>
        <v>0</v>
      </c>
      <c r="R24" s="23">
        <v>5000</v>
      </c>
      <c r="S24" s="23">
        <v>5000</v>
      </c>
      <c r="T24" s="73">
        <f t="shared" si="6"/>
        <v>0</v>
      </c>
      <c r="U24" s="23">
        <f t="shared" si="7"/>
        <v>5000</v>
      </c>
      <c r="V24" s="23">
        <f t="shared" si="7"/>
        <v>5000</v>
      </c>
      <c r="W24" s="73">
        <f t="shared" si="8"/>
        <v>0</v>
      </c>
      <c r="X24" s="23">
        <v>10000</v>
      </c>
      <c r="Y24" s="23">
        <v>10000</v>
      </c>
      <c r="Z24" s="73">
        <f t="shared" si="9"/>
        <v>0</v>
      </c>
      <c r="AA24" s="23">
        <v>5000</v>
      </c>
      <c r="AB24" s="23">
        <v>5000</v>
      </c>
      <c r="AC24" s="73">
        <f t="shared" si="10"/>
        <v>0</v>
      </c>
      <c r="AD24" s="23">
        <v>5000</v>
      </c>
      <c r="AE24" s="23">
        <v>5000</v>
      </c>
      <c r="AF24" s="73">
        <f t="shared" si="11"/>
        <v>0</v>
      </c>
      <c r="AG24" s="23">
        <v>7741</v>
      </c>
      <c r="AH24" s="23">
        <v>7741</v>
      </c>
      <c r="AI24" s="73">
        <f t="shared" si="12"/>
        <v>0</v>
      </c>
      <c r="AJ24" s="23">
        <v>3000</v>
      </c>
      <c r="AK24" s="23">
        <v>3000</v>
      </c>
      <c r="AL24" s="73">
        <f t="shared" si="13"/>
        <v>0</v>
      </c>
      <c r="AM24" s="23">
        <v>6103</v>
      </c>
      <c r="AN24" s="23">
        <v>6103</v>
      </c>
      <c r="AO24" s="73">
        <f t="shared" si="14"/>
        <v>0</v>
      </c>
      <c r="AP24" s="23">
        <v>5000</v>
      </c>
      <c r="AQ24" s="23">
        <v>5000</v>
      </c>
      <c r="AR24" s="73">
        <f t="shared" si="15"/>
        <v>0</v>
      </c>
      <c r="AS24" s="23"/>
      <c r="AT24" s="23"/>
      <c r="AU24" s="73">
        <f t="shared" si="16"/>
        <v>0</v>
      </c>
      <c r="AV24" s="23"/>
      <c r="AW24" s="23"/>
      <c r="AX24" s="73">
        <f t="shared" si="17"/>
        <v>0</v>
      </c>
      <c r="AY24" s="23"/>
      <c r="AZ24" s="23"/>
      <c r="BA24" s="73">
        <f t="shared" si="18"/>
        <v>0</v>
      </c>
      <c r="BB24" s="23"/>
      <c r="BC24" s="23"/>
      <c r="BD24" s="73">
        <f t="shared" si="19"/>
        <v>0</v>
      </c>
      <c r="BE24" s="23"/>
      <c r="BF24" s="23"/>
      <c r="BG24" s="73">
        <f t="shared" si="20"/>
        <v>0</v>
      </c>
      <c r="BH24" s="23"/>
      <c r="BI24" s="23"/>
      <c r="BJ24" s="73">
        <f t="shared" si="21"/>
        <v>0</v>
      </c>
      <c r="BK24" s="23"/>
      <c r="BL24" s="23"/>
      <c r="BM24" s="73">
        <f t="shared" si="22"/>
        <v>0</v>
      </c>
      <c r="BN24" s="23"/>
      <c r="BO24" s="23"/>
      <c r="BP24" s="73">
        <f t="shared" si="23"/>
        <v>0</v>
      </c>
      <c r="BQ24" s="23"/>
      <c r="BR24" s="23"/>
      <c r="BS24" s="73">
        <f t="shared" si="24"/>
        <v>0</v>
      </c>
      <c r="BT24" s="23"/>
      <c r="BU24" s="23"/>
      <c r="BV24" s="73">
        <f t="shared" si="25"/>
        <v>0</v>
      </c>
      <c r="BW24" s="23"/>
      <c r="BX24" s="23"/>
      <c r="BY24" s="73">
        <f t="shared" si="26"/>
        <v>0</v>
      </c>
      <c r="BZ24" s="23"/>
      <c r="CA24" s="23"/>
      <c r="CB24" s="73">
        <f t="shared" si="27"/>
        <v>0</v>
      </c>
      <c r="CC24" s="23"/>
      <c r="CD24" s="23"/>
      <c r="CE24" s="73">
        <f t="shared" si="28"/>
        <v>0</v>
      </c>
      <c r="CF24" s="23"/>
      <c r="CG24" s="23"/>
      <c r="CH24" s="73">
        <f t="shared" si="29"/>
        <v>0</v>
      </c>
      <c r="CI24" s="23"/>
      <c r="CJ24" s="23"/>
      <c r="CK24" s="73">
        <f t="shared" si="30"/>
        <v>0</v>
      </c>
      <c r="CL24" s="23"/>
      <c r="CM24" s="23"/>
      <c r="CN24" s="73">
        <f t="shared" si="31"/>
        <v>0</v>
      </c>
      <c r="CO24" s="23"/>
      <c r="CP24" s="23"/>
      <c r="CQ24" s="73">
        <f t="shared" si="32"/>
        <v>0</v>
      </c>
      <c r="CR24" s="23"/>
      <c r="CS24" s="23"/>
      <c r="CT24" s="73">
        <f t="shared" si="33"/>
        <v>0</v>
      </c>
      <c r="CU24" s="23"/>
      <c r="CV24" s="23"/>
      <c r="CW24" s="73">
        <f t="shared" si="34"/>
        <v>0</v>
      </c>
      <c r="CX24" s="23"/>
      <c r="CY24" s="23"/>
      <c r="CZ24" s="73">
        <f t="shared" si="35"/>
        <v>0</v>
      </c>
      <c r="DA24" s="23"/>
      <c r="DB24" s="23"/>
      <c r="DC24" s="73">
        <f t="shared" si="36"/>
        <v>0</v>
      </c>
      <c r="DD24" s="23"/>
      <c r="DE24" s="23"/>
      <c r="DF24" s="73">
        <f t="shared" si="37"/>
        <v>0</v>
      </c>
      <c r="DG24" s="23"/>
      <c r="DH24" s="23"/>
      <c r="DI24" s="73">
        <f t="shared" si="38"/>
        <v>0</v>
      </c>
      <c r="DJ24" s="23"/>
      <c r="DK24" s="23"/>
      <c r="DL24" s="73">
        <f t="shared" si="39"/>
        <v>0</v>
      </c>
      <c r="DM24" s="23"/>
      <c r="DN24" s="23"/>
      <c r="DO24" s="73">
        <f t="shared" si="40"/>
        <v>0</v>
      </c>
      <c r="DP24" s="23"/>
      <c r="DQ24" s="23"/>
      <c r="DR24" s="73">
        <f t="shared" si="41"/>
        <v>0</v>
      </c>
      <c r="DS24" s="73">
        <f t="shared" si="42"/>
        <v>98962</v>
      </c>
      <c r="DT24" s="73">
        <f t="shared" si="43"/>
        <v>98962</v>
      </c>
      <c r="DU24" s="73">
        <f t="shared" si="44"/>
        <v>0</v>
      </c>
      <c r="DV24" s="111"/>
      <c r="DW24" s="79"/>
      <c r="DX24" s="79"/>
      <c r="DY24" s="111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</row>
    <row r="25" spans="1:141" x14ac:dyDescent="0.2">
      <c r="A25" s="72">
        <f t="shared" si="45"/>
        <v>36727</v>
      </c>
      <c r="B25" s="72" t="s">
        <v>90</v>
      </c>
      <c r="C25" s="23">
        <v>4178</v>
      </c>
      <c r="D25" s="23">
        <v>4178</v>
      </c>
      <c r="E25" s="73">
        <f t="shared" si="0"/>
        <v>0</v>
      </c>
      <c r="F25" s="23">
        <v>20000</v>
      </c>
      <c r="G25" s="23">
        <v>20000</v>
      </c>
      <c r="H25" s="73">
        <f t="shared" si="1"/>
        <v>0</v>
      </c>
      <c r="I25" s="23">
        <v>5000</v>
      </c>
      <c r="J25" s="23">
        <v>5000</v>
      </c>
      <c r="K25" s="73">
        <f t="shared" si="2"/>
        <v>0</v>
      </c>
      <c r="L25" s="23">
        <v>10000</v>
      </c>
      <c r="M25" s="23">
        <v>10000</v>
      </c>
      <c r="N25" s="73">
        <f t="shared" si="3"/>
        <v>0</v>
      </c>
      <c r="O25" s="23">
        <f t="shared" si="4"/>
        <v>10000</v>
      </c>
      <c r="P25" s="23">
        <v>10000</v>
      </c>
      <c r="Q25" s="73">
        <f t="shared" si="5"/>
        <v>0</v>
      </c>
      <c r="R25" s="23">
        <v>5000</v>
      </c>
      <c r="S25" s="23">
        <v>5000</v>
      </c>
      <c r="T25" s="73">
        <f t="shared" si="6"/>
        <v>0</v>
      </c>
      <c r="U25" s="23">
        <f t="shared" si="7"/>
        <v>5000</v>
      </c>
      <c r="V25" s="23">
        <f t="shared" si="7"/>
        <v>5000</v>
      </c>
      <c r="W25" s="73">
        <f t="shared" si="8"/>
        <v>0</v>
      </c>
      <c r="X25" s="23">
        <v>10000</v>
      </c>
      <c r="Y25" s="23">
        <v>10000</v>
      </c>
      <c r="Z25" s="73">
        <f t="shared" si="9"/>
        <v>0</v>
      </c>
      <c r="AA25" s="23">
        <v>5000</v>
      </c>
      <c r="AB25" s="23">
        <v>5000</v>
      </c>
      <c r="AC25" s="73">
        <f t="shared" si="10"/>
        <v>0</v>
      </c>
      <c r="AD25" s="23">
        <v>5000</v>
      </c>
      <c r="AE25" s="23">
        <v>5000</v>
      </c>
      <c r="AF25" s="73">
        <f t="shared" si="11"/>
        <v>0</v>
      </c>
      <c r="AG25" s="23">
        <v>7741</v>
      </c>
      <c r="AH25" s="23">
        <v>7741</v>
      </c>
      <c r="AI25" s="73">
        <f t="shared" si="12"/>
        <v>0</v>
      </c>
      <c r="AJ25" s="23">
        <v>3000</v>
      </c>
      <c r="AK25" s="23">
        <v>3000</v>
      </c>
      <c r="AL25" s="73">
        <f t="shared" si="13"/>
        <v>0</v>
      </c>
      <c r="AM25" s="23">
        <v>10375</v>
      </c>
      <c r="AN25" s="23">
        <v>10375</v>
      </c>
      <c r="AO25" s="73">
        <f t="shared" si="14"/>
        <v>0</v>
      </c>
      <c r="AP25" s="23">
        <v>5000</v>
      </c>
      <c r="AQ25" s="23">
        <v>5000</v>
      </c>
      <c r="AR25" s="73">
        <f t="shared" si="15"/>
        <v>0</v>
      </c>
      <c r="AS25" s="23"/>
      <c r="AT25" s="23"/>
      <c r="AU25" s="73">
        <f t="shared" si="16"/>
        <v>0</v>
      </c>
      <c r="AV25" s="23"/>
      <c r="AW25" s="23"/>
      <c r="AX25" s="73">
        <f t="shared" si="17"/>
        <v>0</v>
      </c>
      <c r="AY25" s="23"/>
      <c r="AZ25" s="23"/>
      <c r="BA25" s="73">
        <f t="shared" si="18"/>
        <v>0</v>
      </c>
      <c r="BB25" s="23"/>
      <c r="BC25" s="23"/>
      <c r="BD25" s="73">
        <f t="shared" si="19"/>
        <v>0</v>
      </c>
      <c r="BE25" s="23"/>
      <c r="BF25" s="23"/>
      <c r="BG25" s="73">
        <f t="shared" si="20"/>
        <v>0</v>
      </c>
      <c r="BH25" s="23"/>
      <c r="BI25" s="23"/>
      <c r="BJ25" s="73">
        <f t="shared" si="21"/>
        <v>0</v>
      </c>
      <c r="BK25" s="23"/>
      <c r="BL25" s="23"/>
      <c r="BM25" s="73">
        <f t="shared" si="22"/>
        <v>0</v>
      </c>
      <c r="BN25" s="23"/>
      <c r="BO25" s="23"/>
      <c r="BP25" s="73">
        <f t="shared" si="23"/>
        <v>0</v>
      </c>
      <c r="BQ25" s="23"/>
      <c r="BR25" s="23"/>
      <c r="BS25" s="73">
        <f t="shared" si="24"/>
        <v>0</v>
      </c>
      <c r="BT25" s="23"/>
      <c r="BU25" s="23"/>
      <c r="BV25" s="73">
        <f t="shared" si="25"/>
        <v>0</v>
      </c>
      <c r="BW25" s="23"/>
      <c r="BX25" s="23"/>
      <c r="BY25" s="73">
        <f t="shared" si="26"/>
        <v>0</v>
      </c>
      <c r="BZ25" s="23"/>
      <c r="CA25" s="23"/>
      <c r="CB25" s="73">
        <f t="shared" si="27"/>
        <v>0</v>
      </c>
      <c r="CC25" s="23"/>
      <c r="CD25" s="23"/>
      <c r="CE25" s="73">
        <f t="shared" si="28"/>
        <v>0</v>
      </c>
      <c r="CF25" s="23"/>
      <c r="CG25" s="23"/>
      <c r="CH25" s="73">
        <f t="shared" si="29"/>
        <v>0</v>
      </c>
      <c r="CI25" s="23"/>
      <c r="CJ25" s="23"/>
      <c r="CK25" s="73">
        <f t="shared" si="30"/>
        <v>0</v>
      </c>
      <c r="CL25" s="23"/>
      <c r="CM25" s="23"/>
      <c r="CN25" s="73">
        <f t="shared" si="31"/>
        <v>0</v>
      </c>
      <c r="CO25" s="23"/>
      <c r="CP25" s="23"/>
      <c r="CQ25" s="73">
        <f t="shared" si="32"/>
        <v>0</v>
      </c>
      <c r="CR25" s="23"/>
      <c r="CS25" s="23"/>
      <c r="CT25" s="73">
        <f t="shared" si="33"/>
        <v>0</v>
      </c>
      <c r="CU25" s="23"/>
      <c r="CV25" s="23"/>
      <c r="CW25" s="73">
        <f t="shared" si="34"/>
        <v>0</v>
      </c>
      <c r="CX25" s="23"/>
      <c r="CY25" s="23"/>
      <c r="CZ25" s="73">
        <f t="shared" si="35"/>
        <v>0</v>
      </c>
      <c r="DA25" s="23"/>
      <c r="DB25" s="23"/>
      <c r="DC25" s="73">
        <f t="shared" si="36"/>
        <v>0</v>
      </c>
      <c r="DD25" s="23"/>
      <c r="DE25" s="23"/>
      <c r="DF25" s="73">
        <f t="shared" si="37"/>
        <v>0</v>
      </c>
      <c r="DG25" s="23"/>
      <c r="DH25" s="23"/>
      <c r="DI25" s="73">
        <f t="shared" si="38"/>
        <v>0</v>
      </c>
      <c r="DJ25" s="23"/>
      <c r="DK25" s="23"/>
      <c r="DL25" s="73">
        <f t="shared" si="39"/>
        <v>0</v>
      </c>
      <c r="DM25" s="23"/>
      <c r="DN25" s="23"/>
      <c r="DO25" s="73">
        <f t="shared" si="40"/>
        <v>0</v>
      </c>
      <c r="DP25" s="23"/>
      <c r="DQ25" s="23"/>
      <c r="DR25" s="73">
        <f t="shared" si="41"/>
        <v>0</v>
      </c>
      <c r="DS25" s="73">
        <f t="shared" si="42"/>
        <v>105294</v>
      </c>
      <c r="DT25" s="73">
        <f t="shared" si="43"/>
        <v>105294</v>
      </c>
      <c r="DU25" s="73">
        <f t="shared" si="44"/>
        <v>0</v>
      </c>
      <c r="DV25" s="111"/>
      <c r="DW25" s="79"/>
      <c r="DX25" s="79"/>
      <c r="DY25" s="111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</row>
    <row r="26" spans="1:141" x14ac:dyDescent="0.2">
      <c r="A26" s="72">
        <f t="shared" si="45"/>
        <v>36728</v>
      </c>
      <c r="B26" s="72" t="s">
        <v>91</v>
      </c>
      <c r="C26" s="23">
        <v>4178</v>
      </c>
      <c r="D26" s="23">
        <v>4178</v>
      </c>
      <c r="E26" s="73">
        <f t="shared" si="0"/>
        <v>0</v>
      </c>
      <c r="F26" s="23">
        <v>20000</v>
      </c>
      <c r="G26" s="23">
        <v>20000</v>
      </c>
      <c r="H26" s="73">
        <f t="shared" si="1"/>
        <v>0</v>
      </c>
      <c r="I26" s="23">
        <v>5000</v>
      </c>
      <c r="J26" s="23">
        <v>5000</v>
      </c>
      <c r="K26" s="73">
        <f t="shared" si="2"/>
        <v>0</v>
      </c>
      <c r="L26" s="23">
        <v>10000</v>
      </c>
      <c r="M26" s="23">
        <v>10000</v>
      </c>
      <c r="N26" s="73">
        <f t="shared" si="3"/>
        <v>0</v>
      </c>
      <c r="O26" s="23">
        <f t="shared" si="4"/>
        <v>10000</v>
      </c>
      <c r="P26" s="23">
        <v>10000</v>
      </c>
      <c r="Q26" s="73">
        <f t="shared" si="5"/>
        <v>0</v>
      </c>
      <c r="R26" s="23">
        <v>5000</v>
      </c>
      <c r="S26" s="23">
        <v>5000</v>
      </c>
      <c r="T26" s="73">
        <f t="shared" si="6"/>
        <v>0</v>
      </c>
      <c r="U26" s="23">
        <f t="shared" si="7"/>
        <v>5000</v>
      </c>
      <c r="V26" s="23">
        <f t="shared" si="7"/>
        <v>5000</v>
      </c>
      <c r="W26" s="73">
        <f t="shared" si="8"/>
        <v>0</v>
      </c>
      <c r="X26" s="23">
        <v>10000</v>
      </c>
      <c r="Y26" s="23">
        <v>10000</v>
      </c>
      <c r="Z26" s="73">
        <f t="shared" si="9"/>
        <v>0</v>
      </c>
      <c r="AA26" s="23">
        <v>5000</v>
      </c>
      <c r="AB26" s="23">
        <v>5000</v>
      </c>
      <c r="AC26" s="73">
        <f t="shared" si="10"/>
        <v>0</v>
      </c>
      <c r="AD26" s="23">
        <v>5000</v>
      </c>
      <c r="AE26" s="23">
        <v>5000</v>
      </c>
      <c r="AF26" s="73">
        <f t="shared" si="11"/>
        <v>0</v>
      </c>
      <c r="AG26" s="23">
        <v>7741</v>
      </c>
      <c r="AH26" s="23">
        <v>7741</v>
      </c>
      <c r="AI26" s="73">
        <f t="shared" si="12"/>
        <v>0</v>
      </c>
      <c r="AJ26" s="23">
        <v>3000</v>
      </c>
      <c r="AK26" s="23">
        <v>3000</v>
      </c>
      <c r="AL26" s="73">
        <f t="shared" si="13"/>
        <v>0</v>
      </c>
      <c r="AM26" s="23">
        <v>10375</v>
      </c>
      <c r="AN26" s="23">
        <v>10375</v>
      </c>
      <c r="AO26" s="73">
        <f t="shared" si="14"/>
        <v>0</v>
      </c>
      <c r="AP26" s="23">
        <v>5000</v>
      </c>
      <c r="AQ26" s="23">
        <v>5000</v>
      </c>
      <c r="AR26" s="73">
        <f t="shared" si="15"/>
        <v>0</v>
      </c>
      <c r="AS26" s="23"/>
      <c r="AT26" s="23"/>
      <c r="AU26" s="73">
        <f t="shared" si="16"/>
        <v>0</v>
      </c>
      <c r="AV26" s="23"/>
      <c r="AW26" s="23"/>
      <c r="AX26" s="73">
        <f t="shared" si="17"/>
        <v>0</v>
      </c>
      <c r="AY26" s="23"/>
      <c r="AZ26" s="23"/>
      <c r="BA26" s="73">
        <f t="shared" si="18"/>
        <v>0</v>
      </c>
      <c r="BB26" s="23"/>
      <c r="BC26" s="23"/>
      <c r="BD26" s="73">
        <f t="shared" si="19"/>
        <v>0</v>
      </c>
      <c r="BE26" s="23"/>
      <c r="BF26" s="23"/>
      <c r="BG26" s="73">
        <f t="shared" si="20"/>
        <v>0</v>
      </c>
      <c r="BH26" s="23"/>
      <c r="BI26" s="23"/>
      <c r="BJ26" s="73">
        <f t="shared" si="21"/>
        <v>0</v>
      </c>
      <c r="BK26" s="23"/>
      <c r="BL26" s="23"/>
      <c r="BM26" s="73">
        <f t="shared" si="22"/>
        <v>0</v>
      </c>
      <c r="BN26" s="23"/>
      <c r="BO26" s="23"/>
      <c r="BP26" s="73">
        <f t="shared" si="23"/>
        <v>0</v>
      </c>
      <c r="BQ26" s="23"/>
      <c r="BR26" s="23"/>
      <c r="BS26" s="73">
        <f t="shared" si="24"/>
        <v>0</v>
      </c>
      <c r="BT26" s="23"/>
      <c r="BU26" s="23"/>
      <c r="BV26" s="73">
        <f t="shared" si="25"/>
        <v>0</v>
      </c>
      <c r="BW26" s="23"/>
      <c r="BX26" s="23"/>
      <c r="BY26" s="73">
        <f t="shared" si="26"/>
        <v>0</v>
      </c>
      <c r="BZ26" s="23"/>
      <c r="CA26" s="23"/>
      <c r="CB26" s="73">
        <f t="shared" si="27"/>
        <v>0</v>
      </c>
      <c r="CC26" s="23"/>
      <c r="CD26" s="23"/>
      <c r="CE26" s="73">
        <f t="shared" si="28"/>
        <v>0</v>
      </c>
      <c r="CF26" s="23"/>
      <c r="CG26" s="23"/>
      <c r="CH26" s="73">
        <f t="shared" si="29"/>
        <v>0</v>
      </c>
      <c r="CI26" s="23"/>
      <c r="CJ26" s="23"/>
      <c r="CK26" s="73">
        <f t="shared" si="30"/>
        <v>0</v>
      </c>
      <c r="CL26" s="23"/>
      <c r="CM26" s="23"/>
      <c r="CN26" s="73">
        <f t="shared" si="31"/>
        <v>0</v>
      </c>
      <c r="CO26" s="23"/>
      <c r="CP26" s="23"/>
      <c r="CQ26" s="73">
        <f t="shared" si="32"/>
        <v>0</v>
      </c>
      <c r="CR26" s="23"/>
      <c r="CS26" s="23"/>
      <c r="CT26" s="73">
        <f t="shared" si="33"/>
        <v>0</v>
      </c>
      <c r="CU26" s="23"/>
      <c r="CV26" s="23"/>
      <c r="CW26" s="73">
        <f t="shared" si="34"/>
        <v>0</v>
      </c>
      <c r="CX26" s="23"/>
      <c r="CY26" s="23"/>
      <c r="CZ26" s="73">
        <f t="shared" si="35"/>
        <v>0</v>
      </c>
      <c r="DA26" s="23"/>
      <c r="DB26" s="23"/>
      <c r="DC26" s="73">
        <f t="shared" si="36"/>
        <v>0</v>
      </c>
      <c r="DD26" s="23"/>
      <c r="DE26" s="23"/>
      <c r="DF26" s="73">
        <f t="shared" si="37"/>
        <v>0</v>
      </c>
      <c r="DG26" s="23"/>
      <c r="DH26" s="23"/>
      <c r="DI26" s="73">
        <f t="shared" si="38"/>
        <v>0</v>
      </c>
      <c r="DJ26" s="23"/>
      <c r="DK26" s="23"/>
      <c r="DL26" s="73">
        <f t="shared" si="39"/>
        <v>0</v>
      </c>
      <c r="DM26" s="23"/>
      <c r="DN26" s="23"/>
      <c r="DO26" s="73">
        <f t="shared" si="40"/>
        <v>0</v>
      </c>
      <c r="DP26" s="23"/>
      <c r="DQ26" s="23"/>
      <c r="DR26" s="73">
        <f t="shared" si="41"/>
        <v>0</v>
      </c>
      <c r="DS26" s="73">
        <f t="shared" si="42"/>
        <v>105294</v>
      </c>
      <c r="DT26" s="73">
        <f t="shared" si="43"/>
        <v>105294</v>
      </c>
      <c r="DU26" s="73">
        <f t="shared" si="44"/>
        <v>0</v>
      </c>
      <c r="DV26" s="111"/>
      <c r="DW26" s="79"/>
      <c r="DX26" s="79"/>
      <c r="DY26" s="111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</row>
    <row r="27" spans="1:141" x14ac:dyDescent="0.2">
      <c r="A27" s="72">
        <f t="shared" si="45"/>
        <v>36729</v>
      </c>
      <c r="B27" s="72" t="s">
        <v>85</v>
      </c>
      <c r="C27" s="23">
        <v>4178</v>
      </c>
      <c r="D27" s="23">
        <v>4178</v>
      </c>
      <c r="E27" s="73">
        <f t="shared" si="0"/>
        <v>0</v>
      </c>
      <c r="F27" s="23">
        <v>20000</v>
      </c>
      <c r="G27" s="23">
        <v>20000</v>
      </c>
      <c r="H27" s="73">
        <f t="shared" si="1"/>
        <v>0</v>
      </c>
      <c r="I27" s="23">
        <v>5000</v>
      </c>
      <c r="J27" s="23">
        <v>5000</v>
      </c>
      <c r="K27" s="73">
        <f t="shared" si="2"/>
        <v>0</v>
      </c>
      <c r="L27" s="23">
        <v>10000</v>
      </c>
      <c r="M27" s="23">
        <v>10000</v>
      </c>
      <c r="N27" s="73">
        <f t="shared" si="3"/>
        <v>0</v>
      </c>
      <c r="O27" s="23">
        <f t="shared" si="4"/>
        <v>10000</v>
      </c>
      <c r="P27" s="23">
        <v>10000</v>
      </c>
      <c r="Q27" s="73">
        <f t="shared" si="5"/>
        <v>0</v>
      </c>
      <c r="R27" s="23">
        <v>5000</v>
      </c>
      <c r="S27" s="23">
        <v>5000</v>
      </c>
      <c r="T27" s="73">
        <f t="shared" si="6"/>
        <v>0</v>
      </c>
      <c r="U27" s="23">
        <f t="shared" si="7"/>
        <v>5000</v>
      </c>
      <c r="V27" s="23">
        <f t="shared" si="7"/>
        <v>5000</v>
      </c>
      <c r="W27" s="73">
        <f t="shared" si="8"/>
        <v>0</v>
      </c>
      <c r="X27" s="23">
        <v>10000</v>
      </c>
      <c r="Y27" s="23">
        <v>10000</v>
      </c>
      <c r="Z27" s="73">
        <f t="shared" si="9"/>
        <v>0</v>
      </c>
      <c r="AA27" s="23">
        <v>5000</v>
      </c>
      <c r="AB27" s="23">
        <v>5000</v>
      </c>
      <c r="AC27" s="73">
        <f t="shared" si="10"/>
        <v>0</v>
      </c>
      <c r="AD27" s="23">
        <v>5000</v>
      </c>
      <c r="AE27" s="23">
        <v>5000</v>
      </c>
      <c r="AF27" s="73">
        <f t="shared" si="11"/>
        <v>0</v>
      </c>
      <c r="AG27" s="23">
        <v>7741</v>
      </c>
      <c r="AH27" s="23">
        <v>7741</v>
      </c>
      <c r="AI27" s="73">
        <f t="shared" si="12"/>
        <v>0</v>
      </c>
      <c r="AJ27" s="23">
        <v>3000</v>
      </c>
      <c r="AK27" s="23">
        <v>3000</v>
      </c>
      <c r="AL27" s="73">
        <f t="shared" si="13"/>
        <v>0</v>
      </c>
      <c r="AM27" s="23">
        <v>10375</v>
      </c>
      <c r="AN27" s="23">
        <v>10375</v>
      </c>
      <c r="AO27" s="73">
        <f t="shared" si="14"/>
        <v>0</v>
      </c>
      <c r="AP27" s="23">
        <v>5000</v>
      </c>
      <c r="AQ27" s="23">
        <v>5000</v>
      </c>
      <c r="AR27" s="73">
        <f t="shared" si="15"/>
        <v>0</v>
      </c>
      <c r="AS27" s="23"/>
      <c r="AT27" s="23"/>
      <c r="AU27" s="73">
        <f t="shared" si="16"/>
        <v>0</v>
      </c>
      <c r="AV27" s="23"/>
      <c r="AW27" s="23"/>
      <c r="AX27" s="73">
        <f t="shared" si="17"/>
        <v>0</v>
      </c>
      <c r="AY27" s="23"/>
      <c r="AZ27" s="23"/>
      <c r="BA27" s="73">
        <f t="shared" si="18"/>
        <v>0</v>
      </c>
      <c r="BB27" s="23"/>
      <c r="BC27" s="23"/>
      <c r="BD27" s="73">
        <f t="shared" si="19"/>
        <v>0</v>
      </c>
      <c r="BE27" s="23"/>
      <c r="BF27" s="23"/>
      <c r="BG27" s="73">
        <f t="shared" si="20"/>
        <v>0</v>
      </c>
      <c r="BH27" s="23"/>
      <c r="BI27" s="23"/>
      <c r="BJ27" s="73">
        <f t="shared" si="21"/>
        <v>0</v>
      </c>
      <c r="BK27" s="23"/>
      <c r="BL27" s="23"/>
      <c r="BM27" s="73">
        <f t="shared" si="22"/>
        <v>0</v>
      </c>
      <c r="BN27" s="23"/>
      <c r="BO27" s="23"/>
      <c r="BP27" s="73">
        <f t="shared" si="23"/>
        <v>0</v>
      </c>
      <c r="BQ27" s="23"/>
      <c r="BR27" s="23"/>
      <c r="BS27" s="73">
        <f t="shared" si="24"/>
        <v>0</v>
      </c>
      <c r="BT27" s="23"/>
      <c r="BU27" s="23"/>
      <c r="BV27" s="73">
        <f t="shared" si="25"/>
        <v>0</v>
      </c>
      <c r="BW27" s="23"/>
      <c r="BX27" s="23"/>
      <c r="BY27" s="73">
        <f t="shared" si="26"/>
        <v>0</v>
      </c>
      <c r="BZ27" s="23"/>
      <c r="CA27" s="23"/>
      <c r="CB27" s="73">
        <f t="shared" si="27"/>
        <v>0</v>
      </c>
      <c r="CC27" s="23"/>
      <c r="CD27" s="23"/>
      <c r="CE27" s="73">
        <f t="shared" si="28"/>
        <v>0</v>
      </c>
      <c r="CF27" s="23"/>
      <c r="CG27" s="23"/>
      <c r="CH27" s="73">
        <f t="shared" si="29"/>
        <v>0</v>
      </c>
      <c r="CI27" s="23"/>
      <c r="CJ27" s="23"/>
      <c r="CK27" s="73">
        <f t="shared" si="30"/>
        <v>0</v>
      </c>
      <c r="CL27" s="23"/>
      <c r="CM27" s="23"/>
      <c r="CN27" s="73">
        <f t="shared" si="31"/>
        <v>0</v>
      </c>
      <c r="CO27" s="23"/>
      <c r="CP27" s="23"/>
      <c r="CQ27" s="73">
        <f t="shared" si="32"/>
        <v>0</v>
      </c>
      <c r="CR27" s="23"/>
      <c r="CS27" s="23"/>
      <c r="CT27" s="73">
        <f t="shared" si="33"/>
        <v>0</v>
      </c>
      <c r="CU27" s="23"/>
      <c r="CV27" s="23"/>
      <c r="CW27" s="73">
        <f t="shared" si="34"/>
        <v>0</v>
      </c>
      <c r="CX27" s="23"/>
      <c r="CY27" s="23"/>
      <c r="CZ27" s="73">
        <f t="shared" si="35"/>
        <v>0</v>
      </c>
      <c r="DA27" s="23"/>
      <c r="DB27" s="23"/>
      <c r="DC27" s="73">
        <f t="shared" si="36"/>
        <v>0</v>
      </c>
      <c r="DD27" s="23"/>
      <c r="DE27" s="23"/>
      <c r="DF27" s="73">
        <f t="shared" si="37"/>
        <v>0</v>
      </c>
      <c r="DG27" s="23"/>
      <c r="DH27" s="23"/>
      <c r="DI27" s="73">
        <f t="shared" si="38"/>
        <v>0</v>
      </c>
      <c r="DJ27" s="23"/>
      <c r="DK27" s="23"/>
      <c r="DL27" s="73">
        <f t="shared" si="39"/>
        <v>0</v>
      </c>
      <c r="DM27" s="23"/>
      <c r="DN27" s="23"/>
      <c r="DO27" s="73">
        <f t="shared" si="40"/>
        <v>0</v>
      </c>
      <c r="DP27" s="23"/>
      <c r="DQ27" s="23"/>
      <c r="DR27" s="73">
        <f t="shared" si="41"/>
        <v>0</v>
      </c>
      <c r="DS27" s="73">
        <f t="shared" si="42"/>
        <v>105294</v>
      </c>
      <c r="DT27" s="73">
        <f t="shared" si="43"/>
        <v>105294</v>
      </c>
      <c r="DU27" s="73">
        <f t="shared" si="44"/>
        <v>0</v>
      </c>
      <c r="DV27" s="111"/>
      <c r="DW27" s="79"/>
      <c r="DX27" s="79"/>
      <c r="DY27" s="111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</row>
    <row r="28" spans="1:141" x14ac:dyDescent="0.2">
      <c r="A28" s="72">
        <f t="shared" si="45"/>
        <v>36730</v>
      </c>
      <c r="B28" s="72" t="s">
        <v>86</v>
      </c>
      <c r="C28" s="23">
        <v>4178</v>
      </c>
      <c r="D28" s="23">
        <v>4178</v>
      </c>
      <c r="E28" s="73">
        <f t="shared" si="0"/>
        <v>0</v>
      </c>
      <c r="F28" s="23">
        <v>20000</v>
      </c>
      <c r="G28" s="23">
        <v>20000</v>
      </c>
      <c r="H28" s="73">
        <f t="shared" si="1"/>
        <v>0</v>
      </c>
      <c r="I28" s="23">
        <v>5000</v>
      </c>
      <c r="J28" s="23">
        <v>5000</v>
      </c>
      <c r="K28" s="73">
        <f t="shared" si="2"/>
        <v>0</v>
      </c>
      <c r="L28" s="23">
        <v>10000</v>
      </c>
      <c r="M28" s="23">
        <v>10000</v>
      </c>
      <c r="N28" s="73">
        <f t="shared" si="3"/>
        <v>0</v>
      </c>
      <c r="O28" s="23">
        <f t="shared" si="4"/>
        <v>10000</v>
      </c>
      <c r="P28" s="23">
        <v>10000</v>
      </c>
      <c r="Q28" s="73">
        <f t="shared" si="5"/>
        <v>0</v>
      </c>
      <c r="R28" s="23">
        <v>5000</v>
      </c>
      <c r="S28" s="23">
        <v>5000</v>
      </c>
      <c r="T28" s="73">
        <f t="shared" si="6"/>
        <v>0</v>
      </c>
      <c r="U28" s="23">
        <f t="shared" si="7"/>
        <v>5000</v>
      </c>
      <c r="V28" s="23">
        <f t="shared" si="7"/>
        <v>5000</v>
      </c>
      <c r="W28" s="73">
        <f t="shared" si="8"/>
        <v>0</v>
      </c>
      <c r="X28" s="23">
        <v>10000</v>
      </c>
      <c r="Y28" s="23">
        <v>10000</v>
      </c>
      <c r="Z28" s="73">
        <f t="shared" si="9"/>
        <v>0</v>
      </c>
      <c r="AA28" s="23">
        <v>5000</v>
      </c>
      <c r="AB28" s="23">
        <v>5000</v>
      </c>
      <c r="AC28" s="73">
        <f t="shared" si="10"/>
        <v>0</v>
      </c>
      <c r="AD28" s="23">
        <v>5000</v>
      </c>
      <c r="AE28" s="23">
        <v>5000</v>
      </c>
      <c r="AF28" s="73">
        <f t="shared" si="11"/>
        <v>0</v>
      </c>
      <c r="AG28" s="23">
        <v>4400</v>
      </c>
      <c r="AH28" s="23">
        <f>7741-4341+1000</f>
        <v>4400</v>
      </c>
      <c r="AI28" s="73">
        <f t="shared" si="12"/>
        <v>0</v>
      </c>
      <c r="AJ28" s="23">
        <v>3000</v>
      </c>
      <c r="AK28" s="23">
        <v>3000</v>
      </c>
      <c r="AL28" s="73">
        <f t="shared" si="13"/>
        <v>0</v>
      </c>
      <c r="AM28" s="23">
        <v>10375</v>
      </c>
      <c r="AN28" s="23">
        <v>10375</v>
      </c>
      <c r="AO28" s="73">
        <f t="shared" si="14"/>
        <v>0</v>
      </c>
      <c r="AP28" s="23">
        <v>5000</v>
      </c>
      <c r="AQ28" s="23">
        <v>5000</v>
      </c>
      <c r="AR28" s="73">
        <f t="shared" si="15"/>
        <v>0</v>
      </c>
      <c r="AS28" s="23"/>
      <c r="AT28" s="23"/>
      <c r="AU28" s="73">
        <f t="shared" si="16"/>
        <v>0</v>
      </c>
      <c r="AV28" s="23"/>
      <c r="AW28" s="23"/>
      <c r="AX28" s="73">
        <f t="shared" si="17"/>
        <v>0</v>
      </c>
      <c r="AY28" s="23"/>
      <c r="AZ28" s="23"/>
      <c r="BA28" s="73">
        <f t="shared" si="18"/>
        <v>0</v>
      </c>
      <c r="BB28" s="23"/>
      <c r="BC28" s="23"/>
      <c r="BD28" s="73">
        <f t="shared" si="19"/>
        <v>0</v>
      </c>
      <c r="BE28" s="23"/>
      <c r="BF28" s="23"/>
      <c r="BG28" s="73">
        <f t="shared" si="20"/>
        <v>0</v>
      </c>
      <c r="BH28" s="23"/>
      <c r="BI28" s="23"/>
      <c r="BJ28" s="73">
        <f t="shared" si="21"/>
        <v>0</v>
      </c>
      <c r="BK28" s="23"/>
      <c r="BL28" s="23"/>
      <c r="BM28" s="73">
        <f t="shared" si="22"/>
        <v>0</v>
      </c>
      <c r="BN28" s="23"/>
      <c r="BO28" s="23"/>
      <c r="BP28" s="73">
        <f t="shared" si="23"/>
        <v>0</v>
      </c>
      <c r="BQ28" s="23"/>
      <c r="BR28" s="23"/>
      <c r="BS28" s="73">
        <f t="shared" si="24"/>
        <v>0</v>
      </c>
      <c r="BT28" s="23"/>
      <c r="BU28" s="23"/>
      <c r="BV28" s="73">
        <f t="shared" si="25"/>
        <v>0</v>
      </c>
      <c r="BW28" s="23"/>
      <c r="BX28" s="23"/>
      <c r="BY28" s="73">
        <f t="shared" si="26"/>
        <v>0</v>
      </c>
      <c r="BZ28" s="23"/>
      <c r="CA28" s="23"/>
      <c r="CB28" s="73">
        <f t="shared" si="27"/>
        <v>0</v>
      </c>
      <c r="CC28" s="23"/>
      <c r="CD28" s="23"/>
      <c r="CE28" s="73">
        <f t="shared" si="28"/>
        <v>0</v>
      </c>
      <c r="CF28" s="23"/>
      <c r="CG28" s="23"/>
      <c r="CH28" s="73">
        <f t="shared" si="29"/>
        <v>0</v>
      </c>
      <c r="CI28" s="23"/>
      <c r="CJ28" s="23"/>
      <c r="CK28" s="73">
        <f t="shared" si="30"/>
        <v>0</v>
      </c>
      <c r="CL28" s="23"/>
      <c r="CM28" s="23"/>
      <c r="CN28" s="73">
        <f t="shared" si="31"/>
        <v>0</v>
      </c>
      <c r="CO28" s="23"/>
      <c r="CP28" s="23"/>
      <c r="CQ28" s="73">
        <f t="shared" si="32"/>
        <v>0</v>
      </c>
      <c r="CR28" s="23"/>
      <c r="CS28" s="23"/>
      <c r="CT28" s="73">
        <f t="shared" si="33"/>
        <v>0</v>
      </c>
      <c r="CU28" s="23"/>
      <c r="CV28" s="23"/>
      <c r="CW28" s="73">
        <f t="shared" si="34"/>
        <v>0</v>
      </c>
      <c r="CX28" s="23"/>
      <c r="CY28" s="23"/>
      <c r="CZ28" s="73">
        <f t="shared" si="35"/>
        <v>0</v>
      </c>
      <c r="DA28" s="23"/>
      <c r="DB28" s="23"/>
      <c r="DC28" s="73">
        <f t="shared" si="36"/>
        <v>0</v>
      </c>
      <c r="DD28" s="23"/>
      <c r="DE28" s="23"/>
      <c r="DF28" s="73">
        <f t="shared" si="37"/>
        <v>0</v>
      </c>
      <c r="DG28" s="23"/>
      <c r="DH28" s="23"/>
      <c r="DI28" s="73">
        <f t="shared" si="38"/>
        <v>0</v>
      </c>
      <c r="DJ28" s="23"/>
      <c r="DK28" s="23"/>
      <c r="DL28" s="73">
        <f t="shared" si="39"/>
        <v>0</v>
      </c>
      <c r="DM28" s="23"/>
      <c r="DN28" s="23"/>
      <c r="DO28" s="73">
        <f t="shared" si="40"/>
        <v>0</v>
      </c>
      <c r="DP28" s="23"/>
      <c r="DQ28" s="23"/>
      <c r="DR28" s="73">
        <f t="shared" si="41"/>
        <v>0</v>
      </c>
      <c r="DS28" s="73">
        <f t="shared" si="42"/>
        <v>101953</v>
      </c>
      <c r="DT28" s="73">
        <f t="shared" si="43"/>
        <v>101953</v>
      </c>
      <c r="DU28" s="73">
        <f t="shared" si="44"/>
        <v>0</v>
      </c>
      <c r="DV28" s="111"/>
      <c r="DW28" s="79"/>
      <c r="DX28" s="79"/>
      <c r="DY28" s="111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</row>
    <row r="29" spans="1:141" x14ac:dyDescent="0.2">
      <c r="A29" s="72">
        <f t="shared" si="45"/>
        <v>36731</v>
      </c>
      <c r="B29" s="72" t="s">
        <v>87</v>
      </c>
      <c r="C29" s="23">
        <v>4178</v>
      </c>
      <c r="D29" s="23">
        <v>4178</v>
      </c>
      <c r="E29" s="73">
        <f t="shared" si="0"/>
        <v>0</v>
      </c>
      <c r="F29" s="23">
        <v>20000</v>
      </c>
      <c r="G29" s="23">
        <v>20000</v>
      </c>
      <c r="H29" s="73">
        <f t="shared" si="1"/>
        <v>0</v>
      </c>
      <c r="I29" s="23">
        <v>5000</v>
      </c>
      <c r="J29" s="23">
        <v>5000</v>
      </c>
      <c r="K29" s="73">
        <f t="shared" si="2"/>
        <v>0</v>
      </c>
      <c r="L29" s="23">
        <v>10000</v>
      </c>
      <c r="M29" s="23">
        <v>10000</v>
      </c>
      <c r="N29" s="73">
        <f t="shared" si="3"/>
        <v>0</v>
      </c>
      <c r="O29" s="23">
        <f t="shared" si="4"/>
        <v>10000</v>
      </c>
      <c r="P29" s="23">
        <v>10000</v>
      </c>
      <c r="Q29" s="73">
        <f t="shared" si="5"/>
        <v>0</v>
      </c>
      <c r="R29" s="23">
        <v>5000</v>
      </c>
      <c r="S29" s="23">
        <v>5000</v>
      </c>
      <c r="T29" s="73">
        <f t="shared" si="6"/>
        <v>0</v>
      </c>
      <c r="U29" s="23">
        <f t="shared" si="7"/>
        <v>5000</v>
      </c>
      <c r="V29" s="23">
        <f t="shared" si="7"/>
        <v>5000</v>
      </c>
      <c r="W29" s="73">
        <f t="shared" si="8"/>
        <v>0</v>
      </c>
      <c r="X29" s="23">
        <v>10000</v>
      </c>
      <c r="Y29" s="23">
        <v>10000</v>
      </c>
      <c r="Z29" s="73">
        <f t="shared" si="9"/>
        <v>0</v>
      </c>
      <c r="AA29" s="23">
        <v>5000</v>
      </c>
      <c r="AB29" s="23">
        <v>5000</v>
      </c>
      <c r="AC29" s="73">
        <f t="shared" si="10"/>
        <v>0</v>
      </c>
      <c r="AD29" s="23">
        <v>5000</v>
      </c>
      <c r="AE29" s="23">
        <v>5000</v>
      </c>
      <c r="AF29" s="73">
        <f t="shared" si="11"/>
        <v>0</v>
      </c>
      <c r="AG29" s="23">
        <v>7741</v>
      </c>
      <c r="AH29" s="23">
        <v>7741</v>
      </c>
      <c r="AI29" s="73">
        <f t="shared" si="12"/>
        <v>0</v>
      </c>
      <c r="AJ29" s="23">
        <v>3000</v>
      </c>
      <c r="AK29" s="23">
        <v>3000</v>
      </c>
      <c r="AL29" s="73">
        <f t="shared" si="13"/>
        <v>0</v>
      </c>
      <c r="AM29" s="23">
        <v>10375</v>
      </c>
      <c r="AN29" s="23">
        <v>10375</v>
      </c>
      <c r="AO29" s="73">
        <f t="shared" si="14"/>
        <v>0</v>
      </c>
      <c r="AP29" s="23">
        <v>5000</v>
      </c>
      <c r="AQ29" s="23">
        <v>5000</v>
      </c>
      <c r="AR29" s="73">
        <f t="shared" si="15"/>
        <v>0</v>
      </c>
      <c r="AS29" s="23"/>
      <c r="AT29" s="23"/>
      <c r="AU29" s="73">
        <f t="shared" si="16"/>
        <v>0</v>
      </c>
      <c r="AV29" s="23"/>
      <c r="AW29" s="23"/>
      <c r="AX29" s="73">
        <f t="shared" si="17"/>
        <v>0</v>
      </c>
      <c r="AY29" s="23"/>
      <c r="AZ29" s="23"/>
      <c r="BA29" s="73">
        <f t="shared" si="18"/>
        <v>0</v>
      </c>
      <c r="BB29" s="23"/>
      <c r="BC29" s="23"/>
      <c r="BD29" s="73">
        <f t="shared" si="19"/>
        <v>0</v>
      </c>
      <c r="BE29" s="23"/>
      <c r="BF29" s="23"/>
      <c r="BG29" s="73">
        <f t="shared" si="20"/>
        <v>0</v>
      </c>
      <c r="BH29" s="23"/>
      <c r="BI29" s="23"/>
      <c r="BJ29" s="73">
        <f t="shared" si="21"/>
        <v>0</v>
      </c>
      <c r="BK29" s="23"/>
      <c r="BL29" s="23"/>
      <c r="BM29" s="73">
        <f t="shared" si="22"/>
        <v>0</v>
      </c>
      <c r="BN29" s="23"/>
      <c r="BO29" s="23"/>
      <c r="BP29" s="73">
        <f t="shared" si="23"/>
        <v>0</v>
      </c>
      <c r="BQ29" s="23"/>
      <c r="BR29" s="23"/>
      <c r="BS29" s="73">
        <f t="shared" si="24"/>
        <v>0</v>
      </c>
      <c r="BT29" s="23"/>
      <c r="BU29" s="23"/>
      <c r="BV29" s="73">
        <f t="shared" si="25"/>
        <v>0</v>
      </c>
      <c r="BW29" s="23"/>
      <c r="BX29" s="23"/>
      <c r="BY29" s="73">
        <f t="shared" si="26"/>
        <v>0</v>
      </c>
      <c r="BZ29" s="23"/>
      <c r="CA29" s="23"/>
      <c r="CB29" s="73">
        <f t="shared" si="27"/>
        <v>0</v>
      </c>
      <c r="CC29" s="23"/>
      <c r="CD29" s="23"/>
      <c r="CE29" s="73">
        <f t="shared" si="28"/>
        <v>0</v>
      </c>
      <c r="CF29" s="23"/>
      <c r="CG29" s="23"/>
      <c r="CH29" s="73">
        <f t="shared" si="29"/>
        <v>0</v>
      </c>
      <c r="CI29" s="23"/>
      <c r="CJ29" s="23"/>
      <c r="CK29" s="73">
        <f t="shared" si="30"/>
        <v>0</v>
      </c>
      <c r="CL29" s="23"/>
      <c r="CM29" s="23"/>
      <c r="CN29" s="73">
        <f t="shared" si="31"/>
        <v>0</v>
      </c>
      <c r="CO29" s="23"/>
      <c r="CP29" s="23"/>
      <c r="CQ29" s="73">
        <f t="shared" si="32"/>
        <v>0</v>
      </c>
      <c r="CR29" s="23"/>
      <c r="CS29" s="23"/>
      <c r="CT29" s="73">
        <f t="shared" si="33"/>
        <v>0</v>
      </c>
      <c r="CU29" s="23"/>
      <c r="CV29" s="23"/>
      <c r="CW29" s="73">
        <f t="shared" si="34"/>
        <v>0</v>
      </c>
      <c r="CX29" s="23"/>
      <c r="CY29" s="23"/>
      <c r="CZ29" s="73">
        <f t="shared" si="35"/>
        <v>0</v>
      </c>
      <c r="DA29" s="23"/>
      <c r="DB29" s="23"/>
      <c r="DC29" s="73">
        <f t="shared" si="36"/>
        <v>0</v>
      </c>
      <c r="DD29" s="23"/>
      <c r="DE29" s="23"/>
      <c r="DF29" s="73">
        <f t="shared" si="37"/>
        <v>0</v>
      </c>
      <c r="DG29" s="23"/>
      <c r="DH29" s="23"/>
      <c r="DI29" s="73">
        <f t="shared" si="38"/>
        <v>0</v>
      </c>
      <c r="DJ29" s="23"/>
      <c r="DK29" s="23"/>
      <c r="DL29" s="73">
        <f t="shared" si="39"/>
        <v>0</v>
      </c>
      <c r="DM29" s="23"/>
      <c r="DN29" s="23"/>
      <c r="DO29" s="73">
        <f t="shared" si="40"/>
        <v>0</v>
      </c>
      <c r="DP29" s="23"/>
      <c r="DQ29" s="23"/>
      <c r="DR29" s="73">
        <f t="shared" si="41"/>
        <v>0</v>
      </c>
      <c r="DS29" s="73">
        <f t="shared" si="42"/>
        <v>105294</v>
      </c>
      <c r="DT29" s="73">
        <f t="shared" si="43"/>
        <v>105294</v>
      </c>
      <c r="DU29" s="73">
        <f t="shared" si="44"/>
        <v>0</v>
      </c>
      <c r="DV29" s="111"/>
      <c r="DW29" s="79"/>
      <c r="DX29" s="79"/>
      <c r="DY29" s="111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</row>
    <row r="30" spans="1:141" x14ac:dyDescent="0.2">
      <c r="A30" s="72">
        <f t="shared" si="45"/>
        <v>36732</v>
      </c>
      <c r="B30" s="72" t="s">
        <v>88</v>
      </c>
      <c r="C30" s="23">
        <v>4178</v>
      </c>
      <c r="D30" s="23">
        <v>4178</v>
      </c>
      <c r="E30" s="73">
        <f t="shared" si="0"/>
        <v>0</v>
      </c>
      <c r="F30" s="23">
        <v>20000</v>
      </c>
      <c r="G30" s="23">
        <v>20000</v>
      </c>
      <c r="H30" s="73">
        <f t="shared" si="1"/>
        <v>0</v>
      </c>
      <c r="I30" s="23">
        <v>5000</v>
      </c>
      <c r="J30" s="23">
        <v>5000</v>
      </c>
      <c r="K30" s="73">
        <f t="shared" si="2"/>
        <v>0</v>
      </c>
      <c r="L30" s="23">
        <v>10000</v>
      </c>
      <c r="M30" s="23">
        <v>10000</v>
      </c>
      <c r="N30" s="73">
        <f t="shared" si="3"/>
        <v>0</v>
      </c>
      <c r="O30" s="23">
        <f t="shared" si="4"/>
        <v>10000</v>
      </c>
      <c r="P30" s="23">
        <v>10000</v>
      </c>
      <c r="Q30" s="73">
        <f t="shared" si="5"/>
        <v>0</v>
      </c>
      <c r="R30" s="23">
        <v>5000</v>
      </c>
      <c r="S30" s="23">
        <v>5000</v>
      </c>
      <c r="T30" s="73">
        <f t="shared" si="6"/>
        <v>0</v>
      </c>
      <c r="U30" s="23">
        <f t="shared" si="7"/>
        <v>5000</v>
      </c>
      <c r="V30" s="23">
        <f t="shared" si="7"/>
        <v>5000</v>
      </c>
      <c r="W30" s="73">
        <f t="shared" si="8"/>
        <v>0</v>
      </c>
      <c r="X30" s="23">
        <v>10000</v>
      </c>
      <c r="Y30" s="23">
        <v>10000</v>
      </c>
      <c r="Z30" s="73">
        <f t="shared" si="9"/>
        <v>0</v>
      </c>
      <c r="AA30" s="23">
        <v>5000</v>
      </c>
      <c r="AB30" s="23">
        <v>5000</v>
      </c>
      <c r="AC30" s="73">
        <f t="shared" si="10"/>
        <v>0</v>
      </c>
      <c r="AD30" s="23">
        <v>5000</v>
      </c>
      <c r="AE30" s="23">
        <v>5000</v>
      </c>
      <c r="AF30" s="73">
        <f t="shared" si="11"/>
        <v>0</v>
      </c>
      <c r="AG30" s="23">
        <v>7741</v>
      </c>
      <c r="AH30" s="23">
        <v>7741</v>
      </c>
      <c r="AI30" s="73">
        <f t="shared" si="12"/>
        <v>0</v>
      </c>
      <c r="AJ30" s="23">
        <v>3000</v>
      </c>
      <c r="AK30" s="23">
        <v>3000</v>
      </c>
      <c r="AL30" s="73">
        <f t="shared" si="13"/>
        <v>0</v>
      </c>
      <c r="AM30" s="23">
        <v>10375</v>
      </c>
      <c r="AN30" s="23">
        <v>10375</v>
      </c>
      <c r="AO30" s="73">
        <f t="shared" si="14"/>
        <v>0</v>
      </c>
      <c r="AP30" s="23">
        <v>5000</v>
      </c>
      <c r="AQ30" s="23">
        <v>5000</v>
      </c>
      <c r="AR30" s="73">
        <f t="shared" si="15"/>
        <v>0</v>
      </c>
      <c r="AS30" s="23"/>
      <c r="AT30" s="23"/>
      <c r="AU30" s="73">
        <f t="shared" si="16"/>
        <v>0</v>
      </c>
      <c r="AV30" s="23"/>
      <c r="AW30" s="23"/>
      <c r="AX30" s="73">
        <f t="shared" si="17"/>
        <v>0</v>
      </c>
      <c r="AY30" s="23"/>
      <c r="AZ30" s="23"/>
      <c r="BA30" s="73">
        <f t="shared" si="18"/>
        <v>0</v>
      </c>
      <c r="BB30" s="23"/>
      <c r="BC30" s="23"/>
      <c r="BD30" s="73">
        <f t="shared" si="19"/>
        <v>0</v>
      </c>
      <c r="BE30" s="23"/>
      <c r="BF30" s="23"/>
      <c r="BG30" s="73">
        <f t="shared" si="20"/>
        <v>0</v>
      </c>
      <c r="BH30" s="23"/>
      <c r="BI30" s="23"/>
      <c r="BJ30" s="73">
        <f t="shared" si="21"/>
        <v>0</v>
      </c>
      <c r="BK30" s="23"/>
      <c r="BL30" s="23"/>
      <c r="BM30" s="73">
        <f t="shared" si="22"/>
        <v>0</v>
      </c>
      <c r="BN30" s="23"/>
      <c r="BO30" s="23"/>
      <c r="BP30" s="73">
        <f t="shared" si="23"/>
        <v>0</v>
      </c>
      <c r="BQ30" s="23"/>
      <c r="BR30" s="23"/>
      <c r="BS30" s="73">
        <f t="shared" si="24"/>
        <v>0</v>
      </c>
      <c r="BT30" s="23"/>
      <c r="BU30" s="23"/>
      <c r="BV30" s="73">
        <f t="shared" si="25"/>
        <v>0</v>
      </c>
      <c r="BW30" s="23"/>
      <c r="BX30" s="23"/>
      <c r="BY30" s="73">
        <f t="shared" si="26"/>
        <v>0</v>
      </c>
      <c r="BZ30" s="23"/>
      <c r="CA30" s="23"/>
      <c r="CB30" s="73">
        <f t="shared" si="27"/>
        <v>0</v>
      </c>
      <c r="CC30" s="23"/>
      <c r="CD30" s="23"/>
      <c r="CE30" s="73">
        <f t="shared" si="28"/>
        <v>0</v>
      </c>
      <c r="CF30" s="23"/>
      <c r="CG30" s="23"/>
      <c r="CH30" s="73">
        <f t="shared" si="29"/>
        <v>0</v>
      </c>
      <c r="CI30" s="23"/>
      <c r="CJ30" s="23"/>
      <c r="CK30" s="73">
        <f t="shared" si="30"/>
        <v>0</v>
      </c>
      <c r="CL30" s="23"/>
      <c r="CM30" s="23"/>
      <c r="CN30" s="73">
        <f t="shared" si="31"/>
        <v>0</v>
      </c>
      <c r="CO30" s="23"/>
      <c r="CP30" s="23"/>
      <c r="CQ30" s="73">
        <f t="shared" si="32"/>
        <v>0</v>
      </c>
      <c r="CR30" s="23"/>
      <c r="CS30" s="23"/>
      <c r="CT30" s="73">
        <f t="shared" si="33"/>
        <v>0</v>
      </c>
      <c r="CU30" s="23"/>
      <c r="CV30" s="23"/>
      <c r="CW30" s="73">
        <f t="shared" si="34"/>
        <v>0</v>
      </c>
      <c r="CX30" s="23"/>
      <c r="CY30" s="23"/>
      <c r="CZ30" s="73">
        <f t="shared" si="35"/>
        <v>0</v>
      </c>
      <c r="DA30" s="23"/>
      <c r="DB30" s="23"/>
      <c r="DC30" s="73">
        <f t="shared" si="36"/>
        <v>0</v>
      </c>
      <c r="DD30" s="23"/>
      <c r="DE30" s="23"/>
      <c r="DF30" s="73">
        <f t="shared" si="37"/>
        <v>0</v>
      </c>
      <c r="DG30" s="23"/>
      <c r="DH30" s="23"/>
      <c r="DI30" s="73">
        <f t="shared" si="38"/>
        <v>0</v>
      </c>
      <c r="DJ30" s="23"/>
      <c r="DK30" s="23"/>
      <c r="DL30" s="73">
        <f t="shared" si="39"/>
        <v>0</v>
      </c>
      <c r="DM30" s="23"/>
      <c r="DN30" s="23"/>
      <c r="DO30" s="73">
        <f t="shared" si="40"/>
        <v>0</v>
      </c>
      <c r="DP30" s="23"/>
      <c r="DQ30" s="23"/>
      <c r="DR30" s="73">
        <f t="shared" si="41"/>
        <v>0</v>
      </c>
      <c r="DS30" s="73">
        <f t="shared" si="42"/>
        <v>105294</v>
      </c>
      <c r="DT30" s="73">
        <f t="shared" si="43"/>
        <v>105294</v>
      </c>
      <c r="DU30" s="73">
        <f t="shared" si="44"/>
        <v>0</v>
      </c>
      <c r="DV30" s="111"/>
      <c r="DW30" s="79"/>
      <c r="DX30" s="79"/>
      <c r="DY30" s="111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</row>
    <row r="31" spans="1:141" x14ac:dyDescent="0.2">
      <c r="A31" s="72">
        <f t="shared" si="45"/>
        <v>36733</v>
      </c>
      <c r="B31" s="72" t="s">
        <v>89</v>
      </c>
      <c r="C31" s="23">
        <v>4178</v>
      </c>
      <c r="D31" s="23">
        <v>4178</v>
      </c>
      <c r="E31" s="73">
        <f t="shared" si="0"/>
        <v>0</v>
      </c>
      <c r="F31" s="23">
        <v>20000</v>
      </c>
      <c r="G31" s="23">
        <v>20000</v>
      </c>
      <c r="H31" s="73">
        <f t="shared" si="1"/>
        <v>0</v>
      </c>
      <c r="I31" s="23">
        <v>5000</v>
      </c>
      <c r="J31" s="23">
        <v>5000</v>
      </c>
      <c r="K31" s="73">
        <f t="shared" si="2"/>
        <v>0</v>
      </c>
      <c r="L31" s="23">
        <v>10000</v>
      </c>
      <c r="M31" s="23">
        <v>10000</v>
      </c>
      <c r="N31" s="73">
        <f t="shared" si="3"/>
        <v>0</v>
      </c>
      <c r="O31" s="23">
        <f t="shared" si="4"/>
        <v>10000</v>
      </c>
      <c r="P31" s="23">
        <v>10000</v>
      </c>
      <c r="Q31" s="73">
        <f t="shared" si="5"/>
        <v>0</v>
      </c>
      <c r="R31" s="23">
        <v>5000</v>
      </c>
      <c r="S31" s="23">
        <v>5000</v>
      </c>
      <c r="T31" s="73">
        <f t="shared" si="6"/>
        <v>0</v>
      </c>
      <c r="U31" s="23">
        <f t="shared" si="7"/>
        <v>5000</v>
      </c>
      <c r="V31" s="23">
        <f t="shared" si="7"/>
        <v>5000</v>
      </c>
      <c r="W31" s="73">
        <f t="shared" si="8"/>
        <v>0</v>
      </c>
      <c r="X31" s="23">
        <v>10000</v>
      </c>
      <c r="Y31" s="23">
        <v>10000</v>
      </c>
      <c r="Z31" s="73">
        <f t="shared" si="9"/>
        <v>0</v>
      </c>
      <c r="AA31" s="23">
        <v>5000</v>
      </c>
      <c r="AB31" s="23">
        <v>5000</v>
      </c>
      <c r="AC31" s="73">
        <f t="shared" si="10"/>
        <v>0</v>
      </c>
      <c r="AD31" s="23">
        <v>5000</v>
      </c>
      <c r="AE31" s="23">
        <v>5000</v>
      </c>
      <c r="AF31" s="73">
        <f t="shared" si="11"/>
        <v>0</v>
      </c>
      <c r="AG31" s="23">
        <v>7741</v>
      </c>
      <c r="AH31" s="23">
        <v>7741</v>
      </c>
      <c r="AI31" s="73">
        <f t="shared" si="12"/>
        <v>0</v>
      </c>
      <c r="AJ31" s="23">
        <v>3000</v>
      </c>
      <c r="AK31" s="23">
        <v>3000</v>
      </c>
      <c r="AL31" s="73">
        <f t="shared" si="13"/>
        <v>0</v>
      </c>
      <c r="AM31" s="23">
        <v>10375</v>
      </c>
      <c r="AN31" s="23">
        <v>10375</v>
      </c>
      <c r="AO31" s="73">
        <f t="shared" si="14"/>
        <v>0</v>
      </c>
      <c r="AP31" s="23">
        <v>5000</v>
      </c>
      <c r="AQ31" s="23">
        <v>5000</v>
      </c>
      <c r="AR31" s="73">
        <f t="shared" si="15"/>
        <v>0</v>
      </c>
      <c r="AS31" s="23"/>
      <c r="AT31" s="23"/>
      <c r="AU31" s="73">
        <f t="shared" si="16"/>
        <v>0</v>
      </c>
      <c r="AV31" s="23"/>
      <c r="AW31" s="23"/>
      <c r="AX31" s="73">
        <f t="shared" si="17"/>
        <v>0</v>
      </c>
      <c r="AY31" s="23"/>
      <c r="AZ31" s="23"/>
      <c r="BA31" s="73">
        <f t="shared" si="18"/>
        <v>0</v>
      </c>
      <c r="BB31" s="23"/>
      <c r="BC31" s="23"/>
      <c r="BD31" s="73">
        <f t="shared" si="19"/>
        <v>0</v>
      </c>
      <c r="BE31" s="23"/>
      <c r="BF31" s="23"/>
      <c r="BG31" s="73">
        <f t="shared" si="20"/>
        <v>0</v>
      </c>
      <c r="BH31" s="23"/>
      <c r="BI31" s="23"/>
      <c r="BJ31" s="73">
        <f t="shared" si="21"/>
        <v>0</v>
      </c>
      <c r="BK31" s="23"/>
      <c r="BL31" s="23"/>
      <c r="BM31" s="73">
        <f t="shared" si="22"/>
        <v>0</v>
      </c>
      <c r="BN31" s="23"/>
      <c r="BO31" s="23"/>
      <c r="BP31" s="73">
        <f t="shared" si="23"/>
        <v>0</v>
      </c>
      <c r="BQ31" s="23"/>
      <c r="BR31" s="23"/>
      <c r="BS31" s="73">
        <f t="shared" si="24"/>
        <v>0</v>
      </c>
      <c r="BT31" s="23"/>
      <c r="BU31" s="23"/>
      <c r="BV31" s="73">
        <f t="shared" si="25"/>
        <v>0</v>
      </c>
      <c r="BW31" s="23"/>
      <c r="BX31" s="23"/>
      <c r="BY31" s="73">
        <f t="shared" si="26"/>
        <v>0</v>
      </c>
      <c r="BZ31" s="23"/>
      <c r="CA31" s="23"/>
      <c r="CB31" s="73">
        <f t="shared" si="27"/>
        <v>0</v>
      </c>
      <c r="CC31" s="23"/>
      <c r="CD31" s="23"/>
      <c r="CE31" s="73">
        <f t="shared" si="28"/>
        <v>0</v>
      </c>
      <c r="CF31" s="23"/>
      <c r="CG31" s="23"/>
      <c r="CH31" s="73">
        <f t="shared" si="29"/>
        <v>0</v>
      </c>
      <c r="CI31" s="23"/>
      <c r="CJ31" s="23"/>
      <c r="CK31" s="73">
        <f t="shared" si="30"/>
        <v>0</v>
      </c>
      <c r="CL31" s="23"/>
      <c r="CM31" s="23"/>
      <c r="CN31" s="73">
        <f t="shared" si="31"/>
        <v>0</v>
      </c>
      <c r="CO31" s="23"/>
      <c r="CP31" s="23"/>
      <c r="CQ31" s="73">
        <f t="shared" si="32"/>
        <v>0</v>
      </c>
      <c r="CR31" s="23"/>
      <c r="CS31" s="23"/>
      <c r="CT31" s="73">
        <f t="shared" si="33"/>
        <v>0</v>
      </c>
      <c r="CU31" s="23"/>
      <c r="CV31" s="23"/>
      <c r="CW31" s="73">
        <f t="shared" si="34"/>
        <v>0</v>
      </c>
      <c r="CX31" s="23"/>
      <c r="CY31" s="23"/>
      <c r="CZ31" s="73">
        <f t="shared" si="35"/>
        <v>0</v>
      </c>
      <c r="DA31" s="23"/>
      <c r="DB31" s="23"/>
      <c r="DC31" s="73">
        <f t="shared" si="36"/>
        <v>0</v>
      </c>
      <c r="DD31" s="23"/>
      <c r="DE31" s="23"/>
      <c r="DF31" s="73">
        <f t="shared" si="37"/>
        <v>0</v>
      </c>
      <c r="DG31" s="23"/>
      <c r="DH31" s="23"/>
      <c r="DI31" s="73">
        <f t="shared" si="38"/>
        <v>0</v>
      </c>
      <c r="DJ31" s="23"/>
      <c r="DK31" s="23"/>
      <c r="DL31" s="73">
        <f t="shared" si="39"/>
        <v>0</v>
      </c>
      <c r="DM31" s="23"/>
      <c r="DN31" s="23"/>
      <c r="DO31" s="73">
        <f t="shared" si="40"/>
        <v>0</v>
      </c>
      <c r="DP31" s="23"/>
      <c r="DQ31" s="23"/>
      <c r="DR31" s="73">
        <f t="shared" si="41"/>
        <v>0</v>
      </c>
      <c r="DS31" s="73">
        <f t="shared" si="42"/>
        <v>105294</v>
      </c>
      <c r="DT31" s="73">
        <f t="shared" si="43"/>
        <v>105294</v>
      </c>
      <c r="DU31" s="73">
        <f t="shared" si="44"/>
        <v>0</v>
      </c>
      <c r="DV31" s="111"/>
      <c r="DW31" s="79"/>
      <c r="DX31" s="79"/>
      <c r="DY31" s="111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</row>
    <row r="32" spans="1:141" x14ac:dyDescent="0.2">
      <c r="A32" s="72">
        <f t="shared" si="45"/>
        <v>36734</v>
      </c>
      <c r="B32" s="72" t="s">
        <v>90</v>
      </c>
      <c r="C32" s="23">
        <v>4178</v>
      </c>
      <c r="D32" s="23">
        <v>4178</v>
      </c>
      <c r="E32" s="73">
        <f t="shared" si="0"/>
        <v>0</v>
      </c>
      <c r="F32" s="23">
        <v>20000</v>
      </c>
      <c r="G32" s="23">
        <v>20000</v>
      </c>
      <c r="H32" s="73">
        <f t="shared" si="1"/>
        <v>0</v>
      </c>
      <c r="I32" s="23">
        <v>5000</v>
      </c>
      <c r="J32" s="23">
        <v>5000</v>
      </c>
      <c r="K32" s="73">
        <f t="shared" si="2"/>
        <v>0</v>
      </c>
      <c r="L32" s="23">
        <v>10000</v>
      </c>
      <c r="M32" s="23">
        <v>10000</v>
      </c>
      <c r="N32" s="73">
        <f t="shared" si="3"/>
        <v>0</v>
      </c>
      <c r="O32" s="23">
        <f t="shared" si="4"/>
        <v>10000</v>
      </c>
      <c r="P32" s="23">
        <v>10000</v>
      </c>
      <c r="Q32" s="73">
        <f t="shared" si="5"/>
        <v>0</v>
      </c>
      <c r="R32" s="23">
        <v>5000</v>
      </c>
      <c r="S32" s="23">
        <v>5000</v>
      </c>
      <c r="T32" s="73">
        <f t="shared" si="6"/>
        <v>0</v>
      </c>
      <c r="U32" s="23">
        <f t="shared" si="7"/>
        <v>5000</v>
      </c>
      <c r="V32" s="23">
        <f t="shared" si="7"/>
        <v>5000</v>
      </c>
      <c r="W32" s="73">
        <f t="shared" si="8"/>
        <v>0</v>
      </c>
      <c r="X32" s="23">
        <v>10000</v>
      </c>
      <c r="Y32" s="23">
        <v>10000</v>
      </c>
      <c r="Z32" s="73">
        <f t="shared" si="9"/>
        <v>0</v>
      </c>
      <c r="AA32" s="23">
        <v>5000</v>
      </c>
      <c r="AB32" s="23">
        <v>5000</v>
      </c>
      <c r="AC32" s="73">
        <f t="shared" si="10"/>
        <v>0</v>
      </c>
      <c r="AD32" s="23">
        <v>5000</v>
      </c>
      <c r="AE32" s="23">
        <v>5000</v>
      </c>
      <c r="AF32" s="73">
        <f t="shared" si="11"/>
        <v>0</v>
      </c>
      <c r="AG32" s="23">
        <v>7741</v>
      </c>
      <c r="AH32" s="23">
        <v>7281</v>
      </c>
      <c r="AI32" s="73">
        <f t="shared" si="12"/>
        <v>-460</v>
      </c>
      <c r="AJ32" s="23">
        <v>3000</v>
      </c>
      <c r="AK32" s="23">
        <v>3000</v>
      </c>
      <c r="AL32" s="73">
        <f t="shared" si="13"/>
        <v>0</v>
      </c>
      <c r="AM32" s="23">
        <v>10375</v>
      </c>
      <c r="AN32" s="23">
        <v>10375</v>
      </c>
      <c r="AO32" s="73">
        <f t="shared" si="14"/>
        <v>0</v>
      </c>
      <c r="AP32" s="23">
        <v>5000</v>
      </c>
      <c r="AQ32" s="23">
        <v>5000</v>
      </c>
      <c r="AR32" s="73">
        <f t="shared" si="15"/>
        <v>0</v>
      </c>
      <c r="AS32" s="23"/>
      <c r="AT32" s="23"/>
      <c r="AU32" s="73">
        <f t="shared" si="16"/>
        <v>0</v>
      </c>
      <c r="AV32" s="23"/>
      <c r="AW32" s="23"/>
      <c r="AX32" s="73">
        <f t="shared" si="17"/>
        <v>0</v>
      </c>
      <c r="AY32" s="23"/>
      <c r="AZ32" s="23"/>
      <c r="BA32" s="73">
        <f t="shared" si="18"/>
        <v>0</v>
      </c>
      <c r="BB32" s="23"/>
      <c r="BC32" s="23"/>
      <c r="BD32" s="73">
        <f t="shared" si="19"/>
        <v>0</v>
      </c>
      <c r="BE32" s="23"/>
      <c r="BF32" s="23"/>
      <c r="BG32" s="73">
        <f t="shared" si="20"/>
        <v>0</v>
      </c>
      <c r="BH32" s="23"/>
      <c r="BI32" s="23"/>
      <c r="BJ32" s="73">
        <f t="shared" si="21"/>
        <v>0</v>
      </c>
      <c r="BK32" s="23"/>
      <c r="BL32" s="23"/>
      <c r="BM32" s="73">
        <f t="shared" si="22"/>
        <v>0</v>
      </c>
      <c r="BN32" s="23"/>
      <c r="BO32" s="23"/>
      <c r="BP32" s="73">
        <f t="shared" si="23"/>
        <v>0</v>
      </c>
      <c r="BQ32" s="23"/>
      <c r="BR32" s="23"/>
      <c r="BS32" s="73">
        <f t="shared" si="24"/>
        <v>0</v>
      </c>
      <c r="BT32" s="23"/>
      <c r="BU32" s="23"/>
      <c r="BV32" s="73">
        <f t="shared" si="25"/>
        <v>0</v>
      </c>
      <c r="BW32" s="23"/>
      <c r="BX32" s="23"/>
      <c r="BY32" s="73">
        <f t="shared" si="26"/>
        <v>0</v>
      </c>
      <c r="BZ32" s="23"/>
      <c r="CA32" s="23"/>
      <c r="CB32" s="73">
        <f t="shared" si="27"/>
        <v>0</v>
      </c>
      <c r="CC32" s="23"/>
      <c r="CD32" s="23"/>
      <c r="CE32" s="73">
        <f t="shared" si="28"/>
        <v>0</v>
      </c>
      <c r="CF32" s="23"/>
      <c r="CG32" s="23"/>
      <c r="CH32" s="73">
        <f t="shared" si="29"/>
        <v>0</v>
      </c>
      <c r="CI32" s="23"/>
      <c r="CJ32" s="23"/>
      <c r="CK32" s="73">
        <f t="shared" si="30"/>
        <v>0</v>
      </c>
      <c r="CL32" s="23"/>
      <c r="CM32" s="23"/>
      <c r="CN32" s="73">
        <f t="shared" si="31"/>
        <v>0</v>
      </c>
      <c r="CO32" s="23"/>
      <c r="CP32" s="23"/>
      <c r="CQ32" s="73">
        <f t="shared" si="32"/>
        <v>0</v>
      </c>
      <c r="CR32" s="23"/>
      <c r="CS32" s="23"/>
      <c r="CT32" s="73">
        <f t="shared" si="33"/>
        <v>0</v>
      </c>
      <c r="CU32" s="23"/>
      <c r="CV32" s="23"/>
      <c r="CW32" s="73">
        <f t="shared" si="34"/>
        <v>0</v>
      </c>
      <c r="CX32" s="23"/>
      <c r="CY32" s="23"/>
      <c r="CZ32" s="73">
        <f t="shared" si="35"/>
        <v>0</v>
      </c>
      <c r="DA32" s="23"/>
      <c r="DB32" s="23"/>
      <c r="DC32" s="73">
        <f t="shared" si="36"/>
        <v>0</v>
      </c>
      <c r="DD32" s="23"/>
      <c r="DE32" s="23"/>
      <c r="DF32" s="73">
        <f t="shared" si="37"/>
        <v>0</v>
      </c>
      <c r="DG32" s="23"/>
      <c r="DH32" s="23"/>
      <c r="DI32" s="73">
        <f t="shared" si="38"/>
        <v>0</v>
      </c>
      <c r="DJ32" s="23"/>
      <c r="DK32" s="23"/>
      <c r="DL32" s="73">
        <f t="shared" si="39"/>
        <v>0</v>
      </c>
      <c r="DM32" s="23"/>
      <c r="DN32" s="23"/>
      <c r="DO32" s="73">
        <f t="shared" si="40"/>
        <v>0</v>
      </c>
      <c r="DP32" s="23"/>
      <c r="DQ32" s="23"/>
      <c r="DR32" s="73">
        <f t="shared" si="41"/>
        <v>0</v>
      </c>
      <c r="DS32" s="73">
        <f t="shared" si="42"/>
        <v>105294</v>
      </c>
      <c r="DT32" s="73">
        <f t="shared" si="43"/>
        <v>104834</v>
      </c>
      <c r="DU32" s="73">
        <f t="shared" si="44"/>
        <v>-460</v>
      </c>
      <c r="DV32" s="111"/>
      <c r="DW32" s="79"/>
      <c r="DX32" s="79"/>
      <c r="DY32" s="111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</row>
    <row r="33" spans="1:178" x14ac:dyDescent="0.2">
      <c r="A33" s="72">
        <f t="shared" si="45"/>
        <v>36735</v>
      </c>
      <c r="B33" s="72" t="s">
        <v>91</v>
      </c>
      <c r="C33" s="23">
        <v>4178</v>
      </c>
      <c r="D33" s="23">
        <v>4178</v>
      </c>
      <c r="E33" s="73">
        <f t="shared" si="0"/>
        <v>0</v>
      </c>
      <c r="F33" s="23">
        <v>20000</v>
      </c>
      <c r="G33" s="23">
        <v>20000</v>
      </c>
      <c r="H33" s="73">
        <f t="shared" si="1"/>
        <v>0</v>
      </c>
      <c r="I33" s="23">
        <v>5000</v>
      </c>
      <c r="J33" s="23">
        <v>5000</v>
      </c>
      <c r="K33" s="73">
        <f t="shared" si="2"/>
        <v>0</v>
      </c>
      <c r="L33" s="23">
        <v>10000</v>
      </c>
      <c r="M33" s="23">
        <v>10000</v>
      </c>
      <c r="N33" s="73">
        <f t="shared" si="3"/>
        <v>0</v>
      </c>
      <c r="O33" s="23">
        <f t="shared" si="4"/>
        <v>10000</v>
      </c>
      <c r="P33" s="23">
        <v>10000</v>
      </c>
      <c r="Q33" s="73">
        <f t="shared" si="5"/>
        <v>0</v>
      </c>
      <c r="R33" s="23">
        <v>5000</v>
      </c>
      <c r="S33" s="23">
        <v>5000</v>
      </c>
      <c r="T33" s="73">
        <f t="shared" si="6"/>
        <v>0</v>
      </c>
      <c r="U33" s="23">
        <f t="shared" si="7"/>
        <v>5000</v>
      </c>
      <c r="V33" s="23">
        <f t="shared" si="7"/>
        <v>5000</v>
      </c>
      <c r="W33" s="73">
        <f t="shared" si="8"/>
        <v>0</v>
      </c>
      <c r="X33" s="23">
        <v>10000</v>
      </c>
      <c r="Y33" s="23">
        <v>10000</v>
      </c>
      <c r="Z33" s="73">
        <f t="shared" si="9"/>
        <v>0</v>
      </c>
      <c r="AA33" s="23">
        <v>5000</v>
      </c>
      <c r="AB33" s="23">
        <v>5000</v>
      </c>
      <c r="AC33" s="73">
        <f t="shared" si="10"/>
        <v>0</v>
      </c>
      <c r="AD33" s="23">
        <v>5000</v>
      </c>
      <c r="AE33" s="23">
        <v>5000</v>
      </c>
      <c r="AF33" s="73">
        <f t="shared" si="11"/>
        <v>0</v>
      </c>
      <c r="AG33" s="23">
        <v>7741</v>
      </c>
      <c r="AH33" s="23">
        <v>7741</v>
      </c>
      <c r="AI33" s="73">
        <f t="shared" si="12"/>
        <v>0</v>
      </c>
      <c r="AJ33" s="23">
        <v>3000</v>
      </c>
      <c r="AK33" s="23">
        <v>3000</v>
      </c>
      <c r="AL33" s="73">
        <f t="shared" si="13"/>
        <v>0</v>
      </c>
      <c r="AM33" s="23">
        <v>10375</v>
      </c>
      <c r="AN33" s="23">
        <v>10375</v>
      </c>
      <c r="AO33" s="73">
        <f t="shared" si="14"/>
        <v>0</v>
      </c>
      <c r="AP33" s="23">
        <v>5000</v>
      </c>
      <c r="AQ33" s="23">
        <v>5000</v>
      </c>
      <c r="AR33" s="73">
        <f t="shared" si="15"/>
        <v>0</v>
      </c>
      <c r="AS33" s="23"/>
      <c r="AT33" s="23"/>
      <c r="AU33" s="73">
        <f t="shared" si="16"/>
        <v>0</v>
      </c>
      <c r="AV33" s="23"/>
      <c r="AW33" s="23"/>
      <c r="AX33" s="73">
        <f t="shared" si="17"/>
        <v>0</v>
      </c>
      <c r="AY33" s="23"/>
      <c r="AZ33" s="23"/>
      <c r="BA33" s="73">
        <f t="shared" si="18"/>
        <v>0</v>
      </c>
      <c r="BB33" s="23"/>
      <c r="BC33" s="23"/>
      <c r="BD33" s="73">
        <f t="shared" si="19"/>
        <v>0</v>
      </c>
      <c r="BE33" s="23"/>
      <c r="BF33" s="23"/>
      <c r="BG33" s="73">
        <f t="shared" si="20"/>
        <v>0</v>
      </c>
      <c r="BH33" s="23"/>
      <c r="BI33" s="23"/>
      <c r="BJ33" s="73">
        <f t="shared" si="21"/>
        <v>0</v>
      </c>
      <c r="BK33" s="23"/>
      <c r="BL33" s="23"/>
      <c r="BM33" s="73">
        <f t="shared" si="22"/>
        <v>0</v>
      </c>
      <c r="BN33" s="23"/>
      <c r="BO33" s="23"/>
      <c r="BP33" s="73">
        <f t="shared" si="23"/>
        <v>0</v>
      </c>
      <c r="BQ33" s="23"/>
      <c r="BR33" s="23"/>
      <c r="BS33" s="73">
        <f t="shared" si="24"/>
        <v>0</v>
      </c>
      <c r="BT33" s="23"/>
      <c r="BU33" s="23"/>
      <c r="BV33" s="73">
        <f t="shared" si="25"/>
        <v>0</v>
      </c>
      <c r="BW33" s="23"/>
      <c r="BX33" s="23"/>
      <c r="BY33" s="73">
        <f t="shared" si="26"/>
        <v>0</v>
      </c>
      <c r="BZ33" s="23"/>
      <c r="CA33" s="23"/>
      <c r="CB33" s="73">
        <f t="shared" si="27"/>
        <v>0</v>
      </c>
      <c r="CC33" s="23"/>
      <c r="CD33" s="23"/>
      <c r="CE33" s="73">
        <f t="shared" si="28"/>
        <v>0</v>
      </c>
      <c r="CF33" s="23"/>
      <c r="CG33" s="23"/>
      <c r="CH33" s="73">
        <f t="shared" si="29"/>
        <v>0</v>
      </c>
      <c r="CI33" s="23"/>
      <c r="CJ33" s="23"/>
      <c r="CK33" s="73">
        <f t="shared" si="30"/>
        <v>0</v>
      </c>
      <c r="CL33" s="23"/>
      <c r="CM33" s="23"/>
      <c r="CN33" s="73">
        <f t="shared" si="31"/>
        <v>0</v>
      </c>
      <c r="CO33" s="23"/>
      <c r="CP33" s="23"/>
      <c r="CQ33" s="73">
        <f t="shared" si="32"/>
        <v>0</v>
      </c>
      <c r="CR33" s="23"/>
      <c r="CS33" s="23"/>
      <c r="CT33" s="73">
        <f t="shared" si="33"/>
        <v>0</v>
      </c>
      <c r="CU33" s="23"/>
      <c r="CV33" s="23"/>
      <c r="CW33" s="73">
        <f t="shared" si="34"/>
        <v>0</v>
      </c>
      <c r="CX33" s="23"/>
      <c r="CY33" s="23"/>
      <c r="CZ33" s="73">
        <f t="shared" si="35"/>
        <v>0</v>
      </c>
      <c r="DA33" s="23"/>
      <c r="DB33" s="23"/>
      <c r="DC33" s="73">
        <f t="shared" si="36"/>
        <v>0</v>
      </c>
      <c r="DD33" s="23"/>
      <c r="DE33" s="23"/>
      <c r="DF33" s="73">
        <f t="shared" si="37"/>
        <v>0</v>
      </c>
      <c r="DG33" s="23"/>
      <c r="DH33" s="23"/>
      <c r="DI33" s="73">
        <f t="shared" si="38"/>
        <v>0</v>
      </c>
      <c r="DJ33" s="23"/>
      <c r="DK33" s="23"/>
      <c r="DL33" s="73">
        <f t="shared" si="39"/>
        <v>0</v>
      </c>
      <c r="DM33" s="23"/>
      <c r="DN33" s="23"/>
      <c r="DO33" s="73">
        <f t="shared" si="40"/>
        <v>0</v>
      </c>
      <c r="DP33" s="23"/>
      <c r="DQ33" s="23"/>
      <c r="DR33" s="73">
        <f t="shared" si="41"/>
        <v>0</v>
      </c>
      <c r="DS33" s="73">
        <f t="shared" si="42"/>
        <v>105294</v>
      </c>
      <c r="DT33" s="73">
        <f t="shared" si="43"/>
        <v>105294</v>
      </c>
      <c r="DU33" s="73">
        <f t="shared" si="44"/>
        <v>0</v>
      </c>
      <c r="DV33" s="111"/>
      <c r="DW33" s="79"/>
      <c r="DX33" s="79"/>
      <c r="DY33" s="111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</row>
    <row r="34" spans="1:178" x14ac:dyDescent="0.2">
      <c r="A34" s="72">
        <f t="shared" si="45"/>
        <v>36736</v>
      </c>
      <c r="B34" s="72" t="s">
        <v>85</v>
      </c>
      <c r="C34" s="23">
        <v>4178</v>
      </c>
      <c r="D34" s="23">
        <v>4178</v>
      </c>
      <c r="E34" s="73">
        <f t="shared" si="0"/>
        <v>0</v>
      </c>
      <c r="F34" s="23">
        <v>20000</v>
      </c>
      <c r="G34" s="23">
        <v>20000</v>
      </c>
      <c r="H34" s="73">
        <f t="shared" si="1"/>
        <v>0</v>
      </c>
      <c r="I34" s="23">
        <v>5000</v>
      </c>
      <c r="J34" s="23">
        <v>5000</v>
      </c>
      <c r="K34" s="73">
        <f t="shared" si="2"/>
        <v>0</v>
      </c>
      <c r="L34" s="23">
        <v>10000</v>
      </c>
      <c r="M34" s="23">
        <v>10000</v>
      </c>
      <c r="N34" s="73">
        <f t="shared" si="3"/>
        <v>0</v>
      </c>
      <c r="O34" s="23">
        <f t="shared" si="4"/>
        <v>10000</v>
      </c>
      <c r="P34" s="23">
        <v>10000</v>
      </c>
      <c r="Q34" s="73">
        <f t="shared" si="5"/>
        <v>0</v>
      </c>
      <c r="R34" s="23">
        <v>5000</v>
      </c>
      <c r="S34" s="23">
        <v>5000</v>
      </c>
      <c r="T34" s="73">
        <f t="shared" si="6"/>
        <v>0</v>
      </c>
      <c r="U34" s="23">
        <f t="shared" si="7"/>
        <v>5000</v>
      </c>
      <c r="V34" s="23">
        <f t="shared" si="7"/>
        <v>5000</v>
      </c>
      <c r="W34" s="73">
        <f t="shared" si="8"/>
        <v>0</v>
      </c>
      <c r="X34" s="23">
        <v>10000</v>
      </c>
      <c r="Y34" s="23">
        <v>10000</v>
      </c>
      <c r="Z34" s="73">
        <f t="shared" si="9"/>
        <v>0</v>
      </c>
      <c r="AA34" s="23">
        <v>5000</v>
      </c>
      <c r="AB34" s="23">
        <v>5000</v>
      </c>
      <c r="AC34" s="73">
        <f t="shared" si="10"/>
        <v>0</v>
      </c>
      <c r="AD34" s="23">
        <v>5000</v>
      </c>
      <c r="AE34" s="23">
        <v>5000</v>
      </c>
      <c r="AF34" s="73">
        <f t="shared" si="11"/>
        <v>0</v>
      </c>
      <c r="AG34" s="23">
        <v>7741</v>
      </c>
      <c r="AH34" s="23">
        <v>7741</v>
      </c>
      <c r="AI34" s="73">
        <f t="shared" si="12"/>
        <v>0</v>
      </c>
      <c r="AJ34" s="23">
        <v>3000</v>
      </c>
      <c r="AK34" s="23">
        <v>3000</v>
      </c>
      <c r="AL34" s="73">
        <f t="shared" si="13"/>
        <v>0</v>
      </c>
      <c r="AM34" s="23">
        <v>10375</v>
      </c>
      <c r="AN34" s="23">
        <v>10375</v>
      </c>
      <c r="AO34" s="73">
        <f t="shared" si="14"/>
        <v>0</v>
      </c>
      <c r="AP34" s="23">
        <v>5000</v>
      </c>
      <c r="AQ34" s="23">
        <v>5000</v>
      </c>
      <c r="AR34" s="73">
        <f t="shared" si="15"/>
        <v>0</v>
      </c>
      <c r="AS34" s="23"/>
      <c r="AT34" s="23"/>
      <c r="AU34" s="73">
        <f t="shared" si="16"/>
        <v>0</v>
      </c>
      <c r="AV34" s="23"/>
      <c r="AW34" s="23"/>
      <c r="AX34" s="73">
        <f t="shared" si="17"/>
        <v>0</v>
      </c>
      <c r="AY34" s="23"/>
      <c r="AZ34" s="23"/>
      <c r="BA34" s="73">
        <f t="shared" si="18"/>
        <v>0</v>
      </c>
      <c r="BB34" s="23"/>
      <c r="BC34" s="23"/>
      <c r="BD34" s="73">
        <f t="shared" si="19"/>
        <v>0</v>
      </c>
      <c r="BE34" s="23"/>
      <c r="BF34" s="23"/>
      <c r="BG34" s="73">
        <f t="shared" si="20"/>
        <v>0</v>
      </c>
      <c r="BH34" s="23"/>
      <c r="BI34" s="23"/>
      <c r="BJ34" s="73">
        <f t="shared" si="21"/>
        <v>0</v>
      </c>
      <c r="BK34" s="23"/>
      <c r="BL34" s="23"/>
      <c r="BM34" s="73">
        <f t="shared" si="22"/>
        <v>0</v>
      </c>
      <c r="BN34" s="23"/>
      <c r="BO34" s="23"/>
      <c r="BP34" s="73">
        <f t="shared" si="23"/>
        <v>0</v>
      </c>
      <c r="BQ34" s="23"/>
      <c r="BR34" s="23"/>
      <c r="BS34" s="73">
        <f t="shared" si="24"/>
        <v>0</v>
      </c>
      <c r="BT34" s="23"/>
      <c r="BU34" s="23"/>
      <c r="BV34" s="73">
        <f t="shared" si="25"/>
        <v>0</v>
      </c>
      <c r="BW34" s="23"/>
      <c r="BX34" s="23"/>
      <c r="BY34" s="73">
        <f t="shared" si="26"/>
        <v>0</v>
      </c>
      <c r="BZ34" s="23"/>
      <c r="CA34" s="23"/>
      <c r="CB34" s="73">
        <f t="shared" si="27"/>
        <v>0</v>
      </c>
      <c r="CC34" s="23"/>
      <c r="CD34" s="23"/>
      <c r="CE34" s="73">
        <f t="shared" si="28"/>
        <v>0</v>
      </c>
      <c r="CF34" s="23"/>
      <c r="CG34" s="23"/>
      <c r="CH34" s="73">
        <f t="shared" si="29"/>
        <v>0</v>
      </c>
      <c r="CI34" s="23"/>
      <c r="CJ34" s="23"/>
      <c r="CK34" s="73">
        <f t="shared" si="30"/>
        <v>0</v>
      </c>
      <c r="CL34" s="23"/>
      <c r="CM34" s="23"/>
      <c r="CN34" s="73">
        <f t="shared" si="31"/>
        <v>0</v>
      </c>
      <c r="CO34" s="23"/>
      <c r="CP34" s="23"/>
      <c r="CQ34" s="73">
        <f t="shared" si="32"/>
        <v>0</v>
      </c>
      <c r="CR34" s="23"/>
      <c r="CS34" s="23"/>
      <c r="CT34" s="73">
        <f t="shared" si="33"/>
        <v>0</v>
      </c>
      <c r="CU34" s="23"/>
      <c r="CV34" s="23"/>
      <c r="CW34" s="73">
        <f t="shared" si="34"/>
        <v>0</v>
      </c>
      <c r="CX34" s="23"/>
      <c r="CY34" s="23"/>
      <c r="CZ34" s="73">
        <f t="shared" si="35"/>
        <v>0</v>
      </c>
      <c r="DA34" s="23"/>
      <c r="DB34" s="23"/>
      <c r="DC34" s="73">
        <f t="shared" si="36"/>
        <v>0</v>
      </c>
      <c r="DD34" s="23"/>
      <c r="DE34" s="23"/>
      <c r="DF34" s="73">
        <f t="shared" si="37"/>
        <v>0</v>
      </c>
      <c r="DG34" s="23"/>
      <c r="DH34" s="23"/>
      <c r="DI34" s="73">
        <f t="shared" si="38"/>
        <v>0</v>
      </c>
      <c r="DJ34" s="23"/>
      <c r="DK34" s="23"/>
      <c r="DL34" s="73">
        <f t="shared" si="39"/>
        <v>0</v>
      </c>
      <c r="DM34" s="23"/>
      <c r="DN34" s="23"/>
      <c r="DO34" s="73">
        <f t="shared" si="40"/>
        <v>0</v>
      </c>
      <c r="DP34" s="23"/>
      <c r="DQ34" s="23"/>
      <c r="DR34" s="73">
        <f t="shared" si="41"/>
        <v>0</v>
      </c>
      <c r="DS34" s="73">
        <f t="shared" si="42"/>
        <v>105294</v>
      </c>
      <c r="DT34" s="73">
        <f t="shared" si="43"/>
        <v>105294</v>
      </c>
      <c r="DU34" s="73">
        <f t="shared" si="44"/>
        <v>0</v>
      </c>
      <c r="DV34" s="111"/>
      <c r="DW34" s="79"/>
      <c r="DX34" s="79"/>
      <c r="DY34" s="111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</row>
    <row r="35" spans="1:178" x14ac:dyDescent="0.2">
      <c r="A35" s="72">
        <f t="shared" si="45"/>
        <v>36737</v>
      </c>
      <c r="B35" s="72" t="s">
        <v>86</v>
      </c>
      <c r="C35" s="23">
        <v>4178</v>
      </c>
      <c r="D35" s="23">
        <v>4178</v>
      </c>
      <c r="E35" s="73">
        <f t="shared" si="0"/>
        <v>0</v>
      </c>
      <c r="F35" s="23">
        <v>20000</v>
      </c>
      <c r="G35" s="23">
        <v>20000</v>
      </c>
      <c r="H35" s="73">
        <f t="shared" si="1"/>
        <v>0</v>
      </c>
      <c r="I35" s="23">
        <v>5000</v>
      </c>
      <c r="J35" s="23">
        <v>5000</v>
      </c>
      <c r="K35" s="73">
        <f t="shared" si="2"/>
        <v>0</v>
      </c>
      <c r="L35" s="23">
        <v>10000</v>
      </c>
      <c r="M35" s="23">
        <v>10000</v>
      </c>
      <c r="N35" s="73">
        <f t="shared" si="3"/>
        <v>0</v>
      </c>
      <c r="O35" s="23">
        <f t="shared" si="4"/>
        <v>10000</v>
      </c>
      <c r="P35" s="23">
        <v>10000</v>
      </c>
      <c r="Q35" s="73">
        <f t="shared" si="5"/>
        <v>0</v>
      </c>
      <c r="R35" s="23">
        <v>5000</v>
      </c>
      <c r="S35" s="23">
        <v>5000</v>
      </c>
      <c r="T35" s="73">
        <f t="shared" si="6"/>
        <v>0</v>
      </c>
      <c r="U35" s="23">
        <f t="shared" si="7"/>
        <v>5000</v>
      </c>
      <c r="V35" s="23">
        <f t="shared" si="7"/>
        <v>5000</v>
      </c>
      <c r="W35" s="73">
        <f t="shared" si="8"/>
        <v>0</v>
      </c>
      <c r="X35" s="23">
        <v>10000</v>
      </c>
      <c r="Y35" s="23">
        <v>10000</v>
      </c>
      <c r="Z35" s="73">
        <f t="shared" si="9"/>
        <v>0</v>
      </c>
      <c r="AA35" s="23">
        <v>5000</v>
      </c>
      <c r="AB35" s="23">
        <v>5000</v>
      </c>
      <c r="AC35" s="73">
        <f t="shared" si="10"/>
        <v>0</v>
      </c>
      <c r="AD35" s="23">
        <v>5000</v>
      </c>
      <c r="AE35" s="23">
        <v>5000</v>
      </c>
      <c r="AF35" s="73">
        <f t="shared" si="11"/>
        <v>0</v>
      </c>
      <c r="AG35" s="23">
        <v>7741</v>
      </c>
      <c r="AH35" s="23">
        <v>7741</v>
      </c>
      <c r="AI35" s="73">
        <f t="shared" si="12"/>
        <v>0</v>
      </c>
      <c r="AJ35" s="23">
        <v>3000</v>
      </c>
      <c r="AK35" s="23">
        <v>3000</v>
      </c>
      <c r="AL35" s="73">
        <f t="shared" si="13"/>
        <v>0</v>
      </c>
      <c r="AM35" s="23">
        <v>10375</v>
      </c>
      <c r="AN35" s="23">
        <v>10375</v>
      </c>
      <c r="AO35" s="73">
        <f t="shared" si="14"/>
        <v>0</v>
      </c>
      <c r="AP35" s="23">
        <v>5000</v>
      </c>
      <c r="AQ35" s="23">
        <v>5000</v>
      </c>
      <c r="AR35" s="73">
        <f t="shared" si="15"/>
        <v>0</v>
      </c>
      <c r="AS35" s="23"/>
      <c r="AT35" s="23"/>
      <c r="AU35" s="73">
        <f t="shared" si="16"/>
        <v>0</v>
      </c>
      <c r="AV35" s="23"/>
      <c r="AW35" s="23"/>
      <c r="AX35" s="73">
        <f t="shared" si="17"/>
        <v>0</v>
      </c>
      <c r="AY35" s="23"/>
      <c r="AZ35" s="23"/>
      <c r="BA35" s="73">
        <f t="shared" si="18"/>
        <v>0</v>
      </c>
      <c r="BB35" s="23"/>
      <c r="BC35" s="23"/>
      <c r="BD35" s="73">
        <f t="shared" si="19"/>
        <v>0</v>
      </c>
      <c r="BE35" s="23"/>
      <c r="BF35" s="23"/>
      <c r="BG35" s="73">
        <f t="shared" si="20"/>
        <v>0</v>
      </c>
      <c r="BH35" s="23"/>
      <c r="BI35" s="23"/>
      <c r="BJ35" s="73">
        <f t="shared" si="21"/>
        <v>0</v>
      </c>
      <c r="BK35" s="23"/>
      <c r="BL35" s="23"/>
      <c r="BM35" s="73">
        <f t="shared" si="22"/>
        <v>0</v>
      </c>
      <c r="BN35" s="23"/>
      <c r="BO35" s="23"/>
      <c r="BP35" s="73">
        <f t="shared" si="23"/>
        <v>0</v>
      </c>
      <c r="BQ35" s="23"/>
      <c r="BR35" s="23"/>
      <c r="BS35" s="73">
        <f t="shared" si="24"/>
        <v>0</v>
      </c>
      <c r="BT35" s="23"/>
      <c r="BU35" s="23"/>
      <c r="BV35" s="73">
        <f t="shared" si="25"/>
        <v>0</v>
      </c>
      <c r="BW35" s="23"/>
      <c r="BX35" s="23"/>
      <c r="BY35" s="73">
        <f t="shared" si="26"/>
        <v>0</v>
      </c>
      <c r="BZ35" s="23"/>
      <c r="CA35" s="23"/>
      <c r="CB35" s="73">
        <f t="shared" si="27"/>
        <v>0</v>
      </c>
      <c r="CC35" s="23"/>
      <c r="CD35" s="23"/>
      <c r="CE35" s="73">
        <f t="shared" si="28"/>
        <v>0</v>
      </c>
      <c r="CF35" s="23"/>
      <c r="CG35" s="23"/>
      <c r="CH35" s="73">
        <f t="shared" si="29"/>
        <v>0</v>
      </c>
      <c r="CI35" s="23"/>
      <c r="CJ35" s="23"/>
      <c r="CK35" s="73">
        <f t="shared" si="30"/>
        <v>0</v>
      </c>
      <c r="CL35" s="23"/>
      <c r="CM35" s="23"/>
      <c r="CN35" s="73">
        <f t="shared" si="31"/>
        <v>0</v>
      </c>
      <c r="CO35" s="23"/>
      <c r="CP35" s="23"/>
      <c r="CQ35" s="73">
        <f t="shared" si="32"/>
        <v>0</v>
      </c>
      <c r="CR35" s="23"/>
      <c r="CS35" s="23"/>
      <c r="CT35" s="73">
        <f t="shared" si="33"/>
        <v>0</v>
      </c>
      <c r="CU35" s="23"/>
      <c r="CV35" s="23"/>
      <c r="CW35" s="73">
        <f t="shared" si="34"/>
        <v>0</v>
      </c>
      <c r="CX35" s="23"/>
      <c r="CY35" s="23"/>
      <c r="CZ35" s="73">
        <f t="shared" si="35"/>
        <v>0</v>
      </c>
      <c r="DA35" s="23"/>
      <c r="DB35" s="23"/>
      <c r="DC35" s="73">
        <f t="shared" si="36"/>
        <v>0</v>
      </c>
      <c r="DD35" s="23"/>
      <c r="DE35" s="23"/>
      <c r="DF35" s="73">
        <f t="shared" si="37"/>
        <v>0</v>
      </c>
      <c r="DG35" s="23"/>
      <c r="DH35" s="23"/>
      <c r="DI35" s="73">
        <f t="shared" si="38"/>
        <v>0</v>
      </c>
      <c r="DJ35" s="23"/>
      <c r="DK35" s="23"/>
      <c r="DL35" s="73">
        <f t="shared" si="39"/>
        <v>0</v>
      </c>
      <c r="DM35" s="23"/>
      <c r="DN35" s="23"/>
      <c r="DO35" s="73">
        <f t="shared" si="40"/>
        <v>0</v>
      </c>
      <c r="DP35" s="23"/>
      <c r="DQ35" s="23"/>
      <c r="DR35" s="73">
        <f t="shared" si="41"/>
        <v>0</v>
      </c>
      <c r="DS35" s="73">
        <f t="shared" si="42"/>
        <v>105294</v>
      </c>
      <c r="DT35" s="73">
        <f t="shared" si="43"/>
        <v>105294</v>
      </c>
      <c r="DU35" s="73">
        <f t="shared" si="44"/>
        <v>0</v>
      </c>
      <c r="DV35" s="111"/>
      <c r="DW35" s="79"/>
      <c r="DX35" s="79"/>
      <c r="DY35" s="111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</row>
    <row r="36" spans="1:178" x14ac:dyDescent="0.2">
      <c r="A36" s="72">
        <f t="shared" si="45"/>
        <v>36738</v>
      </c>
      <c r="B36" s="72" t="s">
        <v>87</v>
      </c>
      <c r="C36" s="23">
        <v>4178</v>
      </c>
      <c r="D36" s="23">
        <v>4178</v>
      </c>
      <c r="E36" s="73">
        <f t="shared" si="0"/>
        <v>0</v>
      </c>
      <c r="F36" s="23">
        <v>20000</v>
      </c>
      <c r="G36" s="23">
        <v>20000</v>
      </c>
      <c r="H36" s="73">
        <f t="shared" si="1"/>
        <v>0</v>
      </c>
      <c r="I36" s="23">
        <v>5000</v>
      </c>
      <c r="J36" s="23">
        <v>5000</v>
      </c>
      <c r="K36" s="73">
        <f t="shared" si="2"/>
        <v>0</v>
      </c>
      <c r="L36" s="23">
        <v>10000</v>
      </c>
      <c r="M36" s="23">
        <v>10000</v>
      </c>
      <c r="N36" s="73">
        <f t="shared" si="3"/>
        <v>0</v>
      </c>
      <c r="O36" s="23">
        <f t="shared" si="4"/>
        <v>10000</v>
      </c>
      <c r="P36" s="23">
        <v>10000</v>
      </c>
      <c r="Q36" s="73">
        <f t="shared" si="5"/>
        <v>0</v>
      </c>
      <c r="R36" s="23">
        <v>5000</v>
      </c>
      <c r="S36" s="23">
        <v>5000</v>
      </c>
      <c r="T36" s="73">
        <f t="shared" si="6"/>
        <v>0</v>
      </c>
      <c r="U36" s="23">
        <f t="shared" si="7"/>
        <v>5000</v>
      </c>
      <c r="V36" s="23">
        <f t="shared" si="7"/>
        <v>5000</v>
      </c>
      <c r="W36" s="73">
        <f t="shared" si="8"/>
        <v>0</v>
      </c>
      <c r="X36" s="23">
        <v>10000</v>
      </c>
      <c r="Y36" s="23">
        <v>10000</v>
      </c>
      <c r="Z36" s="73">
        <f t="shared" si="9"/>
        <v>0</v>
      </c>
      <c r="AA36" s="23">
        <v>5000</v>
      </c>
      <c r="AB36" s="23">
        <v>5000</v>
      </c>
      <c r="AC36" s="73">
        <f t="shared" si="10"/>
        <v>0</v>
      </c>
      <c r="AD36" s="23">
        <v>5000</v>
      </c>
      <c r="AE36" s="23">
        <v>5000</v>
      </c>
      <c r="AF36" s="73">
        <f t="shared" si="11"/>
        <v>0</v>
      </c>
      <c r="AG36" s="23">
        <v>7741</v>
      </c>
      <c r="AH36" s="23">
        <v>7741</v>
      </c>
      <c r="AI36" s="73">
        <f t="shared" si="12"/>
        <v>0</v>
      </c>
      <c r="AJ36" s="23">
        <v>3000</v>
      </c>
      <c r="AK36" s="23">
        <v>3000</v>
      </c>
      <c r="AL36" s="73">
        <f t="shared" si="13"/>
        <v>0</v>
      </c>
      <c r="AM36" s="23">
        <v>10375</v>
      </c>
      <c r="AN36" s="23">
        <v>10375</v>
      </c>
      <c r="AO36" s="73">
        <f t="shared" si="14"/>
        <v>0</v>
      </c>
      <c r="AP36" s="23">
        <v>5000</v>
      </c>
      <c r="AQ36" s="23">
        <v>5000</v>
      </c>
      <c r="AR36" s="73">
        <f t="shared" si="15"/>
        <v>0</v>
      </c>
      <c r="AS36" s="23"/>
      <c r="AT36" s="23"/>
      <c r="AU36" s="73">
        <f t="shared" si="16"/>
        <v>0</v>
      </c>
      <c r="AV36" s="23"/>
      <c r="AW36" s="23"/>
      <c r="AX36" s="73">
        <f t="shared" si="17"/>
        <v>0</v>
      </c>
      <c r="AY36" s="23"/>
      <c r="AZ36" s="23"/>
      <c r="BA36" s="73">
        <f t="shared" si="18"/>
        <v>0</v>
      </c>
      <c r="BB36" s="23"/>
      <c r="BC36" s="23"/>
      <c r="BD36" s="73">
        <f t="shared" si="19"/>
        <v>0</v>
      </c>
      <c r="BE36" s="23"/>
      <c r="BF36" s="23"/>
      <c r="BG36" s="73">
        <f t="shared" si="20"/>
        <v>0</v>
      </c>
      <c r="BH36" s="23"/>
      <c r="BI36" s="23"/>
      <c r="BJ36" s="73">
        <f t="shared" si="21"/>
        <v>0</v>
      </c>
      <c r="BK36" s="23"/>
      <c r="BL36" s="23"/>
      <c r="BM36" s="73">
        <f t="shared" si="22"/>
        <v>0</v>
      </c>
      <c r="BN36" s="23"/>
      <c r="BO36" s="23"/>
      <c r="BP36" s="73">
        <f t="shared" si="23"/>
        <v>0</v>
      </c>
      <c r="BQ36" s="23"/>
      <c r="BR36" s="23"/>
      <c r="BS36" s="73">
        <f t="shared" si="24"/>
        <v>0</v>
      </c>
      <c r="BT36" s="23"/>
      <c r="BU36" s="23"/>
      <c r="BV36" s="73">
        <f t="shared" si="25"/>
        <v>0</v>
      </c>
      <c r="BW36" s="23"/>
      <c r="BX36" s="23"/>
      <c r="BY36" s="73">
        <f t="shared" si="26"/>
        <v>0</v>
      </c>
      <c r="BZ36" s="23"/>
      <c r="CA36" s="23"/>
      <c r="CB36" s="73">
        <f t="shared" si="27"/>
        <v>0</v>
      </c>
      <c r="CC36" s="23"/>
      <c r="CD36" s="23"/>
      <c r="CE36" s="73">
        <f t="shared" si="28"/>
        <v>0</v>
      </c>
      <c r="CF36" s="23"/>
      <c r="CG36" s="23"/>
      <c r="CH36" s="73">
        <f t="shared" si="29"/>
        <v>0</v>
      </c>
      <c r="CI36" s="23"/>
      <c r="CJ36" s="23"/>
      <c r="CK36" s="73">
        <f t="shared" si="30"/>
        <v>0</v>
      </c>
      <c r="CL36" s="23"/>
      <c r="CM36" s="23"/>
      <c r="CN36" s="73">
        <f t="shared" si="31"/>
        <v>0</v>
      </c>
      <c r="CO36" s="23"/>
      <c r="CP36" s="23"/>
      <c r="CQ36" s="73">
        <f t="shared" si="32"/>
        <v>0</v>
      </c>
      <c r="CR36" s="23"/>
      <c r="CS36" s="23"/>
      <c r="CT36" s="73">
        <f t="shared" si="33"/>
        <v>0</v>
      </c>
      <c r="CU36" s="23"/>
      <c r="CV36" s="23"/>
      <c r="CW36" s="73">
        <f t="shared" si="34"/>
        <v>0</v>
      </c>
      <c r="CX36" s="23"/>
      <c r="CY36" s="23"/>
      <c r="CZ36" s="73">
        <f t="shared" si="35"/>
        <v>0</v>
      </c>
      <c r="DA36" s="23"/>
      <c r="DB36" s="23"/>
      <c r="DC36" s="73">
        <f t="shared" si="36"/>
        <v>0</v>
      </c>
      <c r="DD36" s="23"/>
      <c r="DE36" s="23"/>
      <c r="DF36" s="73">
        <f t="shared" si="37"/>
        <v>0</v>
      </c>
      <c r="DG36" s="23"/>
      <c r="DH36" s="23"/>
      <c r="DI36" s="73">
        <f t="shared" si="38"/>
        <v>0</v>
      </c>
      <c r="DJ36" s="23"/>
      <c r="DK36" s="23"/>
      <c r="DL36" s="73">
        <f t="shared" si="39"/>
        <v>0</v>
      </c>
      <c r="DM36" s="23"/>
      <c r="DN36" s="23"/>
      <c r="DO36" s="73">
        <f t="shared" si="40"/>
        <v>0</v>
      </c>
      <c r="DP36" s="23"/>
      <c r="DQ36" s="23"/>
      <c r="DR36" s="73">
        <f t="shared" si="41"/>
        <v>0</v>
      </c>
      <c r="DS36" s="73">
        <f t="shared" si="42"/>
        <v>105294</v>
      </c>
      <c r="DT36" s="73">
        <f t="shared" si="43"/>
        <v>105294</v>
      </c>
      <c r="DU36" s="73">
        <f t="shared" si="44"/>
        <v>0</v>
      </c>
      <c r="DV36" s="111"/>
      <c r="DW36" s="79"/>
      <c r="DX36" s="79"/>
      <c r="DY36" s="111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</row>
    <row r="37" spans="1:178" s="92" customFormat="1" x14ac:dyDescent="0.2">
      <c r="A37" s="83" t="s">
        <v>56</v>
      </c>
      <c r="B37" s="72"/>
      <c r="C37" s="30">
        <f t="shared" ref="C37:AH37" si="46">SUM(C6:C36)</f>
        <v>129518</v>
      </c>
      <c r="D37" s="30">
        <f t="shared" si="46"/>
        <v>129518</v>
      </c>
      <c r="E37" s="30">
        <f t="shared" si="46"/>
        <v>0</v>
      </c>
      <c r="F37" s="30">
        <f t="shared" si="46"/>
        <v>620000</v>
      </c>
      <c r="G37" s="30">
        <f t="shared" si="46"/>
        <v>620000</v>
      </c>
      <c r="H37" s="30">
        <f t="shared" si="46"/>
        <v>0</v>
      </c>
      <c r="I37" s="30">
        <f t="shared" si="46"/>
        <v>110489</v>
      </c>
      <c r="J37" s="30">
        <f t="shared" si="46"/>
        <v>110489</v>
      </c>
      <c r="K37" s="30">
        <f t="shared" si="46"/>
        <v>0</v>
      </c>
      <c r="L37" s="30">
        <f t="shared" si="46"/>
        <v>310000</v>
      </c>
      <c r="M37" s="30">
        <f t="shared" si="46"/>
        <v>310000</v>
      </c>
      <c r="N37" s="30">
        <f t="shared" si="46"/>
        <v>0</v>
      </c>
      <c r="O37" s="30">
        <f t="shared" si="46"/>
        <v>310000</v>
      </c>
      <c r="P37" s="30">
        <f t="shared" si="46"/>
        <v>310000</v>
      </c>
      <c r="Q37" s="30">
        <f t="shared" si="46"/>
        <v>0</v>
      </c>
      <c r="R37" s="30">
        <f t="shared" si="46"/>
        <v>155000</v>
      </c>
      <c r="S37" s="30">
        <f t="shared" si="46"/>
        <v>155000</v>
      </c>
      <c r="T37" s="30">
        <f t="shared" si="46"/>
        <v>0</v>
      </c>
      <c r="U37" s="30">
        <f t="shared" si="46"/>
        <v>155000</v>
      </c>
      <c r="V37" s="30">
        <f t="shared" si="46"/>
        <v>155000</v>
      </c>
      <c r="W37" s="30">
        <f t="shared" si="46"/>
        <v>0</v>
      </c>
      <c r="X37" s="30">
        <f t="shared" si="46"/>
        <v>310000</v>
      </c>
      <c r="Y37" s="30">
        <f t="shared" si="46"/>
        <v>310000</v>
      </c>
      <c r="Z37" s="30">
        <f t="shared" si="46"/>
        <v>0</v>
      </c>
      <c r="AA37" s="30">
        <f t="shared" si="46"/>
        <v>123592</v>
      </c>
      <c r="AB37" s="30">
        <f t="shared" si="46"/>
        <v>123592</v>
      </c>
      <c r="AC37" s="30">
        <f t="shared" si="46"/>
        <v>0</v>
      </c>
      <c r="AD37" s="30">
        <f t="shared" si="46"/>
        <v>123591</v>
      </c>
      <c r="AE37" s="30">
        <f t="shared" si="46"/>
        <v>123591</v>
      </c>
      <c r="AF37" s="30">
        <f t="shared" si="46"/>
        <v>0</v>
      </c>
      <c r="AG37" s="30">
        <f t="shared" si="46"/>
        <v>221828</v>
      </c>
      <c r="AH37" s="30">
        <f t="shared" si="46"/>
        <v>221368</v>
      </c>
      <c r="AI37" s="30">
        <f t="shared" ref="AI37:BN37" si="47">SUM(AI6:AI36)</f>
        <v>-460</v>
      </c>
      <c r="AJ37" s="30">
        <f t="shared" si="47"/>
        <v>93000</v>
      </c>
      <c r="AK37" s="30">
        <f t="shared" si="47"/>
        <v>93000</v>
      </c>
      <c r="AL37" s="30">
        <f t="shared" si="47"/>
        <v>0</v>
      </c>
      <c r="AM37" s="30">
        <f t="shared" si="47"/>
        <v>238896</v>
      </c>
      <c r="AN37" s="30">
        <f t="shared" si="47"/>
        <v>238896</v>
      </c>
      <c r="AO37" s="30">
        <f t="shared" si="47"/>
        <v>0</v>
      </c>
      <c r="AP37" s="30">
        <f t="shared" si="47"/>
        <v>155000</v>
      </c>
      <c r="AQ37" s="30">
        <f t="shared" si="47"/>
        <v>155000</v>
      </c>
      <c r="AR37" s="30">
        <f t="shared" si="47"/>
        <v>0</v>
      </c>
      <c r="AS37" s="30">
        <f t="shared" si="47"/>
        <v>0</v>
      </c>
      <c r="AT37" s="30">
        <f t="shared" si="47"/>
        <v>0</v>
      </c>
      <c r="AU37" s="30">
        <f t="shared" si="47"/>
        <v>0</v>
      </c>
      <c r="AV37" s="30">
        <f t="shared" si="47"/>
        <v>0</v>
      </c>
      <c r="AW37" s="30">
        <f t="shared" si="47"/>
        <v>0</v>
      </c>
      <c r="AX37" s="30">
        <f t="shared" si="47"/>
        <v>0</v>
      </c>
      <c r="AY37" s="30">
        <f t="shared" si="47"/>
        <v>0</v>
      </c>
      <c r="AZ37" s="30">
        <f t="shared" si="47"/>
        <v>0</v>
      </c>
      <c r="BA37" s="30">
        <f t="shared" si="47"/>
        <v>0</v>
      </c>
      <c r="BB37" s="30">
        <f t="shared" si="47"/>
        <v>0</v>
      </c>
      <c r="BC37" s="30">
        <f t="shared" si="47"/>
        <v>0</v>
      </c>
      <c r="BD37" s="30">
        <f t="shared" si="47"/>
        <v>0</v>
      </c>
      <c r="BE37" s="30">
        <f t="shared" si="47"/>
        <v>0</v>
      </c>
      <c r="BF37" s="30">
        <f t="shared" si="47"/>
        <v>0</v>
      </c>
      <c r="BG37" s="30">
        <f t="shared" si="47"/>
        <v>0</v>
      </c>
      <c r="BH37" s="30">
        <f t="shared" si="47"/>
        <v>0</v>
      </c>
      <c r="BI37" s="30">
        <f t="shared" si="47"/>
        <v>0</v>
      </c>
      <c r="BJ37" s="30">
        <f t="shared" si="47"/>
        <v>0</v>
      </c>
      <c r="BK37" s="30">
        <f t="shared" si="47"/>
        <v>0</v>
      </c>
      <c r="BL37" s="30">
        <f t="shared" si="47"/>
        <v>0</v>
      </c>
      <c r="BM37" s="30">
        <f t="shared" si="47"/>
        <v>0</v>
      </c>
      <c r="BN37" s="30">
        <f t="shared" si="47"/>
        <v>0</v>
      </c>
      <c r="BO37" s="30">
        <f t="shared" ref="BO37:CT37" si="48">SUM(BO6:BO36)</f>
        <v>0</v>
      </c>
      <c r="BP37" s="85">
        <f t="shared" si="48"/>
        <v>0</v>
      </c>
      <c r="BQ37" s="30">
        <f t="shared" si="48"/>
        <v>0</v>
      </c>
      <c r="BR37" s="30">
        <f t="shared" si="48"/>
        <v>0</v>
      </c>
      <c r="BS37" s="85">
        <f t="shared" si="48"/>
        <v>0</v>
      </c>
      <c r="BT37" s="30">
        <f t="shared" si="48"/>
        <v>0</v>
      </c>
      <c r="BU37" s="30">
        <f t="shared" si="48"/>
        <v>0</v>
      </c>
      <c r="BV37" s="85">
        <f t="shared" si="48"/>
        <v>0</v>
      </c>
      <c r="BW37" s="30">
        <f t="shared" si="48"/>
        <v>0</v>
      </c>
      <c r="BX37" s="30">
        <f t="shared" si="48"/>
        <v>0</v>
      </c>
      <c r="BY37" s="85">
        <f t="shared" si="48"/>
        <v>0</v>
      </c>
      <c r="BZ37" s="30">
        <f t="shared" si="48"/>
        <v>0</v>
      </c>
      <c r="CA37" s="30">
        <f t="shared" si="48"/>
        <v>0</v>
      </c>
      <c r="CB37" s="85">
        <f t="shared" si="48"/>
        <v>0</v>
      </c>
      <c r="CC37" s="30">
        <f t="shared" si="48"/>
        <v>0</v>
      </c>
      <c r="CD37" s="30">
        <f t="shared" si="48"/>
        <v>0</v>
      </c>
      <c r="CE37" s="85">
        <f t="shared" si="48"/>
        <v>0</v>
      </c>
      <c r="CF37" s="30">
        <f t="shared" si="48"/>
        <v>0</v>
      </c>
      <c r="CG37" s="30">
        <f t="shared" si="48"/>
        <v>0</v>
      </c>
      <c r="CH37" s="85">
        <f t="shared" si="48"/>
        <v>0</v>
      </c>
      <c r="CI37" s="30">
        <f t="shared" si="48"/>
        <v>0</v>
      </c>
      <c r="CJ37" s="30">
        <f t="shared" si="48"/>
        <v>0</v>
      </c>
      <c r="CK37" s="85">
        <f t="shared" si="48"/>
        <v>0</v>
      </c>
      <c r="CL37" s="30">
        <f t="shared" si="48"/>
        <v>0</v>
      </c>
      <c r="CM37" s="30">
        <f t="shared" si="48"/>
        <v>0</v>
      </c>
      <c r="CN37" s="85">
        <f t="shared" si="48"/>
        <v>0</v>
      </c>
      <c r="CO37" s="30">
        <f t="shared" si="48"/>
        <v>0</v>
      </c>
      <c r="CP37" s="30">
        <f t="shared" si="48"/>
        <v>0</v>
      </c>
      <c r="CQ37" s="85">
        <f t="shared" si="48"/>
        <v>0</v>
      </c>
      <c r="CR37" s="30">
        <f t="shared" si="48"/>
        <v>0</v>
      </c>
      <c r="CS37" s="30">
        <f t="shared" si="48"/>
        <v>0</v>
      </c>
      <c r="CT37" s="85">
        <f t="shared" si="48"/>
        <v>0</v>
      </c>
      <c r="CU37" s="30">
        <f t="shared" ref="CU37:DU37" si="49">SUM(CU6:CU36)</f>
        <v>0</v>
      </c>
      <c r="CV37" s="30">
        <f t="shared" si="49"/>
        <v>0</v>
      </c>
      <c r="CW37" s="85">
        <f t="shared" si="49"/>
        <v>0</v>
      </c>
      <c r="CX37" s="30">
        <f t="shared" si="49"/>
        <v>0</v>
      </c>
      <c r="CY37" s="30">
        <f t="shared" si="49"/>
        <v>0</v>
      </c>
      <c r="CZ37" s="85">
        <f t="shared" si="49"/>
        <v>0</v>
      </c>
      <c r="DA37" s="30">
        <f t="shared" si="49"/>
        <v>0</v>
      </c>
      <c r="DB37" s="30">
        <f t="shared" si="49"/>
        <v>0</v>
      </c>
      <c r="DC37" s="85">
        <f t="shared" si="49"/>
        <v>0</v>
      </c>
      <c r="DD37" s="30">
        <f t="shared" si="49"/>
        <v>0</v>
      </c>
      <c r="DE37" s="30">
        <f t="shared" si="49"/>
        <v>0</v>
      </c>
      <c r="DF37" s="85">
        <f t="shared" si="49"/>
        <v>0</v>
      </c>
      <c r="DG37" s="30">
        <f t="shared" si="49"/>
        <v>0</v>
      </c>
      <c r="DH37" s="30">
        <f t="shared" si="49"/>
        <v>0</v>
      </c>
      <c r="DI37" s="85">
        <f t="shared" si="49"/>
        <v>0</v>
      </c>
      <c r="DJ37" s="30">
        <f t="shared" si="49"/>
        <v>0</v>
      </c>
      <c r="DK37" s="30">
        <f t="shared" si="49"/>
        <v>0</v>
      </c>
      <c r="DL37" s="85">
        <f t="shared" si="49"/>
        <v>0</v>
      </c>
      <c r="DM37" s="30">
        <f t="shared" si="49"/>
        <v>0</v>
      </c>
      <c r="DN37" s="30">
        <f t="shared" si="49"/>
        <v>0</v>
      </c>
      <c r="DO37" s="85">
        <f t="shared" si="49"/>
        <v>0</v>
      </c>
      <c r="DP37" s="30">
        <f t="shared" si="49"/>
        <v>0</v>
      </c>
      <c r="DQ37" s="30">
        <f t="shared" si="49"/>
        <v>0</v>
      </c>
      <c r="DR37" s="85">
        <f t="shared" si="49"/>
        <v>0</v>
      </c>
      <c r="DS37" s="87">
        <f t="shared" si="49"/>
        <v>3055914</v>
      </c>
      <c r="DT37" s="85">
        <f t="shared" si="49"/>
        <v>3055454</v>
      </c>
      <c r="DU37" s="85">
        <f t="shared" si="49"/>
        <v>-460</v>
      </c>
      <c r="DV37" s="30"/>
      <c r="DW37" s="30"/>
      <c r="DX37" s="30"/>
      <c r="DY37" s="88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89"/>
      <c r="EM37" s="89"/>
      <c r="EN37" s="89"/>
      <c r="EO37" s="89"/>
      <c r="EP37" s="89"/>
      <c r="EQ37" s="89"/>
      <c r="ER37" s="89"/>
      <c r="ES37" s="89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1"/>
      <c r="FQ37" s="91"/>
      <c r="FR37" s="91"/>
      <c r="FS37" s="91"/>
      <c r="FT37" s="91"/>
      <c r="FU37" s="91"/>
      <c r="FV37" s="91"/>
    </row>
    <row r="38" spans="1:178" s="100" customFormat="1" x14ac:dyDescent="0.2">
      <c r="A38" s="93"/>
      <c r="B38" s="7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42"/>
      <c r="CF38" s="33"/>
      <c r="CG38" s="33"/>
      <c r="CH38" s="42"/>
      <c r="CI38" s="33"/>
      <c r="CJ38" s="33"/>
      <c r="CK38" s="42"/>
      <c r="CL38" s="33"/>
      <c r="CM38" s="33"/>
      <c r="CN38" s="42"/>
      <c r="CO38" s="33"/>
      <c r="CP38" s="33"/>
      <c r="CQ38" s="42"/>
      <c r="CR38" s="33"/>
      <c r="CS38" s="33"/>
      <c r="CT38" s="42"/>
      <c r="CU38" s="33"/>
      <c r="CV38" s="33"/>
      <c r="CW38" s="42"/>
      <c r="CX38" s="33"/>
      <c r="CY38" s="33"/>
      <c r="CZ38" s="42"/>
      <c r="DA38" s="33"/>
      <c r="DB38" s="33"/>
      <c r="DC38" s="42"/>
      <c r="DD38" s="33"/>
      <c r="DE38" s="33"/>
      <c r="DF38" s="42"/>
      <c r="DG38" s="33"/>
      <c r="DH38" s="33"/>
      <c r="DI38" s="33"/>
      <c r="DJ38" s="33"/>
      <c r="DK38" s="33"/>
      <c r="DL38" s="42"/>
      <c r="DM38" s="33"/>
      <c r="DN38" s="33"/>
      <c r="DO38" s="42"/>
      <c r="DP38" s="33"/>
      <c r="DQ38" s="33"/>
      <c r="DR38" s="42"/>
      <c r="DS38" s="42"/>
      <c r="DT38" s="33"/>
      <c r="DU38" s="33"/>
      <c r="DV38" s="33"/>
      <c r="DW38" s="33"/>
      <c r="DX38" s="33"/>
      <c r="DY38" s="96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97"/>
      <c r="EM38" s="97"/>
      <c r="EN38" s="97"/>
      <c r="EO38" s="97"/>
      <c r="EP38" s="97"/>
      <c r="EQ38" s="97"/>
      <c r="ER38" s="97"/>
      <c r="ES38" s="97"/>
      <c r="ET38" s="98"/>
      <c r="EU38" s="98"/>
      <c r="EV38" s="98"/>
      <c r="EW38" s="98"/>
      <c r="EX38" s="98"/>
      <c r="EY38" s="98"/>
      <c r="EZ38" s="98"/>
      <c r="FA38" s="98"/>
      <c r="FB38" s="98"/>
      <c r="FC38" s="98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99"/>
      <c r="FQ38" s="99"/>
      <c r="FR38" s="99"/>
      <c r="FS38" s="99"/>
      <c r="FT38" s="99"/>
      <c r="FU38" s="99"/>
      <c r="FV38" s="99"/>
    </row>
    <row r="39" spans="1:178" x14ac:dyDescent="0.2">
      <c r="A39" s="101">
        <v>1</v>
      </c>
      <c r="B39" s="40">
        <f t="shared" ref="B39:AG39" si="50">+A39+1</f>
        <v>2</v>
      </c>
      <c r="C39" s="40">
        <f t="shared" si="50"/>
        <v>3</v>
      </c>
      <c r="D39" s="40">
        <f t="shared" si="50"/>
        <v>4</v>
      </c>
      <c r="E39" s="40">
        <f t="shared" si="50"/>
        <v>5</v>
      </c>
      <c r="F39" s="40">
        <f t="shared" si="50"/>
        <v>6</v>
      </c>
      <c r="G39" s="40">
        <f t="shared" si="50"/>
        <v>7</v>
      </c>
      <c r="H39" s="40">
        <f t="shared" si="50"/>
        <v>8</v>
      </c>
      <c r="I39" s="40">
        <f t="shared" si="50"/>
        <v>9</v>
      </c>
      <c r="J39" s="40">
        <f t="shared" si="50"/>
        <v>10</v>
      </c>
      <c r="K39" s="40">
        <f t="shared" si="50"/>
        <v>11</v>
      </c>
      <c r="L39" s="40">
        <f t="shared" si="50"/>
        <v>12</v>
      </c>
      <c r="M39" s="40">
        <f t="shared" si="50"/>
        <v>13</v>
      </c>
      <c r="N39" s="40">
        <f t="shared" si="50"/>
        <v>14</v>
      </c>
      <c r="O39" s="40">
        <f t="shared" si="50"/>
        <v>15</v>
      </c>
      <c r="P39" s="40">
        <f t="shared" si="50"/>
        <v>16</v>
      </c>
      <c r="Q39" s="40">
        <f t="shared" si="50"/>
        <v>17</v>
      </c>
      <c r="R39" s="40">
        <f t="shared" si="50"/>
        <v>18</v>
      </c>
      <c r="S39" s="40">
        <f t="shared" si="50"/>
        <v>19</v>
      </c>
      <c r="T39" s="40">
        <f t="shared" si="50"/>
        <v>20</v>
      </c>
      <c r="U39" s="40">
        <f t="shared" si="50"/>
        <v>21</v>
      </c>
      <c r="V39" s="40">
        <f t="shared" si="50"/>
        <v>22</v>
      </c>
      <c r="W39" s="40">
        <f t="shared" si="50"/>
        <v>23</v>
      </c>
      <c r="X39" s="40">
        <f t="shared" si="50"/>
        <v>24</v>
      </c>
      <c r="Y39" s="40">
        <f t="shared" si="50"/>
        <v>25</v>
      </c>
      <c r="Z39" s="40">
        <f t="shared" si="50"/>
        <v>26</v>
      </c>
      <c r="AA39" s="40">
        <f t="shared" si="50"/>
        <v>27</v>
      </c>
      <c r="AB39" s="40">
        <f t="shared" si="50"/>
        <v>28</v>
      </c>
      <c r="AC39" s="40">
        <f t="shared" si="50"/>
        <v>29</v>
      </c>
      <c r="AD39" s="40">
        <f t="shared" si="50"/>
        <v>30</v>
      </c>
      <c r="AE39" s="40">
        <f t="shared" si="50"/>
        <v>31</v>
      </c>
      <c r="AF39" s="40">
        <f t="shared" si="50"/>
        <v>32</v>
      </c>
      <c r="AG39" s="40">
        <f t="shared" si="50"/>
        <v>33</v>
      </c>
      <c r="AH39" s="40">
        <f t="shared" ref="AH39:BM39" si="51">+AG39+1</f>
        <v>34</v>
      </c>
      <c r="AI39" s="40">
        <f t="shared" si="51"/>
        <v>35</v>
      </c>
      <c r="AJ39" s="40">
        <f t="shared" si="51"/>
        <v>36</v>
      </c>
      <c r="AK39" s="40">
        <f t="shared" si="51"/>
        <v>37</v>
      </c>
      <c r="AL39" s="40">
        <f t="shared" si="51"/>
        <v>38</v>
      </c>
      <c r="AM39" s="40">
        <f t="shared" si="51"/>
        <v>39</v>
      </c>
      <c r="AN39" s="40">
        <f t="shared" si="51"/>
        <v>40</v>
      </c>
      <c r="AO39" s="40">
        <f t="shared" si="51"/>
        <v>41</v>
      </c>
      <c r="AP39" s="40">
        <f t="shared" si="51"/>
        <v>42</v>
      </c>
      <c r="AQ39" s="40">
        <f t="shared" si="51"/>
        <v>43</v>
      </c>
      <c r="AR39" s="40">
        <f t="shared" si="51"/>
        <v>44</v>
      </c>
      <c r="AS39" s="40">
        <f t="shared" si="51"/>
        <v>45</v>
      </c>
      <c r="AT39" s="40">
        <f t="shared" si="51"/>
        <v>46</v>
      </c>
      <c r="AU39" s="40">
        <f t="shared" si="51"/>
        <v>47</v>
      </c>
      <c r="AV39" s="40">
        <f t="shared" si="51"/>
        <v>48</v>
      </c>
      <c r="AW39" s="40">
        <f t="shared" si="51"/>
        <v>49</v>
      </c>
      <c r="AX39" s="40">
        <f t="shared" si="51"/>
        <v>50</v>
      </c>
      <c r="AY39" s="40">
        <f t="shared" si="51"/>
        <v>51</v>
      </c>
      <c r="AZ39" s="40">
        <f t="shared" si="51"/>
        <v>52</v>
      </c>
      <c r="BA39" s="40">
        <f t="shared" si="51"/>
        <v>53</v>
      </c>
      <c r="BB39" s="40">
        <f t="shared" si="51"/>
        <v>54</v>
      </c>
      <c r="BC39" s="40">
        <f t="shared" si="51"/>
        <v>55</v>
      </c>
      <c r="BD39" s="40">
        <f t="shared" si="51"/>
        <v>56</v>
      </c>
      <c r="BE39" s="40">
        <f t="shared" si="51"/>
        <v>57</v>
      </c>
      <c r="BF39" s="40">
        <f t="shared" si="51"/>
        <v>58</v>
      </c>
      <c r="BG39" s="40">
        <f t="shared" si="51"/>
        <v>59</v>
      </c>
      <c r="BH39" s="40">
        <f t="shared" si="51"/>
        <v>60</v>
      </c>
      <c r="BI39" s="40">
        <f t="shared" si="51"/>
        <v>61</v>
      </c>
      <c r="BJ39" s="40">
        <f t="shared" si="51"/>
        <v>62</v>
      </c>
      <c r="BK39" s="40">
        <f t="shared" si="51"/>
        <v>63</v>
      </c>
      <c r="BL39" s="40">
        <f t="shared" si="51"/>
        <v>64</v>
      </c>
      <c r="BM39" s="40">
        <f t="shared" si="51"/>
        <v>65</v>
      </c>
      <c r="BN39" s="40">
        <f t="shared" ref="BN39:CS39" si="52">+BM39+1</f>
        <v>66</v>
      </c>
      <c r="BO39" s="40">
        <f t="shared" si="52"/>
        <v>67</v>
      </c>
      <c r="BP39" s="40">
        <f t="shared" si="52"/>
        <v>68</v>
      </c>
      <c r="BQ39" s="40">
        <f t="shared" si="52"/>
        <v>69</v>
      </c>
      <c r="BR39" s="40">
        <f t="shared" si="52"/>
        <v>70</v>
      </c>
      <c r="BS39" s="40">
        <f t="shared" si="52"/>
        <v>71</v>
      </c>
      <c r="BT39" s="40">
        <f t="shared" si="52"/>
        <v>72</v>
      </c>
      <c r="BU39" s="40">
        <f t="shared" si="52"/>
        <v>73</v>
      </c>
      <c r="BV39" s="40">
        <f t="shared" si="52"/>
        <v>74</v>
      </c>
      <c r="BW39" s="40">
        <f t="shared" si="52"/>
        <v>75</v>
      </c>
      <c r="BX39" s="40">
        <f t="shared" si="52"/>
        <v>76</v>
      </c>
      <c r="BY39" s="40">
        <f t="shared" si="52"/>
        <v>77</v>
      </c>
      <c r="BZ39" s="40">
        <f t="shared" si="52"/>
        <v>78</v>
      </c>
      <c r="CA39" s="40">
        <f t="shared" si="52"/>
        <v>79</v>
      </c>
      <c r="CB39" s="40">
        <f t="shared" si="52"/>
        <v>80</v>
      </c>
      <c r="CC39" s="40">
        <f t="shared" si="52"/>
        <v>81</v>
      </c>
      <c r="CD39" s="40">
        <f t="shared" si="52"/>
        <v>82</v>
      </c>
      <c r="CE39" s="40">
        <f t="shared" si="52"/>
        <v>83</v>
      </c>
      <c r="CF39" s="40">
        <f t="shared" si="52"/>
        <v>84</v>
      </c>
      <c r="CG39" s="40">
        <f t="shared" si="52"/>
        <v>85</v>
      </c>
      <c r="CH39" s="40">
        <f t="shared" si="52"/>
        <v>86</v>
      </c>
      <c r="CI39" s="40">
        <f t="shared" si="52"/>
        <v>87</v>
      </c>
      <c r="CJ39" s="40">
        <f t="shared" si="52"/>
        <v>88</v>
      </c>
      <c r="CK39" s="40">
        <f t="shared" si="52"/>
        <v>89</v>
      </c>
      <c r="CL39" s="40">
        <f t="shared" si="52"/>
        <v>90</v>
      </c>
      <c r="CM39" s="40">
        <f t="shared" si="52"/>
        <v>91</v>
      </c>
      <c r="CN39" s="40">
        <f t="shared" si="52"/>
        <v>92</v>
      </c>
      <c r="CO39" s="40">
        <f t="shared" si="52"/>
        <v>93</v>
      </c>
      <c r="CP39" s="40">
        <f t="shared" si="52"/>
        <v>94</v>
      </c>
      <c r="CQ39" s="40">
        <f t="shared" si="52"/>
        <v>95</v>
      </c>
      <c r="CR39" s="40">
        <f t="shared" si="52"/>
        <v>96</v>
      </c>
      <c r="CS39" s="40">
        <f t="shared" si="52"/>
        <v>97</v>
      </c>
      <c r="CT39" s="40">
        <f t="shared" ref="CT39:DF39" si="53">+CS39+1</f>
        <v>98</v>
      </c>
      <c r="CU39" s="40">
        <f t="shared" si="53"/>
        <v>99</v>
      </c>
      <c r="CV39" s="40">
        <f t="shared" si="53"/>
        <v>100</v>
      </c>
      <c r="CW39" s="40">
        <f t="shared" si="53"/>
        <v>101</v>
      </c>
      <c r="CX39" s="40">
        <f t="shared" si="53"/>
        <v>102</v>
      </c>
      <c r="CY39" s="40">
        <f t="shared" si="53"/>
        <v>103</v>
      </c>
      <c r="CZ39" s="40">
        <f t="shared" si="53"/>
        <v>104</v>
      </c>
      <c r="DA39" s="40">
        <f t="shared" si="53"/>
        <v>105</v>
      </c>
      <c r="DB39" s="40">
        <f t="shared" si="53"/>
        <v>106</v>
      </c>
      <c r="DC39" s="40">
        <f t="shared" si="53"/>
        <v>107</v>
      </c>
      <c r="DD39" s="40">
        <f t="shared" si="53"/>
        <v>108</v>
      </c>
      <c r="DE39" s="40">
        <f t="shared" si="53"/>
        <v>109</v>
      </c>
      <c r="DF39" s="40">
        <f t="shared" si="53"/>
        <v>110</v>
      </c>
      <c r="DS39" s="42"/>
    </row>
    <row r="40" spans="1:178" x14ac:dyDescent="0.2">
      <c r="A40" s="84"/>
      <c r="B40" s="72"/>
      <c r="C40" s="39"/>
      <c r="F40" s="39"/>
      <c r="I40" s="39"/>
      <c r="L40" s="39"/>
      <c r="O40" s="39"/>
      <c r="R40" s="39"/>
      <c r="U40" s="39"/>
      <c r="X40" s="39"/>
      <c r="AA40" s="39"/>
      <c r="AD40" s="39"/>
      <c r="AG40" s="39"/>
      <c r="AJ40" s="39"/>
      <c r="AM40" s="39"/>
      <c r="AP40" s="39"/>
      <c r="AS40" s="39"/>
      <c r="AV40" s="39"/>
      <c r="AY40" s="39"/>
      <c r="BB40" s="39"/>
      <c r="BE40" s="39"/>
      <c r="BH40" s="39"/>
      <c r="BK40" s="39"/>
      <c r="BN40" s="39"/>
      <c r="DS40" s="42"/>
    </row>
    <row r="41" spans="1:178" x14ac:dyDescent="0.2">
      <c r="A41" s="84"/>
      <c r="B41" s="72"/>
      <c r="C41" s="39"/>
      <c r="F41" s="39"/>
      <c r="I41" s="39"/>
      <c r="L41" s="39"/>
      <c r="O41" s="39"/>
      <c r="R41" s="39"/>
      <c r="U41" s="39"/>
      <c r="X41" s="39"/>
      <c r="AA41" s="39"/>
      <c r="AD41" s="39"/>
      <c r="AG41" s="39"/>
      <c r="AJ41" s="39"/>
      <c r="AM41" s="39"/>
      <c r="AP41" s="39"/>
      <c r="AS41" s="39"/>
      <c r="AV41" s="39"/>
      <c r="AY41" s="39"/>
      <c r="BB41" s="39"/>
      <c r="BE41" s="39"/>
      <c r="BH41" s="39"/>
      <c r="BK41" s="39"/>
      <c r="BN41" s="39"/>
    </row>
    <row r="42" spans="1:178" x14ac:dyDescent="0.2">
      <c r="A42" s="84"/>
      <c r="B42" s="72"/>
      <c r="C42" s="39"/>
      <c r="F42" s="39"/>
      <c r="I42" s="39"/>
      <c r="L42" s="39"/>
      <c r="O42" s="39"/>
      <c r="R42" s="39"/>
      <c r="U42" s="39"/>
      <c r="X42" s="39"/>
      <c r="AA42" s="39"/>
      <c r="AD42" s="39"/>
      <c r="AG42" s="39"/>
      <c r="AJ42" s="39"/>
      <c r="AM42" s="39"/>
      <c r="AP42" s="39"/>
      <c r="AS42" s="39"/>
      <c r="AV42" s="39"/>
      <c r="AY42" s="39"/>
      <c r="BB42" s="39"/>
      <c r="BE42" s="39"/>
      <c r="BH42" s="39"/>
      <c r="BK42" s="39"/>
      <c r="BN42" s="39"/>
    </row>
    <row r="43" spans="1:178" x14ac:dyDescent="0.2">
      <c r="A43" s="84"/>
      <c r="C43" s="39"/>
      <c r="F43" s="39"/>
      <c r="I43" s="39"/>
      <c r="L43" s="39"/>
      <c r="O43" s="39"/>
      <c r="R43" s="39"/>
      <c r="U43" s="39"/>
      <c r="X43" s="39"/>
      <c r="AA43" s="39"/>
      <c r="AD43" s="39"/>
      <c r="AG43" s="39"/>
      <c r="AJ43" s="39"/>
      <c r="AM43" s="39"/>
      <c r="AP43" s="39"/>
      <c r="AS43" s="39"/>
      <c r="AV43" s="39"/>
      <c r="AY43" s="39"/>
      <c r="BB43" s="39"/>
      <c r="BE43" s="39"/>
      <c r="BH43" s="39"/>
      <c r="BK43" s="39"/>
      <c r="BN43" s="39"/>
    </row>
    <row r="44" spans="1:178" x14ac:dyDescent="0.2">
      <c r="A44" s="84"/>
    </row>
    <row r="45" spans="1:178" x14ac:dyDescent="0.2">
      <c r="A45" s="84"/>
    </row>
    <row r="46" spans="1:178" x14ac:dyDescent="0.2">
      <c r="A46" s="84"/>
    </row>
    <row r="47" spans="1:178" x14ac:dyDescent="0.2">
      <c r="A47" s="84"/>
    </row>
    <row r="48" spans="1:178" x14ac:dyDescent="0.2">
      <c r="A48" s="84"/>
    </row>
    <row r="49" spans="1:1" x14ac:dyDescent="0.2">
      <c r="A49" s="84"/>
    </row>
    <row r="50" spans="1:1" x14ac:dyDescent="0.2">
      <c r="A50" s="84"/>
    </row>
    <row r="51" spans="1:1" x14ac:dyDescent="0.2">
      <c r="A51" s="84"/>
    </row>
    <row r="52" spans="1:1" x14ac:dyDescent="0.2">
      <c r="A52" s="84"/>
    </row>
    <row r="53" spans="1:1" x14ac:dyDescent="0.2">
      <c r="A53" s="84"/>
    </row>
    <row r="54" spans="1:1" x14ac:dyDescent="0.2">
      <c r="A54" s="84"/>
    </row>
    <row r="55" spans="1:1" x14ac:dyDescent="0.2">
      <c r="A55" s="84"/>
    </row>
    <row r="56" spans="1:1" x14ac:dyDescent="0.2">
      <c r="A56" s="84"/>
    </row>
    <row r="57" spans="1:1" x14ac:dyDescent="0.2">
      <c r="A57" s="84"/>
    </row>
    <row r="58" spans="1:1" x14ac:dyDescent="0.2">
      <c r="A58" s="84"/>
    </row>
    <row r="59" spans="1:1" x14ac:dyDescent="0.2">
      <c r="A59" s="84"/>
    </row>
    <row r="60" spans="1:1" x14ac:dyDescent="0.2">
      <c r="A60" s="84"/>
    </row>
    <row r="61" spans="1:1" x14ac:dyDescent="0.2">
      <c r="A61" s="84"/>
    </row>
    <row r="62" spans="1:1" x14ac:dyDescent="0.2">
      <c r="A62" s="84"/>
    </row>
    <row r="63" spans="1:1" x14ac:dyDescent="0.2">
      <c r="A63" s="84"/>
    </row>
    <row r="64" spans="1:1" x14ac:dyDescent="0.2">
      <c r="A64" s="84"/>
    </row>
    <row r="65" spans="1:1" x14ac:dyDescent="0.2">
      <c r="A65" s="84"/>
    </row>
    <row r="66" spans="1:1" x14ac:dyDescent="0.2">
      <c r="A66" s="84"/>
    </row>
    <row r="67" spans="1:1" x14ac:dyDescent="0.2">
      <c r="A67" s="84"/>
    </row>
    <row r="68" spans="1:1" x14ac:dyDescent="0.2">
      <c r="A68" s="84"/>
    </row>
    <row r="69" spans="1:1" x14ac:dyDescent="0.2">
      <c r="A69" s="84"/>
    </row>
    <row r="70" spans="1:1" x14ac:dyDescent="0.2">
      <c r="A70" s="84"/>
    </row>
    <row r="71" spans="1:1" x14ac:dyDescent="0.2">
      <c r="A71" s="84"/>
    </row>
    <row r="72" spans="1:1" x14ac:dyDescent="0.2">
      <c r="A72" s="84"/>
    </row>
    <row r="73" spans="1:1" x14ac:dyDescent="0.2">
      <c r="A73" s="84"/>
    </row>
    <row r="74" spans="1:1" x14ac:dyDescent="0.2">
      <c r="A74" s="84"/>
    </row>
    <row r="75" spans="1:1" x14ac:dyDescent="0.2">
      <c r="A75" s="84"/>
    </row>
    <row r="76" spans="1:1" x14ac:dyDescent="0.2">
      <c r="A76" s="84"/>
    </row>
    <row r="77" spans="1:1" x14ac:dyDescent="0.2">
      <c r="A77" s="84"/>
    </row>
    <row r="78" spans="1:1" x14ac:dyDescent="0.2">
      <c r="A78" s="84"/>
    </row>
    <row r="79" spans="1:1" x14ac:dyDescent="0.2">
      <c r="A79" s="84"/>
    </row>
    <row r="80" spans="1:1" x14ac:dyDescent="0.2">
      <c r="A80" s="84"/>
    </row>
    <row r="81" spans="1:1" x14ac:dyDescent="0.2">
      <c r="A81" s="84"/>
    </row>
    <row r="82" spans="1:1" x14ac:dyDescent="0.2">
      <c r="A82" s="84"/>
    </row>
    <row r="83" spans="1:1" x14ac:dyDescent="0.2">
      <c r="A83" s="84"/>
    </row>
    <row r="84" spans="1:1" x14ac:dyDescent="0.2">
      <c r="A84" s="84"/>
    </row>
    <row r="85" spans="1:1" x14ac:dyDescent="0.2">
      <c r="A85" s="84"/>
    </row>
    <row r="86" spans="1:1" x14ac:dyDescent="0.2">
      <c r="A86" s="84"/>
    </row>
    <row r="87" spans="1:1" x14ac:dyDescent="0.2">
      <c r="A87" s="84"/>
    </row>
    <row r="88" spans="1:1" x14ac:dyDescent="0.2">
      <c r="A88" s="84"/>
    </row>
    <row r="89" spans="1:1" x14ac:dyDescent="0.2">
      <c r="A89" s="84"/>
    </row>
    <row r="90" spans="1:1" x14ac:dyDescent="0.2">
      <c r="A90" s="84"/>
    </row>
    <row r="91" spans="1:1" x14ac:dyDescent="0.2">
      <c r="A91" s="84"/>
    </row>
    <row r="92" spans="1:1" x14ac:dyDescent="0.2">
      <c r="A92" s="84"/>
    </row>
    <row r="93" spans="1:1" x14ac:dyDescent="0.2">
      <c r="A93" s="84"/>
    </row>
    <row r="94" spans="1:1" x14ac:dyDescent="0.2">
      <c r="A94" s="84"/>
    </row>
    <row r="95" spans="1:1" x14ac:dyDescent="0.2">
      <c r="A95" s="84"/>
    </row>
    <row r="96" spans="1:1" x14ac:dyDescent="0.2">
      <c r="A96" s="84"/>
    </row>
    <row r="97" spans="1:1" x14ac:dyDescent="0.2">
      <c r="A97" s="84"/>
    </row>
    <row r="98" spans="1:1" x14ac:dyDescent="0.2">
      <c r="A98" s="84"/>
    </row>
    <row r="99" spans="1:1" x14ac:dyDescent="0.2">
      <c r="A99" s="84"/>
    </row>
    <row r="100" spans="1:1" x14ac:dyDescent="0.2">
      <c r="A100" s="84"/>
    </row>
    <row r="101" spans="1:1" x14ac:dyDescent="0.2">
      <c r="A101" s="84"/>
    </row>
    <row r="102" spans="1:1" x14ac:dyDescent="0.2">
      <c r="A102" s="84"/>
    </row>
    <row r="103" spans="1:1" x14ac:dyDescent="0.2">
      <c r="A103" s="84"/>
    </row>
    <row r="104" spans="1:1" x14ac:dyDescent="0.2">
      <c r="A104" s="84"/>
    </row>
    <row r="105" spans="1:1" x14ac:dyDescent="0.2">
      <c r="A105" s="84"/>
    </row>
    <row r="106" spans="1:1" x14ac:dyDescent="0.2">
      <c r="A106" s="84"/>
    </row>
    <row r="107" spans="1:1" x14ac:dyDescent="0.2">
      <c r="A107" s="84"/>
    </row>
    <row r="108" spans="1:1" x14ac:dyDescent="0.2">
      <c r="A108" s="84"/>
    </row>
    <row r="109" spans="1:1" x14ac:dyDescent="0.2">
      <c r="A109" s="84"/>
    </row>
    <row r="110" spans="1:1" x14ac:dyDescent="0.2">
      <c r="A110" s="84"/>
    </row>
    <row r="111" spans="1:1" x14ac:dyDescent="0.2">
      <c r="A111" s="84"/>
    </row>
    <row r="112" spans="1:1" x14ac:dyDescent="0.2">
      <c r="A112" s="84"/>
    </row>
    <row r="113" spans="1:1" x14ac:dyDescent="0.2">
      <c r="A113" s="84"/>
    </row>
    <row r="114" spans="1:1" x14ac:dyDescent="0.2">
      <c r="A114" s="84"/>
    </row>
    <row r="115" spans="1:1" x14ac:dyDescent="0.2">
      <c r="A115" s="84"/>
    </row>
    <row r="116" spans="1:1" x14ac:dyDescent="0.2">
      <c r="A116" s="84"/>
    </row>
    <row r="117" spans="1:1" x14ac:dyDescent="0.2">
      <c r="A117" s="84"/>
    </row>
    <row r="118" spans="1:1" x14ac:dyDescent="0.2">
      <c r="A118" s="84"/>
    </row>
    <row r="119" spans="1:1" x14ac:dyDescent="0.2">
      <c r="A119" s="84"/>
    </row>
    <row r="120" spans="1:1" x14ac:dyDescent="0.2">
      <c r="A120" s="84"/>
    </row>
    <row r="121" spans="1:1" x14ac:dyDescent="0.2">
      <c r="A121" s="84"/>
    </row>
    <row r="122" spans="1:1" x14ac:dyDescent="0.2">
      <c r="A122" s="84"/>
    </row>
    <row r="123" spans="1:1" x14ac:dyDescent="0.2">
      <c r="A123" s="84"/>
    </row>
    <row r="124" spans="1:1" x14ac:dyDescent="0.2">
      <c r="A124" s="84"/>
    </row>
    <row r="125" spans="1:1" x14ac:dyDescent="0.2">
      <c r="A125" s="84"/>
    </row>
    <row r="126" spans="1:1" x14ac:dyDescent="0.2">
      <c r="A126" s="84"/>
    </row>
    <row r="127" spans="1:1" x14ac:dyDescent="0.2">
      <c r="A127" s="84"/>
    </row>
    <row r="128" spans="1:1" x14ac:dyDescent="0.2">
      <c r="A128" s="84"/>
    </row>
    <row r="129" spans="1:1" x14ac:dyDescent="0.2">
      <c r="A129" s="84"/>
    </row>
    <row r="130" spans="1:1" x14ac:dyDescent="0.2">
      <c r="A130" s="84"/>
    </row>
    <row r="131" spans="1:1" x14ac:dyDescent="0.2">
      <c r="A131" s="84"/>
    </row>
    <row r="132" spans="1:1" x14ac:dyDescent="0.2">
      <c r="A132" s="84"/>
    </row>
    <row r="133" spans="1:1" x14ac:dyDescent="0.2">
      <c r="A133" s="84"/>
    </row>
    <row r="134" spans="1:1" x14ac:dyDescent="0.2">
      <c r="A134" s="84"/>
    </row>
    <row r="135" spans="1:1" x14ac:dyDescent="0.2">
      <c r="A135" s="84"/>
    </row>
    <row r="136" spans="1:1" x14ac:dyDescent="0.2">
      <c r="A136" s="84"/>
    </row>
    <row r="137" spans="1:1" x14ac:dyDescent="0.2">
      <c r="A137" s="84"/>
    </row>
    <row r="138" spans="1:1" x14ac:dyDescent="0.2">
      <c r="A138" s="84"/>
    </row>
    <row r="139" spans="1:1" x14ac:dyDescent="0.2">
      <c r="A139" s="84"/>
    </row>
    <row r="140" spans="1:1" x14ac:dyDescent="0.2">
      <c r="A140" s="84"/>
    </row>
    <row r="141" spans="1:1" x14ac:dyDescent="0.2">
      <c r="A141" s="84"/>
    </row>
    <row r="142" spans="1:1" x14ac:dyDescent="0.2">
      <c r="A142" s="84"/>
    </row>
    <row r="143" spans="1:1" x14ac:dyDescent="0.2">
      <c r="A143" s="84"/>
    </row>
    <row r="144" spans="1:1" x14ac:dyDescent="0.2">
      <c r="A144" s="84"/>
    </row>
    <row r="145" spans="1:1" x14ac:dyDescent="0.2">
      <c r="A145" s="84"/>
    </row>
    <row r="146" spans="1:1" x14ac:dyDescent="0.2">
      <c r="A146" s="84"/>
    </row>
    <row r="147" spans="1:1" x14ac:dyDescent="0.2">
      <c r="A147" s="84"/>
    </row>
    <row r="148" spans="1:1" x14ac:dyDescent="0.2">
      <c r="A148" s="84"/>
    </row>
    <row r="149" spans="1:1" x14ac:dyDescent="0.2">
      <c r="A149" s="84"/>
    </row>
    <row r="150" spans="1:1" x14ac:dyDescent="0.2">
      <c r="A150" s="84"/>
    </row>
    <row r="151" spans="1:1" x14ac:dyDescent="0.2">
      <c r="A151" s="84"/>
    </row>
    <row r="152" spans="1:1" x14ac:dyDescent="0.2">
      <c r="A152" s="84"/>
    </row>
    <row r="153" spans="1:1" x14ac:dyDescent="0.2">
      <c r="A153" s="84"/>
    </row>
    <row r="154" spans="1:1" x14ac:dyDescent="0.2">
      <c r="A154" s="84"/>
    </row>
    <row r="155" spans="1:1" x14ac:dyDescent="0.2">
      <c r="A155" s="84"/>
    </row>
    <row r="156" spans="1:1" x14ac:dyDescent="0.2">
      <c r="A156" s="84"/>
    </row>
    <row r="157" spans="1:1" x14ac:dyDescent="0.2">
      <c r="A157" s="84"/>
    </row>
    <row r="158" spans="1:1" x14ac:dyDescent="0.2">
      <c r="A158" s="84"/>
    </row>
    <row r="159" spans="1:1" x14ac:dyDescent="0.2">
      <c r="A159" s="84"/>
    </row>
    <row r="160" spans="1:1" x14ac:dyDescent="0.2">
      <c r="A160" s="84"/>
    </row>
    <row r="161" spans="1:1" x14ac:dyDescent="0.2">
      <c r="A161" s="84"/>
    </row>
    <row r="162" spans="1:1" x14ac:dyDescent="0.2">
      <c r="A162" s="84"/>
    </row>
    <row r="163" spans="1:1" x14ac:dyDescent="0.2">
      <c r="A163" s="84"/>
    </row>
    <row r="164" spans="1:1" x14ac:dyDescent="0.2">
      <c r="A164" s="84"/>
    </row>
    <row r="165" spans="1:1" x14ac:dyDescent="0.2">
      <c r="A165" s="84"/>
    </row>
    <row r="166" spans="1:1" x14ac:dyDescent="0.2">
      <c r="A166" s="84"/>
    </row>
    <row r="167" spans="1:1" x14ac:dyDescent="0.2">
      <c r="A167" s="84"/>
    </row>
    <row r="168" spans="1:1" x14ac:dyDescent="0.2">
      <c r="A168" s="84"/>
    </row>
    <row r="169" spans="1:1" x14ac:dyDescent="0.2">
      <c r="A169" s="84"/>
    </row>
    <row r="170" spans="1:1" x14ac:dyDescent="0.2">
      <c r="A170" s="84"/>
    </row>
    <row r="171" spans="1:1" x14ac:dyDescent="0.2">
      <c r="A171" s="84"/>
    </row>
    <row r="172" spans="1:1" x14ac:dyDescent="0.2">
      <c r="A172" s="84"/>
    </row>
    <row r="173" spans="1:1" x14ac:dyDescent="0.2">
      <c r="A173" s="84"/>
    </row>
    <row r="174" spans="1:1" x14ac:dyDescent="0.2">
      <c r="A174" s="84"/>
    </row>
    <row r="175" spans="1:1" x14ac:dyDescent="0.2">
      <c r="A175" s="84"/>
    </row>
    <row r="176" spans="1:1" x14ac:dyDescent="0.2">
      <c r="A176" s="84"/>
    </row>
    <row r="177" spans="1:1" x14ac:dyDescent="0.2">
      <c r="A177" s="84"/>
    </row>
    <row r="178" spans="1:1" x14ac:dyDescent="0.2">
      <c r="A178" s="84"/>
    </row>
    <row r="179" spans="1:1" x14ac:dyDescent="0.2">
      <c r="A179" s="84"/>
    </row>
    <row r="180" spans="1:1" x14ac:dyDescent="0.2">
      <c r="A180" s="84"/>
    </row>
    <row r="181" spans="1:1" x14ac:dyDescent="0.2">
      <c r="A181" s="84"/>
    </row>
    <row r="182" spans="1:1" x14ac:dyDescent="0.2">
      <c r="A182" s="84"/>
    </row>
    <row r="183" spans="1:1" x14ac:dyDescent="0.2">
      <c r="A183" s="84"/>
    </row>
    <row r="184" spans="1:1" x14ac:dyDescent="0.2">
      <c r="A184" s="84"/>
    </row>
    <row r="185" spans="1:1" x14ac:dyDescent="0.2">
      <c r="A185" s="84"/>
    </row>
    <row r="186" spans="1:1" x14ac:dyDescent="0.2">
      <c r="A186" s="84"/>
    </row>
    <row r="187" spans="1:1" x14ac:dyDescent="0.2">
      <c r="A187" s="84"/>
    </row>
    <row r="188" spans="1:1" x14ac:dyDescent="0.2">
      <c r="A188" s="84"/>
    </row>
    <row r="189" spans="1:1" x14ac:dyDescent="0.2">
      <c r="A189" s="84"/>
    </row>
    <row r="190" spans="1:1" x14ac:dyDescent="0.2">
      <c r="A190" s="84"/>
    </row>
    <row r="191" spans="1:1" x14ac:dyDescent="0.2">
      <c r="A191" s="84"/>
    </row>
    <row r="192" spans="1:1" x14ac:dyDescent="0.2">
      <c r="A192" s="84"/>
    </row>
    <row r="193" spans="1:1" x14ac:dyDescent="0.2">
      <c r="A193" s="84"/>
    </row>
    <row r="194" spans="1:1" x14ac:dyDescent="0.2">
      <c r="A194" s="84"/>
    </row>
    <row r="195" spans="1:1" x14ac:dyDescent="0.2">
      <c r="A195" s="84"/>
    </row>
    <row r="196" spans="1:1" x14ac:dyDescent="0.2">
      <c r="A196" s="84"/>
    </row>
    <row r="197" spans="1:1" x14ac:dyDescent="0.2">
      <c r="A197" s="84"/>
    </row>
    <row r="198" spans="1:1" x14ac:dyDescent="0.2">
      <c r="A198" s="84"/>
    </row>
    <row r="199" spans="1:1" x14ac:dyDescent="0.2">
      <c r="A199" s="84"/>
    </row>
    <row r="200" spans="1:1" x14ac:dyDescent="0.2">
      <c r="A200" s="84"/>
    </row>
    <row r="201" spans="1:1" x14ac:dyDescent="0.2">
      <c r="A201" s="84"/>
    </row>
    <row r="202" spans="1:1" x14ac:dyDescent="0.2">
      <c r="A202" s="84"/>
    </row>
    <row r="203" spans="1:1" x14ac:dyDescent="0.2">
      <c r="A203" s="84"/>
    </row>
    <row r="204" spans="1:1" x14ac:dyDescent="0.2">
      <c r="A204" s="84"/>
    </row>
    <row r="205" spans="1:1" x14ac:dyDescent="0.2">
      <c r="A205" s="84"/>
    </row>
    <row r="206" spans="1:1" x14ac:dyDescent="0.2">
      <c r="A206" s="84"/>
    </row>
    <row r="207" spans="1:1" x14ac:dyDescent="0.2">
      <c r="A207" s="84"/>
    </row>
    <row r="208" spans="1:1" x14ac:dyDescent="0.2">
      <c r="A208" s="84"/>
    </row>
    <row r="209" spans="1:1" x14ac:dyDescent="0.2">
      <c r="A209" s="84"/>
    </row>
    <row r="210" spans="1:1" x14ac:dyDescent="0.2">
      <c r="A210" s="84"/>
    </row>
    <row r="211" spans="1:1" x14ac:dyDescent="0.2">
      <c r="A211" s="84"/>
    </row>
    <row r="212" spans="1:1" x14ac:dyDescent="0.2">
      <c r="A212" s="84"/>
    </row>
    <row r="213" spans="1:1" x14ac:dyDescent="0.2">
      <c r="A213" s="84"/>
    </row>
    <row r="214" spans="1:1" x14ac:dyDescent="0.2">
      <c r="A214" s="84"/>
    </row>
    <row r="215" spans="1:1" x14ac:dyDescent="0.2">
      <c r="A215" s="84"/>
    </row>
    <row r="216" spans="1:1" x14ac:dyDescent="0.2">
      <c r="A216" s="84"/>
    </row>
    <row r="217" spans="1:1" x14ac:dyDescent="0.2">
      <c r="A217" s="84"/>
    </row>
    <row r="218" spans="1:1" x14ac:dyDescent="0.2">
      <c r="A218" s="84"/>
    </row>
    <row r="219" spans="1:1" x14ac:dyDescent="0.2">
      <c r="A219" s="84"/>
    </row>
    <row r="220" spans="1:1" x14ac:dyDescent="0.2">
      <c r="A220" s="84"/>
    </row>
    <row r="221" spans="1:1" x14ac:dyDescent="0.2">
      <c r="A221" s="84"/>
    </row>
    <row r="222" spans="1:1" x14ac:dyDescent="0.2">
      <c r="A222" s="84"/>
    </row>
    <row r="223" spans="1:1" x14ac:dyDescent="0.2">
      <c r="A223" s="84"/>
    </row>
    <row r="224" spans="1:1" x14ac:dyDescent="0.2">
      <c r="A224" s="84"/>
    </row>
    <row r="225" spans="1:1" x14ac:dyDescent="0.2">
      <c r="A225" s="84"/>
    </row>
    <row r="226" spans="1:1" x14ac:dyDescent="0.2">
      <c r="A226" s="84"/>
    </row>
    <row r="227" spans="1:1" x14ac:dyDescent="0.2">
      <c r="A227" s="84"/>
    </row>
    <row r="228" spans="1:1" x14ac:dyDescent="0.2">
      <c r="A228" s="84"/>
    </row>
    <row r="229" spans="1:1" x14ac:dyDescent="0.2">
      <c r="A229" s="84"/>
    </row>
    <row r="230" spans="1:1" x14ac:dyDescent="0.2">
      <c r="A230" s="84"/>
    </row>
    <row r="231" spans="1:1" x14ac:dyDescent="0.2">
      <c r="A231" s="84"/>
    </row>
    <row r="232" spans="1:1" x14ac:dyDescent="0.2">
      <c r="A232" s="84"/>
    </row>
    <row r="233" spans="1:1" x14ac:dyDescent="0.2">
      <c r="A233" s="84"/>
    </row>
    <row r="234" spans="1:1" x14ac:dyDescent="0.2">
      <c r="A234" s="84"/>
    </row>
    <row r="235" spans="1:1" x14ac:dyDescent="0.2">
      <c r="A235" s="84"/>
    </row>
    <row r="236" spans="1:1" x14ac:dyDescent="0.2">
      <c r="A236" s="84"/>
    </row>
    <row r="237" spans="1:1" x14ac:dyDescent="0.2">
      <c r="A237" s="84"/>
    </row>
    <row r="238" spans="1:1" x14ac:dyDescent="0.2">
      <c r="A238" s="84"/>
    </row>
    <row r="239" spans="1:1" x14ac:dyDescent="0.2">
      <c r="A239" s="84"/>
    </row>
    <row r="240" spans="1:1" x14ac:dyDescent="0.2">
      <c r="A240" s="84"/>
    </row>
    <row r="241" spans="1:1" x14ac:dyDescent="0.2">
      <c r="A241" s="84"/>
    </row>
    <row r="242" spans="1:1" x14ac:dyDescent="0.2">
      <c r="A242" s="84"/>
    </row>
    <row r="243" spans="1:1" x14ac:dyDescent="0.2">
      <c r="A243" s="84"/>
    </row>
    <row r="244" spans="1:1" x14ac:dyDescent="0.2">
      <c r="A244" s="84"/>
    </row>
    <row r="245" spans="1:1" x14ac:dyDescent="0.2">
      <c r="A245" s="84"/>
    </row>
    <row r="246" spans="1:1" x14ac:dyDescent="0.2">
      <c r="A246" s="84"/>
    </row>
    <row r="247" spans="1:1" x14ac:dyDescent="0.2">
      <c r="A247" s="84"/>
    </row>
    <row r="248" spans="1:1" x14ac:dyDescent="0.2">
      <c r="A248" s="84"/>
    </row>
    <row r="249" spans="1:1" x14ac:dyDescent="0.2">
      <c r="A249" s="84"/>
    </row>
    <row r="250" spans="1:1" x14ac:dyDescent="0.2">
      <c r="A250" s="84"/>
    </row>
    <row r="251" spans="1:1" x14ac:dyDescent="0.2">
      <c r="A251" s="84"/>
    </row>
    <row r="252" spans="1:1" x14ac:dyDescent="0.2">
      <c r="A252" s="84"/>
    </row>
    <row r="253" spans="1:1" x14ac:dyDescent="0.2">
      <c r="A253" s="84"/>
    </row>
    <row r="254" spans="1:1" x14ac:dyDescent="0.2">
      <c r="A254" s="84"/>
    </row>
    <row r="255" spans="1:1" x14ac:dyDescent="0.2">
      <c r="A255" s="84"/>
    </row>
    <row r="256" spans="1:1" x14ac:dyDescent="0.2">
      <c r="A256" s="84"/>
    </row>
    <row r="257" spans="1:1" x14ac:dyDescent="0.2">
      <c r="A257" s="84"/>
    </row>
    <row r="258" spans="1:1" x14ac:dyDescent="0.2">
      <c r="A258" s="84"/>
    </row>
    <row r="259" spans="1:1" x14ac:dyDescent="0.2">
      <c r="A259" s="84"/>
    </row>
    <row r="260" spans="1:1" x14ac:dyDescent="0.2">
      <c r="A260" s="84"/>
    </row>
    <row r="261" spans="1:1" x14ac:dyDescent="0.2">
      <c r="A261" s="84"/>
    </row>
    <row r="262" spans="1:1" x14ac:dyDescent="0.2">
      <c r="A262" s="84"/>
    </row>
    <row r="263" spans="1:1" x14ac:dyDescent="0.2">
      <c r="A263" s="84"/>
    </row>
    <row r="264" spans="1:1" x14ac:dyDescent="0.2">
      <c r="A264" s="84"/>
    </row>
    <row r="265" spans="1:1" x14ac:dyDescent="0.2">
      <c r="A265" s="84"/>
    </row>
    <row r="266" spans="1:1" x14ac:dyDescent="0.2">
      <c r="A266" s="84"/>
    </row>
    <row r="267" spans="1:1" x14ac:dyDescent="0.2">
      <c r="A267" s="84"/>
    </row>
    <row r="268" spans="1:1" x14ac:dyDescent="0.2">
      <c r="A268" s="84"/>
    </row>
    <row r="269" spans="1:1" x14ac:dyDescent="0.2">
      <c r="A269" s="84"/>
    </row>
    <row r="270" spans="1:1" x14ac:dyDescent="0.2">
      <c r="A270" s="84"/>
    </row>
    <row r="271" spans="1:1" x14ac:dyDescent="0.2">
      <c r="A271" s="84"/>
    </row>
    <row r="272" spans="1:1" x14ac:dyDescent="0.2">
      <c r="A272" s="84"/>
    </row>
    <row r="273" spans="1:1" x14ac:dyDescent="0.2">
      <c r="A273" s="84"/>
    </row>
    <row r="274" spans="1:1" x14ac:dyDescent="0.2">
      <c r="A274" s="84"/>
    </row>
    <row r="275" spans="1:1" x14ac:dyDescent="0.2">
      <c r="A275" s="84"/>
    </row>
    <row r="276" spans="1:1" x14ac:dyDescent="0.2">
      <c r="A276" s="84"/>
    </row>
    <row r="277" spans="1:1" x14ac:dyDescent="0.2">
      <c r="A277" s="84"/>
    </row>
    <row r="278" spans="1:1" x14ac:dyDescent="0.2">
      <c r="A278" s="84"/>
    </row>
    <row r="279" spans="1:1" x14ac:dyDescent="0.2">
      <c r="A279" s="84"/>
    </row>
    <row r="280" spans="1:1" x14ac:dyDescent="0.2">
      <c r="A280" s="84"/>
    </row>
    <row r="281" spans="1:1" x14ac:dyDescent="0.2">
      <c r="A281" s="84"/>
    </row>
    <row r="282" spans="1:1" x14ac:dyDescent="0.2">
      <c r="A282" s="84"/>
    </row>
    <row r="283" spans="1:1" x14ac:dyDescent="0.2">
      <c r="A283" s="84"/>
    </row>
    <row r="284" spans="1:1" x14ac:dyDescent="0.2">
      <c r="A284" s="84"/>
    </row>
    <row r="285" spans="1:1" x14ac:dyDescent="0.2">
      <c r="A285" s="84"/>
    </row>
    <row r="286" spans="1:1" x14ac:dyDescent="0.2">
      <c r="A286" s="84"/>
    </row>
    <row r="287" spans="1:1" x14ac:dyDescent="0.2">
      <c r="A287" s="84"/>
    </row>
    <row r="288" spans="1:1" x14ac:dyDescent="0.2">
      <c r="A288" s="84"/>
    </row>
    <row r="289" spans="1:1" x14ac:dyDescent="0.2">
      <c r="A289" s="84"/>
    </row>
    <row r="290" spans="1:1" x14ac:dyDescent="0.2">
      <c r="A290" s="84"/>
    </row>
    <row r="291" spans="1:1" x14ac:dyDescent="0.2">
      <c r="A291" s="84"/>
    </row>
    <row r="292" spans="1:1" x14ac:dyDescent="0.2">
      <c r="A292" s="84"/>
    </row>
    <row r="293" spans="1:1" x14ac:dyDescent="0.2">
      <c r="A293" s="84"/>
    </row>
    <row r="294" spans="1:1" x14ac:dyDescent="0.2">
      <c r="A294" s="84"/>
    </row>
    <row r="295" spans="1:1" x14ac:dyDescent="0.2">
      <c r="A295" s="84"/>
    </row>
    <row r="296" spans="1:1" x14ac:dyDescent="0.2">
      <c r="A296" s="84"/>
    </row>
    <row r="297" spans="1:1" x14ac:dyDescent="0.2">
      <c r="A297" s="84"/>
    </row>
    <row r="298" spans="1:1" x14ac:dyDescent="0.2">
      <c r="A298" s="84"/>
    </row>
    <row r="299" spans="1:1" x14ac:dyDescent="0.2">
      <c r="A299" s="84"/>
    </row>
    <row r="300" spans="1:1" x14ac:dyDescent="0.2">
      <c r="A300" s="84"/>
    </row>
    <row r="301" spans="1:1" x14ac:dyDescent="0.2">
      <c r="A301" s="84"/>
    </row>
    <row r="302" spans="1:1" x14ac:dyDescent="0.2">
      <c r="A302" s="84"/>
    </row>
    <row r="303" spans="1:1" x14ac:dyDescent="0.2">
      <c r="A303" s="84"/>
    </row>
    <row r="304" spans="1:1" x14ac:dyDescent="0.2">
      <c r="A304" s="84"/>
    </row>
    <row r="305" spans="1:1" x14ac:dyDescent="0.2">
      <c r="A305" s="84"/>
    </row>
    <row r="306" spans="1:1" x14ac:dyDescent="0.2">
      <c r="A306" s="84"/>
    </row>
    <row r="307" spans="1:1" x14ac:dyDescent="0.2">
      <c r="A307" s="84"/>
    </row>
    <row r="308" spans="1:1" x14ac:dyDescent="0.2">
      <c r="A308" s="84"/>
    </row>
    <row r="309" spans="1:1" x14ac:dyDescent="0.2">
      <c r="A309" s="84"/>
    </row>
    <row r="310" spans="1:1" x14ac:dyDescent="0.2">
      <c r="A310" s="84"/>
    </row>
    <row r="311" spans="1:1" x14ac:dyDescent="0.2">
      <c r="A311" s="84"/>
    </row>
    <row r="312" spans="1:1" x14ac:dyDescent="0.2">
      <c r="A312" s="84"/>
    </row>
    <row r="313" spans="1:1" x14ac:dyDescent="0.2">
      <c r="A313" s="84"/>
    </row>
    <row r="314" spans="1:1" x14ac:dyDescent="0.2">
      <c r="A314" s="84"/>
    </row>
    <row r="315" spans="1:1" x14ac:dyDescent="0.2">
      <c r="A315" s="84"/>
    </row>
    <row r="316" spans="1:1" x14ac:dyDescent="0.2">
      <c r="A316" s="84"/>
    </row>
    <row r="317" spans="1:1" x14ac:dyDescent="0.2">
      <c r="A317" s="84"/>
    </row>
    <row r="318" spans="1:1" x14ac:dyDescent="0.2">
      <c r="A318" s="84"/>
    </row>
    <row r="319" spans="1:1" x14ac:dyDescent="0.2">
      <c r="A319" s="84"/>
    </row>
    <row r="320" spans="1:1" x14ac:dyDescent="0.2">
      <c r="A320" s="84"/>
    </row>
    <row r="321" spans="1:1" x14ac:dyDescent="0.2">
      <c r="A321" s="84"/>
    </row>
    <row r="322" spans="1:1" x14ac:dyDescent="0.2">
      <c r="A322" s="84"/>
    </row>
    <row r="323" spans="1:1" x14ac:dyDescent="0.2">
      <c r="A323" s="84"/>
    </row>
    <row r="324" spans="1:1" x14ac:dyDescent="0.2">
      <c r="A324" s="84"/>
    </row>
    <row r="325" spans="1:1" x14ac:dyDescent="0.2">
      <c r="A325" s="84"/>
    </row>
    <row r="326" spans="1:1" x14ac:dyDescent="0.2">
      <c r="A326" s="84"/>
    </row>
    <row r="327" spans="1:1" x14ac:dyDescent="0.2">
      <c r="A327" s="84"/>
    </row>
    <row r="328" spans="1:1" x14ac:dyDescent="0.2">
      <c r="A328" s="84"/>
    </row>
    <row r="329" spans="1:1" x14ac:dyDescent="0.2">
      <c r="A329" s="84"/>
    </row>
    <row r="330" spans="1:1" x14ac:dyDescent="0.2">
      <c r="A330" s="84"/>
    </row>
    <row r="331" spans="1:1" x14ac:dyDescent="0.2">
      <c r="A331" s="84"/>
    </row>
    <row r="332" spans="1:1" x14ac:dyDescent="0.2">
      <c r="A332" s="84"/>
    </row>
    <row r="333" spans="1:1" x14ac:dyDescent="0.2">
      <c r="A333" s="84"/>
    </row>
    <row r="334" spans="1:1" x14ac:dyDescent="0.2">
      <c r="A334" s="84"/>
    </row>
    <row r="335" spans="1:1" x14ac:dyDescent="0.2">
      <c r="A335" s="84"/>
    </row>
    <row r="336" spans="1:1" x14ac:dyDescent="0.2">
      <c r="A336" s="84"/>
    </row>
    <row r="337" spans="1:1" x14ac:dyDescent="0.2">
      <c r="A337" s="84"/>
    </row>
    <row r="338" spans="1:1" x14ac:dyDescent="0.2">
      <c r="A338" s="84"/>
    </row>
    <row r="339" spans="1:1" x14ac:dyDescent="0.2">
      <c r="A339" s="84"/>
    </row>
    <row r="340" spans="1:1" x14ac:dyDescent="0.2">
      <c r="A340" s="84"/>
    </row>
    <row r="341" spans="1:1" x14ac:dyDescent="0.2">
      <c r="A341" s="84"/>
    </row>
    <row r="342" spans="1:1" x14ac:dyDescent="0.2">
      <c r="A342" s="84"/>
    </row>
    <row r="343" spans="1:1" x14ac:dyDescent="0.2">
      <c r="A343" s="84"/>
    </row>
    <row r="344" spans="1:1" x14ac:dyDescent="0.2">
      <c r="A344" s="84"/>
    </row>
    <row r="345" spans="1:1" x14ac:dyDescent="0.2">
      <c r="A345" s="84"/>
    </row>
    <row r="346" spans="1:1" x14ac:dyDescent="0.2">
      <c r="A346" s="84"/>
    </row>
    <row r="347" spans="1:1" x14ac:dyDescent="0.2">
      <c r="A347" s="84"/>
    </row>
    <row r="348" spans="1:1" x14ac:dyDescent="0.2">
      <c r="A348" s="84"/>
    </row>
    <row r="349" spans="1:1" x14ac:dyDescent="0.2">
      <c r="A349" s="84"/>
    </row>
    <row r="350" spans="1:1" x14ac:dyDescent="0.2">
      <c r="A350" s="84"/>
    </row>
    <row r="351" spans="1:1" x14ac:dyDescent="0.2">
      <c r="A351" s="84"/>
    </row>
    <row r="352" spans="1:1" x14ac:dyDescent="0.2">
      <c r="A352" s="84"/>
    </row>
    <row r="353" spans="1:1" x14ac:dyDescent="0.2">
      <c r="A353" s="84"/>
    </row>
    <row r="354" spans="1:1" x14ac:dyDescent="0.2">
      <c r="A354" s="84"/>
    </row>
    <row r="355" spans="1:1" x14ac:dyDescent="0.2">
      <c r="A355" s="84"/>
    </row>
    <row r="356" spans="1:1" x14ac:dyDescent="0.2">
      <c r="A356" s="84"/>
    </row>
    <row r="357" spans="1:1" x14ac:dyDescent="0.2">
      <c r="A357" s="84"/>
    </row>
    <row r="358" spans="1:1" x14ac:dyDescent="0.2">
      <c r="A358" s="84"/>
    </row>
    <row r="359" spans="1:1" x14ac:dyDescent="0.2">
      <c r="A359" s="84"/>
    </row>
    <row r="360" spans="1:1" x14ac:dyDescent="0.2">
      <c r="A360" s="84"/>
    </row>
    <row r="361" spans="1:1" x14ac:dyDescent="0.2">
      <c r="A361" s="84"/>
    </row>
    <row r="362" spans="1:1" x14ac:dyDescent="0.2">
      <c r="A362" s="84"/>
    </row>
    <row r="363" spans="1:1" x14ac:dyDescent="0.2">
      <c r="A363" s="84"/>
    </row>
    <row r="364" spans="1:1" x14ac:dyDescent="0.2">
      <c r="A364" s="84"/>
    </row>
    <row r="365" spans="1:1" x14ac:dyDescent="0.2">
      <c r="A365" s="84"/>
    </row>
    <row r="366" spans="1:1" x14ac:dyDescent="0.2">
      <c r="A366" s="84"/>
    </row>
    <row r="367" spans="1:1" x14ac:dyDescent="0.2">
      <c r="A367" s="84"/>
    </row>
    <row r="368" spans="1:1" x14ac:dyDescent="0.2">
      <c r="A368" s="84"/>
    </row>
    <row r="369" spans="1:1" x14ac:dyDescent="0.2">
      <c r="A369" s="84"/>
    </row>
    <row r="370" spans="1:1" x14ac:dyDescent="0.2">
      <c r="A370" s="84"/>
    </row>
    <row r="371" spans="1:1" x14ac:dyDescent="0.2">
      <c r="A371" s="84"/>
    </row>
    <row r="372" spans="1:1" x14ac:dyDescent="0.2">
      <c r="A372" s="84"/>
    </row>
    <row r="373" spans="1:1" x14ac:dyDescent="0.2">
      <c r="A373" s="84"/>
    </row>
    <row r="374" spans="1:1" x14ac:dyDescent="0.2">
      <c r="A374" s="84"/>
    </row>
    <row r="375" spans="1:1" x14ac:dyDescent="0.2">
      <c r="A375" s="84"/>
    </row>
    <row r="376" spans="1:1" x14ac:dyDescent="0.2">
      <c r="A376" s="84"/>
    </row>
    <row r="377" spans="1:1" x14ac:dyDescent="0.2">
      <c r="A377" s="84"/>
    </row>
    <row r="378" spans="1:1" x14ac:dyDescent="0.2">
      <c r="A378" s="84"/>
    </row>
    <row r="379" spans="1:1" x14ac:dyDescent="0.2">
      <c r="A379" s="84"/>
    </row>
    <row r="380" spans="1:1" x14ac:dyDescent="0.2">
      <c r="A380" s="84"/>
    </row>
    <row r="381" spans="1:1" x14ac:dyDescent="0.2">
      <c r="A381" s="84"/>
    </row>
    <row r="382" spans="1:1" x14ac:dyDescent="0.2">
      <c r="A382" s="84"/>
    </row>
    <row r="383" spans="1:1" x14ac:dyDescent="0.2">
      <c r="A383" s="84"/>
    </row>
    <row r="384" spans="1:1" x14ac:dyDescent="0.2">
      <c r="A384" s="84"/>
    </row>
    <row r="385" spans="1:1" x14ac:dyDescent="0.2">
      <c r="A385" s="84"/>
    </row>
    <row r="386" spans="1:1" x14ac:dyDescent="0.2">
      <c r="A386" s="84"/>
    </row>
    <row r="387" spans="1:1" x14ac:dyDescent="0.2">
      <c r="A387" s="84"/>
    </row>
    <row r="388" spans="1:1" x14ac:dyDescent="0.2">
      <c r="A388" s="84"/>
    </row>
    <row r="389" spans="1:1" x14ac:dyDescent="0.2">
      <c r="A389" s="84"/>
    </row>
    <row r="390" spans="1:1" x14ac:dyDescent="0.2">
      <c r="A390" s="84"/>
    </row>
    <row r="391" spans="1:1" x14ac:dyDescent="0.2">
      <c r="A391" s="84"/>
    </row>
    <row r="392" spans="1:1" x14ac:dyDescent="0.2">
      <c r="A392" s="84"/>
    </row>
    <row r="393" spans="1:1" x14ac:dyDescent="0.2">
      <c r="A393" s="84"/>
    </row>
    <row r="394" spans="1:1" x14ac:dyDescent="0.2">
      <c r="A394" s="84"/>
    </row>
    <row r="395" spans="1:1" x14ac:dyDescent="0.2">
      <c r="A395" s="84"/>
    </row>
    <row r="396" spans="1:1" x14ac:dyDescent="0.2">
      <c r="A396" s="84"/>
    </row>
    <row r="397" spans="1:1" x14ac:dyDescent="0.2">
      <c r="A397" s="84"/>
    </row>
    <row r="398" spans="1:1" x14ac:dyDescent="0.2">
      <c r="A398" s="84"/>
    </row>
    <row r="399" spans="1:1" x14ac:dyDescent="0.2">
      <c r="A399" s="84"/>
    </row>
    <row r="400" spans="1:1" x14ac:dyDescent="0.2">
      <c r="A400" s="84"/>
    </row>
    <row r="401" spans="1:1" x14ac:dyDescent="0.2">
      <c r="A401" s="84"/>
    </row>
    <row r="402" spans="1:1" x14ac:dyDescent="0.2">
      <c r="A402" s="84"/>
    </row>
    <row r="403" spans="1:1" x14ac:dyDescent="0.2">
      <c r="A403" s="84"/>
    </row>
    <row r="404" spans="1:1" x14ac:dyDescent="0.2">
      <c r="A404" s="84"/>
    </row>
    <row r="405" spans="1:1" x14ac:dyDescent="0.2">
      <c r="A405" s="84"/>
    </row>
    <row r="406" spans="1:1" x14ac:dyDescent="0.2">
      <c r="A406" s="84"/>
    </row>
    <row r="407" spans="1:1" x14ac:dyDescent="0.2">
      <c r="A407" s="84"/>
    </row>
    <row r="408" spans="1:1" x14ac:dyDescent="0.2">
      <c r="A408" s="84"/>
    </row>
    <row r="409" spans="1:1" x14ac:dyDescent="0.2">
      <c r="A409" s="84"/>
    </row>
    <row r="410" spans="1:1" x14ac:dyDescent="0.2">
      <c r="A410" s="84"/>
    </row>
    <row r="411" spans="1:1" x14ac:dyDescent="0.2">
      <c r="A411" s="84"/>
    </row>
    <row r="412" spans="1:1" x14ac:dyDescent="0.2">
      <c r="A412" s="84"/>
    </row>
    <row r="413" spans="1:1" x14ac:dyDescent="0.2">
      <c r="A413" s="84"/>
    </row>
    <row r="414" spans="1:1" x14ac:dyDescent="0.2">
      <c r="A414" s="84"/>
    </row>
    <row r="415" spans="1:1" x14ac:dyDescent="0.2">
      <c r="A415" s="84"/>
    </row>
    <row r="416" spans="1:1" x14ac:dyDescent="0.2">
      <c r="A416" s="84"/>
    </row>
    <row r="417" spans="1:1" x14ac:dyDescent="0.2">
      <c r="A417" s="84"/>
    </row>
    <row r="418" spans="1:1" x14ac:dyDescent="0.2">
      <c r="A418" s="84"/>
    </row>
    <row r="419" spans="1:1" x14ac:dyDescent="0.2">
      <c r="A419" s="84"/>
    </row>
    <row r="420" spans="1:1" x14ac:dyDescent="0.2">
      <c r="A420" s="84"/>
    </row>
    <row r="421" spans="1:1" x14ac:dyDescent="0.2">
      <c r="A421" s="84"/>
    </row>
    <row r="422" spans="1:1" x14ac:dyDescent="0.2">
      <c r="A422" s="84"/>
    </row>
    <row r="423" spans="1:1" x14ac:dyDescent="0.2">
      <c r="A423" s="84"/>
    </row>
    <row r="424" spans="1:1" x14ac:dyDescent="0.2">
      <c r="A424" s="84"/>
    </row>
    <row r="425" spans="1:1" x14ac:dyDescent="0.2">
      <c r="A425" s="84"/>
    </row>
    <row r="426" spans="1:1" x14ac:dyDescent="0.2">
      <c r="A426" s="84"/>
    </row>
    <row r="427" spans="1:1" x14ac:dyDescent="0.2">
      <c r="A427" s="84"/>
    </row>
    <row r="428" spans="1:1" x14ac:dyDescent="0.2">
      <c r="A428" s="84"/>
    </row>
    <row r="429" spans="1:1" x14ac:dyDescent="0.2">
      <c r="A429" s="84"/>
    </row>
    <row r="430" spans="1:1" x14ac:dyDescent="0.2">
      <c r="A430" s="84"/>
    </row>
    <row r="431" spans="1:1" x14ac:dyDescent="0.2">
      <c r="A431" s="84"/>
    </row>
    <row r="432" spans="1:1" x14ac:dyDescent="0.2">
      <c r="A432" s="84"/>
    </row>
    <row r="433" spans="1:1" x14ac:dyDescent="0.2">
      <c r="A433" s="84"/>
    </row>
    <row r="434" spans="1:1" x14ac:dyDescent="0.2">
      <c r="A434" s="84"/>
    </row>
    <row r="435" spans="1:1" x14ac:dyDescent="0.2">
      <c r="A435" s="84"/>
    </row>
    <row r="436" spans="1:1" x14ac:dyDescent="0.2">
      <c r="A436" s="84"/>
    </row>
    <row r="437" spans="1:1" x14ac:dyDescent="0.2">
      <c r="A437" s="84"/>
    </row>
    <row r="438" spans="1:1" x14ac:dyDescent="0.2">
      <c r="A438" s="84"/>
    </row>
    <row r="439" spans="1:1" x14ac:dyDescent="0.2">
      <c r="A439" s="84"/>
    </row>
    <row r="440" spans="1:1" x14ac:dyDescent="0.2">
      <c r="A440" s="84"/>
    </row>
    <row r="441" spans="1:1" x14ac:dyDescent="0.2">
      <c r="A441" s="84"/>
    </row>
    <row r="442" spans="1:1" x14ac:dyDescent="0.2">
      <c r="A442" s="84"/>
    </row>
    <row r="443" spans="1:1" x14ac:dyDescent="0.2">
      <c r="A443" s="84"/>
    </row>
    <row r="444" spans="1:1" x14ac:dyDescent="0.2">
      <c r="A444" s="84"/>
    </row>
    <row r="445" spans="1:1" x14ac:dyDescent="0.2">
      <c r="A445" s="84"/>
    </row>
    <row r="446" spans="1:1" x14ac:dyDescent="0.2">
      <c r="A446" s="84"/>
    </row>
    <row r="447" spans="1:1" x14ac:dyDescent="0.2">
      <c r="A447" s="84"/>
    </row>
    <row r="448" spans="1:1" x14ac:dyDescent="0.2">
      <c r="A448" s="84"/>
    </row>
    <row r="449" spans="1:1" x14ac:dyDescent="0.2">
      <c r="A449" s="84"/>
    </row>
    <row r="450" spans="1:1" x14ac:dyDescent="0.2">
      <c r="A450" s="84"/>
    </row>
    <row r="451" spans="1:1" x14ac:dyDescent="0.2">
      <c r="A451" s="84"/>
    </row>
    <row r="452" spans="1:1" x14ac:dyDescent="0.2">
      <c r="A452" s="84"/>
    </row>
    <row r="453" spans="1:1" x14ac:dyDescent="0.2">
      <c r="A453" s="84"/>
    </row>
    <row r="454" spans="1:1" x14ac:dyDescent="0.2">
      <c r="A454" s="84"/>
    </row>
    <row r="455" spans="1:1" x14ac:dyDescent="0.2">
      <c r="A455" s="84"/>
    </row>
    <row r="456" spans="1:1" x14ac:dyDescent="0.2">
      <c r="A456" s="84"/>
    </row>
    <row r="457" spans="1:1" x14ac:dyDescent="0.2">
      <c r="A457" s="84"/>
    </row>
    <row r="458" spans="1:1" x14ac:dyDescent="0.2">
      <c r="A458" s="84"/>
    </row>
    <row r="459" spans="1:1" x14ac:dyDescent="0.2">
      <c r="A459" s="84"/>
    </row>
    <row r="460" spans="1:1" x14ac:dyDescent="0.2">
      <c r="A460" s="84"/>
    </row>
    <row r="461" spans="1:1" x14ac:dyDescent="0.2">
      <c r="A461" s="84"/>
    </row>
    <row r="462" spans="1:1" x14ac:dyDescent="0.2">
      <c r="A462" s="84"/>
    </row>
    <row r="463" spans="1:1" x14ac:dyDescent="0.2">
      <c r="A463" s="84"/>
    </row>
    <row r="464" spans="1:1" x14ac:dyDescent="0.2">
      <c r="A464" s="84"/>
    </row>
    <row r="465" spans="1:1" x14ac:dyDescent="0.2">
      <c r="A465" s="84"/>
    </row>
    <row r="466" spans="1:1" x14ac:dyDescent="0.2">
      <c r="A466" s="84"/>
    </row>
    <row r="467" spans="1:1" x14ac:dyDescent="0.2">
      <c r="A467" s="84"/>
    </row>
    <row r="468" spans="1:1" x14ac:dyDescent="0.2">
      <c r="A468" s="84"/>
    </row>
    <row r="469" spans="1:1" x14ac:dyDescent="0.2">
      <c r="A469" s="84"/>
    </row>
    <row r="470" spans="1:1" x14ac:dyDescent="0.2">
      <c r="A470" s="84"/>
    </row>
    <row r="471" spans="1:1" x14ac:dyDescent="0.2">
      <c r="A471" s="84"/>
    </row>
    <row r="472" spans="1:1" x14ac:dyDescent="0.2">
      <c r="A472" s="84"/>
    </row>
    <row r="473" spans="1:1" x14ac:dyDescent="0.2">
      <c r="A473" s="84"/>
    </row>
    <row r="474" spans="1:1" x14ac:dyDescent="0.2">
      <c r="A474" s="84"/>
    </row>
    <row r="475" spans="1:1" x14ac:dyDescent="0.2">
      <c r="A475" s="84"/>
    </row>
    <row r="476" spans="1:1" x14ac:dyDescent="0.2">
      <c r="A476" s="84"/>
    </row>
    <row r="477" spans="1:1" x14ac:dyDescent="0.2">
      <c r="A477" s="84"/>
    </row>
    <row r="478" spans="1:1" x14ac:dyDescent="0.2">
      <c r="A478" s="84"/>
    </row>
    <row r="479" spans="1:1" x14ac:dyDescent="0.2">
      <c r="A479" s="84"/>
    </row>
    <row r="480" spans="1:1" x14ac:dyDescent="0.2">
      <c r="A480" s="84"/>
    </row>
    <row r="481" spans="1:1" x14ac:dyDescent="0.2">
      <c r="A481" s="84"/>
    </row>
    <row r="482" spans="1:1" x14ac:dyDescent="0.2">
      <c r="A482" s="84"/>
    </row>
    <row r="483" spans="1:1" x14ac:dyDescent="0.2">
      <c r="A483" s="84"/>
    </row>
    <row r="484" spans="1:1" x14ac:dyDescent="0.2">
      <c r="A484" s="84"/>
    </row>
    <row r="485" spans="1:1" x14ac:dyDescent="0.2">
      <c r="A485" s="84"/>
    </row>
    <row r="486" spans="1:1" x14ac:dyDescent="0.2">
      <c r="A486" s="84"/>
    </row>
    <row r="487" spans="1:1" x14ac:dyDescent="0.2">
      <c r="A487" s="84"/>
    </row>
    <row r="488" spans="1:1" x14ac:dyDescent="0.2">
      <c r="A488" s="84"/>
    </row>
    <row r="489" spans="1:1" x14ac:dyDescent="0.2">
      <c r="A489" s="84"/>
    </row>
    <row r="490" spans="1:1" x14ac:dyDescent="0.2">
      <c r="A490" s="84"/>
    </row>
    <row r="491" spans="1:1" x14ac:dyDescent="0.2">
      <c r="A491" s="84"/>
    </row>
    <row r="492" spans="1:1" x14ac:dyDescent="0.2">
      <c r="A492" s="84"/>
    </row>
    <row r="493" spans="1:1" x14ac:dyDescent="0.2">
      <c r="A493" s="84"/>
    </row>
    <row r="494" spans="1:1" x14ac:dyDescent="0.2">
      <c r="A494" s="84"/>
    </row>
    <row r="495" spans="1:1" x14ac:dyDescent="0.2">
      <c r="A495" s="84"/>
    </row>
    <row r="496" spans="1:1" x14ac:dyDescent="0.2">
      <c r="A496" s="84"/>
    </row>
    <row r="497" spans="1:1" x14ac:dyDescent="0.2">
      <c r="A497" s="84"/>
    </row>
    <row r="498" spans="1:1" x14ac:dyDescent="0.2">
      <c r="A498" s="84"/>
    </row>
    <row r="499" spans="1:1" x14ac:dyDescent="0.2">
      <c r="A499" s="84"/>
    </row>
    <row r="500" spans="1:1" x14ac:dyDescent="0.2">
      <c r="A500" s="84"/>
    </row>
    <row r="501" spans="1:1" x14ac:dyDescent="0.2">
      <c r="A501" s="84"/>
    </row>
    <row r="502" spans="1:1" x14ac:dyDescent="0.2">
      <c r="A502" s="84"/>
    </row>
    <row r="503" spans="1:1" x14ac:dyDescent="0.2">
      <c r="A503" s="84"/>
    </row>
    <row r="504" spans="1:1" x14ac:dyDescent="0.2">
      <c r="A504" s="84"/>
    </row>
    <row r="505" spans="1:1" x14ac:dyDescent="0.2">
      <c r="A505" s="84"/>
    </row>
    <row r="506" spans="1:1" x14ac:dyDescent="0.2">
      <c r="A506" s="84"/>
    </row>
    <row r="507" spans="1:1" x14ac:dyDescent="0.2">
      <c r="A507" s="84"/>
    </row>
    <row r="508" spans="1:1" x14ac:dyDescent="0.2">
      <c r="A508" s="84"/>
    </row>
    <row r="509" spans="1:1" x14ac:dyDescent="0.2">
      <c r="A509" s="84"/>
    </row>
    <row r="510" spans="1:1" x14ac:dyDescent="0.2">
      <c r="A510" s="84"/>
    </row>
    <row r="511" spans="1:1" x14ac:dyDescent="0.2">
      <c r="A511" s="84"/>
    </row>
    <row r="512" spans="1:1" x14ac:dyDescent="0.2">
      <c r="A512" s="84"/>
    </row>
    <row r="513" spans="1:1" x14ac:dyDescent="0.2">
      <c r="A513" s="84"/>
    </row>
    <row r="514" spans="1:1" x14ac:dyDescent="0.2">
      <c r="A514" s="84"/>
    </row>
    <row r="515" spans="1:1" x14ac:dyDescent="0.2">
      <c r="A515" s="84"/>
    </row>
  </sheetData>
  <printOptions horizontalCentered="1" verticalCentered="1" gridLines="1" gridLinesSet="0"/>
  <pageMargins left="0" right="0" top="0" bottom="0" header="0" footer="0"/>
  <pageSetup paperSize="5" scale="65" orientation="landscape" horizontalDpi="4294967293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V515"/>
  <sheetViews>
    <sheetView zoomScale="90" workbookViewId="0">
      <pane xSplit="2" ySplit="5" topLeftCell="AI7" activePane="bottomRight" state="frozen"/>
      <selection activeCell="AT19" sqref="AT19"/>
      <selection pane="topRight" activeCell="AT19" sqref="AT19"/>
      <selection pane="bottomLeft" activeCell="AT19" sqref="AT19"/>
      <selection pane="bottomRight" activeCell="AI33" sqref="AI33"/>
    </sheetView>
  </sheetViews>
  <sheetFormatPr defaultColWidth="15.1640625" defaultRowHeight="12.75" x14ac:dyDescent="0.2"/>
  <cols>
    <col min="1" max="1" width="15.1640625" style="106" customWidth="1"/>
    <col min="2" max="2" width="15.1640625" style="84" customWidth="1"/>
    <col min="3" max="14" width="15.1640625" style="43" customWidth="1"/>
    <col min="15" max="15" width="17.33203125" style="43" customWidth="1"/>
    <col min="16" max="122" width="15.1640625" style="43" customWidth="1"/>
    <col min="123" max="123" width="15.1640625" style="104" customWidth="1"/>
    <col min="124" max="126" width="15.1640625" style="42" customWidth="1"/>
    <col min="127" max="128" width="15.1640625" style="43" customWidth="1"/>
    <col min="129" max="129" width="15.1640625" style="104" customWidth="1"/>
    <col min="130" max="141" width="15.1640625" style="43" customWidth="1"/>
    <col min="142" max="149" width="15.1640625" style="80" customWidth="1"/>
    <col min="150" max="171" width="15.1640625" style="81" customWidth="1"/>
    <col min="172" max="178" width="15.1640625" style="82" customWidth="1"/>
    <col min="179" max="16384" width="15.1640625" style="28"/>
  </cols>
  <sheetData>
    <row r="1" spans="1:178" s="52" customFormat="1" x14ac:dyDescent="0.2">
      <c r="A1" s="45" t="s">
        <v>58</v>
      </c>
      <c r="B1" s="46">
        <f>+BaseloadMarkets!B1</f>
        <v>36708</v>
      </c>
      <c r="C1" s="4">
        <v>4.5999999999999996</v>
      </c>
      <c r="D1" s="47"/>
      <c r="E1" s="47"/>
      <c r="F1" s="4">
        <v>4.68</v>
      </c>
      <c r="G1" s="47"/>
      <c r="H1" s="47"/>
      <c r="I1" s="4">
        <v>4.66</v>
      </c>
      <c r="J1" s="47"/>
      <c r="K1" s="47"/>
      <c r="L1" s="4">
        <v>4.66</v>
      </c>
      <c r="M1" s="47"/>
      <c r="N1" s="47"/>
      <c r="O1" s="112" t="s">
        <v>92</v>
      </c>
      <c r="P1" s="47"/>
      <c r="Q1" s="47"/>
      <c r="R1" s="4">
        <v>3.82</v>
      </c>
      <c r="S1" s="47"/>
      <c r="T1" s="47"/>
      <c r="U1" s="4"/>
      <c r="V1" s="47"/>
      <c r="W1" s="47"/>
      <c r="X1" s="4"/>
      <c r="Y1" s="47"/>
      <c r="Z1" s="47"/>
      <c r="AA1" s="4"/>
      <c r="AB1" s="47"/>
      <c r="AC1" s="47"/>
      <c r="AD1" s="4"/>
      <c r="AE1" s="47"/>
      <c r="AF1" s="47"/>
      <c r="AG1" s="4">
        <v>4.7</v>
      </c>
      <c r="AH1" s="47"/>
      <c r="AI1" s="47"/>
      <c r="AJ1" s="4"/>
      <c r="AK1" s="47"/>
      <c r="AL1" s="47"/>
      <c r="AM1" s="4">
        <v>4.59</v>
      </c>
      <c r="AN1" s="47"/>
      <c r="AO1" s="47"/>
      <c r="AP1" s="4"/>
      <c r="AQ1" s="47"/>
      <c r="AR1" s="47"/>
      <c r="AS1" s="4"/>
      <c r="AT1" s="47"/>
      <c r="AU1" s="47"/>
      <c r="AV1" s="4"/>
      <c r="AW1" s="47"/>
      <c r="AX1" s="47"/>
      <c r="AY1" s="4"/>
      <c r="AZ1" s="47"/>
      <c r="BA1" s="47"/>
      <c r="BB1" s="4"/>
      <c r="BC1" s="47"/>
      <c r="BD1" s="47"/>
      <c r="BE1" s="4"/>
      <c r="BF1" s="47"/>
      <c r="BG1" s="47"/>
      <c r="BH1" s="4"/>
      <c r="BI1" s="47"/>
      <c r="BJ1" s="47"/>
      <c r="BK1" s="4"/>
      <c r="BL1" s="47"/>
      <c r="BM1" s="47"/>
      <c r="BN1" s="4"/>
      <c r="BO1" s="47"/>
      <c r="BP1" s="47"/>
      <c r="BQ1" s="4"/>
      <c r="BR1" s="47"/>
      <c r="BS1" s="47"/>
      <c r="BT1" s="4"/>
      <c r="BU1" s="47"/>
      <c r="BV1" s="47"/>
      <c r="BW1" s="4"/>
      <c r="BX1" s="47"/>
      <c r="BY1" s="47"/>
      <c r="BZ1" s="4"/>
      <c r="CA1" s="47"/>
      <c r="CB1" s="47"/>
      <c r="CC1" s="4"/>
      <c r="CD1" s="47"/>
      <c r="CE1" s="47"/>
      <c r="CF1" s="4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50"/>
      <c r="DT1" s="50"/>
      <c r="DU1" s="50"/>
      <c r="DV1" s="50"/>
      <c r="DW1" s="47"/>
      <c r="DX1" s="47"/>
      <c r="DY1" s="51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</row>
    <row r="2" spans="1:178" s="16" customFormat="1" ht="12.75" customHeight="1" x14ac:dyDescent="0.2">
      <c r="A2" s="6" t="s">
        <v>35</v>
      </c>
      <c r="B2" s="6"/>
      <c r="C2" s="9">
        <v>318431</v>
      </c>
      <c r="D2" s="9"/>
      <c r="E2" s="9"/>
      <c r="F2" s="9">
        <v>319348</v>
      </c>
      <c r="G2" s="9"/>
      <c r="H2" s="9"/>
      <c r="I2" s="9">
        <v>319254</v>
      </c>
      <c r="J2" s="9"/>
      <c r="K2" s="9"/>
      <c r="L2" s="9">
        <v>319313</v>
      </c>
      <c r="M2" s="9"/>
      <c r="N2" s="9"/>
      <c r="O2" s="9" t="s">
        <v>93</v>
      </c>
      <c r="P2" s="9"/>
      <c r="Q2" s="9"/>
      <c r="R2" s="9">
        <v>324087</v>
      </c>
      <c r="S2" s="9"/>
      <c r="U2" s="9">
        <v>326246</v>
      </c>
      <c r="V2" s="9"/>
      <c r="W2" s="9"/>
      <c r="X2" s="9">
        <v>327053</v>
      </c>
      <c r="Y2" s="9"/>
      <c r="Z2" s="9"/>
      <c r="AA2" s="9">
        <v>319348</v>
      </c>
      <c r="AB2" s="9"/>
      <c r="AC2" s="9"/>
      <c r="AD2" s="9">
        <v>339651</v>
      </c>
      <c r="AE2" s="9"/>
      <c r="AF2" s="9"/>
      <c r="AG2" s="9">
        <v>341270</v>
      </c>
      <c r="AH2" s="9"/>
      <c r="AI2" s="9"/>
      <c r="AJ2" s="9">
        <v>319348</v>
      </c>
      <c r="AK2" s="9"/>
      <c r="AL2" s="9"/>
      <c r="AM2" s="9">
        <v>345447</v>
      </c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55"/>
      <c r="DV2" s="56"/>
      <c r="DW2" s="9"/>
      <c r="DX2" s="9"/>
      <c r="DY2" s="108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57"/>
      <c r="EM2" s="57"/>
      <c r="EN2" s="57"/>
      <c r="EO2" s="57"/>
      <c r="EP2" s="57"/>
      <c r="EQ2" s="57"/>
      <c r="ER2" s="57"/>
      <c r="ES2" s="57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9"/>
      <c r="FQ2" s="59"/>
      <c r="FR2" s="59"/>
      <c r="FS2" s="59"/>
      <c r="FT2" s="59"/>
      <c r="FU2" s="59"/>
      <c r="FV2" s="59"/>
    </row>
    <row r="3" spans="1:178" s="16" customFormat="1" ht="12.75" customHeight="1" x14ac:dyDescent="0.2">
      <c r="A3" s="6" t="s">
        <v>77</v>
      </c>
      <c r="B3" s="6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U3" s="9"/>
      <c r="V3" s="9"/>
      <c r="W3" s="9"/>
      <c r="X3" s="113" t="s">
        <v>34</v>
      </c>
      <c r="Y3" s="9"/>
      <c r="Z3" s="9"/>
      <c r="AA3" s="9"/>
      <c r="AB3" s="9"/>
      <c r="AC3" s="9"/>
      <c r="AD3" s="15" t="s">
        <v>33</v>
      </c>
      <c r="AE3" s="9"/>
      <c r="AF3" s="9"/>
      <c r="AG3" s="15" t="s">
        <v>33</v>
      </c>
      <c r="AH3" s="9"/>
      <c r="AI3" s="9"/>
      <c r="AJ3" s="15" t="s">
        <v>33</v>
      </c>
      <c r="AK3" s="9"/>
      <c r="AL3" s="9"/>
      <c r="AM3" s="15" t="s">
        <v>33</v>
      </c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55"/>
      <c r="DV3" s="56"/>
      <c r="DW3" s="9"/>
      <c r="DX3" s="9"/>
      <c r="DY3" s="108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57"/>
      <c r="EM3" s="57"/>
      <c r="EN3" s="57"/>
      <c r="EO3" s="57"/>
      <c r="EP3" s="57"/>
      <c r="EQ3" s="57"/>
      <c r="ER3" s="57"/>
      <c r="ES3" s="57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9"/>
      <c r="FQ3" s="59"/>
      <c r="FR3" s="59"/>
      <c r="FS3" s="59"/>
      <c r="FT3" s="59"/>
      <c r="FU3" s="59"/>
      <c r="FV3" s="59"/>
    </row>
    <row r="4" spans="1:178" s="16" customFormat="1" ht="12.75" customHeight="1" x14ac:dyDescent="0.2">
      <c r="A4" s="6" t="s">
        <v>65</v>
      </c>
      <c r="B4" s="6" t="s">
        <v>66</v>
      </c>
      <c r="C4" s="9" t="s">
        <v>15</v>
      </c>
      <c r="D4" s="9"/>
      <c r="E4" s="9" t="s">
        <v>62</v>
      </c>
      <c r="F4" s="9" t="s">
        <v>94</v>
      </c>
      <c r="G4" s="9"/>
      <c r="H4" s="9" t="s">
        <v>62</v>
      </c>
      <c r="I4" s="9" t="s">
        <v>10</v>
      </c>
      <c r="J4" s="9"/>
      <c r="K4" s="9" t="s">
        <v>62</v>
      </c>
      <c r="L4" s="9" t="s">
        <v>10</v>
      </c>
      <c r="M4" s="9"/>
      <c r="N4" s="9" t="s">
        <v>62</v>
      </c>
      <c r="O4" s="9" t="s">
        <v>27</v>
      </c>
      <c r="P4" s="9"/>
      <c r="Q4" s="9" t="s">
        <v>62</v>
      </c>
      <c r="R4" s="9" t="s">
        <v>95</v>
      </c>
      <c r="S4" s="9"/>
      <c r="T4" s="9" t="s">
        <v>62</v>
      </c>
      <c r="U4" s="9" t="s">
        <v>9</v>
      </c>
      <c r="V4" s="9"/>
      <c r="W4" s="9" t="s">
        <v>62</v>
      </c>
      <c r="X4" s="9" t="s">
        <v>79</v>
      </c>
      <c r="Y4" s="9"/>
      <c r="Z4" s="9" t="s">
        <v>62</v>
      </c>
      <c r="AA4" s="9" t="s">
        <v>94</v>
      </c>
      <c r="AB4" s="9"/>
      <c r="AC4" s="9" t="s">
        <v>62</v>
      </c>
      <c r="AD4" s="9" t="s">
        <v>299</v>
      </c>
      <c r="AE4" s="9"/>
      <c r="AF4" s="9" t="s">
        <v>62</v>
      </c>
      <c r="AG4" s="9" t="s">
        <v>79</v>
      </c>
      <c r="AH4" s="9"/>
      <c r="AI4" s="9" t="s">
        <v>62</v>
      </c>
      <c r="AJ4" s="9" t="s">
        <v>94</v>
      </c>
      <c r="AK4" s="9"/>
      <c r="AL4" s="9" t="s">
        <v>62</v>
      </c>
      <c r="AM4" s="9" t="s">
        <v>301</v>
      </c>
      <c r="AN4" s="9"/>
      <c r="AO4" s="9" t="s">
        <v>62</v>
      </c>
      <c r="AP4" s="9"/>
      <c r="AQ4" s="9"/>
      <c r="AR4" s="9" t="s">
        <v>62</v>
      </c>
      <c r="AS4" s="9"/>
      <c r="AT4" s="9"/>
      <c r="AU4" s="9" t="s">
        <v>62</v>
      </c>
      <c r="AV4" s="9"/>
      <c r="AW4" s="9"/>
      <c r="AX4" s="9" t="s">
        <v>62</v>
      </c>
      <c r="AY4" s="9"/>
      <c r="AZ4" s="9"/>
      <c r="BA4" s="9" t="s">
        <v>62</v>
      </c>
      <c r="BB4" s="9"/>
      <c r="BC4" s="9"/>
      <c r="BD4" s="9" t="s">
        <v>62</v>
      </c>
      <c r="BE4" s="9"/>
      <c r="BF4" s="9"/>
      <c r="BG4" s="9" t="s">
        <v>62</v>
      </c>
      <c r="BH4" s="9"/>
      <c r="BI4" s="9"/>
      <c r="BJ4" s="9" t="s">
        <v>62</v>
      </c>
      <c r="BK4" s="9"/>
      <c r="BL4" s="9"/>
      <c r="BM4" s="9" t="s">
        <v>62</v>
      </c>
      <c r="BN4" s="9"/>
      <c r="BO4" s="9"/>
      <c r="BP4" s="9" t="s">
        <v>62</v>
      </c>
      <c r="BQ4" s="9"/>
      <c r="BR4" s="9"/>
      <c r="BS4" s="9" t="s">
        <v>62</v>
      </c>
      <c r="BT4" s="9"/>
      <c r="BU4" s="9"/>
      <c r="BV4" s="9" t="s">
        <v>62</v>
      </c>
      <c r="BW4" s="9"/>
      <c r="BX4" s="9"/>
      <c r="BY4" s="9" t="s">
        <v>62</v>
      </c>
      <c r="BZ4" s="9"/>
      <c r="CA4" s="9"/>
      <c r="CB4" s="9" t="s">
        <v>62</v>
      </c>
      <c r="CC4" s="9"/>
      <c r="CD4" s="9"/>
      <c r="CE4" s="9" t="s">
        <v>62</v>
      </c>
      <c r="CF4" s="9"/>
      <c r="CG4" s="9"/>
      <c r="CH4" s="9" t="s">
        <v>62</v>
      </c>
      <c r="CI4" s="9"/>
      <c r="CJ4" s="9"/>
      <c r="CK4" s="9" t="s">
        <v>62</v>
      </c>
      <c r="CL4" s="9"/>
      <c r="CM4" s="9"/>
      <c r="CN4" s="9" t="s">
        <v>62</v>
      </c>
      <c r="CO4" s="9"/>
      <c r="CP4" s="9"/>
      <c r="CQ4" s="9" t="s">
        <v>62</v>
      </c>
      <c r="CR4" s="9"/>
      <c r="CS4" s="9"/>
      <c r="CT4" s="9" t="s">
        <v>62</v>
      </c>
      <c r="CU4" s="9"/>
      <c r="CV4" s="9"/>
      <c r="CW4" s="9" t="s">
        <v>62</v>
      </c>
      <c r="CX4" s="9"/>
      <c r="CY4" s="9"/>
      <c r="CZ4" s="9" t="s">
        <v>62</v>
      </c>
      <c r="DA4" s="9"/>
      <c r="DB4" s="9"/>
      <c r="DC4" s="9" t="s">
        <v>62</v>
      </c>
      <c r="DD4" s="9"/>
      <c r="DE4" s="9"/>
      <c r="DF4" s="9" t="s">
        <v>62</v>
      </c>
      <c r="DG4" s="9"/>
      <c r="DH4" s="9"/>
      <c r="DI4" s="9" t="s">
        <v>62</v>
      </c>
      <c r="DJ4" s="9"/>
      <c r="DK4" s="9"/>
      <c r="DL4" s="9" t="s">
        <v>62</v>
      </c>
      <c r="DM4" s="9"/>
      <c r="DN4" s="9"/>
      <c r="DO4" s="9" t="s">
        <v>62</v>
      </c>
      <c r="DP4" s="9"/>
      <c r="DQ4" s="9"/>
      <c r="DR4" s="9" t="s">
        <v>62</v>
      </c>
      <c r="DS4" s="6" t="s">
        <v>40</v>
      </c>
      <c r="DT4" s="7" t="s">
        <v>40</v>
      </c>
      <c r="DV4" s="56"/>
      <c r="DW4" s="9"/>
      <c r="DX4" s="9"/>
      <c r="DY4" s="108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57"/>
      <c r="EM4" s="57"/>
      <c r="EN4" s="57"/>
      <c r="EO4" s="57"/>
      <c r="EP4" s="57"/>
      <c r="EQ4" s="57"/>
      <c r="ER4" s="57"/>
      <c r="ES4" s="57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9"/>
      <c r="FQ4" s="59"/>
      <c r="FR4" s="59"/>
      <c r="FS4" s="59"/>
      <c r="FT4" s="59"/>
      <c r="FU4" s="59"/>
      <c r="FV4" s="59"/>
    </row>
    <row r="5" spans="1:178" s="71" customFormat="1" ht="12.75" customHeight="1" x14ac:dyDescent="0.2">
      <c r="A5" s="6" t="s">
        <v>41</v>
      </c>
      <c r="B5" s="6" t="s">
        <v>68</v>
      </c>
      <c r="C5" s="20" t="s">
        <v>51</v>
      </c>
      <c r="D5" s="20"/>
      <c r="E5" s="20" t="s">
        <v>69</v>
      </c>
      <c r="F5" s="20" t="s">
        <v>44</v>
      </c>
      <c r="G5" s="20"/>
      <c r="H5" s="20" t="s">
        <v>69</v>
      </c>
      <c r="I5" s="20" t="s">
        <v>96</v>
      </c>
      <c r="J5" s="20"/>
      <c r="K5" s="20" t="s">
        <v>69</v>
      </c>
      <c r="L5" s="20" t="s">
        <v>51</v>
      </c>
      <c r="M5" s="20"/>
      <c r="N5" s="20" t="s">
        <v>69</v>
      </c>
      <c r="O5" s="20" t="s">
        <v>97</v>
      </c>
      <c r="P5" s="20"/>
      <c r="Q5" s="20" t="s">
        <v>69</v>
      </c>
      <c r="R5" s="20" t="s">
        <v>98</v>
      </c>
      <c r="S5" s="20"/>
      <c r="T5" s="20" t="s">
        <v>69</v>
      </c>
      <c r="U5" s="20" t="s">
        <v>98</v>
      </c>
      <c r="V5" s="20"/>
      <c r="W5" s="20" t="s">
        <v>69</v>
      </c>
      <c r="X5" s="20" t="s">
        <v>48</v>
      </c>
      <c r="Y5" s="20"/>
      <c r="Z5" s="20" t="s">
        <v>69</v>
      </c>
      <c r="AA5" s="20" t="s">
        <v>48</v>
      </c>
      <c r="AB5" s="20"/>
      <c r="AC5" s="20" t="s">
        <v>69</v>
      </c>
      <c r="AD5" s="20" t="s">
        <v>47</v>
      </c>
      <c r="AE5" s="20"/>
      <c r="AF5" s="20" t="s">
        <v>69</v>
      </c>
      <c r="AG5" s="20" t="s">
        <v>55</v>
      </c>
      <c r="AH5" s="20"/>
      <c r="AI5" s="20" t="s">
        <v>69</v>
      </c>
      <c r="AJ5" s="20" t="s">
        <v>47</v>
      </c>
      <c r="AK5" s="20"/>
      <c r="AL5" s="20" t="s">
        <v>69</v>
      </c>
      <c r="AM5" s="20"/>
      <c r="AN5" s="20"/>
      <c r="AO5" s="20" t="s">
        <v>69</v>
      </c>
      <c r="AP5" s="20"/>
      <c r="AQ5" s="20"/>
      <c r="AR5" s="20" t="s">
        <v>69</v>
      </c>
      <c r="AS5" s="20"/>
      <c r="AT5" s="20"/>
      <c r="AU5" s="20" t="s">
        <v>69</v>
      </c>
      <c r="AV5" s="20"/>
      <c r="AW5" s="20"/>
      <c r="AX5" s="20" t="s">
        <v>69</v>
      </c>
      <c r="AY5" s="20"/>
      <c r="AZ5" s="20"/>
      <c r="BA5" s="20" t="s">
        <v>69</v>
      </c>
      <c r="BB5" s="20"/>
      <c r="BC5" s="20"/>
      <c r="BD5" s="20" t="s">
        <v>69</v>
      </c>
      <c r="BE5" s="20"/>
      <c r="BF5" s="20"/>
      <c r="BG5" s="20" t="s">
        <v>69</v>
      </c>
      <c r="BH5" s="20"/>
      <c r="BI5" s="20"/>
      <c r="BJ5" s="20" t="s">
        <v>69</v>
      </c>
      <c r="BK5" s="20"/>
      <c r="BL5" s="20"/>
      <c r="BM5" s="20" t="s">
        <v>69</v>
      </c>
      <c r="BN5" s="20"/>
      <c r="BO5" s="20"/>
      <c r="BP5" s="20" t="s">
        <v>69</v>
      </c>
      <c r="BQ5" s="20"/>
      <c r="BR5" s="20"/>
      <c r="BS5" s="20" t="s">
        <v>69</v>
      </c>
      <c r="BT5" s="20"/>
      <c r="BU5" s="20"/>
      <c r="BV5" s="20" t="s">
        <v>69</v>
      </c>
      <c r="BW5" s="20"/>
      <c r="BX5" s="20"/>
      <c r="BY5" s="20" t="s">
        <v>69</v>
      </c>
      <c r="BZ5" s="20"/>
      <c r="CA5" s="20"/>
      <c r="CB5" s="20" t="s">
        <v>69</v>
      </c>
      <c r="CC5" s="20"/>
      <c r="CD5" s="20"/>
      <c r="CE5" s="20" t="s">
        <v>69</v>
      </c>
      <c r="CF5" s="20"/>
      <c r="CG5" s="20"/>
      <c r="CH5" s="20" t="s">
        <v>69</v>
      </c>
      <c r="CI5" s="20"/>
      <c r="CJ5" s="20"/>
      <c r="CK5" s="20" t="s">
        <v>69</v>
      </c>
      <c r="CL5" s="20"/>
      <c r="CM5" s="20"/>
      <c r="CN5" s="20" t="s">
        <v>69</v>
      </c>
      <c r="CO5" s="20"/>
      <c r="CP5" s="20"/>
      <c r="CQ5" s="20" t="s">
        <v>69</v>
      </c>
      <c r="CR5" s="20"/>
      <c r="CS5" s="20"/>
      <c r="CT5" s="20" t="s">
        <v>69</v>
      </c>
      <c r="CU5" s="20"/>
      <c r="CV5" s="20"/>
      <c r="CW5" s="20" t="s">
        <v>69</v>
      </c>
      <c r="CX5" s="20"/>
      <c r="CY5" s="20"/>
      <c r="CZ5" s="20" t="s">
        <v>69</v>
      </c>
      <c r="DA5" s="20"/>
      <c r="DB5" s="20"/>
      <c r="DC5" s="20" t="s">
        <v>69</v>
      </c>
      <c r="DD5" s="20"/>
      <c r="DE5" s="20"/>
      <c r="DF5" s="20" t="s">
        <v>69</v>
      </c>
      <c r="DG5" s="20"/>
      <c r="DH5" s="20"/>
      <c r="DI5" s="20" t="s">
        <v>69</v>
      </c>
      <c r="DJ5" s="20"/>
      <c r="DK5" s="20"/>
      <c r="DL5" s="20" t="s">
        <v>69</v>
      </c>
      <c r="DM5" s="20"/>
      <c r="DN5" s="20"/>
      <c r="DO5" s="20" t="s">
        <v>69</v>
      </c>
      <c r="DP5" s="20"/>
      <c r="DQ5" s="20"/>
      <c r="DR5" s="20" t="s">
        <v>69</v>
      </c>
      <c r="DS5" s="56" t="s">
        <v>58</v>
      </c>
      <c r="DT5" s="56" t="s">
        <v>70</v>
      </c>
      <c r="DU5" s="56" t="s">
        <v>69</v>
      </c>
      <c r="DV5" s="20"/>
      <c r="DW5" s="20"/>
      <c r="DX5" s="20"/>
      <c r="DY5" s="109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68"/>
      <c r="EM5" s="68"/>
      <c r="EN5" s="68"/>
      <c r="EO5" s="68"/>
      <c r="EP5" s="68"/>
      <c r="EQ5" s="68"/>
      <c r="ER5" s="68"/>
      <c r="ES5" s="68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70"/>
      <c r="FQ5" s="70"/>
      <c r="FR5" s="70"/>
      <c r="FS5" s="70"/>
      <c r="FT5" s="70"/>
      <c r="FU5" s="70"/>
      <c r="FV5" s="70"/>
    </row>
    <row r="6" spans="1:178" s="78" customFormat="1" x14ac:dyDescent="0.2">
      <c r="A6" s="72">
        <f>+BaseloadMarkets!A6</f>
        <v>36708</v>
      </c>
      <c r="B6" s="72" t="str">
        <f>+BaseloadMarkets!B6</f>
        <v>Sat</v>
      </c>
      <c r="C6" s="23">
        <v>4382</v>
      </c>
      <c r="D6" s="23">
        <v>4382</v>
      </c>
      <c r="E6" s="73">
        <f t="shared" ref="E6:E36" si="0">D6-C6</f>
        <v>0</v>
      </c>
      <c r="F6" s="23">
        <v>9890</v>
      </c>
      <c r="G6" s="23">
        <v>9890</v>
      </c>
      <c r="H6" s="73">
        <f t="shared" ref="H6:H36" si="1">G6-F6</f>
        <v>0</v>
      </c>
      <c r="I6" s="23">
        <v>4000</v>
      </c>
      <c r="J6" s="23">
        <v>4000</v>
      </c>
      <c r="K6" s="73">
        <f t="shared" ref="K6:K36" si="2">J6-I6</f>
        <v>0</v>
      </c>
      <c r="L6" s="23">
        <f>8586-4625+3400</f>
        <v>7361</v>
      </c>
      <c r="M6" s="23">
        <f>8586-4625+3400</f>
        <v>7361</v>
      </c>
      <c r="N6" s="73">
        <f t="shared" ref="N6:N36" si="3">M6-L6</f>
        <v>0</v>
      </c>
      <c r="O6" s="23">
        <v>43323</v>
      </c>
      <c r="P6" s="23">
        <f>16000+7323+20000</f>
        <v>43323</v>
      </c>
      <c r="Q6" s="73">
        <f t="shared" ref="Q6:Q36" si="4">P6-O6</f>
        <v>0</v>
      </c>
      <c r="R6" s="23"/>
      <c r="S6" s="23"/>
      <c r="T6" s="73">
        <f t="shared" ref="T6:T36" si="5">S6-R6</f>
        <v>0</v>
      </c>
      <c r="U6" s="23"/>
      <c r="V6" s="23"/>
      <c r="W6" s="73">
        <f t="shared" ref="W6:W36" si="6">V6-U6</f>
        <v>0</v>
      </c>
      <c r="X6" s="23"/>
      <c r="Y6" s="23"/>
      <c r="Z6" s="73">
        <f t="shared" ref="Z6:Z36" si="7">Y6-X6</f>
        <v>0</v>
      </c>
      <c r="AA6" s="23"/>
      <c r="AB6" s="23"/>
      <c r="AC6" s="73">
        <f t="shared" ref="AC6:AC36" si="8">AB6-AA6</f>
        <v>0</v>
      </c>
      <c r="AD6" s="23"/>
      <c r="AE6" s="23"/>
      <c r="AF6" s="73">
        <f t="shared" ref="AF6:AF36" si="9">AE6-AD6</f>
        <v>0</v>
      </c>
      <c r="AG6" s="23"/>
      <c r="AH6" s="23"/>
      <c r="AI6" s="73">
        <f t="shared" ref="AI6:AI36" si="10">AH6-AG6</f>
        <v>0</v>
      </c>
      <c r="AJ6" s="23"/>
      <c r="AK6" s="23"/>
      <c r="AL6" s="73">
        <f t="shared" ref="AL6:AL36" si="11">AK6-AJ6</f>
        <v>0</v>
      </c>
      <c r="AM6" s="23"/>
      <c r="AN6" s="23"/>
      <c r="AO6" s="73">
        <f t="shared" ref="AO6:AO36" si="12">AN6-AM6</f>
        <v>0</v>
      </c>
      <c r="AP6" s="23"/>
      <c r="AQ6" s="23"/>
      <c r="AR6" s="73">
        <f t="shared" ref="AR6:AR36" si="13">AQ6-AP6</f>
        <v>0</v>
      </c>
      <c r="AS6" s="23"/>
      <c r="AT6" s="23"/>
      <c r="AU6" s="73">
        <f t="shared" ref="AU6:AU36" si="14">AT6-AS6</f>
        <v>0</v>
      </c>
      <c r="AV6" s="23"/>
      <c r="AW6" s="23"/>
      <c r="AX6" s="73">
        <f t="shared" ref="AX6:AX36" si="15">AW6-AV6</f>
        <v>0</v>
      </c>
      <c r="AY6" s="23"/>
      <c r="AZ6" s="23"/>
      <c r="BA6" s="73">
        <f t="shared" ref="BA6:BA36" si="16">AZ6-AY6</f>
        <v>0</v>
      </c>
      <c r="BB6" s="23"/>
      <c r="BC6" s="23"/>
      <c r="BD6" s="73">
        <f t="shared" ref="BD6:BD36" si="17">BC6-BB6</f>
        <v>0</v>
      </c>
      <c r="BE6" s="23"/>
      <c r="BF6" s="23"/>
      <c r="BG6" s="73">
        <f t="shared" ref="BG6:BG36" si="18">BF6-BE6</f>
        <v>0</v>
      </c>
      <c r="BH6" s="23"/>
      <c r="BI6" s="23"/>
      <c r="BJ6" s="73">
        <f t="shared" ref="BJ6:BJ36" si="19">BI6-BH6</f>
        <v>0</v>
      </c>
      <c r="BK6" s="23"/>
      <c r="BL6" s="23"/>
      <c r="BM6" s="73">
        <f t="shared" ref="BM6:BM36" si="20">BL6-BK6</f>
        <v>0</v>
      </c>
      <c r="BN6" s="23"/>
      <c r="BO6" s="23"/>
      <c r="BP6" s="73">
        <f t="shared" ref="BP6:BP36" si="21">BO6-BN6</f>
        <v>0</v>
      </c>
      <c r="BQ6" s="23"/>
      <c r="BR6" s="23"/>
      <c r="BS6" s="73">
        <f t="shared" ref="BS6:BS36" si="22">BR6-BQ6</f>
        <v>0</v>
      </c>
      <c r="BT6" s="23"/>
      <c r="BU6" s="23"/>
      <c r="BV6" s="73">
        <f t="shared" ref="BV6:BV36" si="23">BU6-BT6</f>
        <v>0</v>
      </c>
      <c r="BW6" s="23"/>
      <c r="BX6" s="23"/>
      <c r="BY6" s="73">
        <f t="shared" ref="BY6:BY36" si="24">BX6-BW6</f>
        <v>0</v>
      </c>
      <c r="BZ6" s="23"/>
      <c r="CA6" s="23"/>
      <c r="CB6" s="73">
        <f t="shared" ref="CB6:CB36" si="25">CA6-BZ6</f>
        <v>0</v>
      </c>
      <c r="CC6" s="23"/>
      <c r="CD6" s="23"/>
      <c r="CE6" s="73">
        <f t="shared" ref="CE6:CE36" si="26">CD6-CC6</f>
        <v>0</v>
      </c>
      <c r="CF6" s="23"/>
      <c r="CG6" s="23"/>
      <c r="CH6" s="73">
        <f t="shared" ref="CH6:CH36" si="27">CG6-CF6</f>
        <v>0</v>
      </c>
      <c r="CI6" s="23"/>
      <c r="CJ6" s="23"/>
      <c r="CK6" s="73">
        <f t="shared" ref="CK6:CK36" si="28">CJ6-CI6</f>
        <v>0</v>
      </c>
      <c r="CL6" s="23"/>
      <c r="CM6" s="23"/>
      <c r="CN6" s="73">
        <f t="shared" ref="CN6:CN36" si="29">CM6-CL6</f>
        <v>0</v>
      </c>
      <c r="CO6" s="23"/>
      <c r="CP6" s="23"/>
      <c r="CQ6" s="73">
        <f t="shared" ref="CQ6:CQ36" si="30">CP6-CO6</f>
        <v>0</v>
      </c>
      <c r="CR6" s="23"/>
      <c r="CS6" s="23"/>
      <c r="CT6" s="73">
        <f t="shared" ref="CT6:CT36" si="31">CS6-CR6</f>
        <v>0</v>
      </c>
      <c r="CU6" s="23"/>
      <c r="CV6" s="23"/>
      <c r="CW6" s="73">
        <f t="shared" ref="CW6:CW36" si="32">CV6-CU6</f>
        <v>0</v>
      </c>
      <c r="CX6" s="23"/>
      <c r="CY6" s="23"/>
      <c r="CZ6" s="73">
        <f t="shared" ref="CZ6:CZ36" si="33">CY6-CX6</f>
        <v>0</v>
      </c>
      <c r="DA6" s="23"/>
      <c r="DB6" s="23"/>
      <c r="DC6" s="73">
        <f t="shared" ref="DC6:DC36" si="34">DB6-DA6</f>
        <v>0</v>
      </c>
      <c r="DD6" s="23"/>
      <c r="DE6" s="23"/>
      <c r="DF6" s="73">
        <f t="shared" ref="DF6:DF36" si="35">DE6-DD6</f>
        <v>0</v>
      </c>
      <c r="DG6" s="23"/>
      <c r="DH6" s="23"/>
      <c r="DI6" s="73">
        <f t="shared" ref="DI6:DI36" si="36">DH6-DG6</f>
        <v>0</v>
      </c>
      <c r="DJ6" s="23"/>
      <c r="DK6" s="23"/>
      <c r="DL6" s="73">
        <f t="shared" ref="DL6:DL36" si="37">DK6-DJ6</f>
        <v>0</v>
      </c>
      <c r="DM6" s="23"/>
      <c r="DN6" s="23"/>
      <c r="DO6" s="73">
        <f t="shared" ref="DO6:DO36" si="38">DN6-DM6</f>
        <v>0</v>
      </c>
      <c r="DP6" s="23"/>
      <c r="DQ6" s="23"/>
      <c r="DR6" s="73">
        <f t="shared" ref="DR6:DR36" si="39">DQ6-DP6</f>
        <v>0</v>
      </c>
      <c r="DS6" s="73">
        <f t="shared" ref="DS6:DS36" si="40">+C6+F6+I6+L6+O6+R6+U6+X6+AA6+AD6+AG6+AJ6+AM6+AP6+AS6+AV6+AY6+BB6+BE6+BH6+BK6+BN6+BQ6+BT6+BW6+BZ6+CC6+CF6+CI6+CL6+CO6+CR6+CU6+CX6+DA6+DD6+DG6+DJ6+DM6+DP6</f>
        <v>68956</v>
      </c>
      <c r="DT6" s="73">
        <f t="shared" ref="DT6:DT36" si="41">+D6+G6+J6+M6+P6+S6+V6+Y6+AB6+AE6+AH6+AK6+AN6+AQ6+AT6+AW6+AZ6+BC6+BF6+BI6+BL6+BO6+BR6+BU6+BX6+CA6+CD6+CG6+CJ6+CM6+CP6+CS6+CV6+CY6+DB6+DE6+DH6+DK6+DN6+DQ6</f>
        <v>68956</v>
      </c>
      <c r="DU6" s="73">
        <f t="shared" ref="DU6:DU36" si="42">DT6-DS6</f>
        <v>0</v>
      </c>
      <c r="DV6" s="23"/>
      <c r="DW6" s="23"/>
      <c r="DX6" s="7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40"/>
      <c r="EM6" s="40"/>
      <c r="EN6" s="40"/>
      <c r="EO6" s="40"/>
      <c r="EP6" s="40"/>
      <c r="EQ6" s="40"/>
      <c r="ER6" s="40"/>
      <c r="ES6" s="40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/>
      <c r="FF6" s="76"/>
      <c r="FG6" s="76"/>
      <c r="FH6" s="76"/>
      <c r="FI6" s="76"/>
      <c r="FJ6" s="76"/>
      <c r="FK6" s="76"/>
      <c r="FL6" s="76"/>
      <c r="FM6" s="76"/>
      <c r="FN6" s="76"/>
      <c r="FO6" s="76"/>
      <c r="FP6" s="77"/>
      <c r="FQ6" s="77"/>
      <c r="FR6" s="77"/>
      <c r="FS6" s="77"/>
      <c r="FT6" s="77"/>
      <c r="FU6" s="77"/>
      <c r="FV6" s="77"/>
    </row>
    <row r="7" spans="1:178" s="78" customFormat="1" x14ac:dyDescent="0.2">
      <c r="A7" s="72">
        <f>+BaseloadMarkets!A7</f>
        <v>36709</v>
      </c>
      <c r="B7" s="72" t="str">
        <f>+BaseloadMarkets!B7</f>
        <v>Sun</v>
      </c>
      <c r="C7" s="23">
        <v>3312</v>
      </c>
      <c r="D7" s="23">
        <v>3312</v>
      </c>
      <c r="E7" s="73">
        <f t="shared" si="0"/>
        <v>0</v>
      </c>
      <c r="F7" s="23">
        <v>11492</v>
      </c>
      <c r="G7" s="23">
        <v>11492</v>
      </c>
      <c r="H7" s="73">
        <f t="shared" si="1"/>
        <v>0</v>
      </c>
      <c r="I7" s="23">
        <v>4000</v>
      </c>
      <c r="J7" s="23">
        <v>4000</v>
      </c>
      <c r="K7" s="73">
        <f t="shared" si="2"/>
        <v>0</v>
      </c>
      <c r="L7" s="23">
        <f>8616-4625+2310</f>
        <v>6301</v>
      </c>
      <c r="M7" s="23">
        <f>8616-4625+2310</f>
        <v>6301</v>
      </c>
      <c r="N7" s="73">
        <f t="shared" si="3"/>
        <v>0</v>
      </c>
      <c r="O7" s="23">
        <v>44216</v>
      </c>
      <c r="P7" s="23">
        <f>8216+20000+16000</f>
        <v>44216</v>
      </c>
      <c r="Q7" s="73">
        <f t="shared" si="4"/>
        <v>0</v>
      </c>
      <c r="R7" s="23"/>
      <c r="S7" s="23"/>
      <c r="T7" s="73">
        <f t="shared" si="5"/>
        <v>0</v>
      </c>
      <c r="U7" s="23"/>
      <c r="V7" s="23"/>
      <c r="W7" s="73">
        <f t="shared" si="6"/>
        <v>0</v>
      </c>
      <c r="X7" s="23"/>
      <c r="Y7" s="23"/>
      <c r="Z7" s="73">
        <f t="shared" si="7"/>
        <v>0</v>
      </c>
      <c r="AA7" s="23"/>
      <c r="AB7" s="23"/>
      <c r="AC7" s="73">
        <f t="shared" si="8"/>
        <v>0</v>
      </c>
      <c r="AD7" s="23"/>
      <c r="AE7" s="23"/>
      <c r="AF7" s="73">
        <f t="shared" si="9"/>
        <v>0</v>
      </c>
      <c r="AG7" s="23"/>
      <c r="AH7" s="23"/>
      <c r="AI7" s="73">
        <f t="shared" si="10"/>
        <v>0</v>
      </c>
      <c r="AJ7" s="23"/>
      <c r="AK7" s="23"/>
      <c r="AL7" s="73">
        <f t="shared" si="11"/>
        <v>0</v>
      </c>
      <c r="AM7" s="23"/>
      <c r="AN7" s="23"/>
      <c r="AO7" s="73">
        <f t="shared" si="12"/>
        <v>0</v>
      </c>
      <c r="AP7" s="23"/>
      <c r="AQ7" s="23"/>
      <c r="AR7" s="73">
        <f t="shared" si="13"/>
        <v>0</v>
      </c>
      <c r="AS7" s="23"/>
      <c r="AT7" s="23"/>
      <c r="AU7" s="73">
        <f t="shared" si="14"/>
        <v>0</v>
      </c>
      <c r="AV7" s="23"/>
      <c r="AW7" s="23"/>
      <c r="AX7" s="73">
        <f t="shared" si="15"/>
        <v>0</v>
      </c>
      <c r="AY7" s="23"/>
      <c r="AZ7" s="23"/>
      <c r="BA7" s="73">
        <f t="shared" si="16"/>
        <v>0</v>
      </c>
      <c r="BB7" s="23"/>
      <c r="BC7" s="23"/>
      <c r="BD7" s="73">
        <f t="shared" si="17"/>
        <v>0</v>
      </c>
      <c r="BE7" s="23"/>
      <c r="BF7" s="23"/>
      <c r="BG7" s="73">
        <f t="shared" si="18"/>
        <v>0</v>
      </c>
      <c r="BH7" s="23"/>
      <c r="BI7" s="23"/>
      <c r="BJ7" s="73">
        <f t="shared" si="19"/>
        <v>0</v>
      </c>
      <c r="BK7" s="23"/>
      <c r="BL7" s="23"/>
      <c r="BM7" s="73">
        <f t="shared" si="20"/>
        <v>0</v>
      </c>
      <c r="BN7" s="23"/>
      <c r="BO7" s="23"/>
      <c r="BP7" s="73">
        <f t="shared" si="21"/>
        <v>0</v>
      </c>
      <c r="BQ7" s="23"/>
      <c r="BR7" s="23"/>
      <c r="BS7" s="73">
        <f t="shared" si="22"/>
        <v>0</v>
      </c>
      <c r="BT7" s="23"/>
      <c r="BU7" s="23"/>
      <c r="BV7" s="73">
        <f t="shared" si="23"/>
        <v>0</v>
      </c>
      <c r="BW7" s="23"/>
      <c r="BX7" s="23"/>
      <c r="BY7" s="73">
        <f t="shared" si="24"/>
        <v>0</v>
      </c>
      <c r="BZ7" s="23"/>
      <c r="CA7" s="23"/>
      <c r="CB7" s="73">
        <f t="shared" si="25"/>
        <v>0</v>
      </c>
      <c r="CC7" s="23"/>
      <c r="CD7" s="23"/>
      <c r="CE7" s="73">
        <f t="shared" si="26"/>
        <v>0</v>
      </c>
      <c r="CF7" s="23"/>
      <c r="CG7" s="23"/>
      <c r="CH7" s="73">
        <f t="shared" si="27"/>
        <v>0</v>
      </c>
      <c r="CI7" s="23"/>
      <c r="CJ7" s="23"/>
      <c r="CK7" s="73">
        <f t="shared" si="28"/>
        <v>0</v>
      </c>
      <c r="CL7" s="23"/>
      <c r="CM7" s="23"/>
      <c r="CN7" s="73">
        <f t="shared" si="29"/>
        <v>0</v>
      </c>
      <c r="CO7" s="23"/>
      <c r="CP7" s="23"/>
      <c r="CQ7" s="73">
        <f t="shared" si="30"/>
        <v>0</v>
      </c>
      <c r="CR7" s="23"/>
      <c r="CS7" s="23"/>
      <c r="CT7" s="73">
        <f t="shared" si="31"/>
        <v>0</v>
      </c>
      <c r="CU7" s="23"/>
      <c r="CV7" s="23"/>
      <c r="CW7" s="73">
        <f t="shared" si="32"/>
        <v>0</v>
      </c>
      <c r="CX7" s="23"/>
      <c r="CY7" s="23"/>
      <c r="CZ7" s="73">
        <f t="shared" si="33"/>
        <v>0</v>
      </c>
      <c r="DA7" s="23"/>
      <c r="DB7" s="23"/>
      <c r="DC7" s="73">
        <f t="shared" si="34"/>
        <v>0</v>
      </c>
      <c r="DD7" s="23"/>
      <c r="DE7" s="23"/>
      <c r="DF7" s="73">
        <f t="shared" si="35"/>
        <v>0</v>
      </c>
      <c r="DG7" s="23"/>
      <c r="DH7" s="23"/>
      <c r="DI7" s="73">
        <f t="shared" si="36"/>
        <v>0</v>
      </c>
      <c r="DJ7" s="23"/>
      <c r="DK7" s="23"/>
      <c r="DL7" s="73">
        <f t="shared" si="37"/>
        <v>0</v>
      </c>
      <c r="DM7" s="23"/>
      <c r="DN7" s="23"/>
      <c r="DO7" s="73">
        <f t="shared" si="38"/>
        <v>0</v>
      </c>
      <c r="DP7" s="23"/>
      <c r="DQ7" s="23"/>
      <c r="DR7" s="73">
        <f t="shared" si="39"/>
        <v>0</v>
      </c>
      <c r="DS7" s="73">
        <f t="shared" si="40"/>
        <v>69321</v>
      </c>
      <c r="DT7" s="73">
        <f t="shared" si="41"/>
        <v>69321</v>
      </c>
      <c r="DU7" s="73">
        <f t="shared" si="42"/>
        <v>0</v>
      </c>
      <c r="DV7" s="23"/>
      <c r="DW7" s="23"/>
      <c r="DX7" s="7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40"/>
      <c r="EM7" s="40"/>
      <c r="EN7" s="40"/>
      <c r="EO7" s="40"/>
      <c r="EP7" s="40"/>
      <c r="EQ7" s="40"/>
      <c r="ER7" s="40"/>
      <c r="ES7" s="40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7"/>
      <c r="FQ7" s="77"/>
      <c r="FR7" s="77"/>
      <c r="FS7" s="77"/>
      <c r="FT7" s="77"/>
      <c r="FU7" s="77"/>
      <c r="FV7" s="77"/>
    </row>
    <row r="8" spans="1:178" x14ac:dyDescent="0.2">
      <c r="A8" s="72">
        <f>+BaseloadMarkets!A8</f>
        <v>36710</v>
      </c>
      <c r="B8" s="72" t="str">
        <f>+BaseloadMarkets!B8</f>
        <v>Mon</v>
      </c>
      <c r="C8" s="23">
        <v>3245</v>
      </c>
      <c r="D8" s="23">
        <v>3245</v>
      </c>
      <c r="E8" s="73">
        <f t="shared" si="0"/>
        <v>0</v>
      </c>
      <c r="F8" s="23">
        <v>11505</v>
      </c>
      <c r="G8" s="23">
        <v>11505</v>
      </c>
      <c r="H8" s="73">
        <f t="shared" si="1"/>
        <v>0</v>
      </c>
      <c r="I8" s="23">
        <v>4000</v>
      </c>
      <c r="J8" s="23">
        <v>4000</v>
      </c>
      <c r="K8" s="73">
        <f t="shared" si="2"/>
        <v>0</v>
      </c>
      <c r="L8" s="23">
        <f>7104-4625+3061</f>
        <v>5540</v>
      </c>
      <c r="M8" s="23">
        <f>7104-4625+3061</f>
        <v>5540</v>
      </c>
      <c r="N8" s="73">
        <f t="shared" si="3"/>
        <v>0</v>
      </c>
      <c r="O8" s="23">
        <v>42578</v>
      </c>
      <c r="P8" s="23">
        <f>6578+20000+16000</f>
        <v>42578</v>
      </c>
      <c r="Q8" s="73">
        <f t="shared" si="4"/>
        <v>0</v>
      </c>
      <c r="R8" s="23"/>
      <c r="S8" s="23"/>
      <c r="T8" s="73">
        <f t="shared" si="5"/>
        <v>0</v>
      </c>
      <c r="U8" s="23"/>
      <c r="V8" s="23"/>
      <c r="W8" s="73">
        <f t="shared" si="6"/>
        <v>0</v>
      </c>
      <c r="X8" s="23"/>
      <c r="Y8" s="23"/>
      <c r="Z8" s="73">
        <f t="shared" si="7"/>
        <v>0</v>
      </c>
      <c r="AA8" s="23"/>
      <c r="AB8" s="23"/>
      <c r="AC8" s="73">
        <f t="shared" si="8"/>
        <v>0</v>
      </c>
      <c r="AD8" s="23"/>
      <c r="AE8" s="23"/>
      <c r="AF8" s="73">
        <f t="shared" si="9"/>
        <v>0</v>
      </c>
      <c r="AG8" s="23"/>
      <c r="AH8" s="23"/>
      <c r="AI8" s="73">
        <f t="shared" si="10"/>
        <v>0</v>
      </c>
      <c r="AJ8" s="23"/>
      <c r="AK8" s="23"/>
      <c r="AL8" s="73">
        <f t="shared" si="11"/>
        <v>0</v>
      </c>
      <c r="AM8" s="23"/>
      <c r="AN8" s="23"/>
      <c r="AO8" s="73">
        <f t="shared" si="12"/>
        <v>0</v>
      </c>
      <c r="AP8" s="23"/>
      <c r="AQ8" s="23"/>
      <c r="AR8" s="73">
        <f t="shared" si="13"/>
        <v>0</v>
      </c>
      <c r="AS8" s="23"/>
      <c r="AT8" s="23"/>
      <c r="AU8" s="73">
        <f t="shared" si="14"/>
        <v>0</v>
      </c>
      <c r="AV8" s="23"/>
      <c r="AW8" s="23"/>
      <c r="AX8" s="73">
        <f t="shared" si="15"/>
        <v>0</v>
      </c>
      <c r="AY8" s="23"/>
      <c r="AZ8" s="23"/>
      <c r="BA8" s="73">
        <f t="shared" si="16"/>
        <v>0</v>
      </c>
      <c r="BB8" s="23"/>
      <c r="BC8" s="23"/>
      <c r="BD8" s="73">
        <f t="shared" si="17"/>
        <v>0</v>
      </c>
      <c r="BE8" s="23"/>
      <c r="BF8" s="23"/>
      <c r="BG8" s="73">
        <f t="shared" si="18"/>
        <v>0</v>
      </c>
      <c r="BH8" s="23"/>
      <c r="BI8" s="23"/>
      <c r="BJ8" s="73">
        <f t="shared" si="19"/>
        <v>0</v>
      </c>
      <c r="BK8" s="23"/>
      <c r="BL8" s="23"/>
      <c r="BM8" s="73">
        <f t="shared" si="20"/>
        <v>0</v>
      </c>
      <c r="BN8" s="23"/>
      <c r="BO8" s="23"/>
      <c r="BP8" s="73">
        <f t="shared" si="21"/>
        <v>0</v>
      </c>
      <c r="BQ8" s="23"/>
      <c r="BR8" s="23"/>
      <c r="BS8" s="73">
        <f t="shared" si="22"/>
        <v>0</v>
      </c>
      <c r="BT8" s="23"/>
      <c r="BU8" s="23"/>
      <c r="BV8" s="73">
        <f t="shared" si="23"/>
        <v>0</v>
      </c>
      <c r="BW8" s="23"/>
      <c r="BX8" s="23"/>
      <c r="BY8" s="73">
        <f t="shared" si="24"/>
        <v>0</v>
      </c>
      <c r="BZ8" s="23"/>
      <c r="CA8" s="23"/>
      <c r="CB8" s="73">
        <f t="shared" si="25"/>
        <v>0</v>
      </c>
      <c r="CC8" s="23"/>
      <c r="CD8" s="23"/>
      <c r="CE8" s="73">
        <f t="shared" si="26"/>
        <v>0</v>
      </c>
      <c r="CF8" s="23"/>
      <c r="CG8" s="23"/>
      <c r="CH8" s="73">
        <f t="shared" si="27"/>
        <v>0</v>
      </c>
      <c r="CI8" s="23"/>
      <c r="CJ8" s="23"/>
      <c r="CK8" s="73">
        <f t="shared" si="28"/>
        <v>0</v>
      </c>
      <c r="CL8" s="23"/>
      <c r="CM8" s="23"/>
      <c r="CN8" s="73">
        <f t="shared" si="29"/>
        <v>0</v>
      </c>
      <c r="CO8" s="23"/>
      <c r="CP8" s="23"/>
      <c r="CQ8" s="73">
        <f t="shared" si="30"/>
        <v>0</v>
      </c>
      <c r="CR8" s="23"/>
      <c r="CS8" s="23"/>
      <c r="CT8" s="73">
        <f t="shared" si="31"/>
        <v>0</v>
      </c>
      <c r="CU8" s="23"/>
      <c r="CV8" s="23"/>
      <c r="CW8" s="73">
        <f t="shared" si="32"/>
        <v>0</v>
      </c>
      <c r="CX8" s="23"/>
      <c r="CY8" s="23"/>
      <c r="CZ8" s="73">
        <f t="shared" si="33"/>
        <v>0</v>
      </c>
      <c r="DA8" s="23"/>
      <c r="DB8" s="23"/>
      <c r="DC8" s="73">
        <f t="shared" si="34"/>
        <v>0</v>
      </c>
      <c r="DD8" s="23"/>
      <c r="DE8" s="23"/>
      <c r="DF8" s="73">
        <f t="shared" si="35"/>
        <v>0</v>
      </c>
      <c r="DG8" s="23"/>
      <c r="DH8" s="23"/>
      <c r="DI8" s="73">
        <f t="shared" si="36"/>
        <v>0</v>
      </c>
      <c r="DJ8" s="23"/>
      <c r="DK8" s="23"/>
      <c r="DL8" s="73">
        <f t="shared" si="37"/>
        <v>0</v>
      </c>
      <c r="DM8" s="23"/>
      <c r="DN8" s="23"/>
      <c r="DO8" s="73">
        <f t="shared" si="38"/>
        <v>0</v>
      </c>
      <c r="DP8" s="23"/>
      <c r="DQ8" s="23"/>
      <c r="DR8" s="73">
        <f t="shared" si="39"/>
        <v>0</v>
      </c>
      <c r="DS8" s="73">
        <f t="shared" si="40"/>
        <v>66868</v>
      </c>
      <c r="DT8" s="73">
        <f t="shared" si="41"/>
        <v>66868</v>
      </c>
      <c r="DU8" s="73">
        <f t="shared" si="42"/>
        <v>0</v>
      </c>
      <c r="DV8" s="111"/>
      <c r="DW8" s="79"/>
      <c r="DX8" s="79"/>
      <c r="DY8" s="111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</row>
    <row r="9" spans="1:178" x14ac:dyDescent="0.2">
      <c r="A9" s="72">
        <f>+BaseloadMarkets!A9</f>
        <v>36711</v>
      </c>
      <c r="B9" s="72" t="str">
        <f>+BaseloadMarkets!B9</f>
        <v>Tues</v>
      </c>
      <c r="C9" s="23">
        <f>485+2770</f>
        <v>3255</v>
      </c>
      <c r="D9" s="23">
        <v>3255</v>
      </c>
      <c r="E9" s="73">
        <f t="shared" si="0"/>
        <v>0</v>
      </c>
      <c r="F9" s="23">
        <v>11638</v>
      </c>
      <c r="G9" s="23">
        <v>11638</v>
      </c>
      <c r="H9" s="73">
        <f t="shared" si="1"/>
        <v>0</v>
      </c>
      <c r="I9" s="23">
        <v>4000</v>
      </c>
      <c r="J9" s="23">
        <v>4000</v>
      </c>
      <c r="K9" s="73">
        <f t="shared" si="2"/>
        <v>0</v>
      </c>
      <c r="L9" s="23">
        <f>8537-4625+3703</f>
        <v>7615</v>
      </c>
      <c r="M9" s="23">
        <f>8537-4625+3703</f>
        <v>7615</v>
      </c>
      <c r="N9" s="73">
        <f t="shared" si="3"/>
        <v>0</v>
      </c>
      <c r="O9" s="23">
        <f>16000+8091+20000</f>
        <v>44091</v>
      </c>
      <c r="P9" s="23">
        <f>20000+16000+3128+4963</f>
        <v>44091</v>
      </c>
      <c r="Q9" s="73">
        <f t="shared" si="4"/>
        <v>0</v>
      </c>
      <c r="R9" s="23"/>
      <c r="S9" s="23"/>
      <c r="T9" s="73">
        <f t="shared" si="5"/>
        <v>0</v>
      </c>
      <c r="U9" s="23"/>
      <c r="V9" s="23"/>
      <c r="W9" s="73">
        <f t="shared" si="6"/>
        <v>0</v>
      </c>
      <c r="X9" s="23"/>
      <c r="Y9" s="23"/>
      <c r="Z9" s="73">
        <f t="shared" si="7"/>
        <v>0</v>
      </c>
      <c r="AA9" s="23"/>
      <c r="AB9" s="23"/>
      <c r="AC9" s="73">
        <f t="shared" si="8"/>
        <v>0</v>
      </c>
      <c r="AD9" s="23"/>
      <c r="AE9" s="23"/>
      <c r="AF9" s="73">
        <f t="shared" si="9"/>
        <v>0</v>
      </c>
      <c r="AG9" s="23"/>
      <c r="AH9" s="23"/>
      <c r="AI9" s="73">
        <f t="shared" si="10"/>
        <v>0</v>
      </c>
      <c r="AJ9" s="23"/>
      <c r="AK9" s="23"/>
      <c r="AL9" s="73">
        <f t="shared" si="11"/>
        <v>0</v>
      </c>
      <c r="AM9" s="23"/>
      <c r="AN9" s="23"/>
      <c r="AO9" s="73">
        <f t="shared" si="12"/>
        <v>0</v>
      </c>
      <c r="AP9" s="23"/>
      <c r="AQ9" s="23"/>
      <c r="AR9" s="73">
        <f t="shared" si="13"/>
        <v>0</v>
      </c>
      <c r="AS9" s="23"/>
      <c r="AT9" s="23"/>
      <c r="AU9" s="73">
        <f t="shared" si="14"/>
        <v>0</v>
      </c>
      <c r="AV9" s="23"/>
      <c r="AW9" s="23"/>
      <c r="AX9" s="73">
        <f t="shared" si="15"/>
        <v>0</v>
      </c>
      <c r="AY9" s="23"/>
      <c r="AZ9" s="23"/>
      <c r="BA9" s="73">
        <f t="shared" si="16"/>
        <v>0</v>
      </c>
      <c r="BB9" s="23"/>
      <c r="BC9" s="23"/>
      <c r="BD9" s="73">
        <f t="shared" si="17"/>
        <v>0</v>
      </c>
      <c r="BE9" s="23"/>
      <c r="BF9" s="23"/>
      <c r="BG9" s="73">
        <f t="shared" si="18"/>
        <v>0</v>
      </c>
      <c r="BH9" s="23"/>
      <c r="BI9" s="23"/>
      <c r="BJ9" s="73">
        <f t="shared" si="19"/>
        <v>0</v>
      </c>
      <c r="BK9" s="23"/>
      <c r="BL9" s="23"/>
      <c r="BM9" s="73">
        <f t="shared" si="20"/>
        <v>0</v>
      </c>
      <c r="BN9" s="23"/>
      <c r="BO9" s="23"/>
      <c r="BP9" s="73">
        <f t="shared" si="21"/>
        <v>0</v>
      </c>
      <c r="BQ9" s="23"/>
      <c r="BR9" s="23"/>
      <c r="BS9" s="73">
        <f t="shared" si="22"/>
        <v>0</v>
      </c>
      <c r="BT9" s="23"/>
      <c r="BU9" s="23"/>
      <c r="BV9" s="73">
        <f t="shared" si="23"/>
        <v>0</v>
      </c>
      <c r="BW9" s="23"/>
      <c r="BX9" s="23"/>
      <c r="BY9" s="73">
        <f t="shared" si="24"/>
        <v>0</v>
      </c>
      <c r="BZ9" s="23"/>
      <c r="CA9" s="23"/>
      <c r="CB9" s="73">
        <f t="shared" si="25"/>
        <v>0</v>
      </c>
      <c r="CC9" s="23"/>
      <c r="CD9" s="23"/>
      <c r="CE9" s="73">
        <f t="shared" si="26"/>
        <v>0</v>
      </c>
      <c r="CF9" s="23"/>
      <c r="CG9" s="23"/>
      <c r="CH9" s="73">
        <f t="shared" si="27"/>
        <v>0</v>
      </c>
      <c r="CI9" s="23"/>
      <c r="CJ9" s="23"/>
      <c r="CK9" s="73">
        <f t="shared" si="28"/>
        <v>0</v>
      </c>
      <c r="CL9" s="23"/>
      <c r="CM9" s="23"/>
      <c r="CN9" s="73">
        <f t="shared" si="29"/>
        <v>0</v>
      </c>
      <c r="CO9" s="23"/>
      <c r="CP9" s="23"/>
      <c r="CQ9" s="73">
        <f t="shared" si="30"/>
        <v>0</v>
      </c>
      <c r="CR9" s="23"/>
      <c r="CS9" s="23"/>
      <c r="CT9" s="73">
        <f t="shared" si="31"/>
        <v>0</v>
      </c>
      <c r="CU9" s="23"/>
      <c r="CV9" s="23"/>
      <c r="CW9" s="73">
        <f t="shared" si="32"/>
        <v>0</v>
      </c>
      <c r="CX9" s="23"/>
      <c r="CY9" s="23"/>
      <c r="CZ9" s="73">
        <f t="shared" si="33"/>
        <v>0</v>
      </c>
      <c r="DA9" s="23"/>
      <c r="DB9" s="23"/>
      <c r="DC9" s="73">
        <f t="shared" si="34"/>
        <v>0</v>
      </c>
      <c r="DD9" s="23"/>
      <c r="DE9" s="23"/>
      <c r="DF9" s="73">
        <f t="shared" si="35"/>
        <v>0</v>
      </c>
      <c r="DG9" s="23"/>
      <c r="DH9" s="23"/>
      <c r="DI9" s="73">
        <f t="shared" si="36"/>
        <v>0</v>
      </c>
      <c r="DJ9" s="23"/>
      <c r="DK9" s="23"/>
      <c r="DL9" s="73">
        <f t="shared" si="37"/>
        <v>0</v>
      </c>
      <c r="DM9" s="23"/>
      <c r="DN9" s="23"/>
      <c r="DO9" s="73">
        <f t="shared" si="38"/>
        <v>0</v>
      </c>
      <c r="DP9" s="23"/>
      <c r="DQ9" s="23"/>
      <c r="DR9" s="73">
        <f t="shared" si="39"/>
        <v>0</v>
      </c>
      <c r="DS9" s="73">
        <f t="shared" si="40"/>
        <v>70599</v>
      </c>
      <c r="DT9" s="73">
        <f t="shared" si="41"/>
        <v>70599</v>
      </c>
      <c r="DU9" s="73">
        <f t="shared" si="42"/>
        <v>0</v>
      </c>
      <c r="DV9" s="111"/>
      <c r="DW9" s="79"/>
      <c r="DX9" s="79"/>
      <c r="DY9" s="111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</row>
    <row r="10" spans="1:178" x14ac:dyDescent="0.2">
      <c r="A10" s="72">
        <f>+BaseloadMarkets!A10</f>
        <v>36712</v>
      </c>
      <c r="B10" s="72" t="str">
        <f>+BaseloadMarkets!B10</f>
        <v>Wed</v>
      </c>
      <c r="C10" s="23">
        <v>3265</v>
      </c>
      <c r="D10" s="23">
        <f>485+2780</f>
        <v>3265</v>
      </c>
      <c r="E10" s="73">
        <f t="shared" si="0"/>
        <v>0</v>
      </c>
      <c r="F10" s="23">
        <v>11551</v>
      </c>
      <c r="G10" s="23">
        <v>11551</v>
      </c>
      <c r="H10" s="73">
        <f t="shared" si="1"/>
        <v>0</v>
      </c>
      <c r="I10" s="23">
        <v>4000</v>
      </c>
      <c r="J10" s="23">
        <v>4000</v>
      </c>
      <c r="K10" s="73">
        <f t="shared" si="2"/>
        <v>0</v>
      </c>
      <c r="L10" s="23">
        <f>8550-4625+2604</f>
        <v>6529</v>
      </c>
      <c r="M10" s="23">
        <f>8550-4625+2604</f>
        <v>6529</v>
      </c>
      <c r="N10" s="73">
        <f t="shared" si="3"/>
        <v>0</v>
      </c>
      <c r="O10" s="23">
        <v>43845</v>
      </c>
      <c r="P10" s="23">
        <f>16000+7845+20000</f>
        <v>43845</v>
      </c>
      <c r="Q10" s="73">
        <f t="shared" si="4"/>
        <v>0</v>
      </c>
      <c r="R10" s="23"/>
      <c r="S10" s="23"/>
      <c r="T10" s="73">
        <f t="shared" si="5"/>
        <v>0</v>
      </c>
      <c r="U10" s="23"/>
      <c r="V10" s="23"/>
      <c r="W10" s="73">
        <f t="shared" si="6"/>
        <v>0</v>
      </c>
      <c r="X10" s="23"/>
      <c r="Y10" s="23"/>
      <c r="Z10" s="73">
        <f t="shared" si="7"/>
        <v>0</v>
      </c>
      <c r="AA10" s="23"/>
      <c r="AB10" s="23"/>
      <c r="AC10" s="73">
        <f t="shared" si="8"/>
        <v>0</v>
      </c>
      <c r="AD10" s="23"/>
      <c r="AE10" s="23"/>
      <c r="AF10" s="73">
        <f t="shared" si="9"/>
        <v>0</v>
      </c>
      <c r="AG10" s="23"/>
      <c r="AH10" s="23"/>
      <c r="AI10" s="73">
        <f t="shared" si="10"/>
        <v>0</v>
      </c>
      <c r="AJ10" s="23"/>
      <c r="AK10" s="23"/>
      <c r="AL10" s="73">
        <f t="shared" si="11"/>
        <v>0</v>
      </c>
      <c r="AM10" s="23"/>
      <c r="AN10" s="23"/>
      <c r="AO10" s="73">
        <f t="shared" si="12"/>
        <v>0</v>
      </c>
      <c r="AP10" s="23"/>
      <c r="AQ10" s="23"/>
      <c r="AR10" s="73">
        <f t="shared" si="13"/>
        <v>0</v>
      </c>
      <c r="AS10" s="23"/>
      <c r="AT10" s="23"/>
      <c r="AU10" s="73">
        <f t="shared" si="14"/>
        <v>0</v>
      </c>
      <c r="AV10" s="23"/>
      <c r="AW10" s="23"/>
      <c r="AX10" s="73">
        <f t="shared" si="15"/>
        <v>0</v>
      </c>
      <c r="AY10" s="23"/>
      <c r="AZ10" s="23"/>
      <c r="BA10" s="73">
        <f t="shared" si="16"/>
        <v>0</v>
      </c>
      <c r="BB10" s="23"/>
      <c r="BC10" s="23"/>
      <c r="BD10" s="73">
        <f t="shared" si="17"/>
        <v>0</v>
      </c>
      <c r="BE10" s="23"/>
      <c r="BF10" s="23"/>
      <c r="BG10" s="73">
        <f t="shared" si="18"/>
        <v>0</v>
      </c>
      <c r="BH10" s="23"/>
      <c r="BI10" s="23"/>
      <c r="BJ10" s="73">
        <f t="shared" si="19"/>
        <v>0</v>
      </c>
      <c r="BK10" s="23"/>
      <c r="BL10" s="23"/>
      <c r="BM10" s="73">
        <f t="shared" si="20"/>
        <v>0</v>
      </c>
      <c r="BN10" s="23"/>
      <c r="BO10" s="23"/>
      <c r="BP10" s="73">
        <f t="shared" si="21"/>
        <v>0</v>
      </c>
      <c r="BQ10" s="23"/>
      <c r="BR10" s="23"/>
      <c r="BS10" s="73">
        <f t="shared" si="22"/>
        <v>0</v>
      </c>
      <c r="BT10" s="23"/>
      <c r="BU10" s="23"/>
      <c r="BV10" s="73">
        <f t="shared" si="23"/>
        <v>0</v>
      </c>
      <c r="BW10" s="23"/>
      <c r="BX10" s="23"/>
      <c r="BY10" s="73">
        <f t="shared" si="24"/>
        <v>0</v>
      </c>
      <c r="BZ10" s="23"/>
      <c r="CA10" s="23"/>
      <c r="CB10" s="73">
        <f t="shared" si="25"/>
        <v>0</v>
      </c>
      <c r="CC10" s="23"/>
      <c r="CD10" s="23"/>
      <c r="CE10" s="73">
        <f t="shared" si="26"/>
        <v>0</v>
      </c>
      <c r="CF10" s="23"/>
      <c r="CG10" s="23"/>
      <c r="CH10" s="73">
        <f t="shared" si="27"/>
        <v>0</v>
      </c>
      <c r="CI10" s="23"/>
      <c r="CJ10" s="23"/>
      <c r="CK10" s="73">
        <f t="shared" si="28"/>
        <v>0</v>
      </c>
      <c r="CL10" s="23"/>
      <c r="CM10" s="23"/>
      <c r="CN10" s="73">
        <f t="shared" si="29"/>
        <v>0</v>
      </c>
      <c r="CO10" s="23"/>
      <c r="CP10" s="23"/>
      <c r="CQ10" s="73">
        <f t="shared" si="30"/>
        <v>0</v>
      </c>
      <c r="CR10" s="23"/>
      <c r="CS10" s="23"/>
      <c r="CT10" s="73">
        <f t="shared" si="31"/>
        <v>0</v>
      </c>
      <c r="CU10" s="23"/>
      <c r="CV10" s="23"/>
      <c r="CW10" s="73">
        <f t="shared" si="32"/>
        <v>0</v>
      </c>
      <c r="CX10" s="23"/>
      <c r="CY10" s="23"/>
      <c r="CZ10" s="73">
        <f t="shared" si="33"/>
        <v>0</v>
      </c>
      <c r="DA10" s="23"/>
      <c r="DB10" s="23"/>
      <c r="DC10" s="73">
        <f t="shared" si="34"/>
        <v>0</v>
      </c>
      <c r="DD10" s="23"/>
      <c r="DE10" s="23"/>
      <c r="DF10" s="73">
        <f t="shared" si="35"/>
        <v>0</v>
      </c>
      <c r="DG10" s="23"/>
      <c r="DH10" s="23"/>
      <c r="DI10" s="73">
        <f t="shared" si="36"/>
        <v>0</v>
      </c>
      <c r="DJ10" s="23"/>
      <c r="DK10" s="23"/>
      <c r="DL10" s="73">
        <f t="shared" si="37"/>
        <v>0</v>
      </c>
      <c r="DM10" s="23"/>
      <c r="DN10" s="23"/>
      <c r="DO10" s="73">
        <f t="shared" si="38"/>
        <v>0</v>
      </c>
      <c r="DP10" s="23"/>
      <c r="DQ10" s="23"/>
      <c r="DR10" s="73">
        <f t="shared" si="39"/>
        <v>0</v>
      </c>
      <c r="DS10" s="73">
        <f t="shared" si="40"/>
        <v>69190</v>
      </c>
      <c r="DT10" s="73">
        <f t="shared" si="41"/>
        <v>69190</v>
      </c>
      <c r="DU10" s="73">
        <f t="shared" si="42"/>
        <v>0</v>
      </c>
      <c r="DV10" s="111"/>
      <c r="DW10" s="79"/>
      <c r="DX10" s="79"/>
      <c r="DY10" s="111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</row>
    <row r="11" spans="1:178" x14ac:dyDescent="0.2">
      <c r="A11" s="72">
        <f>+BaseloadMarkets!A11</f>
        <v>36713</v>
      </c>
      <c r="B11" s="72" t="str">
        <f>+BaseloadMarkets!B11</f>
        <v>Thu</v>
      </c>
      <c r="C11" s="23"/>
      <c r="D11" s="23"/>
      <c r="E11" s="73">
        <f t="shared" si="0"/>
        <v>0</v>
      </c>
      <c r="F11" s="23"/>
      <c r="G11" s="23"/>
      <c r="H11" s="73">
        <f t="shared" si="1"/>
        <v>0</v>
      </c>
      <c r="I11" s="23"/>
      <c r="J11" s="23"/>
      <c r="K11" s="73">
        <f t="shared" si="2"/>
        <v>0</v>
      </c>
      <c r="L11" s="23"/>
      <c r="M11" s="23"/>
      <c r="N11" s="73">
        <f t="shared" si="3"/>
        <v>0</v>
      </c>
      <c r="O11" s="23">
        <f>50000-4625+2720</f>
        <v>48095</v>
      </c>
      <c r="P11" s="23">
        <f>50000-4625+2720</f>
        <v>48095</v>
      </c>
      <c r="Q11" s="73">
        <f t="shared" si="4"/>
        <v>0</v>
      </c>
      <c r="R11" s="23"/>
      <c r="S11" s="23"/>
      <c r="T11" s="73">
        <f t="shared" si="5"/>
        <v>0</v>
      </c>
      <c r="U11" s="23"/>
      <c r="V11" s="23"/>
      <c r="W11" s="73">
        <f t="shared" si="6"/>
        <v>0</v>
      </c>
      <c r="X11" s="23"/>
      <c r="Y11" s="23"/>
      <c r="Z11" s="73">
        <f t="shared" si="7"/>
        <v>0</v>
      </c>
      <c r="AA11" s="23"/>
      <c r="AB11" s="23"/>
      <c r="AC11" s="73">
        <f t="shared" si="8"/>
        <v>0</v>
      </c>
      <c r="AD11" s="23"/>
      <c r="AE11" s="23"/>
      <c r="AF11" s="73">
        <f t="shared" si="9"/>
        <v>0</v>
      </c>
      <c r="AG11" s="23"/>
      <c r="AH11" s="23"/>
      <c r="AI11" s="73">
        <f t="shared" si="10"/>
        <v>0</v>
      </c>
      <c r="AJ11" s="23"/>
      <c r="AK11" s="23"/>
      <c r="AL11" s="73">
        <f t="shared" si="11"/>
        <v>0</v>
      </c>
      <c r="AM11" s="23"/>
      <c r="AN11" s="23"/>
      <c r="AO11" s="73">
        <f t="shared" si="12"/>
        <v>0</v>
      </c>
      <c r="AP11" s="23"/>
      <c r="AQ11" s="23"/>
      <c r="AR11" s="73">
        <f t="shared" si="13"/>
        <v>0</v>
      </c>
      <c r="AS11" s="23"/>
      <c r="AT11" s="23"/>
      <c r="AU11" s="73">
        <f t="shared" si="14"/>
        <v>0</v>
      </c>
      <c r="AV11" s="23"/>
      <c r="AW11" s="23"/>
      <c r="AX11" s="73">
        <f t="shared" si="15"/>
        <v>0</v>
      </c>
      <c r="AY11" s="23"/>
      <c r="AZ11" s="23"/>
      <c r="BA11" s="73">
        <f t="shared" si="16"/>
        <v>0</v>
      </c>
      <c r="BB11" s="23"/>
      <c r="BC11" s="23"/>
      <c r="BD11" s="73">
        <f t="shared" si="17"/>
        <v>0</v>
      </c>
      <c r="BE11" s="23"/>
      <c r="BF11" s="23"/>
      <c r="BG11" s="73">
        <f t="shared" si="18"/>
        <v>0</v>
      </c>
      <c r="BH11" s="23"/>
      <c r="BI11" s="23"/>
      <c r="BJ11" s="73">
        <f t="shared" si="19"/>
        <v>0</v>
      </c>
      <c r="BK11" s="23"/>
      <c r="BL11" s="23"/>
      <c r="BM11" s="73">
        <f t="shared" si="20"/>
        <v>0</v>
      </c>
      <c r="BN11" s="23"/>
      <c r="BO11" s="23"/>
      <c r="BP11" s="73">
        <f t="shared" si="21"/>
        <v>0</v>
      </c>
      <c r="BQ11" s="23"/>
      <c r="BR11" s="23"/>
      <c r="BS11" s="73">
        <f t="shared" si="22"/>
        <v>0</v>
      </c>
      <c r="BT11" s="23"/>
      <c r="BU11" s="23"/>
      <c r="BV11" s="73">
        <f t="shared" si="23"/>
        <v>0</v>
      </c>
      <c r="BW11" s="23"/>
      <c r="BX11" s="23"/>
      <c r="BY11" s="73">
        <f t="shared" si="24"/>
        <v>0</v>
      </c>
      <c r="BZ11" s="23"/>
      <c r="CA11" s="23"/>
      <c r="CB11" s="73">
        <f t="shared" si="25"/>
        <v>0</v>
      </c>
      <c r="CC11" s="23"/>
      <c r="CD11" s="23"/>
      <c r="CE11" s="73">
        <f t="shared" si="26"/>
        <v>0</v>
      </c>
      <c r="CF11" s="23"/>
      <c r="CG11" s="23"/>
      <c r="CH11" s="73">
        <f t="shared" si="27"/>
        <v>0</v>
      </c>
      <c r="CI11" s="23"/>
      <c r="CJ11" s="23"/>
      <c r="CK11" s="73">
        <f t="shared" si="28"/>
        <v>0</v>
      </c>
      <c r="CL11" s="23"/>
      <c r="CM11" s="23"/>
      <c r="CN11" s="73">
        <f t="shared" si="29"/>
        <v>0</v>
      </c>
      <c r="CO11" s="23"/>
      <c r="CP11" s="23"/>
      <c r="CQ11" s="73">
        <f t="shared" si="30"/>
        <v>0</v>
      </c>
      <c r="CR11" s="23"/>
      <c r="CS11" s="23"/>
      <c r="CT11" s="73">
        <f t="shared" si="31"/>
        <v>0</v>
      </c>
      <c r="CU11" s="23"/>
      <c r="CV11" s="23"/>
      <c r="CW11" s="73">
        <f t="shared" si="32"/>
        <v>0</v>
      </c>
      <c r="CX11" s="23"/>
      <c r="CY11" s="23"/>
      <c r="CZ11" s="73">
        <f t="shared" si="33"/>
        <v>0</v>
      </c>
      <c r="DA11" s="23"/>
      <c r="DB11" s="23"/>
      <c r="DC11" s="73">
        <f t="shared" si="34"/>
        <v>0</v>
      </c>
      <c r="DD11" s="23"/>
      <c r="DE11" s="23"/>
      <c r="DF11" s="73">
        <f t="shared" si="35"/>
        <v>0</v>
      </c>
      <c r="DG11" s="23"/>
      <c r="DH11" s="23"/>
      <c r="DI11" s="73">
        <f t="shared" si="36"/>
        <v>0</v>
      </c>
      <c r="DJ11" s="23"/>
      <c r="DK11" s="23"/>
      <c r="DL11" s="73">
        <f t="shared" si="37"/>
        <v>0</v>
      </c>
      <c r="DM11" s="23"/>
      <c r="DN11" s="23"/>
      <c r="DO11" s="73">
        <f t="shared" si="38"/>
        <v>0</v>
      </c>
      <c r="DP11" s="23"/>
      <c r="DQ11" s="23"/>
      <c r="DR11" s="73">
        <f t="shared" si="39"/>
        <v>0</v>
      </c>
      <c r="DS11" s="73">
        <f t="shared" si="40"/>
        <v>48095</v>
      </c>
      <c r="DT11" s="73">
        <f t="shared" si="41"/>
        <v>48095</v>
      </c>
      <c r="DU11" s="73">
        <f t="shared" si="42"/>
        <v>0</v>
      </c>
      <c r="DV11" s="111"/>
      <c r="DW11" s="79"/>
      <c r="DX11" s="79"/>
      <c r="DY11" s="111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</row>
    <row r="12" spans="1:178" x14ac:dyDescent="0.2">
      <c r="A12" s="72">
        <f>+BaseloadMarkets!A12</f>
        <v>36714</v>
      </c>
      <c r="B12" s="72" t="str">
        <f>+BaseloadMarkets!B12</f>
        <v>Fri</v>
      </c>
      <c r="C12" s="23"/>
      <c r="D12" s="23"/>
      <c r="E12" s="73">
        <f t="shared" si="0"/>
        <v>0</v>
      </c>
      <c r="F12" s="23"/>
      <c r="G12" s="23"/>
      <c r="H12" s="73">
        <f t="shared" si="1"/>
        <v>0</v>
      </c>
      <c r="I12" s="23"/>
      <c r="J12" s="23"/>
      <c r="K12" s="73">
        <f t="shared" si="2"/>
        <v>0</v>
      </c>
      <c r="L12" s="23"/>
      <c r="M12" s="23"/>
      <c r="N12" s="73">
        <f t="shared" si="3"/>
        <v>0</v>
      </c>
      <c r="O12" s="23">
        <f>50000-4625+2895</f>
        <v>48270</v>
      </c>
      <c r="P12" s="23">
        <f>50000-4625+2895</f>
        <v>48270</v>
      </c>
      <c r="Q12" s="73">
        <f t="shared" si="4"/>
        <v>0</v>
      </c>
      <c r="R12" s="23"/>
      <c r="S12" s="23"/>
      <c r="T12" s="73">
        <f t="shared" si="5"/>
        <v>0</v>
      </c>
      <c r="U12" s="23"/>
      <c r="V12" s="23"/>
      <c r="W12" s="73">
        <f t="shared" si="6"/>
        <v>0</v>
      </c>
      <c r="X12" s="23"/>
      <c r="Y12" s="23"/>
      <c r="Z12" s="73">
        <f t="shared" si="7"/>
        <v>0</v>
      </c>
      <c r="AA12" s="23"/>
      <c r="AB12" s="23"/>
      <c r="AC12" s="73">
        <f t="shared" si="8"/>
        <v>0</v>
      </c>
      <c r="AD12" s="23"/>
      <c r="AE12" s="23"/>
      <c r="AF12" s="73">
        <f t="shared" si="9"/>
        <v>0</v>
      </c>
      <c r="AG12" s="23"/>
      <c r="AH12" s="23"/>
      <c r="AI12" s="73">
        <f t="shared" si="10"/>
        <v>0</v>
      </c>
      <c r="AJ12" s="23"/>
      <c r="AK12" s="23"/>
      <c r="AL12" s="73">
        <f t="shared" si="11"/>
        <v>0</v>
      </c>
      <c r="AM12" s="23"/>
      <c r="AN12" s="23"/>
      <c r="AO12" s="73">
        <f t="shared" si="12"/>
        <v>0</v>
      </c>
      <c r="AP12" s="23"/>
      <c r="AQ12" s="23"/>
      <c r="AR12" s="73">
        <f t="shared" si="13"/>
        <v>0</v>
      </c>
      <c r="AS12" s="23"/>
      <c r="AT12" s="23"/>
      <c r="AU12" s="73">
        <f t="shared" si="14"/>
        <v>0</v>
      </c>
      <c r="AV12" s="23"/>
      <c r="AW12" s="23"/>
      <c r="AX12" s="73">
        <f t="shared" si="15"/>
        <v>0</v>
      </c>
      <c r="AY12" s="23"/>
      <c r="AZ12" s="23"/>
      <c r="BA12" s="73">
        <f t="shared" si="16"/>
        <v>0</v>
      </c>
      <c r="BB12" s="23"/>
      <c r="BC12" s="23"/>
      <c r="BD12" s="73">
        <f t="shared" si="17"/>
        <v>0</v>
      </c>
      <c r="BE12" s="23"/>
      <c r="BF12" s="23"/>
      <c r="BG12" s="73">
        <f t="shared" si="18"/>
        <v>0</v>
      </c>
      <c r="BH12" s="23"/>
      <c r="BI12" s="23"/>
      <c r="BJ12" s="73">
        <f t="shared" si="19"/>
        <v>0</v>
      </c>
      <c r="BK12" s="23"/>
      <c r="BL12" s="23"/>
      <c r="BM12" s="73">
        <f t="shared" si="20"/>
        <v>0</v>
      </c>
      <c r="BN12" s="23"/>
      <c r="BO12" s="23"/>
      <c r="BP12" s="73">
        <f t="shared" si="21"/>
        <v>0</v>
      </c>
      <c r="BQ12" s="23"/>
      <c r="BR12" s="23"/>
      <c r="BS12" s="73">
        <f t="shared" si="22"/>
        <v>0</v>
      </c>
      <c r="BT12" s="23"/>
      <c r="BU12" s="23"/>
      <c r="BV12" s="73">
        <f t="shared" si="23"/>
        <v>0</v>
      </c>
      <c r="BW12" s="23"/>
      <c r="BX12" s="23"/>
      <c r="BY12" s="73">
        <f t="shared" si="24"/>
        <v>0</v>
      </c>
      <c r="BZ12" s="23"/>
      <c r="CA12" s="23"/>
      <c r="CB12" s="73">
        <f t="shared" si="25"/>
        <v>0</v>
      </c>
      <c r="CC12" s="23"/>
      <c r="CD12" s="23"/>
      <c r="CE12" s="73">
        <f t="shared" si="26"/>
        <v>0</v>
      </c>
      <c r="CF12" s="23"/>
      <c r="CG12" s="23"/>
      <c r="CH12" s="73">
        <f t="shared" si="27"/>
        <v>0</v>
      </c>
      <c r="CI12" s="23"/>
      <c r="CJ12" s="23"/>
      <c r="CK12" s="73">
        <f t="shared" si="28"/>
        <v>0</v>
      </c>
      <c r="CL12" s="23"/>
      <c r="CM12" s="23"/>
      <c r="CN12" s="73">
        <f t="shared" si="29"/>
        <v>0</v>
      </c>
      <c r="CO12" s="23"/>
      <c r="CP12" s="23"/>
      <c r="CQ12" s="73">
        <f t="shared" si="30"/>
        <v>0</v>
      </c>
      <c r="CR12" s="23"/>
      <c r="CS12" s="23"/>
      <c r="CT12" s="73">
        <f t="shared" si="31"/>
        <v>0</v>
      </c>
      <c r="CU12" s="23"/>
      <c r="CV12" s="23"/>
      <c r="CW12" s="73">
        <f t="shared" si="32"/>
        <v>0</v>
      </c>
      <c r="CX12" s="23"/>
      <c r="CY12" s="23"/>
      <c r="CZ12" s="73">
        <f t="shared" si="33"/>
        <v>0</v>
      </c>
      <c r="DA12" s="23"/>
      <c r="DB12" s="23"/>
      <c r="DC12" s="73">
        <f t="shared" si="34"/>
        <v>0</v>
      </c>
      <c r="DD12" s="23"/>
      <c r="DE12" s="23"/>
      <c r="DF12" s="73">
        <f t="shared" si="35"/>
        <v>0</v>
      </c>
      <c r="DG12" s="23"/>
      <c r="DH12" s="23"/>
      <c r="DI12" s="73">
        <f t="shared" si="36"/>
        <v>0</v>
      </c>
      <c r="DJ12" s="23"/>
      <c r="DK12" s="23"/>
      <c r="DL12" s="73">
        <f t="shared" si="37"/>
        <v>0</v>
      </c>
      <c r="DM12" s="23"/>
      <c r="DN12" s="23"/>
      <c r="DO12" s="73">
        <f t="shared" si="38"/>
        <v>0</v>
      </c>
      <c r="DP12" s="23"/>
      <c r="DQ12" s="23"/>
      <c r="DR12" s="73">
        <f t="shared" si="39"/>
        <v>0</v>
      </c>
      <c r="DS12" s="73">
        <f t="shared" si="40"/>
        <v>48270</v>
      </c>
      <c r="DT12" s="73">
        <f t="shared" si="41"/>
        <v>48270</v>
      </c>
      <c r="DU12" s="73">
        <f t="shared" si="42"/>
        <v>0</v>
      </c>
      <c r="DV12" s="111"/>
      <c r="DW12" s="79"/>
      <c r="DX12" s="79"/>
      <c r="DY12" s="111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</row>
    <row r="13" spans="1:178" x14ac:dyDescent="0.2">
      <c r="A13" s="72">
        <f>+BaseloadMarkets!A13</f>
        <v>36715</v>
      </c>
      <c r="B13" s="72" t="str">
        <f>+BaseloadMarkets!B13</f>
        <v>Sat</v>
      </c>
      <c r="C13" s="23"/>
      <c r="D13" s="23"/>
      <c r="E13" s="73">
        <f t="shared" si="0"/>
        <v>0</v>
      </c>
      <c r="F13" s="23"/>
      <c r="G13" s="23"/>
      <c r="H13" s="73">
        <f t="shared" si="1"/>
        <v>0</v>
      </c>
      <c r="I13" s="23"/>
      <c r="J13" s="23"/>
      <c r="K13" s="73">
        <f t="shared" si="2"/>
        <v>0</v>
      </c>
      <c r="L13" s="23"/>
      <c r="M13" s="23"/>
      <c r="N13" s="73">
        <f t="shared" si="3"/>
        <v>0</v>
      </c>
      <c r="O13" s="23">
        <f>37520-4625+2931</f>
        <v>35826</v>
      </c>
      <c r="P13" s="23">
        <f>37520-4625+2931</f>
        <v>35826</v>
      </c>
      <c r="Q13" s="73">
        <f t="shared" si="4"/>
        <v>0</v>
      </c>
      <c r="R13" s="23">
        <v>20000</v>
      </c>
      <c r="S13" s="23">
        <v>20000</v>
      </c>
      <c r="T13" s="73">
        <f t="shared" si="5"/>
        <v>0</v>
      </c>
      <c r="U13" s="23"/>
      <c r="V13" s="23"/>
      <c r="W13" s="73">
        <f t="shared" si="6"/>
        <v>0</v>
      </c>
      <c r="X13" s="23"/>
      <c r="Y13" s="23"/>
      <c r="Z13" s="73">
        <f t="shared" si="7"/>
        <v>0</v>
      </c>
      <c r="AA13" s="23"/>
      <c r="AB13" s="23"/>
      <c r="AC13" s="73">
        <f t="shared" si="8"/>
        <v>0</v>
      </c>
      <c r="AD13" s="23"/>
      <c r="AE13" s="23"/>
      <c r="AF13" s="73">
        <f t="shared" si="9"/>
        <v>0</v>
      </c>
      <c r="AG13" s="23"/>
      <c r="AH13" s="23"/>
      <c r="AI13" s="73">
        <f t="shared" si="10"/>
        <v>0</v>
      </c>
      <c r="AJ13" s="23"/>
      <c r="AK13" s="23"/>
      <c r="AL13" s="73">
        <f t="shared" si="11"/>
        <v>0</v>
      </c>
      <c r="AM13" s="23"/>
      <c r="AN13" s="23"/>
      <c r="AO13" s="73">
        <f t="shared" si="12"/>
        <v>0</v>
      </c>
      <c r="AP13" s="23"/>
      <c r="AQ13" s="23"/>
      <c r="AR13" s="73">
        <f t="shared" si="13"/>
        <v>0</v>
      </c>
      <c r="AS13" s="23"/>
      <c r="AT13" s="23"/>
      <c r="AU13" s="73">
        <f t="shared" si="14"/>
        <v>0</v>
      </c>
      <c r="AV13" s="23"/>
      <c r="AW13" s="23"/>
      <c r="AX13" s="73">
        <f t="shared" si="15"/>
        <v>0</v>
      </c>
      <c r="AY13" s="23"/>
      <c r="AZ13" s="23"/>
      <c r="BA13" s="73">
        <f t="shared" si="16"/>
        <v>0</v>
      </c>
      <c r="BB13" s="23"/>
      <c r="BC13" s="23"/>
      <c r="BD13" s="73">
        <f t="shared" si="17"/>
        <v>0</v>
      </c>
      <c r="BE13" s="23"/>
      <c r="BF13" s="23"/>
      <c r="BG13" s="73">
        <f t="shared" si="18"/>
        <v>0</v>
      </c>
      <c r="BH13" s="23"/>
      <c r="BI13" s="23"/>
      <c r="BJ13" s="73">
        <f t="shared" si="19"/>
        <v>0</v>
      </c>
      <c r="BK13" s="23"/>
      <c r="BL13" s="23"/>
      <c r="BM13" s="73">
        <f t="shared" si="20"/>
        <v>0</v>
      </c>
      <c r="BN13" s="23"/>
      <c r="BO13" s="23"/>
      <c r="BP13" s="73">
        <f t="shared" si="21"/>
        <v>0</v>
      </c>
      <c r="BQ13" s="23"/>
      <c r="BR13" s="23"/>
      <c r="BS13" s="73">
        <f t="shared" si="22"/>
        <v>0</v>
      </c>
      <c r="BT13" s="23"/>
      <c r="BU13" s="23"/>
      <c r="BV13" s="73">
        <f t="shared" si="23"/>
        <v>0</v>
      </c>
      <c r="BW13" s="23"/>
      <c r="BX13" s="23"/>
      <c r="BY13" s="73">
        <f t="shared" si="24"/>
        <v>0</v>
      </c>
      <c r="BZ13" s="23"/>
      <c r="CA13" s="23"/>
      <c r="CB13" s="73">
        <f t="shared" si="25"/>
        <v>0</v>
      </c>
      <c r="CC13" s="23"/>
      <c r="CD13" s="23"/>
      <c r="CE13" s="73">
        <f t="shared" si="26"/>
        <v>0</v>
      </c>
      <c r="CF13" s="23"/>
      <c r="CG13" s="23"/>
      <c r="CH13" s="73">
        <f t="shared" si="27"/>
        <v>0</v>
      </c>
      <c r="CI13" s="23"/>
      <c r="CJ13" s="23"/>
      <c r="CK13" s="73">
        <f t="shared" si="28"/>
        <v>0</v>
      </c>
      <c r="CL13" s="23"/>
      <c r="CM13" s="23"/>
      <c r="CN13" s="73">
        <f t="shared" si="29"/>
        <v>0</v>
      </c>
      <c r="CO13" s="23"/>
      <c r="CP13" s="23"/>
      <c r="CQ13" s="73">
        <f t="shared" si="30"/>
        <v>0</v>
      </c>
      <c r="CR13" s="23"/>
      <c r="CS13" s="23"/>
      <c r="CT13" s="73">
        <f t="shared" si="31"/>
        <v>0</v>
      </c>
      <c r="CU13" s="23"/>
      <c r="CV13" s="23"/>
      <c r="CW13" s="73">
        <f t="shared" si="32"/>
        <v>0</v>
      </c>
      <c r="CX13" s="23"/>
      <c r="CY13" s="23"/>
      <c r="CZ13" s="73">
        <f t="shared" si="33"/>
        <v>0</v>
      </c>
      <c r="DA13" s="23"/>
      <c r="DB13" s="23"/>
      <c r="DC13" s="73">
        <f t="shared" si="34"/>
        <v>0</v>
      </c>
      <c r="DD13" s="23"/>
      <c r="DE13" s="23"/>
      <c r="DF13" s="73">
        <f t="shared" si="35"/>
        <v>0</v>
      </c>
      <c r="DG13" s="23"/>
      <c r="DH13" s="23"/>
      <c r="DI13" s="73">
        <f t="shared" si="36"/>
        <v>0</v>
      </c>
      <c r="DJ13" s="23"/>
      <c r="DK13" s="23"/>
      <c r="DL13" s="73">
        <f t="shared" si="37"/>
        <v>0</v>
      </c>
      <c r="DM13" s="23"/>
      <c r="DN13" s="23"/>
      <c r="DO13" s="73">
        <f t="shared" si="38"/>
        <v>0</v>
      </c>
      <c r="DP13" s="23"/>
      <c r="DQ13" s="23"/>
      <c r="DR13" s="73">
        <f t="shared" si="39"/>
        <v>0</v>
      </c>
      <c r="DS13" s="73">
        <f t="shared" si="40"/>
        <v>55826</v>
      </c>
      <c r="DT13" s="73">
        <f t="shared" si="41"/>
        <v>55826</v>
      </c>
      <c r="DU13" s="73">
        <f t="shared" si="42"/>
        <v>0</v>
      </c>
      <c r="DV13" s="111"/>
      <c r="DW13" s="79"/>
      <c r="DX13" s="79"/>
      <c r="DY13" s="111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</row>
    <row r="14" spans="1:178" x14ac:dyDescent="0.2">
      <c r="A14" s="72">
        <f>+BaseloadMarkets!A14</f>
        <v>36716</v>
      </c>
      <c r="B14" s="72" t="str">
        <f>+BaseloadMarkets!B14</f>
        <v>Sun</v>
      </c>
      <c r="C14" s="23"/>
      <c r="D14" s="23"/>
      <c r="E14" s="73">
        <f t="shared" si="0"/>
        <v>0</v>
      </c>
      <c r="F14" s="23"/>
      <c r="G14" s="23"/>
      <c r="H14" s="73">
        <f t="shared" si="1"/>
        <v>0</v>
      </c>
      <c r="I14" s="23"/>
      <c r="J14" s="23"/>
      <c r="K14" s="73">
        <f t="shared" si="2"/>
        <v>0</v>
      </c>
      <c r="L14" s="23"/>
      <c r="M14" s="23"/>
      <c r="N14" s="73">
        <f t="shared" si="3"/>
        <v>0</v>
      </c>
      <c r="O14" s="23">
        <f>50000-4625+2119</f>
        <v>47494</v>
      </c>
      <c r="P14" s="23">
        <f>50000-4625+2119</f>
        <v>47494</v>
      </c>
      <c r="Q14" s="73">
        <f t="shared" si="4"/>
        <v>0</v>
      </c>
      <c r="R14" s="23">
        <v>20000</v>
      </c>
      <c r="S14" s="23">
        <v>20000</v>
      </c>
      <c r="T14" s="73">
        <f t="shared" si="5"/>
        <v>0</v>
      </c>
      <c r="U14" s="23"/>
      <c r="V14" s="23"/>
      <c r="W14" s="73">
        <f t="shared" si="6"/>
        <v>0</v>
      </c>
      <c r="X14" s="23"/>
      <c r="Y14" s="23"/>
      <c r="Z14" s="73">
        <f t="shared" si="7"/>
        <v>0</v>
      </c>
      <c r="AA14" s="23"/>
      <c r="AB14" s="23"/>
      <c r="AC14" s="73">
        <f t="shared" si="8"/>
        <v>0</v>
      </c>
      <c r="AD14" s="23"/>
      <c r="AE14" s="23"/>
      <c r="AF14" s="73">
        <f t="shared" si="9"/>
        <v>0</v>
      </c>
      <c r="AG14" s="23"/>
      <c r="AH14" s="23"/>
      <c r="AI14" s="73">
        <f t="shared" si="10"/>
        <v>0</v>
      </c>
      <c r="AJ14" s="23"/>
      <c r="AK14" s="23"/>
      <c r="AL14" s="73">
        <f t="shared" si="11"/>
        <v>0</v>
      </c>
      <c r="AM14" s="23"/>
      <c r="AN14" s="23"/>
      <c r="AO14" s="73">
        <f t="shared" si="12"/>
        <v>0</v>
      </c>
      <c r="AP14" s="23"/>
      <c r="AQ14" s="23"/>
      <c r="AR14" s="73">
        <f t="shared" si="13"/>
        <v>0</v>
      </c>
      <c r="AS14" s="23"/>
      <c r="AT14" s="23"/>
      <c r="AU14" s="73">
        <f t="shared" si="14"/>
        <v>0</v>
      </c>
      <c r="AV14" s="23"/>
      <c r="AW14" s="23"/>
      <c r="AX14" s="73">
        <f t="shared" si="15"/>
        <v>0</v>
      </c>
      <c r="AY14" s="23"/>
      <c r="AZ14" s="23"/>
      <c r="BA14" s="73">
        <f t="shared" si="16"/>
        <v>0</v>
      </c>
      <c r="BB14" s="23"/>
      <c r="BC14" s="23"/>
      <c r="BD14" s="73">
        <f t="shared" si="17"/>
        <v>0</v>
      </c>
      <c r="BE14" s="23"/>
      <c r="BF14" s="23"/>
      <c r="BG14" s="73">
        <f t="shared" si="18"/>
        <v>0</v>
      </c>
      <c r="BH14" s="23"/>
      <c r="BI14" s="23"/>
      <c r="BJ14" s="73">
        <f t="shared" si="19"/>
        <v>0</v>
      </c>
      <c r="BK14" s="23"/>
      <c r="BL14" s="23"/>
      <c r="BM14" s="73">
        <f t="shared" si="20"/>
        <v>0</v>
      </c>
      <c r="BN14" s="23"/>
      <c r="BO14" s="23"/>
      <c r="BP14" s="73">
        <f t="shared" si="21"/>
        <v>0</v>
      </c>
      <c r="BQ14" s="23"/>
      <c r="BR14" s="23"/>
      <c r="BS14" s="73">
        <f t="shared" si="22"/>
        <v>0</v>
      </c>
      <c r="BT14" s="23"/>
      <c r="BU14" s="23"/>
      <c r="BV14" s="73">
        <f t="shared" si="23"/>
        <v>0</v>
      </c>
      <c r="BW14" s="23"/>
      <c r="BX14" s="23"/>
      <c r="BY14" s="73">
        <f t="shared" si="24"/>
        <v>0</v>
      </c>
      <c r="BZ14" s="23"/>
      <c r="CA14" s="23"/>
      <c r="CB14" s="73">
        <f t="shared" si="25"/>
        <v>0</v>
      </c>
      <c r="CC14" s="23"/>
      <c r="CD14" s="23"/>
      <c r="CE14" s="73">
        <f t="shared" si="26"/>
        <v>0</v>
      </c>
      <c r="CF14" s="23"/>
      <c r="CG14" s="23"/>
      <c r="CH14" s="73">
        <f t="shared" si="27"/>
        <v>0</v>
      </c>
      <c r="CI14" s="23"/>
      <c r="CJ14" s="23"/>
      <c r="CK14" s="73">
        <f t="shared" si="28"/>
        <v>0</v>
      </c>
      <c r="CL14" s="23"/>
      <c r="CM14" s="23"/>
      <c r="CN14" s="73">
        <f t="shared" si="29"/>
        <v>0</v>
      </c>
      <c r="CO14" s="23"/>
      <c r="CP14" s="23"/>
      <c r="CQ14" s="73">
        <f t="shared" si="30"/>
        <v>0</v>
      </c>
      <c r="CR14" s="23"/>
      <c r="CS14" s="23"/>
      <c r="CT14" s="73">
        <f t="shared" si="31"/>
        <v>0</v>
      </c>
      <c r="CU14" s="23"/>
      <c r="CV14" s="23"/>
      <c r="CW14" s="73">
        <f t="shared" si="32"/>
        <v>0</v>
      </c>
      <c r="CX14" s="23"/>
      <c r="CY14" s="23"/>
      <c r="CZ14" s="73">
        <f t="shared" si="33"/>
        <v>0</v>
      </c>
      <c r="DA14" s="23"/>
      <c r="DB14" s="23"/>
      <c r="DC14" s="73">
        <f t="shared" si="34"/>
        <v>0</v>
      </c>
      <c r="DD14" s="23"/>
      <c r="DE14" s="23"/>
      <c r="DF14" s="73">
        <f t="shared" si="35"/>
        <v>0</v>
      </c>
      <c r="DG14" s="23"/>
      <c r="DH14" s="23"/>
      <c r="DI14" s="73">
        <f t="shared" si="36"/>
        <v>0</v>
      </c>
      <c r="DJ14" s="23"/>
      <c r="DK14" s="23"/>
      <c r="DL14" s="73">
        <f t="shared" si="37"/>
        <v>0</v>
      </c>
      <c r="DM14" s="23"/>
      <c r="DN14" s="23"/>
      <c r="DO14" s="73">
        <f t="shared" si="38"/>
        <v>0</v>
      </c>
      <c r="DP14" s="23"/>
      <c r="DQ14" s="23"/>
      <c r="DR14" s="73">
        <f t="shared" si="39"/>
        <v>0</v>
      </c>
      <c r="DS14" s="73">
        <f t="shared" si="40"/>
        <v>67494</v>
      </c>
      <c r="DT14" s="73">
        <f t="shared" si="41"/>
        <v>67494</v>
      </c>
      <c r="DU14" s="73">
        <f t="shared" si="42"/>
        <v>0</v>
      </c>
      <c r="DV14" s="111"/>
      <c r="DW14" s="79"/>
      <c r="DX14" s="79"/>
      <c r="DY14" s="111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</row>
    <row r="15" spans="1:178" x14ac:dyDescent="0.2">
      <c r="A15" s="72">
        <f>+BaseloadMarkets!A15</f>
        <v>36717</v>
      </c>
      <c r="B15" s="72" t="str">
        <f>+BaseloadMarkets!B15</f>
        <v>Mon</v>
      </c>
      <c r="C15" s="23"/>
      <c r="D15" s="23"/>
      <c r="E15" s="73">
        <f t="shared" si="0"/>
        <v>0</v>
      </c>
      <c r="F15" s="23"/>
      <c r="G15" s="23"/>
      <c r="H15" s="73">
        <f t="shared" si="1"/>
        <v>0</v>
      </c>
      <c r="I15" s="23"/>
      <c r="J15" s="23"/>
      <c r="K15" s="73">
        <f t="shared" si="2"/>
        <v>0</v>
      </c>
      <c r="L15" s="23"/>
      <c r="M15" s="23"/>
      <c r="N15" s="73">
        <f t="shared" si="3"/>
        <v>0</v>
      </c>
      <c r="O15" s="23">
        <f>41185-4625+2301</f>
        <v>38861</v>
      </c>
      <c r="P15" s="23">
        <f>41185-4625+2301</f>
        <v>38861</v>
      </c>
      <c r="Q15" s="73">
        <f t="shared" si="4"/>
        <v>0</v>
      </c>
      <c r="R15" s="23">
        <v>20000</v>
      </c>
      <c r="S15" s="23">
        <v>20000</v>
      </c>
      <c r="T15" s="73">
        <f t="shared" si="5"/>
        <v>0</v>
      </c>
      <c r="U15" s="23"/>
      <c r="V15" s="23"/>
      <c r="W15" s="73">
        <f t="shared" si="6"/>
        <v>0</v>
      </c>
      <c r="X15" s="23"/>
      <c r="Y15" s="23"/>
      <c r="Z15" s="73">
        <f t="shared" si="7"/>
        <v>0</v>
      </c>
      <c r="AA15" s="23"/>
      <c r="AB15" s="23"/>
      <c r="AC15" s="73">
        <f t="shared" si="8"/>
        <v>0</v>
      </c>
      <c r="AD15" s="23"/>
      <c r="AE15" s="23"/>
      <c r="AF15" s="73">
        <f t="shared" si="9"/>
        <v>0</v>
      </c>
      <c r="AG15" s="23"/>
      <c r="AH15" s="23"/>
      <c r="AI15" s="73">
        <f t="shared" si="10"/>
        <v>0</v>
      </c>
      <c r="AJ15" s="23"/>
      <c r="AK15" s="23"/>
      <c r="AL15" s="73">
        <f t="shared" si="11"/>
        <v>0</v>
      </c>
      <c r="AM15" s="23"/>
      <c r="AN15" s="23"/>
      <c r="AO15" s="73">
        <f t="shared" si="12"/>
        <v>0</v>
      </c>
      <c r="AP15" s="23"/>
      <c r="AQ15" s="23"/>
      <c r="AR15" s="73">
        <f t="shared" si="13"/>
        <v>0</v>
      </c>
      <c r="AS15" s="23"/>
      <c r="AT15" s="23"/>
      <c r="AU15" s="73">
        <f t="shared" si="14"/>
        <v>0</v>
      </c>
      <c r="AV15" s="23"/>
      <c r="AW15" s="23"/>
      <c r="AX15" s="73">
        <f t="shared" si="15"/>
        <v>0</v>
      </c>
      <c r="AY15" s="23"/>
      <c r="AZ15" s="23"/>
      <c r="BA15" s="73">
        <f t="shared" si="16"/>
        <v>0</v>
      </c>
      <c r="BB15" s="23"/>
      <c r="BC15" s="23"/>
      <c r="BD15" s="73">
        <f t="shared" si="17"/>
        <v>0</v>
      </c>
      <c r="BE15" s="23"/>
      <c r="BF15" s="23"/>
      <c r="BG15" s="73">
        <f t="shared" si="18"/>
        <v>0</v>
      </c>
      <c r="BH15" s="23"/>
      <c r="BI15" s="23"/>
      <c r="BJ15" s="73">
        <f t="shared" si="19"/>
        <v>0</v>
      </c>
      <c r="BK15" s="23"/>
      <c r="BL15" s="23"/>
      <c r="BM15" s="73">
        <f t="shared" si="20"/>
        <v>0</v>
      </c>
      <c r="BN15" s="23"/>
      <c r="BO15" s="23"/>
      <c r="BP15" s="73">
        <f t="shared" si="21"/>
        <v>0</v>
      </c>
      <c r="BQ15" s="23"/>
      <c r="BR15" s="23"/>
      <c r="BS15" s="73">
        <f t="shared" si="22"/>
        <v>0</v>
      </c>
      <c r="BT15" s="23"/>
      <c r="BU15" s="23"/>
      <c r="BV15" s="73">
        <f t="shared" si="23"/>
        <v>0</v>
      </c>
      <c r="BW15" s="23"/>
      <c r="BX15" s="23"/>
      <c r="BY15" s="73">
        <f t="shared" si="24"/>
        <v>0</v>
      </c>
      <c r="BZ15" s="23"/>
      <c r="CA15" s="23"/>
      <c r="CB15" s="73">
        <f t="shared" si="25"/>
        <v>0</v>
      </c>
      <c r="CC15" s="23"/>
      <c r="CD15" s="23"/>
      <c r="CE15" s="73">
        <f t="shared" si="26"/>
        <v>0</v>
      </c>
      <c r="CF15" s="23"/>
      <c r="CG15" s="23"/>
      <c r="CH15" s="73">
        <f t="shared" si="27"/>
        <v>0</v>
      </c>
      <c r="CI15" s="23"/>
      <c r="CJ15" s="23"/>
      <c r="CK15" s="73">
        <f t="shared" si="28"/>
        <v>0</v>
      </c>
      <c r="CL15" s="23"/>
      <c r="CM15" s="23"/>
      <c r="CN15" s="73">
        <f t="shared" si="29"/>
        <v>0</v>
      </c>
      <c r="CO15" s="23"/>
      <c r="CP15" s="23"/>
      <c r="CQ15" s="73">
        <f t="shared" si="30"/>
        <v>0</v>
      </c>
      <c r="CR15" s="23"/>
      <c r="CS15" s="23"/>
      <c r="CT15" s="73">
        <f t="shared" si="31"/>
        <v>0</v>
      </c>
      <c r="CU15" s="23"/>
      <c r="CV15" s="23"/>
      <c r="CW15" s="73">
        <f t="shared" si="32"/>
        <v>0</v>
      </c>
      <c r="CX15" s="23"/>
      <c r="CY15" s="23"/>
      <c r="CZ15" s="73">
        <f t="shared" si="33"/>
        <v>0</v>
      </c>
      <c r="DA15" s="23"/>
      <c r="DB15" s="23"/>
      <c r="DC15" s="73">
        <f t="shared" si="34"/>
        <v>0</v>
      </c>
      <c r="DD15" s="23"/>
      <c r="DE15" s="23"/>
      <c r="DF15" s="73">
        <f t="shared" si="35"/>
        <v>0</v>
      </c>
      <c r="DG15" s="23"/>
      <c r="DH15" s="23"/>
      <c r="DI15" s="73">
        <f t="shared" si="36"/>
        <v>0</v>
      </c>
      <c r="DJ15" s="23"/>
      <c r="DK15" s="23"/>
      <c r="DL15" s="73">
        <f t="shared" si="37"/>
        <v>0</v>
      </c>
      <c r="DM15" s="23"/>
      <c r="DN15" s="23"/>
      <c r="DO15" s="73">
        <f t="shared" si="38"/>
        <v>0</v>
      </c>
      <c r="DP15" s="23"/>
      <c r="DQ15" s="23"/>
      <c r="DR15" s="73">
        <f t="shared" si="39"/>
        <v>0</v>
      </c>
      <c r="DS15" s="73">
        <f t="shared" si="40"/>
        <v>58861</v>
      </c>
      <c r="DT15" s="73">
        <f t="shared" si="41"/>
        <v>58861</v>
      </c>
      <c r="DU15" s="73">
        <f t="shared" si="42"/>
        <v>0</v>
      </c>
      <c r="DV15" s="111"/>
      <c r="DW15" s="79"/>
      <c r="DX15" s="79"/>
      <c r="DY15" s="111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</row>
    <row r="16" spans="1:178" x14ac:dyDescent="0.2">
      <c r="A16" s="72">
        <f>+BaseloadMarkets!A16</f>
        <v>36718</v>
      </c>
      <c r="B16" s="72" t="str">
        <f>+BaseloadMarkets!B16</f>
        <v>Tues</v>
      </c>
      <c r="C16" s="23"/>
      <c r="D16" s="23"/>
      <c r="E16" s="73">
        <f t="shared" si="0"/>
        <v>0</v>
      </c>
      <c r="F16" s="23"/>
      <c r="G16" s="23"/>
      <c r="H16" s="73">
        <f t="shared" si="1"/>
        <v>0</v>
      </c>
      <c r="I16" s="23"/>
      <c r="J16" s="23"/>
      <c r="K16" s="73">
        <f t="shared" si="2"/>
        <v>0</v>
      </c>
      <c r="L16" s="23"/>
      <c r="M16" s="23"/>
      <c r="N16" s="73">
        <f t="shared" si="3"/>
        <v>0</v>
      </c>
      <c r="O16" s="23">
        <f>6625+43375-4625+2476</f>
        <v>47851</v>
      </c>
      <c r="P16" s="23">
        <f>6625+43375-4625+2476</f>
        <v>47851</v>
      </c>
      <c r="Q16" s="73">
        <f t="shared" si="4"/>
        <v>0</v>
      </c>
      <c r="R16" s="23"/>
      <c r="S16" s="23"/>
      <c r="T16" s="73">
        <f t="shared" si="5"/>
        <v>0</v>
      </c>
      <c r="U16" s="23">
        <v>0</v>
      </c>
      <c r="V16" s="23">
        <v>0</v>
      </c>
      <c r="W16" s="73">
        <f t="shared" si="6"/>
        <v>0</v>
      </c>
      <c r="X16" s="23"/>
      <c r="Y16" s="23"/>
      <c r="Z16" s="73">
        <f t="shared" si="7"/>
        <v>0</v>
      </c>
      <c r="AA16" s="23"/>
      <c r="AB16" s="23"/>
      <c r="AC16" s="73">
        <f t="shared" si="8"/>
        <v>0</v>
      </c>
      <c r="AD16" s="23"/>
      <c r="AE16" s="23"/>
      <c r="AF16" s="73">
        <f t="shared" si="9"/>
        <v>0</v>
      </c>
      <c r="AG16" s="23"/>
      <c r="AH16" s="23"/>
      <c r="AI16" s="73">
        <f t="shared" si="10"/>
        <v>0</v>
      </c>
      <c r="AJ16" s="23"/>
      <c r="AK16" s="23"/>
      <c r="AL16" s="73">
        <f t="shared" si="11"/>
        <v>0</v>
      </c>
      <c r="AM16" s="23"/>
      <c r="AN16" s="23"/>
      <c r="AO16" s="73">
        <f t="shared" si="12"/>
        <v>0</v>
      </c>
      <c r="AP16" s="23"/>
      <c r="AQ16" s="23"/>
      <c r="AR16" s="73">
        <f t="shared" si="13"/>
        <v>0</v>
      </c>
      <c r="AS16" s="23"/>
      <c r="AT16" s="23"/>
      <c r="AU16" s="73">
        <f t="shared" si="14"/>
        <v>0</v>
      </c>
      <c r="AV16" s="23"/>
      <c r="AW16" s="23"/>
      <c r="AX16" s="73">
        <f t="shared" si="15"/>
        <v>0</v>
      </c>
      <c r="AY16" s="23"/>
      <c r="AZ16" s="23"/>
      <c r="BA16" s="73">
        <f t="shared" si="16"/>
        <v>0</v>
      </c>
      <c r="BB16" s="23"/>
      <c r="BC16" s="23"/>
      <c r="BD16" s="73">
        <f t="shared" si="17"/>
        <v>0</v>
      </c>
      <c r="BE16" s="23"/>
      <c r="BF16" s="23"/>
      <c r="BG16" s="73">
        <f t="shared" si="18"/>
        <v>0</v>
      </c>
      <c r="BH16" s="23"/>
      <c r="BI16" s="23"/>
      <c r="BJ16" s="73">
        <f t="shared" si="19"/>
        <v>0</v>
      </c>
      <c r="BK16" s="23"/>
      <c r="BL16" s="23"/>
      <c r="BM16" s="73">
        <f t="shared" si="20"/>
        <v>0</v>
      </c>
      <c r="BN16" s="23"/>
      <c r="BO16" s="23"/>
      <c r="BP16" s="73">
        <f t="shared" si="21"/>
        <v>0</v>
      </c>
      <c r="BQ16" s="23"/>
      <c r="BR16" s="23"/>
      <c r="BS16" s="73">
        <f t="shared" si="22"/>
        <v>0</v>
      </c>
      <c r="BT16" s="23"/>
      <c r="BU16" s="23"/>
      <c r="BV16" s="73">
        <f t="shared" si="23"/>
        <v>0</v>
      </c>
      <c r="BW16" s="23"/>
      <c r="BX16" s="23"/>
      <c r="BY16" s="73">
        <f t="shared" si="24"/>
        <v>0</v>
      </c>
      <c r="BZ16" s="23"/>
      <c r="CA16" s="23"/>
      <c r="CB16" s="73">
        <f t="shared" si="25"/>
        <v>0</v>
      </c>
      <c r="CC16" s="23"/>
      <c r="CD16" s="23"/>
      <c r="CE16" s="73">
        <f t="shared" si="26"/>
        <v>0</v>
      </c>
      <c r="CF16" s="23"/>
      <c r="CG16" s="23"/>
      <c r="CH16" s="73">
        <f t="shared" si="27"/>
        <v>0</v>
      </c>
      <c r="CI16" s="23"/>
      <c r="CJ16" s="23"/>
      <c r="CK16" s="73">
        <f t="shared" si="28"/>
        <v>0</v>
      </c>
      <c r="CL16" s="23"/>
      <c r="CM16" s="23"/>
      <c r="CN16" s="73">
        <f t="shared" si="29"/>
        <v>0</v>
      </c>
      <c r="CO16" s="23"/>
      <c r="CP16" s="23"/>
      <c r="CQ16" s="73">
        <f t="shared" si="30"/>
        <v>0</v>
      </c>
      <c r="CR16" s="23"/>
      <c r="CS16" s="23"/>
      <c r="CT16" s="73">
        <f t="shared" si="31"/>
        <v>0</v>
      </c>
      <c r="CU16" s="23"/>
      <c r="CV16" s="23"/>
      <c r="CW16" s="73">
        <f t="shared" si="32"/>
        <v>0</v>
      </c>
      <c r="CX16" s="23"/>
      <c r="CY16" s="23"/>
      <c r="CZ16" s="73">
        <f t="shared" si="33"/>
        <v>0</v>
      </c>
      <c r="DA16" s="23"/>
      <c r="DB16" s="23"/>
      <c r="DC16" s="73">
        <f t="shared" si="34"/>
        <v>0</v>
      </c>
      <c r="DD16" s="23"/>
      <c r="DE16" s="23"/>
      <c r="DF16" s="73">
        <f t="shared" si="35"/>
        <v>0</v>
      </c>
      <c r="DG16" s="23"/>
      <c r="DH16" s="23"/>
      <c r="DI16" s="73">
        <f t="shared" si="36"/>
        <v>0</v>
      </c>
      <c r="DJ16" s="23"/>
      <c r="DK16" s="23"/>
      <c r="DL16" s="73">
        <f t="shared" si="37"/>
        <v>0</v>
      </c>
      <c r="DM16" s="23"/>
      <c r="DN16" s="23"/>
      <c r="DO16" s="73">
        <f t="shared" si="38"/>
        <v>0</v>
      </c>
      <c r="DP16" s="23"/>
      <c r="DQ16" s="23"/>
      <c r="DR16" s="73">
        <f t="shared" si="39"/>
        <v>0</v>
      </c>
      <c r="DS16" s="73">
        <f t="shared" si="40"/>
        <v>47851</v>
      </c>
      <c r="DT16" s="73">
        <f t="shared" si="41"/>
        <v>47851</v>
      </c>
      <c r="DU16" s="73">
        <f t="shared" si="42"/>
        <v>0</v>
      </c>
      <c r="DV16" s="111"/>
      <c r="DW16" s="79"/>
      <c r="DX16" s="79"/>
      <c r="DY16" s="111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</row>
    <row r="17" spans="1:141" x14ac:dyDescent="0.2">
      <c r="A17" s="72">
        <f>+BaseloadMarkets!A17</f>
        <v>36719</v>
      </c>
      <c r="B17" s="72" t="str">
        <f>+BaseloadMarkets!B17</f>
        <v>Wed</v>
      </c>
      <c r="C17" s="23"/>
      <c r="D17" s="23"/>
      <c r="E17" s="73">
        <f t="shared" si="0"/>
        <v>0</v>
      </c>
      <c r="F17" s="23"/>
      <c r="G17" s="23"/>
      <c r="H17" s="73">
        <f t="shared" si="1"/>
        <v>0</v>
      </c>
      <c r="I17" s="23"/>
      <c r="J17" s="23"/>
      <c r="K17" s="73">
        <f t="shared" si="2"/>
        <v>0</v>
      </c>
      <c r="L17" s="23"/>
      <c r="M17" s="23"/>
      <c r="N17" s="73">
        <f t="shared" si="3"/>
        <v>0</v>
      </c>
      <c r="O17" s="23">
        <f>50000</f>
        <v>50000</v>
      </c>
      <c r="P17" s="23">
        <v>50000</v>
      </c>
      <c r="Q17" s="73">
        <f t="shared" si="4"/>
        <v>0</v>
      </c>
      <c r="R17" s="23"/>
      <c r="S17" s="23"/>
      <c r="T17" s="73">
        <f t="shared" si="5"/>
        <v>0</v>
      </c>
      <c r="U17" s="23"/>
      <c r="V17" s="23"/>
      <c r="W17" s="73">
        <f t="shared" si="6"/>
        <v>0</v>
      </c>
      <c r="X17" s="23"/>
      <c r="Y17" s="23"/>
      <c r="Z17" s="73">
        <f t="shared" si="7"/>
        <v>0</v>
      </c>
      <c r="AA17" s="23"/>
      <c r="AB17" s="23"/>
      <c r="AC17" s="73">
        <f t="shared" si="8"/>
        <v>0</v>
      </c>
      <c r="AD17" s="23"/>
      <c r="AE17" s="23"/>
      <c r="AF17" s="73">
        <f t="shared" si="9"/>
        <v>0</v>
      </c>
      <c r="AG17" s="23"/>
      <c r="AH17" s="23"/>
      <c r="AI17" s="73">
        <f t="shared" si="10"/>
        <v>0</v>
      </c>
      <c r="AJ17" s="23"/>
      <c r="AK17" s="23"/>
      <c r="AL17" s="73">
        <f t="shared" si="11"/>
        <v>0</v>
      </c>
      <c r="AM17" s="23"/>
      <c r="AN17" s="23"/>
      <c r="AO17" s="73">
        <f t="shared" si="12"/>
        <v>0</v>
      </c>
      <c r="AP17" s="23"/>
      <c r="AQ17" s="23"/>
      <c r="AR17" s="73">
        <f t="shared" si="13"/>
        <v>0</v>
      </c>
      <c r="AS17" s="23"/>
      <c r="AT17" s="23"/>
      <c r="AU17" s="73">
        <f t="shared" si="14"/>
        <v>0</v>
      </c>
      <c r="AV17" s="23"/>
      <c r="AW17" s="23"/>
      <c r="AX17" s="73">
        <f t="shared" si="15"/>
        <v>0</v>
      </c>
      <c r="AY17" s="23"/>
      <c r="AZ17" s="23"/>
      <c r="BA17" s="73">
        <f t="shared" si="16"/>
        <v>0</v>
      </c>
      <c r="BB17" s="23"/>
      <c r="BC17" s="23"/>
      <c r="BD17" s="73">
        <f t="shared" si="17"/>
        <v>0</v>
      </c>
      <c r="BE17" s="23"/>
      <c r="BF17" s="23"/>
      <c r="BG17" s="73">
        <f t="shared" si="18"/>
        <v>0</v>
      </c>
      <c r="BH17" s="23"/>
      <c r="BI17" s="23"/>
      <c r="BJ17" s="73">
        <f t="shared" si="19"/>
        <v>0</v>
      </c>
      <c r="BK17" s="23"/>
      <c r="BL17" s="23"/>
      <c r="BM17" s="73">
        <f t="shared" si="20"/>
        <v>0</v>
      </c>
      <c r="BN17" s="23"/>
      <c r="BO17" s="23"/>
      <c r="BP17" s="73">
        <f t="shared" si="21"/>
        <v>0</v>
      </c>
      <c r="BQ17" s="23"/>
      <c r="BR17" s="23"/>
      <c r="BS17" s="73">
        <f t="shared" si="22"/>
        <v>0</v>
      </c>
      <c r="BT17" s="23"/>
      <c r="BU17" s="23"/>
      <c r="BV17" s="73">
        <f t="shared" si="23"/>
        <v>0</v>
      </c>
      <c r="BW17" s="23"/>
      <c r="BX17" s="23"/>
      <c r="BY17" s="73">
        <f t="shared" si="24"/>
        <v>0</v>
      </c>
      <c r="BZ17" s="23"/>
      <c r="CA17" s="23"/>
      <c r="CB17" s="73">
        <f t="shared" si="25"/>
        <v>0</v>
      </c>
      <c r="CC17" s="23"/>
      <c r="CD17" s="23"/>
      <c r="CE17" s="73">
        <f t="shared" si="26"/>
        <v>0</v>
      </c>
      <c r="CF17" s="23"/>
      <c r="CG17" s="23"/>
      <c r="CH17" s="73">
        <f t="shared" si="27"/>
        <v>0</v>
      </c>
      <c r="CI17" s="23"/>
      <c r="CJ17" s="23"/>
      <c r="CK17" s="73">
        <f t="shared" si="28"/>
        <v>0</v>
      </c>
      <c r="CL17" s="23"/>
      <c r="CM17" s="23"/>
      <c r="CN17" s="73">
        <f t="shared" si="29"/>
        <v>0</v>
      </c>
      <c r="CO17" s="23"/>
      <c r="CP17" s="23"/>
      <c r="CQ17" s="73">
        <f t="shared" si="30"/>
        <v>0</v>
      </c>
      <c r="CR17" s="23"/>
      <c r="CS17" s="23"/>
      <c r="CT17" s="73">
        <f t="shared" si="31"/>
        <v>0</v>
      </c>
      <c r="CU17" s="23"/>
      <c r="CV17" s="23"/>
      <c r="CW17" s="73">
        <f t="shared" si="32"/>
        <v>0</v>
      </c>
      <c r="CX17" s="23"/>
      <c r="CY17" s="23"/>
      <c r="CZ17" s="73">
        <f t="shared" si="33"/>
        <v>0</v>
      </c>
      <c r="DA17" s="23"/>
      <c r="DB17" s="23"/>
      <c r="DC17" s="73">
        <f t="shared" si="34"/>
        <v>0</v>
      </c>
      <c r="DD17" s="23"/>
      <c r="DE17" s="23"/>
      <c r="DF17" s="73">
        <f t="shared" si="35"/>
        <v>0</v>
      </c>
      <c r="DG17" s="23"/>
      <c r="DH17" s="23"/>
      <c r="DI17" s="73">
        <f t="shared" si="36"/>
        <v>0</v>
      </c>
      <c r="DJ17" s="23"/>
      <c r="DK17" s="23"/>
      <c r="DL17" s="73">
        <f t="shared" si="37"/>
        <v>0</v>
      </c>
      <c r="DM17" s="23"/>
      <c r="DN17" s="23"/>
      <c r="DO17" s="73">
        <f t="shared" si="38"/>
        <v>0</v>
      </c>
      <c r="DP17" s="23"/>
      <c r="DQ17" s="23"/>
      <c r="DR17" s="73">
        <f t="shared" si="39"/>
        <v>0</v>
      </c>
      <c r="DS17" s="73">
        <f t="shared" si="40"/>
        <v>50000</v>
      </c>
      <c r="DT17" s="73">
        <f t="shared" si="41"/>
        <v>50000</v>
      </c>
      <c r="DU17" s="73">
        <f t="shared" si="42"/>
        <v>0</v>
      </c>
      <c r="DV17" s="111"/>
      <c r="DW17" s="79"/>
      <c r="DX17" s="79"/>
      <c r="DY17" s="111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</row>
    <row r="18" spans="1:141" x14ac:dyDescent="0.2">
      <c r="A18" s="72">
        <f>+BaseloadMarkets!A18</f>
        <v>36720</v>
      </c>
      <c r="B18" s="72" t="str">
        <f>+BaseloadMarkets!B18</f>
        <v>Thu</v>
      </c>
      <c r="C18" s="23"/>
      <c r="D18" s="23"/>
      <c r="E18" s="73">
        <f t="shared" si="0"/>
        <v>0</v>
      </c>
      <c r="F18" s="23"/>
      <c r="G18" s="23"/>
      <c r="H18" s="73">
        <f t="shared" si="1"/>
        <v>0</v>
      </c>
      <c r="I18" s="23"/>
      <c r="J18" s="23"/>
      <c r="K18" s="73">
        <f t="shared" si="2"/>
        <v>0</v>
      </c>
      <c r="L18" s="23"/>
      <c r="M18" s="23"/>
      <c r="N18" s="73">
        <f t="shared" si="3"/>
        <v>0</v>
      </c>
      <c r="O18" s="23"/>
      <c r="P18" s="23"/>
      <c r="Q18" s="73">
        <f t="shared" si="4"/>
        <v>0</v>
      </c>
      <c r="R18" s="23"/>
      <c r="S18" s="23"/>
      <c r="T18" s="73">
        <f t="shared" si="5"/>
        <v>0</v>
      </c>
      <c r="U18" s="23"/>
      <c r="V18" s="23"/>
      <c r="W18" s="73">
        <f t="shared" si="6"/>
        <v>0</v>
      </c>
      <c r="X18" s="23">
        <v>8974</v>
      </c>
      <c r="Y18" s="23">
        <v>8974</v>
      </c>
      <c r="Z18" s="73">
        <f t="shared" si="7"/>
        <v>0</v>
      </c>
      <c r="AA18" s="23"/>
      <c r="AB18" s="23"/>
      <c r="AC18" s="73">
        <f t="shared" si="8"/>
        <v>0</v>
      </c>
      <c r="AD18" s="23"/>
      <c r="AE18" s="23"/>
      <c r="AF18" s="73">
        <f t="shared" si="9"/>
        <v>0</v>
      </c>
      <c r="AG18" s="23"/>
      <c r="AH18" s="23"/>
      <c r="AI18" s="73">
        <f t="shared" si="10"/>
        <v>0</v>
      </c>
      <c r="AJ18" s="23"/>
      <c r="AK18" s="23"/>
      <c r="AL18" s="73">
        <f t="shared" si="11"/>
        <v>0</v>
      </c>
      <c r="AM18" s="23"/>
      <c r="AN18" s="23"/>
      <c r="AO18" s="73">
        <f t="shared" si="12"/>
        <v>0</v>
      </c>
      <c r="AP18" s="23"/>
      <c r="AQ18" s="23"/>
      <c r="AR18" s="73">
        <f t="shared" si="13"/>
        <v>0</v>
      </c>
      <c r="AS18" s="23"/>
      <c r="AT18" s="23"/>
      <c r="AU18" s="73">
        <f t="shared" si="14"/>
        <v>0</v>
      </c>
      <c r="AV18" s="23"/>
      <c r="AW18" s="23"/>
      <c r="AX18" s="73">
        <f t="shared" si="15"/>
        <v>0</v>
      </c>
      <c r="AY18" s="23"/>
      <c r="AZ18" s="23"/>
      <c r="BA18" s="73">
        <f t="shared" si="16"/>
        <v>0</v>
      </c>
      <c r="BB18" s="23"/>
      <c r="BC18" s="23"/>
      <c r="BD18" s="73">
        <f t="shared" si="17"/>
        <v>0</v>
      </c>
      <c r="BE18" s="23"/>
      <c r="BF18" s="23"/>
      <c r="BG18" s="73">
        <f t="shared" si="18"/>
        <v>0</v>
      </c>
      <c r="BH18" s="23"/>
      <c r="BI18" s="23"/>
      <c r="BJ18" s="73">
        <f t="shared" si="19"/>
        <v>0</v>
      </c>
      <c r="BK18" s="23"/>
      <c r="BL18" s="23"/>
      <c r="BM18" s="73">
        <f t="shared" si="20"/>
        <v>0</v>
      </c>
      <c r="BN18" s="23"/>
      <c r="BO18" s="23"/>
      <c r="BP18" s="73">
        <f t="shared" si="21"/>
        <v>0</v>
      </c>
      <c r="BQ18" s="23"/>
      <c r="BR18" s="23"/>
      <c r="BS18" s="73">
        <f t="shared" si="22"/>
        <v>0</v>
      </c>
      <c r="BT18" s="23"/>
      <c r="BU18" s="23"/>
      <c r="BV18" s="73">
        <f t="shared" si="23"/>
        <v>0</v>
      </c>
      <c r="BW18" s="23"/>
      <c r="BX18" s="23"/>
      <c r="BY18" s="73">
        <f t="shared" si="24"/>
        <v>0</v>
      </c>
      <c r="BZ18" s="23"/>
      <c r="CA18" s="23"/>
      <c r="CB18" s="73">
        <f t="shared" si="25"/>
        <v>0</v>
      </c>
      <c r="CC18" s="23"/>
      <c r="CD18" s="23"/>
      <c r="CE18" s="73">
        <f t="shared" si="26"/>
        <v>0</v>
      </c>
      <c r="CF18" s="23"/>
      <c r="CG18" s="23"/>
      <c r="CH18" s="73">
        <f t="shared" si="27"/>
        <v>0</v>
      </c>
      <c r="CI18" s="23"/>
      <c r="CJ18" s="23"/>
      <c r="CK18" s="73">
        <f t="shared" si="28"/>
        <v>0</v>
      </c>
      <c r="CL18" s="23"/>
      <c r="CM18" s="23"/>
      <c r="CN18" s="73">
        <f t="shared" si="29"/>
        <v>0</v>
      </c>
      <c r="CO18" s="23"/>
      <c r="CP18" s="23"/>
      <c r="CQ18" s="73">
        <f t="shared" si="30"/>
        <v>0</v>
      </c>
      <c r="CR18" s="23"/>
      <c r="CS18" s="23"/>
      <c r="CT18" s="73">
        <f t="shared" si="31"/>
        <v>0</v>
      </c>
      <c r="CU18" s="23"/>
      <c r="CV18" s="23"/>
      <c r="CW18" s="73">
        <f t="shared" si="32"/>
        <v>0</v>
      </c>
      <c r="CX18" s="23"/>
      <c r="CY18" s="23"/>
      <c r="CZ18" s="73">
        <f t="shared" si="33"/>
        <v>0</v>
      </c>
      <c r="DA18" s="23"/>
      <c r="DB18" s="23"/>
      <c r="DC18" s="73">
        <f t="shared" si="34"/>
        <v>0</v>
      </c>
      <c r="DD18" s="23"/>
      <c r="DE18" s="23"/>
      <c r="DF18" s="73">
        <f t="shared" si="35"/>
        <v>0</v>
      </c>
      <c r="DG18" s="23"/>
      <c r="DH18" s="23"/>
      <c r="DI18" s="73">
        <f t="shared" si="36"/>
        <v>0</v>
      </c>
      <c r="DJ18" s="23"/>
      <c r="DK18" s="23"/>
      <c r="DL18" s="73">
        <f t="shared" si="37"/>
        <v>0</v>
      </c>
      <c r="DM18" s="23"/>
      <c r="DN18" s="23"/>
      <c r="DO18" s="73">
        <f t="shared" si="38"/>
        <v>0</v>
      </c>
      <c r="DP18" s="23"/>
      <c r="DQ18" s="23"/>
      <c r="DR18" s="73">
        <f t="shared" si="39"/>
        <v>0</v>
      </c>
      <c r="DS18" s="73">
        <f t="shared" si="40"/>
        <v>8974</v>
      </c>
      <c r="DT18" s="73">
        <f t="shared" si="41"/>
        <v>8974</v>
      </c>
      <c r="DU18" s="73">
        <f t="shared" si="42"/>
        <v>0</v>
      </c>
      <c r="DV18" s="111"/>
      <c r="DW18" s="79"/>
      <c r="DX18" s="79"/>
      <c r="DY18" s="111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</row>
    <row r="19" spans="1:141" x14ac:dyDescent="0.2">
      <c r="A19" s="72">
        <f>+BaseloadMarkets!A19</f>
        <v>36721</v>
      </c>
      <c r="B19" s="72" t="str">
        <f>+BaseloadMarkets!B19</f>
        <v>Fri</v>
      </c>
      <c r="C19" s="23"/>
      <c r="D19" s="23"/>
      <c r="E19" s="73">
        <f t="shared" si="0"/>
        <v>0</v>
      </c>
      <c r="F19" s="23"/>
      <c r="G19" s="23"/>
      <c r="H19" s="73">
        <f t="shared" si="1"/>
        <v>0</v>
      </c>
      <c r="I19" s="23"/>
      <c r="J19" s="23"/>
      <c r="K19" s="73">
        <f t="shared" si="2"/>
        <v>0</v>
      </c>
      <c r="L19" s="23"/>
      <c r="M19" s="23"/>
      <c r="N19" s="73">
        <f t="shared" si="3"/>
        <v>0</v>
      </c>
      <c r="O19" s="23">
        <v>50000</v>
      </c>
      <c r="P19" s="23">
        <v>50000</v>
      </c>
      <c r="Q19" s="73">
        <f t="shared" si="4"/>
        <v>0</v>
      </c>
      <c r="R19" s="23"/>
      <c r="S19" s="23"/>
      <c r="T19" s="73">
        <f t="shared" si="5"/>
        <v>0</v>
      </c>
      <c r="U19" s="23"/>
      <c r="V19" s="23"/>
      <c r="W19" s="73">
        <f t="shared" si="6"/>
        <v>0</v>
      </c>
      <c r="X19" s="23"/>
      <c r="Y19" s="23"/>
      <c r="Z19" s="73">
        <f t="shared" si="7"/>
        <v>0</v>
      </c>
      <c r="AA19" s="23"/>
      <c r="AB19" s="23"/>
      <c r="AC19" s="73">
        <f t="shared" si="8"/>
        <v>0</v>
      </c>
      <c r="AD19" s="23"/>
      <c r="AE19" s="23"/>
      <c r="AF19" s="73">
        <f t="shared" si="9"/>
        <v>0</v>
      </c>
      <c r="AG19" s="23"/>
      <c r="AH19" s="23"/>
      <c r="AI19" s="73">
        <f t="shared" si="10"/>
        <v>0</v>
      </c>
      <c r="AJ19" s="23"/>
      <c r="AK19" s="23"/>
      <c r="AL19" s="73">
        <f t="shared" si="11"/>
        <v>0</v>
      </c>
      <c r="AM19" s="23"/>
      <c r="AN19" s="23"/>
      <c r="AO19" s="73">
        <f t="shared" si="12"/>
        <v>0</v>
      </c>
      <c r="AP19" s="23"/>
      <c r="AQ19" s="23"/>
      <c r="AR19" s="73">
        <f t="shared" si="13"/>
        <v>0</v>
      </c>
      <c r="AS19" s="23"/>
      <c r="AT19" s="23"/>
      <c r="AU19" s="73">
        <f t="shared" si="14"/>
        <v>0</v>
      </c>
      <c r="AV19" s="23"/>
      <c r="AW19" s="23"/>
      <c r="AX19" s="73">
        <f t="shared" si="15"/>
        <v>0</v>
      </c>
      <c r="AY19" s="23"/>
      <c r="AZ19" s="23"/>
      <c r="BA19" s="73">
        <f t="shared" si="16"/>
        <v>0</v>
      </c>
      <c r="BB19" s="23"/>
      <c r="BC19" s="23"/>
      <c r="BD19" s="73">
        <f t="shared" si="17"/>
        <v>0</v>
      </c>
      <c r="BE19" s="23"/>
      <c r="BF19" s="23"/>
      <c r="BG19" s="73">
        <f t="shared" si="18"/>
        <v>0</v>
      </c>
      <c r="BH19" s="23"/>
      <c r="BI19" s="23"/>
      <c r="BJ19" s="73">
        <f t="shared" si="19"/>
        <v>0</v>
      </c>
      <c r="BK19" s="23"/>
      <c r="BL19" s="23"/>
      <c r="BM19" s="73">
        <f t="shared" si="20"/>
        <v>0</v>
      </c>
      <c r="BN19" s="23"/>
      <c r="BO19" s="23"/>
      <c r="BP19" s="73">
        <f t="shared" si="21"/>
        <v>0</v>
      </c>
      <c r="BQ19" s="23"/>
      <c r="BR19" s="23"/>
      <c r="BS19" s="73">
        <f t="shared" si="22"/>
        <v>0</v>
      </c>
      <c r="BT19" s="23"/>
      <c r="BU19" s="23"/>
      <c r="BV19" s="73">
        <f t="shared" si="23"/>
        <v>0</v>
      </c>
      <c r="BW19" s="23"/>
      <c r="BX19" s="23"/>
      <c r="BY19" s="73">
        <f t="shared" si="24"/>
        <v>0</v>
      </c>
      <c r="BZ19" s="23"/>
      <c r="CA19" s="23"/>
      <c r="CB19" s="73">
        <f t="shared" si="25"/>
        <v>0</v>
      </c>
      <c r="CC19" s="23"/>
      <c r="CD19" s="23"/>
      <c r="CE19" s="73">
        <f t="shared" si="26"/>
        <v>0</v>
      </c>
      <c r="CF19" s="23"/>
      <c r="CG19" s="23"/>
      <c r="CH19" s="73">
        <f t="shared" si="27"/>
        <v>0</v>
      </c>
      <c r="CI19" s="23"/>
      <c r="CJ19" s="23"/>
      <c r="CK19" s="73">
        <f t="shared" si="28"/>
        <v>0</v>
      </c>
      <c r="CL19" s="23"/>
      <c r="CM19" s="23"/>
      <c r="CN19" s="73">
        <f t="shared" si="29"/>
        <v>0</v>
      </c>
      <c r="CO19" s="23"/>
      <c r="CP19" s="23"/>
      <c r="CQ19" s="73">
        <f t="shared" si="30"/>
        <v>0</v>
      </c>
      <c r="CR19" s="23"/>
      <c r="CS19" s="23"/>
      <c r="CT19" s="73">
        <f t="shared" si="31"/>
        <v>0</v>
      </c>
      <c r="CU19" s="23"/>
      <c r="CV19" s="23"/>
      <c r="CW19" s="73">
        <f t="shared" si="32"/>
        <v>0</v>
      </c>
      <c r="CX19" s="23"/>
      <c r="CY19" s="23"/>
      <c r="CZ19" s="73">
        <f t="shared" si="33"/>
        <v>0</v>
      </c>
      <c r="DA19" s="23"/>
      <c r="DB19" s="23"/>
      <c r="DC19" s="73">
        <f t="shared" si="34"/>
        <v>0</v>
      </c>
      <c r="DD19" s="23"/>
      <c r="DE19" s="23"/>
      <c r="DF19" s="73">
        <f t="shared" si="35"/>
        <v>0</v>
      </c>
      <c r="DG19" s="23"/>
      <c r="DH19" s="23"/>
      <c r="DI19" s="73">
        <f t="shared" si="36"/>
        <v>0</v>
      </c>
      <c r="DJ19" s="23"/>
      <c r="DK19" s="23"/>
      <c r="DL19" s="73">
        <f t="shared" si="37"/>
        <v>0</v>
      </c>
      <c r="DM19" s="23"/>
      <c r="DN19" s="23"/>
      <c r="DO19" s="73">
        <f t="shared" si="38"/>
        <v>0</v>
      </c>
      <c r="DP19" s="23"/>
      <c r="DQ19" s="23"/>
      <c r="DR19" s="73">
        <f t="shared" si="39"/>
        <v>0</v>
      </c>
      <c r="DS19" s="73">
        <f t="shared" si="40"/>
        <v>50000</v>
      </c>
      <c r="DT19" s="73">
        <f t="shared" si="41"/>
        <v>50000</v>
      </c>
      <c r="DU19" s="73">
        <f t="shared" si="42"/>
        <v>0</v>
      </c>
      <c r="DV19" s="111"/>
      <c r="DW19" s="79"/>
      <c r="DX19" s="79"/>
      <c r="DY19" s="111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</row>
    <row r="20" spans="1:141" x14ac:dyDescent="0.2">
      <c r="A20" s="72">
        <f>+BaseloadMarkets!A20</f>
        <v>36722</v>
      </c>
      <c r="B20" s="72" t="str">
        <f>+BaseloadMarkets!B20</f>
        <v>Sat</v>
      </c>
      <c r="C20" s="23"/>
      <c r="D20" s="23"/>
      <c r="E20" s="73">
        <f t="shared" si="0"/>
        <v>0</v>
      </c>
      <c r="F20" s="23"/>
      <c r="G20" s="23"/>
      <c r="H20" s="73">
        <f t="shared" si="1"/>
        <v>0</v>
      </c>
      <c r="I20" s="23"/>
      <c r="J20" s="23"/>
      <c r="K20" s="73">
        <f t="shared" si="2"/>
        <v>0</v>
      </c>
      <c r="L20" s="23"/>
      <c r="M20" s="23"/>
      <c r="N20" s="73">
        <f t="shared" si="3"/>
        <v>0</v>
      </c>
      <c r="O20" s="23">
        <v>46488</v>
      </c>
      <c r="P20" s="23">
        <f>50000-10000+6488</f>
        <v>46488</v>
      </c>
      <c r="Q20" s="73">
        <f t="shared" si="4"/>
        <v>0</v>
      </c>
      <c r="R20" s="23"/>
      <c r="S20" s="23"/>
      <c r="T20" s="73">
        <f t="shared" si="5"/>
        <v>0</v>
      </c>
      <c r="U20" s="23"/>
      <c r="V20" s="23"/>
      <c r="W20" s="73">
        <f t="shared" si="6"/>
        <v>0</v>
      </c>
      <c r="X20" s="23"/>
      <c r="Y20" s="23"/>
      <c r="Z20" s="73">
        <f t="shared" si="7"/>
        <v>0</v>
      </c>
      <c r="AA20" s="23">
        <v>10000</v>
      </c>
      <c r="AB20" s="23">
        <v>10000</v>
      </c>
      <c r="AC20" s="73">
        <f t="shared" si="8"/>
        <v>0</v>
      </c>
      <c r="AD20" s="23"/>
      <c r="AE20" s="23"/>
      <c r="AF20" s="73">
        <f t="shared" si="9"/>
        <v>0</v>
      </c>
      <c r="AG20" s="23"/>
      <c r="AH20" s="23"/>
      <c r="AI20" s="73">
        <f t="shared" si="10"/>
        <v>0</v>
      </c>
      <c r="AJ20" s="23"/>
      <c r="AK20" s="23"/>
      <c r="AL20" s="73">
        <f t="shared" si="11"/>
        <v>0</v>
      </c>
      <c r="AM20" s="23"/>
      <c r="AN20" s="23"/>
      <c r="AO20" s="73">
        <f t="shared" si="12"/>
        <v>0</v>
      </c>
      <c r="AP20" s="23"/>
      <c r="AQ20" s="23"/>
      <c r="AR20" s="73">
        <f t="shared" si="13"/>
        <v>0</v>
      </c>
      <c r="AS20" s="23"/>
      <c r="AT20" s="23"/>
      <c r="AU20" s="73">
        <f t="shared" si="14"/>
        <v>0</v>
      </c>
      <c r="AV20" s="23"/>
      <c r="AW20" s="23"/>
      <c r="AX20" s="73">
        <f t="shared" si="15"/>
        <v>0</v>
      </c>
      <c r="AY20" s="23"/>
      <c r="AZ20" s="23"/>
      <c r="BA20" s="73">
        <f t="shared" si="16"/>
        <v>0</v>
      </c>
      <c r="BB20" s="23"/>
      <c r="BC20" s="23"/>
      <c r="BD20" s="73">
        <f t="shared" si="17"/>
        <v>0</v>
      </c>
      <c r="BE20" s="23"/>
      <c r="BF20" s="23"/>
      <c r="BG20" s="73">
        <f t="shared" si="18"/>
        <v>0</v>
      </c>
      <c r="BH20" s="23"/>
      <c r="BI20" s="23"/>
      <c r="BJ20" s="73">
        <f t="shared" si="19"/>
        <v>0</v>
      </c>
      <c r="BK20" s="23"/>
      <c r="BL20" s="23"/>
      <c r="BM20" s="73">
        <f t="shared" si="20"/>
        <v>0</v>
      </c>
      <c r="BN20" s="23"/>
      <c r="BO20" s="23"/>
      <c r="BP20" s="73">
        <f t="shared" si="21"/>
        <v>0</v>
      </c>
      <c r="BQ20" s="23"/>
      <c r="BR20" s="23"/>
      <c r="BS20" s="73">
        <f t="shared" si="22"/>
        <v>0</v>
      </c>
      <c r="BT20" s="23"/>
      <c r="BU20" s="23"/>
      <c r="BV20" s="73">
        <f t="shared" si="23"/>
        <v>0</v>
      </c>
      <c r="BW20" s="23"/>
      <c r="BX20" s="23"/>
      <c r="BY20" s="73">
        <f t="shared" si="24"/>
        <v>0</v>
      </c>
      <c r="BZ20" s="23"/>
      <c r="CA20" s="23"/>
      <c r="CB20" s="73">
        <f t="shared" si="25"/>
        <v>0</v>
      </c>
      <c r="CC20" s="23"/>
      <c r="CD20" s="23"/>
      <c r="CE20" s="73">
        <f t="shared" si="26"/>
        <v>0</v>
      </c>
      <c r="CF20" s="23"/>
      <c r="CG20" s="23"/>
      <c r="CH20" s="73">
        <f t="shared" si="27"/>
        <v>0</v>
      </c>
      <c r="CI20" s="23"/>
      <c r="CJ20" s="23"/>
      <c r="CK20" s="73">
        <f t="shared" si="28"/>
        <v>0</v>
      </c>
      <c r="CL20" s="23"/>
      <c r="CM20" s="23"/>
      <c r="CN20" s="73">
        <f t="shared" si="29"/>
        <v>0</v>
      </c>
      <c r="CO20" s="23"/>
      <c r="CP20" s="23"/>
      <c r="CQ20" s="73">
        <f t="shared" si="30"/>
        <v>0</v>
      </c>
      <c r="CR20" s="23"/>
      <c r="CS20" s="23"/>
      <c r="CT20" s="73">
        <f t="shared" si="31"/>
        <v>0</v>
      </c>
      <c r="CU20" s="23"/>
      <c r="CV20" s="23"/>
      <c r="CW20" s="73">
        <f t="shared" si="32"/>
        <v>0</v>
      </c>
      <c r="CX20" s="23"/>
      <c r="CY20" s="23"/>
      <c r="CZ20" s="73">
        <f t="shared" si="33"/>
        <v>0</v>
      </c>
      <c r="DA20" s="23"/>
      <c r="DB20" s="23"/>
      <c r="DC20" s="73">
        <f t="shared" si="34"/>
        <v>0</v>
      </c>
      <c r="DD20" s="23"/>
      <c r="DE20" s="23"/>
      <c r="DF20" s="73">
        <f t="shared" si="35"/>
        <v>0</v>
      </c>
      <c r="DG20" s="23"/>
      <c r="DH20" s="23"/>
      <c r="DI20" s="73">
        <f t="shared" si="36"/>
        <v>0</v>
      </c>
      <c r="DJ20" s="23"/>
      <c r="DK20" s="23"/>
      <c r="DL20" s="73">
        <f t="shared" si="37"/>
        <v>0</v>
      </c>
      <c r="DM20" s="23"/>
      <c r="DN20" s="23"/>
      <c r="DO20" s="73">
        <f t="shared" si="38"/>
        <v>0</v>
      </c>
      <c r="DP20" s="23"/>
      <c r="DQ20" s="23"/>
      <c r="DR20" s="73">
        <f t="shared" si="39"/>
        <v>0</v>
      </c>
      <c r="DS20" s="73">
        <f t="shared" si="40"/>
        <v>56488</v>
      </c>
      <c r="DT20" s="73">
        <f t="shared" si="41"/>
        <v>56488</v>
      </c>
      <c r="DU20" s="73">
        <f t="shared" si="42"/>
        <v>0</v>
      </c>
      <c r="DV20" s="111"/>
      <c r="DW20" s="79"/>
      <c r="DX20" s="79"/>
      <c r="DY20" s="111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</row>
    <row r="21" spans="1:141" x14ac:dyDescent="0.2">
      <c r="A21" s="72">
        <f>+BaseloadMarkets!A21</f>
        <v>36723</v>
      </c>
      <c r="B21" s="72" t="str">
        <f>+BaseloadMarkets!B21</f>
        <v>Sun</v>
      </c>
      <c r="C21" s="23"/>
      <c r="D21" s="23"/>
      <c r="E21" s="73">
        <f t="shared" si="0"/>
        <v>0</v>
      </c>
      <c r="F21" s="23"/>
      <c r="G21" s="23"/>
      <c r="H21" s="73">
        <f t="shared" si="1"/>
        <v>0</v>
      </c>
      <c r="I21" s="23"/>
      <c r="J21" s="23"/>
      <c r="K21" s="73">
        <f t="shared" si="2"/>
        <v>0</v>
      </c>
      <c r="L21" s="23"/>
      <c r="M21" s="23"/>
      <c r="N21" s="73">
        <f t="shared" si="3"/>
        <v>0</v>
      </c>
      <c r="O21" s="23">
        <v>46141</v>
      </c>
      <c r="P21" s="23">
        <v>46141</v>
      </c>
      <c r="Q21" s="73">
        <f t="shared" si="4"/>
        <v>0</v>
      </c>
      <c r="R21" s="23"/>
      <c r="S21" s="23"/>
      <c r="T21" s="73">
        <f t="shared" si="5"/>
        <v>0</v>
      </c>
      <c r="U21" s="23"/>
      <c r="V21" s="23"/>
      <c r="W21" s="73">
        <f t="shared" si="6"/>
        <v>0</v>
      </c>
      <c r="X21" s="23"/>
      <c r="Y21" s="23"/>
      <c r="Z21" s="73">
        <f t="shared" si="7"/>
        <v>0</v>
      </c>
      <c r="AA21" s="23">
        <v>10000</v>
      </c>
      <c r="AB21" s="23">
        <v>10000</v>
      </c>
      <c r="AC21" s="73">
        <f t="shared" si="8"/>
        <v>0</v>
      </c>
      <c r="AD21" s="23"/>
      <c r="AE21" s="23"/>
      <c r="AF21" s="73">
        <f t="shared" si="9"/>
        <v>0</v>
      </c>
      <c r="AG21" s="23"/>
      <c r="AH21" s="23"/>
      <c r="AI21" s="73">
        <f t="shared" si="10"/>
        <v>0</v>
      </c>
      <c r="AJ21" s="23"/>
      <c r="AK21" s="23"/>
      <c r="AL21" s="73">
        <f t="shared" si="11"/>
        <v>0</v>
      </c>
      <c r="AM21" s="23"/>
      <c r="AN21" s="23"/>
      <c r="AO21" s="73">
        <f t="shared" si="12"/>
        <v>0</v>
      </c>
      <c r="AP21" s="23"/>
      <c r="AQ21" s="23"/>
      <c r="AR21" s="73">
        <f t="shared" si="13"/>
        <v>0</v>
      </c>
      <c r="AS21" s="23"/>
      <c r="AT21" s="23"/>
      <c r="AU21" s="73">
        <f t="shared" si="14"/>
        <v>0</v>
      </c>
      <c r="AV21" s="23"/>
      <c r="AW21" s="23"/>
      <c r="AX21" s="73">
        <f t="shared" si="15"/>
        <v>0</v>
      </c>
      <c r="AY21" s="23"/>
      <c r="AZ21" s="23"/>
      <c r="BA21" s="73">
        <f t="shared" si="16"/>
        <v>0</v>
      </c>
      <c r="BB21" s="23"/>
      <c r="BC21" s="23"/>
      <c r="BD21" s="73">
        <f t="shared" si="17"/>
        <v>0</v>
      </c>
      <c r="BE21" s="23"/>
      <c r="BF21" s="23"/>
      <c r="BG21" s="73">
        <f t="shared" si="18"/>
        <v>0</v>
      </c>
      <c r="BH21" s="23"/>
      <c r="BI21" s="23"/>
      <c r="BJ21" s="73">
        <f t="shared" si="19"/>
        <v>0</v>
      </c>
      <c r="BK21" s="23"/>
      <c r="BL21" s="23"/>
      <c r="BM21" s="73">
        <f t="shared" si="20"/>
        <v>0</v>
      </c>
      <c r="BN21" s="23"/>
      <c r="BO21" s="23"/>
      <c r="BP21" s="73">
        <f t="shared" si="21"/>
        <v>0</v>
      </c>
      <c r="BQ21" s="23"/>
      <c r="BR21" s="23"/>
      <c r="BS21" s="73">
        <f t="shared" si="22"/>
        <v>0</v>
      </c>
      <c r="BT21" s="23"/>
      <c r="BU21" s="23"/>
      <c r="BV21" s="73">
        <f t="shared" si="23"/>
        <v>0</v>
      </c>
      <c r="BW21" s="23"/>
      <c r="BX21" s="23"/>
      <c r="BY21" s="73">
        <f t="shared" si="24"/>
        <v>0</v>
      </c>
      <c r="BZ21" s="23"/>
      <c r="CA21" s="23"/>
      <c r="CB21" s="73">
        <f t="shared" si="25"/>
        <v>0</v>
      </c>
      <c r="CC21" s="23"/>
      <c r="CD21" s="23"/>
      <c r="CE21" s="73">
        <f t="shared" si="26"/>
        <v>0</v>
      </c>
      <c r="CF21" s="23"/>
      <c r="CG21" s="23"/>
      <c r="CH21" s="73">
        <f t="shared" si="27"/>
        <v>0</v>
      </c>
      <c r="CI21" s="23"/>
      <c r="CJ21" s="23"/>
      <c r="CK21" s="73">
        <f t="shared" si="28"/>
        <v>0</v>
      </c>
      <c r="CL21" s="23"/>
      <c r="CM21" s="23"/>
      <c r="CN21" s="73">
        <f t="shared" si="29"/>
        <v>0</v>
      </c>
      <c r="CO21" s="23"/>
      <c r="CP21" s="23"/>
      <c r="CQ21" s="73">
        <f t="shared" si="30"/>
        <v>0</v>
      </c>
      <c r="CR21" s="23"/>
      <c r="CS21" s="23"/>
      <c r="CT21" s="73">
        <f t="shared" si="31"/>
        <v>0</v>
      </c>
      <c r="CU21" s="23"/>
      <c r="CV21" s="23"/>
      <c r="CW21" s="73">
        <f t="shared" si="32"/>
        <v>0</v>
      </c>
      <c r="CX21" s="23"/>
      <c r="CY21" s="23"/>
      <c r="CZ21" s="73">
        <f t="shared" si="33"/>
        <v>0</v>
      </c>
      <c r="DA21" s="23"/>
      <c r="DB21" s="23"/>
      <c r="DC21" s="73">
        <f t="shared" si="34"/>
        <v>0</v>
      </c>
      <c r="DD21" s="23"/>
      <c r="DE21" s="23"/>
      <c r="DF21" s="73">
        <f t="shared" si="35"/>
        <v>0</v>
      </c>
      <c r="DG21" s="23"/>
      <c r="DH21" s="23"/>
      <c r="DI21" s="73">
        <f t="shared" si="36"/>
        <v>0</v>
      </c>
      <c r="DJ21" s="23"/>
      <c r="DK21" s="23"/>
      <c r="DL21" s="73">
        <f t="shared" si="37"/>
        <v>0</v>
      </c>
      <c r="DM21" s="23"/>
      <c r="DN21" s="23"/>
      <c r="DO21" s="73">
        <f t="shared" si="38"/>
        <v>0</v>
      </c>
      <c r="DP21" s="23"/>
      <c r="DQ21" s="23"/>
      <c r="DR21" s="73">
        <f t="shared" si="39"/>
        <v>0</v>
      </c>
      <c r="DS21" s="73">
        <f t="shared" si="40"/>
        <v>56141</v>
      </c>
      <c r="DT21" s="73">
        <f t="shared" si="41"/>
        <v>56141</v>
      </c>
      <c r="DU21" s="73">
        <f t="shared" si="42"/>
        <v>0</v>
      </c>
      <c r="DV21" s="111"/>
      <c r="DW21" s="79"/>
      <c r="DX21" s="79"/>
      <c r="DY21" s="111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</row>
    <row r="22" spans="1:141" x14ac:dyDescent="0.2">
      <c r="A22" s="72">
        <f>+BaseloadMarkets!A22</f>
        <v>36724</v>
      </c>
      <c r="B22" s="72" t="str">
        <f>+BaseloadMarkets!B22</f>
        <v>Mon</v>
      </c>
      <c r="C22" s="23"/>
      <c r="D22" s="23"/>
      <c r="E22" s="73">
        <f t="shared" si="0"/>
        <v>0</v>
      </c>
      <c r="F22" s="23"/>
      <c r="G22" s="23"/>
      <c r="H22" s="73">
        <f t="shared" si="1"/>
        <v>0</v>
      </c>
      <c r="I22" s="23"/>
      <c r="J22" s="23"/>
      <c r="K22" s="73">
        <f t="shared" si="2"/>
        <v>0</v>
      </c>
      <c r="L22" s="23"/>
      <c r="M22" s="23"/>
      <c r="N22" s="73">
        <f t="shared" si="3"/>
        <v>0</v>
      </c>
      <c r="O22" s="23">
        <f>50000-10000+5949</f>
        <v>45949</v>
      </c>
      <c r="P22" s="23">
        <v>45949</v>
      </c>
      <c r="Q22" s="73">
        <f t="shared" si="4"/>
        <v>0</v>
      </c>
      <c r="R22" s="23"/>
      <c r="S22" s="23"/>
      <c r="T22" s="73">
        <f t="shared" si="5"/>
        <v>0</v>
      </c>
      <c r="U22" s="23"/>
      <c r="V22" s="23"/>
      <c r="W22" s="73">
        <f t="shared" si="6"/>
        <v>0</v>
      </c>
      <c r="X22" s="23"/>
      <c r="Y22" s="23"/>
      <c r="Z22" s="73">
        <f t="shared" si="7"/>
        <v>0</v>
      </c>
      <c r="AA22" s="23">
        <v>10000</v>
      </c>
      <c r="AB22" s="23">
        <v>10000</v>
      </c>
      <c r="AC22" s="73">
        <f t="shared" si="8"/>
        <v>0</v>
      </c>
      <c r="AD22" s="23"/>
      <c r="AE22" s="23"/>
      <c r="AF22" s="73">
        <f t="shared" si="9"/>
        <v>0</v>
      </c>
      <c r="AG22" s="23"/>
      <c r="AH22" s="23"/>
      <c r="AI22" s="73">
        <f t="shared" si="10"/>
        <v>0</v>
      </c>
      <c r="AJ22" s="23"/>
      <c r="AK22" s="23"/>
      <c r="AL22" s="73">
        <f t="shared" si="11"/>
        <v>0</v>
      </c>
      <c r="AM22" s="23"/>
      <c r="AN22" s="23"/>
      <c r="AO22" s="73">
        <f t="shared" si="12"/>
        <v>0</v>
      </c>
      <c r="AP22" s="23"/>
      <c r="AQ22" s="23"/>
      <c r="AR22" s="73">
        <f t="shared" si="13"/>
        <v>0</v>
      </c>
      <c r="AS22" s="23"/>
      <c r="AT22" s="23"/>
      <c r="AU22" s="73">
        <f t="shared" si="14"/>
        <v>0</v>
      </c>
      <c r="AV22" s="23"/>
      <c r="AW22" s="23"/>
      <c r="AX22" s="73">
        <f t="shared" si="15"/>
        <v>0</v>
      </c>
      <c r="AY22" s="23"/>
      <c r="AZ22" s="23"/>
      <c r="BA22" s="73">
        <f t="shared" si="16"/>
        <v>0</v>
      </c>
      <c r="BB22" s="23"/>
      <c r="BC22" s="23"/>
      <c r="BD22" s="73">
        <f t="shared" si="17"/>
        <v>0</v>
      </c>
      <c r="BE22" s="23"/>
      <c r="BF22" s="23"/>
      <c r="BG22" s="73">
        <f t="shared" si="18"/>
        <v>0</v>
      </c>
      <c r="BH22" s="23"/>
      <c r="BI22" s="23"/>
      <c r="BJ22" s="73">
        <f t="shared" si="19"/>
        <v>0</v>
      </c>
      <c r="BK22" s="23"/>
      <c r="BL22" s="23"/>
      <c r="BM22" s="73">
        <f t="shared" si="20"/>
        <v>0</v>
      </c>
      <c r="BN22" s="23"/>
      <c r="BO22" s="23"/>
      <c r="BP22" s="73">
        <f t="shared" si="21"/>
        <v>0</v>
      </c>
      <c r="BQ22" s="23"/>
      <c r="BR22" s="23"/>
      <c r="BS22" s="73">
        <f t="shared" si="22"/>
        <v>0</v>
      </c>
      <c r="BT22" s="23"/>
      <c r="BU22" s="23"/>
      <c r="BV22" s="73">
        <f t="shared" si="23"/>
        <v>0</v>
      </c>
      <c r="BW22" s="23"/>
      <c r="BX22" s="23"/>
      <c r="BY22" s="73">
        <f t="shared" si="24"/>
        <v>0</v>
      </c>
      <c r="BZ22" s="23"/>
      <c r="CA22" s="23"/>
      <c r="CB22" s="73">
        <f t="shared" si="25"/>
        <v>0</v>
      </c>
      <c r="CC22" s="23"/>
      <c r="CD22" s="23"/>
      <c r="CE22" s="73">
        <f t="shared" si="26"/>
        <v>0</v>
      </c>
      <c r="CF22" s="23"/>
      <c r="CG22" s="23"/>
      <c r="CH22" s="73">
        <f t="shared" si="27"/>
        <v>0</v>
      </c>
      <c r="CI22" s="23"/>
      <c r="CJ22" s="23"/>
      <c r="CK22" s="73">
        <f t="shared" si="28"/>
        <v>0</v>
      </c>
      <c r="CL22" s="23"/>
      <c r="CM22" s="23"/>
      <c r="CN22" s="73">
        <f t="shared" si="29"/>
        <v>0</v>
      </c>
      <c r="CO22" s="23"/>
      <c r="CP22" s="23"/>
      <c r="CQ22" s="73">
        <f t="shared" si="30"/>
        <v>0</v>
      </c>
      <c r="CR22" s="23"/>
      <c r="CS22" s="23"/>
      <c r="CT22" s="73">
        <f t="shared" si="31"/>
        <v>0</v>
      </c>
      <c r="CU22" s="23"/>
      <c r="CV22" s="23"/>
      <c r="CW22" s="73">
        <f t="shared" si="32"/>
        <v>0</v>
      </c>
      <c r="CX22" s="23"/>
      <c r="CY22" s="23"/>
      <c r="CZ22" s="73">
        <f t="shared" si="33"/>
        <v>0</v>
      </c>
      <c r="DA22" s="23"/>
      <c r="DB22" s="23"/>
      <c r="DC22" s="73">
        <f t="shared" si="34"/>
        <v>0</v>
      </c>
      <c r="DD22" s="23"/>
      <c r="DE22" s="23"/>
      <c r="DF22" s="73">
        <f t="shared" si="35"/>
        <v>0</v>
      </c>
      <c r="DG22" s="23"/>
      <c r="DH22" s="23"/>
      <c r="DI22" s="73">
        <f t="shared" si="36"/>
        <v>0</v>
      </c>
      <c r="DJ22" s="23"/>
      <c r="DK22" s="23"/>
      <c r="DL22" s="73">
        <f t="shared" si="37"/>
        <v>0</v>
      </c>
      <c r="DM22" s="23"/>
      <c r="DN22" s="23"/>
      <c r="DO22" s="73">
        <f t="shared" si="38"/>
        <v>0</v>
      </c>
      <c r="DP22" s="23"/>
      <c r="DQ22" s="23"/>
      <c r="DR22" s="73">
        <f t="shared" si="39"/>
        <v>0</v>
      </c>
      <c r="DS22" s="73">
        <f t="shared" si="40"/>
        <v>55949</v>
      </c>
      <c r="DT22" s="73">
        <f t="shared" si="41"/>
        <v>55949</v>
      </c>
      <c r="DU22" s="73">
        <f t="shared" si="42"/>
        <v>0</v>
      </c>
      <c r="DV22" s="111"/>
      <c r="DW22" s="79"/>
      <c r="DX22" s="79"/>
      <c r="DY22" s="111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</row>
    <row r="23" spans="1:141" x14ac:dyDescent="0.2">
      <c r="A23" s="72">
        <f>+BaseloadMarkets!A23</f>
        <v>36725</v>
      </c>
      <c r="B23" s="72" t="str">
        <f>+BaseloadMarkets!B23</f>
        <v>Tues</v>
      </c>
      <c r="C23" s="23"/>
      <c r="D23" s="23"/>
      <c r="E23" s="73">
        <f t="shared" si="0"/>
        <v>0</v>
      </c>
      <c r="F23" s="23"/>
      <c r="G23" s="23"/>
      <c r="H23" s="73">
        <f t="shared" si="1"/>
        <v>0</v>
      </c>
      <c r="I23" s="23"/>
      <c r="J23" s="23"/>
      <c r="K23" s="73">
        <f t="shared" si="2"/>
        <v>0</v>
      </c>
      <c r="L23" s="23"/>
      <c r="M23" s="23"/>
      <c r="N23" s="73">
        <f t="shared" si="3"/>
        <v>0</v>
      </c>
      <c r="O23" s="23"/>
      <c r="P23" s="23"/>
      <c r="Q23" s="73">
        <f t="shared" si="4"/>
        <v>0</v>
      </c>
      <c r="R23" s="23"/>
      <c r="S23" s="23"/>
      <c r="T23" s="73">
        <f t="shared" si="5"/>
        <v>0</v>
      </c>
      <c r="U23" s="23"/>
      <c r="V23" s="23"/>
      <c r="W23" s="73">
        <f t="shared" si="6"/>
        <v>0</v>
      </c>
      <c r="X23" s="23"/>
      <c r="Y23" s="23"/>
      <c r="Z23" s="73">
        <f t="shared" si="7"/>
        <v>0</v>
      </c>
      <c r="AA23" s="23"/>
      <c r="AB23" s="23"/>
      <c r="AC23" s="73">
        <f t="shared" si="8"/>
        <v>0</v>
      </c>
      <c r="AD23" s="23"/>
      <c r="AE23" s="23"/>
      <c r="AF23" s="73">
        <f t="shared" si="9"/>
        <v>0</v>
      </c>
      <c r="AG23" s="23"/>
      <c r="AH23" s="23"/>
      <c r="AI23" s="73">
        <f t="shared" si="10"/>
        <v>0</v>
      </c>
      <c r="AJ23" s="23"/>
      <c r="AK23" s="23"/>
      <c r="AL23" s="73">
        <f t="shared" si="11"/>
        <v>0</v>
      </c>
      <c r="AM23" s="23"/>
      <c r="AN23" s="23"/>
      <c r="AO23" s="73">
        <f t="shared" si="12"/>
        <v>0</v>
      </c>
      <c r="AP23" s="23"/>
      <c r="AQ23" s="23"/>
      <c r="AR23" s="73">
        <f t="shared" si="13"/>
        <v>0</v>
      </c>
      <c r="AS23" s="23"/>
      <c r="AT23" s="23"/>
      <c r="AU23" s="73">
        <f t="shared" si="14"/>
        <v>0</v>
      </c>
      <c r="AV23" s="23"/>
      <c r="AW23" s="23"/>
      <c r="AX23" s="73">
        <f t="shared" si="15"/>
        <v>0</v>
      </c>
      <c r="AY23" s="23"/>
      <c r="AZ23" s="23"/>
      <c r="BA23" s="73">
        <f t="shared" si="16"/>
        <v>0</v>
      </c>
      <c r="BB23" s="23"/>
      <c r="BC23" s="23"/>
      <c r="BD23" s="73">
        <f t="shared" si="17"/>
        <v>0</v>
      </c>
      <c r="BE23" s="23"/>
      <c r="BF23" s="23"/>
      <c r="BG23" s="73">
        <f t="shared" si="18"/>
        <v>0</v>
      </c>
      <c r="BH23" s="23"/>
      <c r="BI23" s="23"/>
      <c r="BJ23" s="73">
        <f t="shared" si="19"/>
        <v>0</v>
      </c>
      <c r="BK23" s="23"/>
      <c r="BL23" s="23"/>
      <c r="BM23" s="73">
        <f t="shared" si="20"/>
        <v>0</v>
      </c>
      <c r="BN23" s="23"/>
      <c r="BO23" s="23"/>
      <c r="BP23" s="73">
        <f t="shared" si="21"/>
        <v>0</v>
      </c>
      <c r="BQ23" s="23"/>
      <c r="BR23" s="23"/>
      <c r="BS23" s="73">
        <f t="shared" si="22"/>
        <v>0</v>
      </c>
      <c r="BT23" s="23"/>
      <c r="BU23" s="23"/>
      <c r="BV23" s="73">
        <f t="shared" si="23"/>
        <v>0</v>
      </c>
      <c r="BW23" s="23"/>
      <c r="BX23" s="23"/>
      <c r="BY23" s="73">
        <f t="shared" si="24"/>
        <v>0</v>
      </c>
      <c r="BZ23" s="23"/>
      <c r="CA23" s="23"/>
      <c r="CB23" s="73">
        <f t="shared" si="25"/>
        <v>0</v>
      </c>
      <c r="CC23" s="23"/>
      <c r="CD23" s="23"/>
      <c r="CE23" s="73">
        <f t="shared" si="26"/>
        <v>0</v>
      </c>
      <c r="CF23" s="23"/>
      <c r="CG23" s="23"/>
      <c r="CH23" s="73">
        <f t="shared" si="27"/>
        <v>0</v>
      </c>
      <c r="CI23" s="23"/>
      <c r="CJ23" s="23"/>
      <c r="CK23" s="73">
        <f t="shared" si="28"/>
        <v>0</v>
      </c>
      <c r="CL23" s="23"/>
      <c r="CM23" s="23"/>
      <c r="CN23" s="73">
        <f t="shared" si="29"/>
        <v>0</v>
      </c>
      <c r="CO23" s="23"/>
      <c r="CP23" s="23"/>
      <c r="CQ23" s="73">
        <f t="shared" si="30"/>
        <v>0</v>
      </c>
      <c r="CR23" s="23"/>
      <c r="CS23" s="23"/>
      <c r="CT23" s="73">
        <f t="shared" si="31"/>
        <v>0</v>
      </c>
      <c r="CU23" s="23"/>
      <c r="CV23" s="23"/>
      <c r="CW23" s="73">
        <f t="shared" si="32"/>
        <v>0</v>
      </c>
      <c r="CX23" s="23"/>
      <c r="CY23" s="23"/>
      <c r="CZ23" s="73">
        <f t="shared" si="33"/>
        <v>0</v>
      </c>
      <c r="DA23" s="23"/>
      <c r="DB23" s="23"/>
      <c r="DC23" s="73">
        <f t="shared" si="34"/>
        <v>0</v>
      </c>
      <c r="DD23" s="23"/>
      <c r="DE23" s="23"/>
      <c r="DF23" s="73">
        <f t="shared" si="35"/>
        <v>0</v>
      </c>
      <c r="DG23" s="23"/>
      <c r="DH23" s="23"/>
      <c r="DI23" s="73">
        <f t="shared" si="36"/>
        <v>0</v>
      </c>
      <c r="DJ23" s="23"/>
      <c r="DK23" s="23"/>
      <c r="DL23" s="73">
        <f t="shared" si="37"/>
        <v>0</v>
      </c>
      <c r="DM23" s="23"/>
      <c r="DN23" s="23"/>
      <c r="DO23" s="73">
        <f t="shared" si="38"/>
        <v>0</v>
      </c>
      <c r="DP23" s="23"/>
      <c r="DQ23" s="23"/>
      <c r="DR23" s="73">
        <f t="shared" si="39"/>
        <v>0</v>
      </c>
      <c r="DS23" s="73">
        <f t="shared" si="40"/>
        <v>0</v>
      </c>
      <c r="DT23" s="73">
        <f t="shared" si="41"/>
        <v>0</v>
      </c>
      <c r="DU23" s="73">
        <f t="shared" si="42"/>
        <v>0</v>
      </c>
      <c r="DV23" s="111"/>
      <c r="DW23" s="79"/>
      <c r="DX23" s="79"/>
      <c r="DY23" s="111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</row>
    <row r="24" spans="1:141" x14ac:dyDescent="0.2">
      <c r="A24" s="72">
        <f>+BaseloadMarkets!A24</f>
        <v>36726</v>
      </c>
      <c r="B24" s="72" t="str">
        <f>+BaseloadMarkets!B24</f>
        <v>Wed</v>
      </c>
      <c r="C24" s="23"/>
      <c r="D24" s="23"/>
      <c r="E24" s="73">
        <f t="shared" si="0"/>
        <v>0</v>
      </c>
      <c r="F24" s="23"/>
      <c r="G24" s="23"/>
      <c r="H24" s="73">
        <f t="shared" si="1"/>
        <v>0</v>
      </c>
      <c r="I24" s="23"/>
      <c r="J24" s="23"/>
      <c r="K24" s="73">
        <f t="shared" si="2"/>
        <v>0</v>
      </c>
      <c r="L24" s="23"/>
      <c r="M24" s="23"/>
      <c r="N24" s="73">
        <f t="shared" si="3"/>
        <v>0</v>
      </c>
      <c r="O24" s="23"/>
      <c r="P24" s="23"/>
      <c r="Q24" s="73">
        <f t="shared" si="4"/>
        <v>0</v>
      </c>
      <c r="R24" s="23"/>
      <c r="S24" s="23"/>
      <c r="T24" s="73">
        <f t="shared" si="5"/>
        <v>0</v>
      </c>
      <c r="U24" s="23"/>
      <c r="V24" s="23"/>
      <c r="W24" s="73">
        <f t="shared" si="6"/>
        <v>0</v>
      </c>
      <c r="X24" s="23"/>
      <c r="Y24" s="23"/>
      <c r="Z24" s="73">
        <f t="shared" si="7"/>
        <v>0</v>
      </c>
      <c r="AA24" s="23">
        <v>100000</v>
      </c>
      <c r="AB24" s="23">
        <v>100000</v>
      </c>
      <c r="AC24" s="73">
        <f t="shared" si="8"/>
        <v>0</v>
      </c>
      <c r="AD24" s="23"/>
      <c r="AE24" s="23"/>
      <c r="AF24" s="73">
        <f t="shared" si="9"/>
        <v>0</v>
      </c>
      <c r="AG24" s="23"/>
      <c r="AH24" s="23"/>
      <c r="AI24" s="73">
        <f t="shared" si="10"/>
        <v>0</v>
      </c>
      <c r="AJ24" s="23"/>
      <c r="AK24" s="23"/>
      <c r="AL24" s="73">
        <f t="shared" si="11"/>
        <v>0</v>
      </c>
      <c r="AM24" s="23"/>
      <c r="AN24" s="23"/>
      <c r="AO24" s="73">
        <f t="shared" si="12"/>
        <v>0</v>
      </c>
      <c r="AP24" s="23"/>
      <c r="AQ24" s="23"/>
      <c r="AR24" s="73">
        <f t="shared" si="13"/>
        <v>0</v>
      </c>
      <c r="AS24" s="23"/>
      <c r="AT24" s="23"/>
      <c r="AU24" s="73">
        <f t="shared" si="14"/>
        <v>0</v>
      </c>
      <c r="AV24" s="23"/>
      <c r="AW24" s="23"/>
      <c r="AX24" s="73">
        <f t="shared" si="15"/>
        <v>0</v>
      </c>
      <c r="AY24" s="23"/>
      <c r="AZ24" s="23"/>
      <c r="BA24" s="73">
        <f t="shared" si="16"/>
        <v>0</v>
      </c>
      <c r="BB24" s="23"/>
      <c r="BC24" s="23"/>
      <c r="BD24" s="73">
        <f t="shared" si="17"/>
        <v>0</v>
      </c>
      <c r="BE24" s="23"/>
      <c r="BF24" s="23"/>
      <c r="BG24" s="73">
        <f t="shared" si="18"/>
        <v>0</v>
      </c>
      <c r="BH24" s="23"/>
      <c r="BI24" s="23"/>
      <c r="BJ24" s="73">
        <f t="shared" si="19"/>
        <v>0</v>
      </c>
      <c r="BK24" s="23"/>
      <c r="BL24" s="23"/>
      <c r="BM24" s="73">
        <f t="shared" si="20"/>
        <v>0</v>
      </c>
      <c r="BN24" s="23"/>
      <c r="BO24" s="23"/>
      <c r="BP24" s="73">
        <f t="shared" si="21"/>
        <v>0</v>
      </c>
      <c r="BQ24" s="23"/>
      <c r="BR24" s="23"/>
      <c r="BS24" s="73">
        <f t="shared" si="22"/>
        <v>0</v>
      </c>
      <c r="BT24" s="23"/>
      <c r="BU24" s="23"/>
      <c r="BV24" s="73">
        <f t="shared" si="23"/>
        <v>0</v>
      </c>
      <c r="BW24" s="23"/>
      <c r="BX24" s="23"/>
      <c r="BY24" s="73">
        <f t="shared" si="24"/>
        <v>0</v>
      </c>
      <c r="BZ24" s="23"/>
      <c r="CA24" s="23"/>
      <c r="CB24" s="73">
        <f t="shared" si="25"/>
        <v>0</v>
      </c>
      <c r="CC24" s="23"/>
      <c r="CD24" s="23"/>
      <c r="CE24" s="73">
        <f t="shared" si="26"/>
        <v>0</v>
      </c>
      <c r="CF24" s="23"/>
      <c r="CG24" s="23"/>
      <c r="CH24" s="73">
        <f t="shared" si="27"/>
        <v>0</v>
      </c>
      <c r="CI24" s="23"/>
      <c r="CJ24" s="23"/>
      <c r="CK24" s="73">
        <f t="shared" si="28"/>
        <v>0</v>
      </c>
      <c r="CL24" s="23"/>
      <c r="CM24" s="23"/>
      <c r="CN24" s="73">
        <f t="shared" si="29"/>
        <v>0</v>
      </c>
      <c r="CO24" s="23"/>
      <c r="CP24" s="23"/>
      <c r="CQ24" s="73">
        <f t="shared" si="30"/>
        <v>0</v>
      </c>
      <c r="CR24" s="23"/>
      <c r="CS24" s="23"/>
      <c r="CT24" s="73">
        <f t="shared" si="31"/>
        <v>0</v>
      </c>
      <c r="CU24" s="23"/>
      <c r="CV24" s="23"/>
      <c r="CW24" s="73">
        <f t="shared" si="32"/>
        <v>0</v>
      </c>
      <c r="CX24" s="23"/>
      <c r="CY24" s="23"/>
      <c r="CZ24" s="73">
        <f t="shared" si="33"/>
        <v>0</v>
      </c>
      <c r="DA24" s="23"/>
      <c r="DB24" s="23"/>
      <c r="DC24" s="73">
        <f t="shared" si="34"/>
        <v>0</v>
      </c>
      <c r="DD24" s="23"/>
      <c r="DE24" s="23"/>
      <c r="DF24" s="73">
        <f t="shared" si="35"/>
        <v>0</v>
      </c>
      <c r="DG24" s="23"/>
      <c r="DH24" s="23"/>
      <c r="DI24" s="73">
        <f t="shared" si="36"/>
        <v>0</v>
      </c>
      <c r="DJ24" s="23"/>
      <c r="DK24" s="23"/>
      <c r="DL24" s="73">
        <f t="shared" si="37"/>
        <v>0</v>
      </c>
      <c r="DM24" s="23"/>
      <c r="DN24" s="23"/>
      <c r="DO24" s="73">
        <f t="shared" si="38"/>
        <v>0</v>
      </c>
      <c r="DP24" s="23"/>
      <c r="DQ24" s="23"/>
      <c r="DR24" s="73">
        <f t="shared" si="39"/>
        <v>0</v>
      </c>
      <c r="DS24" s="73">
        <f t="shared" si="40"/>
        <v>100000</v>
      </c>
      <c r="DT24" s="73">
        <f t="shared" si="41"/>
        <v>100000</v>
      </c>
      <c r="DU24" s="73">
        <f t="shared" si="42"/>
        <v>0</v>
      </c>
      <c r="DV24" s="111"/>
      <c r="DW24" s="79"/>
      <c r="DX24" s="79"/>
      <c r="DY24" s="111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</row>
    <row r="25" spans="1:141" x14ac:dyDescent="0.2">
      <c r="A25" s="72">
        <f>+BaseloadMarkets!A25</f>
        <v>36727</v>
      </c>
      <c r="B25" s="72" t="str">
        <f>+BaseloadMarkets!B25</f>
        <v>Thu</v>
      </c>
      <c r="C25" s="23"/>
      <c r="D25" s="23"/>
      <c r="E25" s="73">
        <f t="shared" si="0"/>
        <v>0</v>
      </c>
      <c r="F25" s="23"/>
      <c r="G25" s="23"/>
      <c r="H25" s="73">
        <f t="shared" si="1"/>
        <v>0</v>
      </c>
      <c r="I25" s="23"/>
      <c r="J25" s="23"/>
      <c r="K25" s="73">
        <f t="shared" si="2"/>
        <v>0</v>
      </c>
      <c r="L25" s="23"/>
      <c r="M25" s="23"/>
      <c r="N25" s="73">
        <f t="shared" si="3"/>
        <v>0</v>
      </c>
      <c r="O25" s="23"/>
      <c r="P25" s="23"/>
      <c r="Q25" s="73">
        <f t="shared" si="4"/>
        <v>0</v>
      </c>
      <c r="R25" s="23"/>
      <c r="S25" s="23"/>
      <c r="T25" s="73">
        <f t="shared" si="5"/>
        <v>0</v>
      </c>
      <c r="U25" s="23"/>
      <c r="V25" s="23"/>
      <c r="W25" s="73">
        <f t="shared" si="6"/>
        <v>0</v>
      </c>
      <c r="X25" s="23"/>
      <c r="Y25" s="23"/>
      <c r="Z25" s="73">
        <f t="shared" si="7"/>
        <v>0</v>
      </c>
      <c r="AA25" s="23"/>
      <c r="AB25" s="23"/>
      <c r="AC25" s="73">
        <f t="shared" si="8"/>
        <v>0</v>
      </c>
      <c r="AD25" s="23"/>
      <c r="AE25" s="23"/>
      <c r="AF25" s="73">
        <f t="shared" si="9"/>
        <v>0</v>
      </c>
      <c r="AG25" s="23"/>
      <c r="AH25" s="23"/>
      <c r="AI25" s="73">
        <f t="shared" si="10"/>
        <v>0</v>
      </c>
      <c r="AJ25" s="23"/>
      <c r="AK25" s="23"/>
      <c r="AL25" s="73">
        <f t="shared" si="11"/>
        <v>0</v>
      </c>
      <c r="AM25" s="23"/>
      <c r="AN25" s="23"/>
      <c r="AO25" s="73">
        <f t="shared" si="12"/>
        <v>0</v>
      </c>
      <c r="AP25" s="23"/>
      <c r="AQ25" s="23"/>
      <c r="AR25" s="73">
        <f t="shared" si="13"/>
        <v>0</v>
      </c>
      <c r="AS25" s="23"/>
      <c r="AT25" s="23"/>
      <c r="AU25" s="73">
        <f t="shared" si="14"/>
        <v>0</v>
      </c>
      <c r="AV25" s="23"/>
      <c r="AW25" s="23"/>
      <c r="AX25" s="73">
        <f t="shared" si="15"/>
        <v>0</v>
      </c>
      <c r="AY25" s="23"/>
      <c r="AZ25" s="23"/>
      <c r="BA25" s="73">
        <f t="shared" si="16"/>
        <v>0</v>
      </c>
      <c r="BB25" s="23"/>
      <c r="BC25" s="23"/>
      <c r="BD25" s="73">
        <f t="shared" si="17"/>
        <v>0</v>
      </c>
      <c r="BE25" s="23"/>
      <c r="BF25" s="23"/>
      <c r="BG25" s="73">
        <f t="shared" si="18"/>
        <v>0</v>
      </c>
      <c r="BH25" s="23"/>
      <c r="BI25" s="23"/>
      <c r="BJ25" s="73">
        <f t="shared" si="19"/>
        <v>0</v>
      </c>
      <c r="BK25" s="23"/>
      <c r="BL25" s="23"/>
      <c r="BM25" s="73">
        <f t="shared" si="20"/>
        <v>0</v>
      </c>
      <c r="BN25" s="23"/>
      <c r="BO25" s="23"/>
      <c r="BP25" s="73">
        <f t="shared" si="21"/>
        <v>0</v>
      </c>
      <c r="BQ25" s="23"/>
      <c r="BR25" s="23"/>
      <c r="BS25" s="73">
        <f t="shared" si="22"/>
        <v>0</v>
      </c>
      <c r="BT25" s="23"/>
      <c r="BU25" s="23"/>
      <c r="BV25" s="73">
        <f t="shared" si="23"/>
        <v>0</v>
      </c>
      <c r="BW25" s="23"/>
      <c r="BX25" s="23"/>
      <c r="BY25" s="73">
        <f t="shared" si="24"/>
        <v>0</v>
      </c>
      <c r="BZ25" s="23"/>
      <c r="CA25" s="23"/>
      <c r="CB25" s="73">
        <f t="shared" si="25"/>
        <v>0</v>
      </c>
      <c r="CC25" s="23"/>
      <c r="CD25" s="23"/>
      <c r="CE25" s="73">
        <f t="shared" si="26"/>
        <v>0</v>
      </c>
      <c r="CF25" s="23"/>
      <c r="CG25" s="23"/>
      <c r="CH25" s="73">
        <f t="shared" si="27"/>
        <v>0</v>
      </c>
      <c r="CI25" s="23"/>
      <c r="CJ25" s="23"/>
      <c r="CK25" s="73">
        <f t="shared" si="28"/>
        <v>0</v>
      </c>
      <c r="CL25" s="23"/>
      <c r="CM25" s="23"/>
      <c r="CN25" s="73">
        <f t="shared" si="29"/>
        <v>0</v>
      </c>
      <c r="CO25" s="23"/>
      <c r="CP25" s="23"/>
      <c r="CQ25" s="73">
        <f t="shared" si="30"/>
        <v>0</v>
      </c>
      <c r="CR25" s="23"/>
      <c r="CS25" s="23"/>
      <c r="CT25" s="73">
        <f t="shared" si="31"/>
        <v>0</v>
      </c>
      <c r="CU25" s="23"/>
      <c r="CV25" s="23"/>
      <c r="CW25" s="73">
        <f t="shared" si="32"/>
        <v>0</v>
      </c>
      <c r="CX25" s="23"/>
      <c r="CY25" s="23"/>
      <c r="CZ25" s="73">
        <f t="shared" si="33"/>
        <v>0</v>
      </c>
      <c r="DA25" s="23"/>
      <c r="DB25" s="23"/>
      <c r="DC25" s="73">
        <f t="shared" si="34"/>
        <v>0</v>
      </c>
      <c r="DD25" s="23"/>
      <c r="DE25" s="23"/>
      <c r="DF25" s="73">
        <f t="shared" si="35"/>
        <v>0</v>
      </c>
      <c r="DG25" s="23"/>
      <c r="DH25" s="23"/>
      <c r="DI25" s="73">
        <f t="shared" si="36"/>
        <v>0</v>
      </c>
      <c r="DJ25" s="23"/>
      <c r="DK25" s="23"/>
      <c r="DL25" s="73">
        <f t="shared" si="37"/>
        <v>0</v>
      </c>
      <c r="DM25" s="23"/>
      <c r="DN25" s="23"/>
      <c r="DO25" s="73">
        <f t="shared" si="38"/>
        <v>0</v>
      </c>
      <c r="DP25" s="23"/>
      <c r="DQ25" s="23"/>
      <c r="DR25" s="73">
        <f t="shared" si="39"/>
        <v>0</v>
      </c>
      <c r="DS25" s="73">
        <f t="shared" si="40"/>
        <v>0</v>
      </c>
      <c r="DT25" s="73">
        <f t="shared" si="41"/>
        <v>0</v>
      </c>
      <c r="DU25" s="73">
        <f t="shared" si="42"/>
        <v>0</v>
      </c>
      <c r="DV25" s="111"/>
      <c r="DW25" s="79"/>
      <c r="DX25" s="79"/>
      <c r="DY25" s="111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</row>
    <row r="26" spans="1:141" x14ac:dyDescent="0.2">
      <c r="A26" s="72">
        <f>+BaseloadMarkets!A26</f>
        <v>36728</v>
      </c>
      <c r="B26" s="72" t="str">
        <f>+BaseloadMarkets!B26</f>
        <v>Fri</v>
      </c>
      <c r="C26" s="23"/>
      <c r="D26" s="23"/>
      <c r="E26" s="73">
        <f t="shared" si="0"/>
        <v>0</v>
      </c>
      <c r="F26" s="23"/>
      <c r="G26" s="23"/>
      <c r="H26" s="73">
        <f t="shared" si="1"/>
        <v>0</v>
      </c>
      <c r="I26" s="23"/>
      <c r="J26" s="23"/>
      <c r="K26" s="73">
        <f t="shared" si="2"/>
        <v>0</v>
      </c>
      <c r="L26" s="23"/>
      <c r="M26" s="23"/>
      <c r="N26" s="73">
        <f t="shared" si="3"/>
        <v>0</v>
      </c>
      <c r="O26" s="23"/>
      <c r="P26" s="23"/>
      <c r="Q26" s="73">
        <f t="shared" si="4"/>
        <v>0</v>
      </c>
      <c r="R26" s="23"/>
      <c r="S26" s="23"/>
      <c r="T26" s="73">
        <f t="shared" si="5"/>
        <v>0</v>
      </c>
      <c r="U26" s="23"/>
      <c r="V26" s="23"/>
      <c r="W26" s="73">
        <f t="shared" si="6"/>
        <v>0</v>
      </c>
      <c r="X26" s="23"/>
      <c r="Y26" s="23"/>
      <c r="Z26" s="73">
        <f t="shared" si="7"/>
        <v>0</v>
      </c>
      <c r="AA26" s="23"/>
      <c r="AB26" s="23"/>
      <c r="AC26" s="73">
        <f t="shared" si="8"/>
        <v>0</v>
      </c>
      <c r="AD26" s="23"/>
      <c r="AE26" s="23"/>
      <c r="AF26" s="73">
        <f t="shared" si="9"/>
        <v>0</v>
      </c>
      <c r="AG26" s="23"/>
      <c r="AH26" s="23"/>
      <c r="AI26" s="73">
        <f t="shared" si="10"/>
        <v>0</v>
      </c>
      <c r="AJ26" s="23"/>
      <c r="AK26" s="23"/>
      <c r="AL26" s="73">
        <f t="shared" si="11"/>
        <v>0</v>
      </c>
      <c r="AM26" s="23"/>
      <c r="AN26" s="23"/>
      <c r="AO26" s="73">
        <f t="shared" si="12"/>
        <v>0</v>
      </c>
      <c r="AP26" s="23"/>
      <c r="AQ26" s="23"/>
      <c r="AR26" s="73">
        <f t="shared" si="13"/>
        <v>0</v>
      </c>
      <c r="AS26" s="23"/>
      <c r="AT26" s="23"/>
      <c r="AU26" s="73">
        <f t="shared" si="14"/>
        <v>0</v>
      </c>
      <c r="AV26" s="23"/>
      <c r="AW26" s="23"/>
      <c r="AX26" s="73">
        <f t="shared" si="15"/>
        <v>0</v>
      </c>
      <c r="AY26" s="23"/>
      <c r="AZ26" s="23"/>
      <c r="BA26" s="73">
        <f t="shared" si="16"/>
        <v>0</v>
      </c>
      <c r="BB26" s="23"/>
      <c r="BC26" s="23"/>
      <c r="BD26" s="73">
        <f t="shared" si="17"/>
        <v>0</v>
      </c>
      <c r="BE26" s="23"/>
      <c r="BF26" s="23"/>
      <c r="BG26" s="73">
        <f t="shared" si="18"/>
        <v>0</v>
      </c>
      <c r="BH26" s="23"/>
      <c r="BI26" s="23"/>
      <c r="BJ26" s="73">
        <f t="shared" si="19"/>
        <v>0</v>
      </c>
      <c r="BK26" s="23"/>
      <c r="BL26" s="23"/>
      <c r="BM26" s="73">
        <f t="shared" si="20"/>
        <v>0</v>
      </c>
      <c r="BN26" s="23"/>
      <c r="BO26" s="23"/>
      <c r="BP26" s="73">
        <f t="shared" si="21"/>
        <v>0</v>
      </c>
      <c r="BQ26" s="23"/>
      <c r="BR26" s="23"/>
      <c r="BS26" s="73">
        <f t="shared" si="22"/>
        <v>0</v>
      </c>
      <c r="BT26" s="23"/>
      <c r="BU26" s="23"/>
      <c r="BV26" s="73">
        <f t="shared" si="23"/>
        <v>0</v>
      </c>
      <c r="BW26" s="23"/>
      <c r="BX26" s="23"/>
      <c r="BY26" s="73">
        <f t="shared" si="24"/>
        <v>0</v>
      </c>
      <c r="BZ26" s="23"/>
      <c r="CA26" s="23"/>
      <c r="CB26" s="73">
        <f t="shared" si="25"/>
        <v>0</v>
      </c>
      <c r="CC26" s="23"/>
      <c r="CD26" s="23"/>
      <c r="CE26" s="73">
        <f t="shared" si="26"/>
        <v>0</v>
      </c>
      <c r="CF26" s="23"/>
      <c r="CG26" s="23"/>
      <c r="CH26" s="73">
        <f t="shared" si="27"/>
        <v>0</v>
      </c>
      <c r="CI26" s="23"/>
      <c r="CJ26" s="23"/>
      <c r="CK26" s="73">
        <f t="shared" si="28"/>
        <v>0</v>
      </c>
      <c r="CL26" s="23"/>
      <c r="CM26" s="23"/>
      <c r="CN26" s="73">
        <f t="shared" si="29"/>
        <v>0</v>
      </c>
      <c r="CO26" s="23"/>
      <c r="CP26" s="23"/>
      <c r="CQ26" s="73">
        <f t="shared" si="30"/>
        <v>0</v>
      </c>
      <c r="CR26" s="23"/>
      <c r="CS26" s="23"/>
      <c r="CT26" s="73">
        <f t="shared" si="31"/>
        <v>0</v>
      </c>
      <c r="CU26" s="23"/>
      <c r="CV26" s="23"/>
      <c r="CW26" s="73">
        <f t="shared" si="32"/>
        <v>0</v>
      </c>
      <c r="CX26" s="23"/>
      <c r="CY26" s="23"/>
      <c r="CZ26" s="73">
        <f t="shared" si="33"/>
        <v>0</v>
      </c>
      <c r="DA26" s="23"/>
      <c r="DB26" s="23"/>
      <c r="DC26" s="73">
        <f t="shared" si="34"/>
        <v>0</v>
      </c>
      <c r="DD26" s="23"/>
      <c r="DE26" s="23"/>
      <c r="DF26" s="73">
        <f t="shared" si="35"/>
        <v>0</v>
      </c>
      <c r="DG26" s="23"/>
      <c r="DH26" s="23"/>
      <c r="DI26" s="73">
        <f t="shared" si="36"/>
        <v>0</v>
      </c>
      <c r="DJ26" s="23"/>
      <c r="DK26" s="23"/>
      <c r="DL26" s="73">
        <f t="shared" si="37"/>
        <v>0</v>
      </c>
      <c r="DM26" s="23"/>
      <c r="DN26" s="23"/>
      <c r="DO26" s="73">
        <f t="shared" si="38"/>
        <v>0</v>
      </c>
      <c r="DP26" s="23"/>
      <c r="DQ26" s="23"/>
      <c r="DR26" s="73">
        <f t="shared" si="39"/>
        <v>0</v>
      </c>
      <c r="DS26" s="73">
        <f t="shared" si="40"/>
        <v>0</v>
      </c>
      <c r="DT26" s="73">
        <f t="shared" si="41"/>
        <v>0</v>
      </c>
      <c r="DU26" s="73">
        <f t="shared" si="42"/>
        <v>0</v>
      </c>
      <c r="DV26" s="111"/>
      <c r="DW26" s="79"/>
      <c r="DX26" s="79"/>
      <c r="DY26" s="111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</row>
    <row r="27" spans="1:141" x14ac:dyDescent="0.2">
      <c r="A27" s="72">
        <f>+BaseloadMarkets!A27</f>
        <v>36729</v>
      </c>
      <c r="B27" s="72" t="str">
        <f>+BaseloadMarkets!B27</f>
        <v>Sat</v>
      </c>
      <c r="C27" s="23"/>
      <c r="D27" s="23"/>
      <c r="E27" s="73">
        <f t="shared" si="0"/>
        <v>0</v>
      </c>
      <c r="F27" s="23"/>
      <c r="G27" s="23"/>
      <c r="H27" s="73">
        <f t="shared" si="1"/>
        <v>0</v>
      </c>
      <c r="I27" s="23"/>
      <c r="J27" s="23"/>
      <c r="K27" s="73">
        <f t="shared" si="2"/>
        <v>0</v>
      </c>
      <c r="L27" s="23"/>
      <c r="M27" s="23"/>
      <c r="N27" s="73">
        <f t="shared" si="3"/>
        <v>0</v>
      </c>
      <c r="O27" s="23"/>
      <c r="P27" s="23"/>
      <c r="Q27" s="73">
        <f t="shared" si="4"/>
        <v>0</v>
      </c>
      <c r="R27" s="23"/>
      <c r="S27" s="23"/>
      <c r="T27" s="73">
        <f t="shared" si="5"/>
        <v>0</v>
      </c>
      <c r="U27" s="23"/>
      <c r="V27" s="23"/>
      <c r="W27" s="73">
        <f t="shared" si="6"/>
        <v>0</v>
      </c>
      <c r="X27" s="23"/>
      <c r="Y27" s="23"/>
      <c r="Z27" s="73">
        <f t="shared" si="7"/>
        <v>0</v>
      </c>
      <c r="AA27" s="23">
        <v>14000</v>
      </c>
      <c r="AB27" s="23">
        <v>14000</v>
      </c>
      <c r="AC27" s="73">
        <f t="shared" si="8"/>
        <v>0</v>
      </c>
      <c r="AD27" s="23">
        <v>18000</v>
      </c>
      <c r="AE27" s="23">
        <v>18000</v>
      </c>
      <c r="AF27" s="73">
        <f t="shared" si="9"/>
        <v>0</v>
      </c>
      <c r="AG27" s="23"/>
      <c r="AH27" s="23"/>
      <c r="AI27" s="73">
        <f t="shared" si="10"/>
        <v>0</v>
      </c>
      <c r="AJ27" s="23"/>
      <c r="AK27" s="23"/>
      <c r="AL27" s="73">
        <f t="shared" si="11"/>
        <v>0</v>
      </c>
      <c r="AM27" s="23"/>
      <c r="AN27" s="23"/>
      <c r="AO27" s="73">
        <f t="shared" si="12"/>
        <v>0</v>
      </c>
      <c r="AP27" s="23"/>
      <c r="AQ27" s="23"/>
      <c r="AR27" s="73">
        <f t="shared" si="13"/>
        <v>0</v>
      </c>
      <c r="AS27" s="23"/>
      <c r="AT27" s="23"/>
      <c r="AU27" s="73">
        <f t="shared" si="14"/>
        <v>0</v>
      </c>
      <c r="AV27" s="23"/>
      <c r="AW27" s="23"/>
      <c r="AX27" s="73">
        <f t="shared" si="15"/>
        <v>0</v>
      </c>
      <c r="AY27" s="23"/>
      <c r="AZ27" s="23"/>
      <c r="BA27" s="73">
        <f t="shared" si="16"/>
        <v>0</v>
      </c>
      <c r="BB27" s="23"/>
      <c r="BC27" s="23"/>
      <c r="BD27" s="73">
        <f t="shared" si="17"/>
        <v>0</v>
      </c>
      <c r="BE27" s="23"/>
      <c r="BF27" s="23"/>
      <c r="BG27" s="73">
        <f t="shared" si="18"/>
        <v>0</v>
      </c>
      <c r="BH27" s="23"/>
      <c r="BI27" s="23"/>
      <c r="BJ27" s="73">
        <f t="shared" si="19"/>
        <v>0</v>
      </c>
      <c r="BK27" s="23"/>
      <c r="BL27" s="23"/>
      <c r="BM27" s="73">
        <f t="shared" si="20"/>
        <v>0</v>
      </c>
      <c r="BN27" s="23"/>
      <c r="BO27" s="23"/>
      <c r="BP27" s="73">
        <f t="shared" si="21"/>
        <v>0</v>
      </c>
      <c r="BQ27" s="23"/>
      <c r="BR27" s="23"/>
      <c r="BS27" s="73">
        <f t="shared" si="22"/>
        <v>0</v>
      </c>
      <c r="BT27" s="23"/>
      <c r="BU27" s="23"/>
      <c r="BV27" s="73">
        <f t="shared" si="23"/>
        <v>0</v>
      </c>
      <c r="BW27" s="23"/>
      <c r="BX27" s="23"/>
      <c r="BY27" s="73">
        <f t="shared" si="24"/>
        <v>0</v>
      </c>
      <c r="BZ27" s="23"/>
      <c r="CA27" s="23"/>
      <c r="CB27" s="73">
        <f t="shared" si="25"/>
        <v>0</v>
      </c>
      <c r="CC27" s="23"/>
      <c r="CD27" s="23"/>
      <c r="CE27" s="73">
        <f t="shared" si="26"/>
        <v>0</v>
      </c>
      <c r="CF27" s="23"/>
      <c r="CG27" s="23"/>
      <c r="CH27" s="73">
        <f t="shared" si="27"/>
        <v>0</v>
      </c>
      <c r="CI27" s="23"/>
      <c r="CJ27" s="23"/>
      <c r="CK27" s="73">
        <f t="shared" si="28"/>
        <v>0</v>
      </c>
      <c r="CL27" s="23"/>
      <c r="CM27" s="23"/>
      <c r="CN27" s="73">
        <f t="shared" si="29"/>
        <v>0</v>
      </c>
      <c r="CO27" s="23"/>
      <c r="CP27" s="23"/>
      <c r="CQ27" s="73">
        <f t="shared" si="30"/>
        <v>0</v>
      </c>
      <c r="CR27" s="23"/>
      <c r="CS27" s="23"/>
      <c r="CT27" s="73">
        <f t="shared" si="31"/>
        <v>0</v>
      </c>
      <c r="CU27" s="23"/>
      <c r="CV27" s="23"/>
      <c r="CW27" s="73">
        <f t="shared" si="32"/>
        <v>0</v>
      </c>
      <c r="CX27" s="23"/>
      <c r="CY27" s="23"/>
      <c r="CZ27" s="73">
        <f t="shared" si="33"/>
        <v>0</v>
      </c>
      <c r="DA27" s="23"/>
      <c r="DB27" s="23"/>
      <c r="DC27" s="73">
        <f t="shared" si="34"/>
        <v>0</v>
      </c>
      <c r="DD27" s="23"/>
      <c r="DE27" s="23"/>
      <c r="DF27" s="73">
        <f t="shared" si="35"/>
        <v>0</v>
      </c>
      <c r="DG27" s="23"/>
      <c r="DH27" s="23"/>
      <c r="DI27" s="73">
        <f t="shared" si="36"/>
        <v>0</v>
      </c>
      <c r="DJ27" s="23"/>
      <c r="DK27" s="23"/>
      <c r="DL27" s="73">
        <f t="shared" si="37"/>
        <v>0</v>
      </c>
      <c r="DM27" s="23"/>
      <c r="DN27" s="23"/>
      <c r="DO27" s="73">
        <f t="shared" si="38"/>
        <v>0</v>
      </c>
      <c r="DP27" s="23"/>
      <c r="DQ27" s="23"/>
      <c r="DR27" s="73">
        <f t="shared" si="39"/>
        <v>0</v>
      </c>
      <c r="DS27" s="73">
        <f t="shared" si="40"/>
        <v>32000</v>
      </c>
      <c r="DT27" s="73">
        <f t="shared" si="41"/>
        <v>32000</v>
      </c>
      <c r="DU27" s="73">
        <f t="shared" si="42"/>
        <v>0</v>
      </c>
      <c r="DV27" s="111"/>
      <c r="DW27" s="79"/>
      <c r="DX27" s="79"/>
      <c r="DY27" s="111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</row>
    <row r="28" spans="1:141" x14ac:dyDescent="0.2">
      <c r="A28" s="72">
        <f>+BaseloadMarkets!A28</f>
        <v>36730</v>
      </c>
      <c r="B28" s="72" t="str">
        <f>+BaseloadMarkets!B28</f>
        <v>Sun</v>
      </c>
      <c r="C28" s="23"/>
      <c r="D28" s="23"/>
      <c r="E28" s="73">
        <f t="shared" si="0"/>
        <v>0</v>
      </c>
      <c r="F28" s="23"/>
      <c r="G28" s="23"/>
      <c r="H28" s="73">
        <f t="shared" si="1"/>
        <v>0</v>
      </c>
      <c r="I28" s="23"/>
      <c r="J28" s="23"/>
      <c r="K28" s="73">
        <f t="shared" si="2"/>
        <v>0</v>
      </c>
      <c r="L28" s="23"/>
      <c r="M28" s="23"/>
      <c r="N28" s="73">
        <f t="shared" si="3"/>
        <v>0</v>
      </c>
      <c r="O28" s="23"/>
      <c r="P28" s="23"/>
      <c r="Q28" s="73">
        <f t="shared" si="4"/>
        <v>0</v>
      </c>
      <c r="R28" s="23"/>
      <c r="S28" s="23"/>
      <c r="T28" s="73">
        <f t="shared" si="5"/>
        <v>0</v>
      </c>
      <c r="U28" s="23"/>
      <c r="V28" s="23"/>
      <c r="W28" s="73">
        <f t="shared" si="6"/>
        <v>0</v>
      </c>
      <c r="X28" s="23"/>
      <c r="Y28" s="23"/>
      <c r="Z28" s="73">
        <f t="shared" si="7"/>
        <v>0</v>
      </c>
      <c r="AA28" s="23">
        <v>14000</v>
      </c>
      <c r="AB28" s="23">
        <v>14000</v>
      </c>
      <c r="AC28" s="73">
        <f t="shared" si="8"/>
        <v>0</v>
      </c>
      <c r="AD28" s="23">
        <v>18000</v>
      </c>
      <c r="AE28" s="23">
        <v>18000</v>
      </c>
      <c r="AF28" s="73">
        <f t="shared" si="9"/>
        <v>0</v>
      </c>
      <c r="AG28" s="23"/>
      <c r="AH28" s="23"/>
      <c r="AI28" s="73">
        <f t="shared" si="10"/>
        <v>0</v>
      </c>
      <c r="AJ28" s="23"/>
      <c r="AK28" s="23"/>
      <c r="AL28" s="73">
        <f t="shared" si="11"/>
        <v>0</v>
      </c>
      <c r="AM28" s="23"/>
      <c r="AN28" s="23"/>
      <c r="AO28" s="73">
        <f t="shared" si="12"/>
        <v>0</v>
      </c>
      <c r="AP28" s="23"/>
      <c r="AQ28" s="23"/>
      <c r="AR28" s="73">
        <f t="shared" si="13"/>
        <v>0</v>
      </c>
      <c r="AS28" s="23"/>
      <c r="AT28" s="23"/>
      <c r="AU28" s="73">
        <f t="shared" si="14"/>
        <v>0</v>
      </c>
      <c r="AV28" s="23"/>
      <c r="AW28" s="23"/>
      <c r="AX28" s="73">
        <f t="shared" si="15"/>
        <v>0</v>
      </c>
      <c r="AY28" s="23"/>
      <c r="AZ28" s="23"/>
      <c r="BA28" s="73">
        <f t="shared" si="16"/>
        <v>0</v>
      </c>
      <c r="BB28" s="23"/>
      <c r="BC28" s="23"/>
      <c r="BD28" s="73">
        <f t="shared" si="17"/>
        <v>0</v>
      </c>
      <c r="BE28" s="23"/>
      <c r="BF28" s="23"/>
      <c r="BG28" s="73">
        <f t="shared" si="18"/>
        <v>0</v>
      </c>
      <c r="BH28" s="23"/>
      <c r="BI28" s="23"/>
      <c r="BJ28" s="73">
        <f t="shared" si="19"/>
        <v>0</v>
      </c>
      <c r="BK28" s="23"/>
      <c r="BL28" s="23"/>
      <c r="BM28" s="73">
        <f t="shared" si="20"/>
        <v>0</v>
      </c>
      <c r="BN28" s="23"/>
      <c r="BO28" s="23"/>
      <c r="BP28" s="73">
        <f t="shared" si="21"/>
        <v>0</v>
      </c>
      <c r="BQ28" s="23"/>
      <c r="BR28" s="23"/>
      <c r="BS28" s="73">
        <f t="shared" si="22"/>
        <v>0</v>
      </c>
      <c r="BT28" s="23"/>
      <c r="BU28" s="23"/>
      <c r="BV28" s="73">
        <f t="shared" si="23"/>
        <v>0</v>
      </c>
      <c r="BW28" s="23"/>
      <c r="BX28" s="23"/>
      <c r="BY28" s="73">
        <f t="shared" si="24"/>
        <v>0</v>
      </c>
      <c r="BZ28" s="23"/>
      <c r="CA28" s="23"/>
      <c r="CB28" s="73">
        <f t="shared" si="25"/>
        <v>0</v>
      </c>
      <c r="CC28" s="23"/>
      <c r="CD28" s="23"/>
      <c r="CE28" s="73">
        <f t="shared" si="26"/>
        <v>0</v>
      </c>
      <c r="CF28" s="23"/>
      <c r="CG28" s="23"/>
      <c r="CH28" s="73">
        <f t="shared" si="27"/>
        <v>0</v>
      </c>
      <c r="CI28" s="23"/>
      <c r="CJ28" s="23"/>
      <c r="CK28" s="73">
        <f t="shared" si="28"/>
        <v>0</v>
      </c>
      <c r="CL28" s="23"/>
      <c r="CM28" s="23"/>
      <c r="CN28" s="73">
        <f t="shared" si="29"/>
        <v>0</v>
      </c>
      <c r="CO28" s="23"/>
      <c r="CP28" s="23"/>
      <c r="CQ28" s="73">
        <f t="shared" si="30"/>
        <v>0</v>
      </c>
      <c r="CR28" s="23"/>
      <c r="CS28" s="23"/>
      <c r="CT28" s="73">
        <f t="shared" si="31"/>
        <v>0</v>
      </c>
      <c r="CU28" s="23"/>
      <c r="CV28" s="23"/>
      <c r="CW28" s="73">
        <f t="shared" si="32"/>
        <v>0</v>
      </c>
      <c r="CX28" s="23"/>
      <c r="CY28" s="23"/>
      <c r="CZ28" s="73">
        <f t="shared" si="33"/>
        <v>0</v>
      </c>
      <c r="DA28" s="23"/>
      <c r="DB28" s="23"/>
      <c r="DC28" s="73">
        <f t="shared" si="34"/>
        <v>0</v>
      </c>
      <c r="DD28" s="23"/>
      <c r="DE28" s="23"/>
      <c r="DF28" s="73">
        <f t="shared" si="35"/>
        <v>0</v>
      </c>
      <c r="DG28" s="23"/>
      <c r="DH28" s="23"/>
      <c r="DI28" s="73">
        <f t="shared" si="36"/>
        <v>0</v>
      </c>
      <c r="DJ28" s="23"/>
      <c r="DK28" s="23"/>
      <c r="DL28" s="73">
        <f t="shared" si="37"/>
        <v>0</v>
      </c>
      <c r="DM28" s="23"/>
      <c r="DN28" s="23"/>
      <c r="DO28" s="73">
        <f t="shared" si="38"/>
        <v>0</v>
      </c>
      <c r="DP28" s="23"/>
      <c r="DQ28" s="23"/>
      <c r="DR28" s="73">
        <f t="shared" si="39"/>
        <v>0</v>
      </c>
      <c r="DS28" s="73">
        <f t="shared" si="40"/>
        <v>32000</v>
      </c>
      <c r="DT28" s="73">
        <f t="shared" si="41"/>
        <v>32000</v>
      </c>
      <c r="DU28" s="73">
        <f t="shared" si="42"/>
        <v>0</v>
      </c>
      <c r="DV28" s="111"/>
      <c r="DW28" s="79"/>
      <c r="DX28" s="79"/>
      <c r="DY28" s="111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</row>
    <row r="29" spans="1:141" x14ac:dyDescent="0.2">
      <c r="A29" s="72">
        <f>+BaseloadMarkets!A29</f>
        <v>36731</v>
      </c>
      <c r="B29" s="72" t="str">
        <f>+BaseloadMarkets!B29</f>
        <v>Mon</v>
      </c>
      <c r="C29" s="23"/>
      <c r="D29" s="23"/>
      <c r="E29" s="73">
        <f t="shared" si="0"/>
        <v>0</v>
      </c>
      <c r="F29" s="23"/>
      <c r="G29" s="23"/>
      <c r="H29" s="73">
        <f t="shared" si="1"/>
        <v>0</v>
      </c>
      <c r="I29" s="23"/>
      <c r="J29" s="23"/>
      <c r="K29" s="73">
        <f t="shared" si="2"/>
        <v>0</v>
      </c>
      <c r="L29" s="23"/>
      <c r="M29" s="23"/>
      <c r="N29" s="73">
        <f t="shared" si="3"/>
        <v>0</v>
      </c>
      <c r="O29" s="23"/>
      <c r="P29" s="23"/>
      <c r="Q29" s="73">
        <f t="shared" si="4"/>
        <v>0</v>
      </c>
      <c r="R29" s="23"/>
      <c r="S29" s="23"/>
      <c r="T29" s="73">
        <f t="shared" si="5"/>
        <v>0</v>
      </c>
      <c r="U29" s="23"/>
      <c r="V29" s="23"/>
      <c r="W29" s="73">
        <f t="shared" si="6"/>
        <v>0</v>
      </c>
      <c r="X29" s="23"/>
      <c r="Y29" s="23"/>
      <c r="Z29" s="73">
        <f t="shared" si="7"/>
        <v>0</v>
      </c>
      <c r="AA29" s="23">
        <v>14000</v>
      </c>
      <c r="AB29" s="23">
        <v>14000</v>
      </c>
      <c r="AC29" s="73">
        <f t="shared" si="8"/>
        <v>0</v>
      </c>
      <c r="AD29" s="23">
        <v>18000</v>
      </c>
      <c r="AE29" s="23">
        <v>18000</v>
      </c>
      <c r="AF29" s="73">
        <f t="shared" si="9"/>
        <v>0</v>
      </c>
      <c r="AG29" s="23"/>
      <c r="AH29" s="23"/>
      <c r="AI29" s="73">
        <f t="shared" si="10"/>
        <v>0</v>
      </c>
      <c r="AJ29" s="23"/>
      <c r="AK29" s="23"/>
      <c r="AL29" s="73">
        <f t="shared" si="11"/>
        <v>0</v>
      </c>
      <c r="AM29" s="23"/>
      <c r="AN29" s="23"/>
      <c r="AO29" s="73">
        <f t="shared" si="12"/>
        <v>0</v>
      </c>
      <c r="AP29" s="23"/>
      <c r="AQ29" s="23"/>
      <c r="AR29" s="73">
        <f t="shared" si="13"/>
        <v>0</v>
      </c>
      <c r="AS29" s="23"/>
      <c r="AT29" s="23"/>
      <c r="AU29" s="73">
        <f t="shared" si="14"/>
        <v>0</v>
      </c>
      <c r="AV29" s="23"/>
      <c r="AW29" s="23"/>
      <c r="AX29" s="73">
        <f t="shared" si="15"/>
        <v>0</v>
      </c>
      <c r="AY29" s="23"/>
      <c r="AZ29" s="23"/>
      <c r="BA29" s="73">
        <f t="shared" si="16"/>
        <v>0</v>
      </c>
      <c r="BB29" s="23"/>
      <c r="BC29" s="23"/>
      <c r="BD29" s="73">
        <f t="shared" si="17"/>
        <v>0</v>
      </c>
      <c r="BE29" s="23"/>
      <c r="BF29" s="23"/>
      <c r="BG29" s="73">
        <f t="shared" si="18"/>
        <v>0</v>
      </c>
      <c r="BH29" s="23"/>
      <c r="BI29" s="23"/>
      <c r="BJ29" s="73">
        <f t="shared" si="19"/>
        <v>0</v>
      </c>
      <c r="BK29" s="23"/>
      <c r="BL29" s="23"/>
      <c r="BM29" s="73">
        <f t="shared" si="20"/>
        <v>0</v>
      </c>
      <c r="BN29" s="23"/>
      <c r="BO29" s="23"/>
      <c r="BP29" s="73">
        <f t="shared" si="21"/>
        <v>0</v>
      </c>
      <c r="BQ29" s="23"/>
      <c r="BR29" s="23"/>
      <c r="BS29" s="73">
        <f t="shared" si="22"/>
        <v>0</v>
      </c>
      <c r="BT29" s="23"/>
      <c r="BU29" s="23"/>
      <c r="BV29" s="73">
        <f t="shared" si="23"/>
        <v>0</v>
      </c>
      <c r="BW29" s="23"/>
      <c r="BX29" s="23"/>
      <c r="BY29" s="73">
        <f t="shared" si="24"/>
        <v>0</v>
      </c>
      <c r="BZ29" s="23"/>
      <c r="CA29" s="23"/>
      <c r="CB29" s="73">
        <f t="shared" si="25"/>
        <v>0</v>
      </c>
      <c r="CC29" s="23"/>
      <c r="CD29" s="23"/>
      <c r="CE29" s="73">
        <f t="shared" si="26"/>
        <v>0</v>
      </c>
      <c r="CF29" s="23"/>
      <c r="CG29" s="23"/>
      <c r="CH29" s="73">
        <f t="shared" si="27"/>
        <v>0</v>
      </c>
      <c r="CI29" s="23"/>
      <c r="CJ29" s="23"/>
      <c r="CK29" s="73">
        <f t="shared" si="28"/>
        <v>0</v>
      </c>
      <c r="CL29" s="23"/>
      <c r="CM29" s="23"/>
      <c r="CN29" s="73">
        <f t="shared" si="29"/>
        <v>0</v>
      </c>
      <c r="CO29" s="23"/>
      <c r="CP29" s="23"/>
      <c r="CQ29" s="73">
        <f t="shared" si="30"/>
        <v>0</v>
      </c>
      <c r="CR29" s="23"/>
      <c r="CS29" s="23"/>
      <c r="CT29" s="73">
        <f t="shared" si="31"/>
        <v>0</v>
      </c>
      <c r="CU29" s="23"/>
      <c r="CV29" s="23"/>
      <c r="CW29" s="73">
        <f t="shared" si="32"/>
        <v>0</v>
      </c>
      <c r="CX29" s="23"/>
      <c r="CY29" s="23"/>
      <c r="CZ29" s="73">
        <f t="shared" si="33"/>
        <v>0</v>
      </c>
      <c r="DA29" s="23"/>
      <c r="DB29" s="23"/>
      <c r="DC29" s="73">
        <f t="shared" si="34"/>
        <v>0</v>
      </c>
      <c r="DD29" s="23"/>
      <c r="DE29" s="23"/>
      <c r="DF29" s="73">
        <f t="shared" si="35"/>
        <v>0</v>
      </c>
      <c r="DG29" s="23"/>
      <c r="DH29" s="23"/>
      <c r="DI29" s="73">
        <f t="shared" si="36"/>
        <v>0</v>
      </c>
      <c r="DJ29" s="23"/>
      <c r="DK29" s="23"/>
      <c r="DL29" s="73">
        <f t="shared" si="37"/>
        <v>0</v>
      </c>
      <c r="DM29" s="23"/>
      <c r="DN29" s="23"/>
      <c r="DO29" s="73">
        <f t="shared" si="38"/>
        <v>0</v>
      </c>
      <c r="DP29" s="23"/>
      <c r="DQ29" s="23"/>
      <c r="DR29" s="73">
        <f t="shared" si="39"/>
        <v>0</v>
      </c>
      <c r="DS29" s="73">
        <f t="shared" si="40"/>
        <v>32000</v>
      </c>
      <c r="DT29" s="73">
        <f t="shared" si="41"/>
        <v>32000</v>
      </c>
      <c r="DU29" s="73">
        <f t="shared" si="42"/>
        <v>0</v>
      </c>
      <c r="DV29" s="111"/>
      <c r="DW29" s="79"/>
      <c r="DX29" s="79"/>
      <c r="DY29" s="111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</row>
    <row r="30" spans="1:141" x14ac:dyDescent="0.2">
      <c r="A30" s="72">
        <f>+BaseloadMarkets!A30</f>
        <v>36732</v>
      </c>
      <c r="B30" s="72" t="str">
        <f>+BaseloadMarkets!B30</f>
        <v>Tues</v>
      </c>
      <c r="C30" s="23"/>
      <c r="D30" s="23"/>
      <c r="E30" s="73">
        <f t="shared" si="0"/>
        <v>0</v>
      </c>
      <c r="F30" s="23"/>
      <c r="G30" s="23"/>
      <c r="H30" s="73">
        <f t="shared" si="1"/>
        <v>0</v>
      </c>
      <c r="I30" s="23"/>
      <c r="J30" s="23"/>
      <c r="K30" s="73">
        <f t="shared" si="2"/>
        <v>0</v>
      </c>
      <c r="L30" s="23"/>
      <c r="M30" s="23"/>
      <c r="N30" s="73">
        <f t="shared" si="3"/>
        <v>0</v>
      </c>
      <c r="O30" s="23">
        <v>50000</v>
      </c>
      <c r="P30" s="23">
        <v>50000</v>
      </c>
      <c r="Q30" s="73">
        <f t="shared" si="4"/>
        <v>0</v>
      </c>
      <c r="R30" s="23"/>
      <c r="S30" s="23"/>
      <c r="T30" s="73">
        <f t="shared" si="5"/>
        <v>0</v>
      </c>
      <c r="U30" s="23"/>
      <c r="V30" s="23"/>
      <c r="W30" s="73">
        <f t="shared" si="6"/>
        <v>0</v>
      </c>
      <c r="X30" s="23"/>
      <c r="Y30" s="23"/>
      <c r="Z30" s="73">
        <f t="shared" si="7"/>
        <v>0</v>
      </c>
      <c r="AA30" s="23"/>
      <c r="AB30" s="23"/>
      <c r="AC30" s="73">
        <f t="shared" si="8"/>
        <v>0</v>
      </c>
      <c r="AD30" s="23"/>
      <c r="AE30" s="23"/>
      <c r="AF30" s="73">
        <f t="shared" si="9"/>
        <v>0</v>
      </c>
      <c r="AG30" s="23">
        <v>24000</v>
      </c>
      <c r="AH30" s="23">
        <v>24000</v>
      </c>
      <c r="AI30" s="73">
        <f t="shared" si="10"/>
        <v>0</v>
      </c>
      <c r="AJ30" s="23"/>
      <c r="AK30" s="23"/>
      <c r="AL30" s="73">
        <f t="shared" si="11"/>
        <v>0</v>
      </c>
      <c r="AM30" s="23"/>
      <c r="AN30" s="23"/>
      <c r="AO30" s="73">
        <f t="shared" si="12"/>
        <v>0</v>
      </c>
      <c r="AP30" s="23"/>
      <c r="AQ30" s="23"/>
      <c r="AR30" s="73">
        <f t="shared" si="13"/>
        <v>0</v>
      </c>
      <c r="AS30" s="23"/>
      <c r="AT30" s="23"/>
      <c r="AU30" s="73">
        <f t="shared" si="14"/>
        <v>0</v>
      </c>
      <c r="AV30" s="23"/>
      <c r="AW30" s="23"/>
      <c r="AX30" s="73">
        <f t="shared" si="15"/>
        <v>0</v>
      </c>
      <c r="AY30" s="23"/>
      <c r="AZ30" s="23"/>
      <c r="BA30" s="73">
        <f t="shared" si="16"/>
        <v>0</v>
      </c>
      <c r="BB30" s="23"/>
      <c r="BC30" s="23"/>
      <c r="BD30" s="73">
        <f t="shared" si="17"/>
        <v>0</v>
      </c>
      <c r="BE30" s="23"/>
      <c r="BF30" s="23"/>
      <c r="BG30" s="73">
        <f t="shared" si="18"/>
        <v>0</v>
      </c>
      <c r="BH30" s="23"/>
      <c r="BI30" s="23"/>
      <c r="BJ30" s="73">
        <f t="shared" si="19"/>
        <v>0</v>
      </c>
      <c r="BK30" s="23"/>
      <c r="BL30" s="23"/>
      <c r="BM30" s="73">
        <f t="shared" si="20"/>
        <v>0</v>
      </c>
      <c r="BN30" s="23"/>
      <c r="BO30" s="23"/>
      <c r="BP30" s="73">
        <f t="shared" si="21"/>
        <v>0</v>
      </c>
      <c r="BQ30" s="23"/>
      <c r="BR30" s="23"/>
      <c r="BS30" s="73">
        <f t="shared" si="22"/>
        <v>0</v>
      </c>
      <c r="BT30" s="23"/>
      <c r="BU30" s="23"/>
      <c r="BV30" s="73">
        <f t="shared" si="23"/>
        <v>0</v>
      </c>
      <c r="BW30" s="23"/>
      <c r="BX30" s="23"/>
      <c r="BY30" s="73">
        <f t="shared" si="24"/>
        <v>0</v>
      </c>
      <c r="BZ30" s="23"/>
      <c r="CA30" s="23"/>
      <c r="CB30" s="73">
        <f t="shared" si="25"/>
        <v>0</v>
      </c>
      <c r="CC30" s="23"/>
      <c r="CD30" s="23"/>
      <c r="CE30" s="73">
        <f t="shared" si="26"/>
        <v>0</v>
      </c>
      <c r="CF30" s="23"/>
      <c r="CG30" s="23"/>
      <c r="CH30" s="73">
        <f t="shared" si="27"/>
        <v>0</v>
      </c>
      <c r="CI30" s="23"/>
      <c r="CJ30" s="23"/>
      <c r="CK30" s="73">
        <f t="shared" si="28"/>
        <v>0</v>
      </c>
      <c r="CL30" s="23"/>
      <c r="CM30" s="23"/>
      <c r="CN30" s="73">
        <f t="shared" si="29"/>
        <v>0</v>
      </c>
      <c r="CO30" s="23"/>
      <c r="CP30" s="23"/>
      <c r="CQ30" s="73">
        <f t="shared" si="30"/>
        <v>0</v>
      </c>
      <c r="CR30" s="23"/>
      <c r="CS30" s="23"/>
      <c r="CT30" s="73">
        <f t="shared" si="31"/>
        <v>0</v>
      </c>
      <c r="CU30" s="23"/>
      <c r="CV30" s="23"/>
      <c r="CW30" s="73">
        <f t="shared" si="32"/>
        <v>0</v>
      </c>
      <c r="CX30" s="23"/>
      <c r="CY30" s="23"/>
      <c r="CZ30" s="73">
        <f t="shared" si="33"/>
        <v>0</v>
      </c>
      <c r="DA30" s="23"/>
      <c r="DB30" s="23"/>
      <c r="DC30" s="73">
        <f t="shared" si="34"/>
        <v>0</v>
      </c>
      <c r="DD30" s="23"/>
      <c r="DE30" s="23"/>
      <c r="DF30" s="73">
        <f t="shared" si="35"/>
        <v>0</v>
      </c>
      <c r="DG30" s="23"/>
      <c r="DH30" s="23"/>
      <c r="DI30" s="73">
        <f t="shared" si="36"/>
        <v>0</v>
      </c>
      <c r="DJ30" s="23"/>
      <c r="DK30" s="23"/>
      <c r="DL30" s="73">
        <f t="shared" si="37"/>
        <v>0</v>
      </c>
      <c r="DM30" s="23"/>
      <c r="DN30" s="23"/>
      <c r="DO30" s="73">
        <f t="shared" si="38"/>
        <v>0</v>
      </c>
      <c r="DP30" s="23"/>
      <c r="DQ30" s="23"/>
      <c r="DR30" s="73">
        <f t="shared" si="39"/>
        <v>0</v>
      </c>
      <c r="DS30" s="73">
        <f t="shared" si="40"/>
        <v>74000</v>
      </c>
      <c r="DT30" s="73">
        <f t="shared" si="41"/>
        <v>74000</v>
      </c>
      <c r="DU30" s="73">
        <f t="shared" si="42"/>
        <v>0</v>
      </c>
      <c r="DV30" s="111"/>
      <c r="DW30" s="79"/>
      <c r="DX30" s="79"/>
      <c r="DY30" s="111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</row>
    <row r="31" spans="1:141" x14ac:dyDescent="0.2">
      <c r="A31" s="72">
        <f>+BaseloadMarkets!A31</f>
        <v>36733</v>
      </c>
      <c r="B31" s="72" t="str">
        <f>+BaseloadMarkets!B31</f>
        <v>Wed</v>
      </c>
      <c r="C31" s="23"/>
      <c r="D31" s="23"/>
      <c r="E31" s="73">
        <f t="shared" si="0"/>
        <v>0</v>
      </c>
      <c r="F31" s="23"/>
      <c r="G31" s="23"/>
      <c r="H31" s="73">
        <f t="shared" si="1"/>
        <v>0</v>
      </c>
      <c r="I31" s="23"/>
      <c r="J31" s="23"/>
      <c r="K31" s="73">
        <f t="shared" si="2"/>
        <v>0</v>
      </c>
      <c r="L31" s="23"/>
      <c r="M31" s="23"/>
      <c r="N31" s="73">
        <f t="shared" si="3"/>
        <v>0</v>
      </c>
      <c r="O31" s="23">
        <f>30000+20000+15000</f>
        <v>65000</v>
      </c>
      <c r="P31" s="23">
        <v>65000</v>
      </c>
      <c r="Q31" s="73">
        <f t="shared" si="4"/>
        <v>0</v>
      </c>
      <c r="R31" s="23"/>
      <c r="S31" s="23"/>
      <c r="T31" s="73">
        <f t="shared" si="5"/>
        <v>0</v>
      </c>
      <c r="U31" s="23"/>
      <c r="V31" s="23"/>
      <c r="W31" s="73">
        <f t="shared" si="6"/>
        <v>0</v>
      </c>
      <c r="X31" s="23"/>
      <c r="Y31" s="23"/>
      <c r="Z31" s="73">
        <f t="shared" si="7"/>
        <v>0</v>
      </c>
      <c r="AA31" s="23"/>
      <c r="AB31" s="23"/>
      <c r="AC31" s="73">
        <f t="shared" si="8"/>
        <v>0</v>
      </c>
      <c r="AD31" s="23"/>
      <c r="AE31" s="23"/>
      <c r="AF31" s="73">
        <f t="shared" si="9"/>
        <v>0</v>
      </c>
      <c r="AG31" s="23"/>
      <c r="AH31" s="23"/>
      <c r="AI31" s="73">
        <f t="shared" si="10"/>
        <v>0</v>
      </c>
      <c r="AJ31" s="23"/>
      <c r="AK31" s="23"/>
      <c r="AL31" s="73">
        <f t="shared" si="11"/>
        <v>0</v>
      </c>
      <c r="AM31" s="23"/>
      <c r="AN31" s="23"/>
      <c r="AO31" s="73">
        <f t="shared" si="12"/>
        <v>0</v>
      </c>
      <c r="AP31" s="23"/>
      <c r="AQ31" s="23"/>
      <c r="AR31" s="73">
        <f t="shared" si="13"/>
        <v>0</v>
      </c>
      <c r="AS31" s="23"/>
      <c r="AT31" s="23"/>
      <c r="AU31" s="73">
        <f t="shared" si="14"/>
        <v>0</v>
      </c>
      <c r="AV31" s="23"/>
      <c r="AW31" s="23"/>
      <c r="AX31" s="73">
        <f t="shared" si="15"/>
        <v>0</v>
      </c>
      <c r="AY31" s="23"/>
      <c r="AZ31" s="23"/>
      <c r="BA31" s="73">
        <f t="shared" si="16"/>
        <v>0</v>
      </c>
      <c r="BB31" s="23"/>
      <c r="BC31" s="23"/>
      <c r="BD31" s="73">
        <f t="shared" si="17"/>
        <v>0</v>
      </c>
      <c r="BE31" s="23"/>
      <c r="BF31" s="23"/>
      <c r="BG31" s="73">
        <f t="shared" si="18"/>
        <v>0</v>
      </c>
      <c r="BH31" s="23"/>
      <c r="BI31" s="23"/>
      <c r="BJ31" s="73">
        <f t="shared" si="19"/>
        <v>0</v>
      </c>
      <c r="BK31" s="23"/>
      <c r="BL31" s="23"/>
      <c r="BM31" s="73">
        <f t="shared" si="20"/>
        <v>0</v>
      </c>
      <c r="BN31" s="23"/>
      <c r="BO31" s="23"/>
      <c r="BP31" s="73">
        <f t="shared" si="21"/>
        <v>0</v>
      </c>
      <c r="BQ31" s="23"/>
      <c r="BR31" s="23"/>
      <c r="BS31" s="73">
        <f t="shared" si="22"/>
        <v>0</v>
      </c>
      <c r="BT31" s="23"/>
      <c r="BU31" s="23"/>
      <c r="BV31" s="73">
        <f t="shared" si="23"/>
        <v>0</v>
      </c>
      <c r="BW31" s="23"/>
      <c r="BX31" s="23"/>
      <c r="BY31" s="73">
        <f t="shared" si="24"/>
        <v>0</v>
      </c>
      <c r="BZ31" s="23"/>
      <c r="CA31" s="23"/>
      <c r="CB31" s="73">
        <f t="shared" si="25"/>
        <v>0</v>
      </c>
      <c r="CC31" s="23"/>
      <c r="CD31" s="23"/>
      <c r="CE31" s="73">
        <f t="shared" si="26"/>
        <v>0</v>
      </c>
      <c r="CF31" s="23"/>
      <c r="CG31" s="23"/>
      <c r="CH31" s="73">
        <f t="shared" si="27"/>
        <v>0</v>
      </c>
      <c r="CI31" s="23"/>
      <c r="CJ31" s="23"/>
      <c r="CK31" s="73">
        <f t="shared" si="28"/>
        <v>0</v>
      </c>
      <c r="CL31" s="23"/>
      <c r="CM31" s="23"/>
      <c r="CN31" s="73">
        <f t="shared" si="29"/>
        <v>0</v>
      </c>
      <c r="CO31" s="23"/>
      <c r="CP31" s="23"/>
      <c r="CQ31" s="73">
        <f t="shared" si="30"/>
        <v>0</v>
      </c>
      <c r="CR31" s="23"/>
      <c r="CS31" s="23"/>
      <c r="CT31" s="73">
        <f t="shared" si="31"/>
        <v>0</v>
      </c>
      <c r="CU31" s="23"/>
      <c r="CV31" s="23"/>
      <c r="CW31" s="73">
        <f t="shared" si="32"/>
        <v>0</v>
      </c>
      <c r="CX31" s="23"/>
      <c r="CY31" s="23"/>
      <c r="CZ31" s="73">
        <f t="shared" si="33"/>
        <v>0</v>
      </c>
      <c r="DA31" s="23"/>
      <c r="DB31" s="23"/>
      <c r="DC31" s="73">
        <f t="shared" si="34"/>
        <v>0</v>
      </c>
      <c r="DD31" s="23"/>
      <c r="DE31" s="23"/>
      <c r="DF31" s="73">
        <f t="shared" si="35"/>
        <v>0</v>
      </c>
      <c r="DG31" s="23"/>
      <c r="DH31" s="23"/>
      <c r="DI31" s="73">
        <f t="shared" si="36"/>
        <v>0</v>
      </c>
      <c r="DJ31" s="23"/>
      <c r="DK31" s="23"/>
      <c r="DL31" s="73">
        <f t="shared" si="37"/>
        <v>0</v>
      </c>
      <c r="DM31" s="23"/>
      <c r="DN31" s="23"/>
      <c r="DO31" s="73">
        <f t="shared" si="38"/>
        <v>0</v>
      </c>
      <c r="DP31" s="23"/>
      <c r="DQ31" s="23"/>
      <c r="DR31" s="73">
        <f t="shared" si="39"/>
        <v>0</v>
      </c>
      <c r="DS31" s="73">
        <f t="shared" si="40"/>
        <v>65000</v>
      </c>
      <c r="DT31" s="73">
        <f t="shared" si="41"/>
        <v>65000</v>
      </c>
      <c r="DU31" s="73">
        <f t="shared" si="42"/>
        <v>0</v>
      </c>
      <c r="DV31" s="111"/>
      <c r="DW31" s="79"/>
      <c r="DX31" s="79"/>
      <c r="DY31" s="111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</row>
    <row r="32" spans="1:141" x14ac:dyDescent="0.2">
      <c r="A32" s="72">
        <f>+BaseloadMarkets!A32</f>
        <v>36734</v>
      </c>
      <c r="B32" s="72" t="str">
        <f>+BaseloadMarkets!B32</f>
        <v>Thu</v>
      </c>
      <c r="C32" s="23"/>
      <c r="D32" s="23"/>
      <c r="E32" s="73">
        <f t="shared" si="0"/>
        <v>0</v>
      </c>
      <c r="F32" s="23"/>
      <c r="G32" s="23"/>
      <c r="H32" s="73">
        <f t="shared" si="1"/>
        <v>0</v>
      </c>
      <c r="I32" s="23"/>
      <c r="J32" s="23"/>
      <c r="K32" s="73">
        <f t="shared" si="2"/>
        <v>0</v>
      </c>
      <c r="L32" s="23"/>
      <c r="M32" s="23"/>
      <c r="N32" s="73">
        <f t="shared" si="3"/>
        <v>0</v>
      </c>
      <c r="O32" s="23"/>
      <c r="P32" s="23"/>
      <c r="Q32" s="73">
        <f t="shared" si="4"/>
        <v>0</v>
      </c>
      <c r="R32" s="23"/>
      <c r="S32" s="23"/>
      <c r="T32" s="73">
        <f t="shared" si="5"/>
        <v>0</v>
      </c>
      <c r="U32" s="23"/>
      <c r="V32" s="23"/>
      <c r="W32" s="73">
        <f t="shared" si="6"/>
        <v>0</v>
      </c>
      <c r="X32" s="23"/>
      <c r="Y32" s="23"/>
      <c r="Z32" s="73">
        <f t="shared" si="7"/>
        <v>0</v>
      </c>
      <c r="AA32" s="23"/>
      <c r="AB32" s="23"/>
      <c r="AC32" s="73">
        <f t="shared" si="8"/>
        <v>0</v>
      </c>
      <c r="AD32" s="23"/>
      <c r="AE32" s="23"/>
      <c r="AF32" s="73">
        <f t="shared" si="9"/>
        <v>0</v>
      </c>
      <c r="AG32" s="23"/>
      <c r="AH32" s="23"/>
      <c r="AI32" s="73">
        <f t="shared" si="10"/>
        <v>0</v>
      </c>
      <c r="AJ32" s="23">
        <v>20000</v>
      </c>
      <c r="AK32" s="23">
        <v>20000</v>
      </c>
      <c r="AL32" s="73">
        <f t="shared" si="11"/>
        <v>0</v>
      </c>
      <c r="AM32" s="23"/>
      <c r="AN32" s="23"/>
      <c r="AO32" s="73">
        <f t="shared" si="12"/>
        <v>0</v>
      </c>
      <c r="AP32" s="23"/>
      <c r="AQ32" s="23"/>
      <c r="AR32" s="73">
        <f t="shared" si="13"/>
        <v>0</v>
      </c>
      <c r="AS32" s="23"/>
      <c r="AT32" s="23"/>
      <c r="AU32" s="73">
        <f t="shared" si="14"/>
        <v>0</v>
      </c>
      <c r="AV32" s="23"/>
      <c r="AW32" s="23"/>
      <c r="AX32" s="73">
        <f t="shared" si="15"/>
        <v>0</v>
      </c>
      <c r="AY32" s="23"/>
      <c r="AZ32" s="23"/>
      <c r="BA32" s="73">
        <f t="shared" si="16"/>
        <v>0</v>
      </c>
      <c r="BB32" s="23"/>
      <c r="BC32" s="23"/>
      <c r="BD32" s="73">
        <f t="shared" si="17"/>
        <v>0</v>
      </c>
      <c r="BE32" s="23"/>
      <c r="BF32" s="23"/>
      <c r="BG32" s="73">
        <f t="shared" si="18"/>
        <v>0</v>
      </c>
      <c r="BH32" s="23"/>
      <c r="BI32" s="23"/>
      <c r="BJ32" s="73">
        <f t="shared" si="19"/>
        <v>0</v>
      </c>
      <c r="BK32" s="23"/>
      <c r="BL32" s="23"/>
      <c r="BM32" s="73">
        <f t="shared" si="20"/>
        <v>0</v>
      </c>
      <c r="BN32" s="23"/>
      <c r="BO32" s="23"/>
      <c r="BP32" s="73">
        <f t="shared" si="21"/>
        <v>0</v>
      </c>
      <c r="BQ32" s="23"/>
      <c r="BR32" s="23"/>
      <c r="BS32" s="73">
        <f t="shared" si="22"/>
        <v>0</v>
      </c>
      <c r="BT32" s="23"/>
      <c r="BU32" s="23"/>
      <c r="BV32" s="73">
        <f t="shared" si="23"/>
        <v>0</v>
      </c>
      <c r="BW32" s="23"/>
      <c r="BX32" s="23"/>
      <c r="BY32" s="73">
        <f t="shared" si="24"/>
        <v>0</v>
      </c>
      <c r="BZ32" s="23"/>
      <c r="CA32" s="23"/>
      <c r="CB32" s="73">
        <f t="shared" si="25"/>
        <v>0</v>
      </c>
      <c r="CC32" s="23"/>
      <c r="CD32" s="23"/>
      <c r="CE32" s="73">
        <f t="shared" si="26"/>
        <v>0</v>
      </c>
      <c r="CF32" s="23"/>
      <c r="CG32" s="23"/>
      <c r="CH32" s="73">
        <f t="shared" si="27"/>
        <v>0</v>
      </c>
      <c r="CI32" s="23"/>
      <c r="CJ32" s="23"/>
      <c r="CK32" s="73">
        <f t="shared" si="28"/>
        <v>0</v>
      </c>
      <c r="CL32" s="23"/>
      <c r="CM32" s="23"/>
      <c r="CN32" s="73">
        <f t="shared" si="29"/>
        <v>0</v>
      </c>
      <c r="CO32" s="23"/>
      <c r="CP32" s="23"/>
      <c r="CQ32" s="73">
        <f t="shared" si="30"/>
        <v>0</v>
      </c>
      <c r="CR32" s="23"/>
      <c r="CS32" s="23"/>
      <c r="CT32" s="73">
        <f t="shared" si="31"/>
        <v>0</v>
      </c>
      <c r="CU32" s="23"/>
      <c r="CV32" s="23"/>
      <c r="CW32" s="73">
        <f t="shared" si="32"/>
        <v>0</v>
      </c>
      <c r="CX32" s="23"/>
      <c r="CY32" s="23"/>
      <c r="CZ32" s="73">
        <f t="shared" si="33"/>
        <v>0</v>
      </c>
      <c r="DA32" s="23"/>
      <c r="DB32" s="23"/>
      <c r="DC32" s="73">
        <f t="shared" si="34"/>
        <v>0</v>
      </c>
      <c r="DD32" s="23"/>
      <c r="DE32" s="23"/>
      <c r="DF32" s="73">
        <f t="shared" si="35"/>
        <v>0</v>
      </c>
      <c r="DG32" s="23"/>
      <c r="DH32" s="23"/>
      <c r="DI32" s="73">
        <f t="shared" si="36"/>
        <v>0</v>
      </c>
      <c r="DJ32" s="23"/>
      <c r="DK32" s="23"/>
      <c r="DL32" s="73">
        <f t="shared" si="37"/>
        <v>0</v>
      </c>
      <c r="DM32" s="23"/>
      <c r="DN32" s="23"/>
      <c r="DO32" s="73">
        <f t="shared" si="38"/>
        <v>0</v>
      </c>
      <c r="DP32" s="23"/>
      <c r="DQ32" s="23"/>
      <c r="DR32" s="73">
        <f t="shared" si="39"/>
        <v>0</v>
      </c>
      <c r="DS32" s="73">
        <f t="shared" si="40"/>
        <v>20000</v>
      </c>
      <c r="DT32" s="73">
        <f t="shared" si="41"/>
        <v>20000</v>
      </c>
      <c r="DU32" s="73">
        <f t="shared" si="42"/>
        <v>0</v>
      </c>
      <c r="DV32" s="111"/>
      <c r="DW32" s="79"/>
      <c r="DX32" s="79"/>
      <c r="DY32" s="111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</row>
    <row r="33" spans="1:178" x14ac:dyDescent="0.2">
      <c r="A33" s="72">
        <f>+BaseloadMarkets!A33</f>
        <v>36735</v>
      </c>
      <c r="B33" s="72" t="str">
        <f>+BaseloadMarkets!B33</f>
        <v>Fri</v>
      </c>
      <c r="C33" s="23"/>
      <c r="D33" s="23"/>
      <c r="E33" s="73">
        <f t="shared" si="0"/>
        <v>0</v>
      </c>
      <c r="F33" s="23"/>
      <c r="G33" s="23"/>
      <c r="H33" s="73">
        <f t="shared" si="1"/>
        <v>0</v>
      </c>
      <c r="I33" s="23"/>
      <c r="J33" s="23"/>
      <c r="K33" s="73">
        <f t="shared" si="2"/>
        <v>0</v>
      </c>
      <c r="L33" s="23"/>
      <c r="M33" s="23"/>
      <c r="N33" s="73">
        <f t="shared" si="3"/>
        <v>0</v>
      </c>
      <c r="O33" s="23">
        <v>30000</v>
      </c>
      <c r="P33" s="23">
        <v>19500</v>
      </c>
      <c r="Q33" s="73">
        <f t="shared" si="4"/>
        <v>-10500</v>
      </c>
      <c r="R33" s="23"/>
      <c r="S33" s="23"/>
      <c r="T33" s="73">
        <f t="shared" si="5"/>
        <v>0</v>
      </c>
      <c r="U33" s="23"/>
      <c r="V33" s="23"/>
      <c r="W33" s="73">
        <f t="shared" si="6"/>
        <v>0</v>
      </c>
      <c r="X33" s="23"/>
      <c r="Y33" s="23"/>
      <c r="Z33" s="73">
        <f t="shared" si="7"/>
        <v>0</v>
      </c>
      <c r="AA33" s="23"/>
      <c r="AB33" s="23"/>
      <c r="AC33" s="73">
        <f t="shared" si="8"/>
        <v>0</v>
      </c>
      <c r="AD33" s="23"/>
      <c r="AE33" s="23"/>
      <c r="AF33" s="73">
        <f t="shared" si="9"/>
        <v>0</v>
      </c>
      <c r="AG33" s="23"/>
      <c r="AH33" s="23"/>
      <c r="AI33" s="73">
        <f t="shared" si="10"/>
        <v>0</v>
      </c>
      <c r="AJ33" s="23"/>
      <c r="AK33" s="23"/>
      <c r="AL33" s="73">
        <f t="shared" si="11"/>
        <v>0</v>
      </c>
      <c r="AM33" s="23">
        <v>15000</v>
      </c>
      <c r="AN33" s="23">
        <v>15000</v>
      </c>
      <c r="AO33" s="73">
        <f t="shared" si="12"/>
        <v>0</v>
      </c>
      <c r="AP33" s="23"/>
      <c r="AQ33" s="23"/>
      <c r="AR33" s="73">
        <f t="shared" si="13"/>
        <v>0</v>
      </c>
      <c r="AS33" s="23"/>
      <c r="AT33" s="23"/>
      <c r="AU33" s="73">
        <f t="shared" si="14"/>
        <v>0</v>
      </c>
      <c r="AV33" s="23"/>
      <c r="AW33" s="23"/>
      <c r="AX33" s="73">
        <f t="shared" si="15"/>
        <v>0</v>
      </c>
      <c r="AY33" s="23"/>
      <c r="AZ33" s="23"/>
      <c r="BA33" s="73">
        <f t="shared" si="16"/>
        <v>0</v>
      </c>
      <c r="BB33" s="23"/>
      <c r="BC33" s="23"/>
      <c r="BD33" s="73">
        <f t="shared" si="17"/>
        <v>0</v>
      </c>
      <c r="BE33" s="23"/>
      <c r="BF33" s="23"/>
      <c r="BG33" s="73">
        <f t="shared" si="18"/>
        <v>0</v>
      </c>
      <c r="BH33" s="23"/>
      <c r="BI33" s="23"/>
      <c r="BJ33" s="73">
        <f t="shared" si="19"/>
        <v>0</v>
      </c>
      <c r="BK33" s="23"/>
      <c r="BL33" s="23"/>
      <c r="BM33" s="73">
        <f t="shared" si="20"/>
        <v>0</v>
      </c>
      <c r="BN33" s="23"/>
      <c r="BO33" s="23"/>
      <c r="BP33" s="73">
        <f t="shared" si="21"/>
        <v>0</v>
      </c>
      <c r="BQ33" s="23"/>
      <c r="BR33" s="23"/>
      <c r="BS33" s="73">
        <f t="shared" si="22"/>
        <v>0</v>
      </c>
      <c r="BT33" s="23"/>
      <c r="BU33" s="23"/>
      <c r="BV33" s="73">
        <f t="shared" si="23"/>
        <v>0</v>
      </c>
      <c r="BW33" s="23"/>
      <c r="BX33" s="23"/>
      <c r="BY33" s="73">
        <f t="shared" si="24"/>
        <v>0</v>
      </c>
      <c r="BZ33" s="23"/>
      <c r="CA33" s="23"/>
      <c r="CB33" s="73">
        <f t="shared" si="25"/>
        <v>0</v>
      </c>
      <c r="CC33" s="23"/>
      <c r="CD33" s="23"/>
      <c r="CE33" s="73">
        <f t="shared" si="26"/>
        <v>0</v>
      </c>
      <c r="CF33" s="23"/>
      <c r="CG33" s="23"/>
      <c r="CH33" s="73">
        <f t="shared" si="27"/>
        <v>0</v>
      </c>
      <c r="CI33" s="23"/>
      <c r="CJ33" s="23"/>
      <c r="CK33" s="73">
        <f t="shared" si="28"/>
        <v>0</v>
      </c>
      <c r="CL33" s="23"/>
      <c r="CM33" s="23"/>
      <c r="CN33" s="73">
        <f t="shared" si="29"/>
        <v>0</v>
      </c>
      <c r="CO33" s="23"/>
      <c r="CP33" s="23"/>
      <c r="CQ33" s="73">
        <f t="shared" si="30"/>
        <v>0</v>
      </c>
      <c r="CR33" s="23"/>
      <c r="CS33" s="23"/>
      <c r="CT33" s="73">
        <f t="shared" si="31"/>
        <v>0</v>
      </c>
      <c r="CU33" s="23"/>
      <c r="CV33" s="23"/>
      <c r="CW33" s="73">
        <f t="shared" si="32"/>
        <v>0</v>
      </c>
      <c r="CX33" s="23"/>
      <c r="CY33" s="23"/>
      <c r="CZ33" s="73">
        <f t="shared" si="33"/>
        <v>0</v>
      </c>
      <c r="DA33" s="23"/>
      <c r="DB33" s="23"/>
      <c r="DC33" s="73">
        <f t="shared" si="34"/>
        <v>0</v>
      </c>
      <c r="DD33" s="23"/>
      <c r="DE33" s="23"/>
      <c r="DF33" s="73">
        <f t="shared" si="35"/>
        <v>0</v>
      </c>
      <c r="DG33" s="23"/>
      <c r="DH33" s="23"/>
      <c r="DI33" s="73">
        <f t="shared" si="36"/>
        <v>0</v>
      </c>
      <c r="DJ33" s="23"/>
      <c r="DK33" s="23"/>
      <c r="DL33" s="73">
        <f t="shared" si="37"/>
        <v>0</v>
      </c>
      <c r="DM33" s="23"/>
      <c r="DN33" s="23"/>
      <c r="DO33" s="73">
        <f t="shared" si="38"/>
        <v>0</v>
      </c>
      <c r="DP33" s="23"/>
      <c r="DQ33" s="23"/>
      <c r="DR33" s="73">
        <f t="shared" si="39"/>
        <v>0</v>
      </c>
      <c r="DS33" s="73">
        <f t="shared" si="40"/>
        <v>45000</v>
      </c>
      <c r="DT33" s="73">
        <f t="shared" si="41"/>
        <v>34500</v>
      </c>
      <c r="DU33" s="73">
        <f t="shared" si="42"/>
        <v>-10500</v>
      </c>
      <c r="DV33" s="111"/>
      <c r="DW33" s="79"/>
      <c r="DX33" s="79"/>
      <c r="DY33" s="111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</row>
    <row r="34" spans="1:178" x14ac:dyDescent="0.2">
      <c r="A34" s="72">
        <f>+BaseloadMarkets!A34</f>
        <v>36736</v>
      </c>
      <c r="B34" s="72" t="str">
        <f>+BaseloadMarkets!B34</f>
        <v>Sat</v>
      </c>
      <c r="C34" s="23"/>
      <c r="D34" s="23"/>
      <c r="E34" s="73">
        <f t="shared" si="0"/>
        <v>0</v>
      </c>
      <c r="F34" s="23"/>
      <c r="G34" s="23"/>
      <c r="H34" s="73">
        <f t="shared" si="1"/>
        <v>0</v>
      </c>
      <c r="I34" s="23"/>
      <c r="J34" s="23"/>
      <c r="K34" s="73">
        <f t="shared" si="2"/>
        <v>0</v>
      </c>
      <c r="L34" s="23"/>
      <c r="M34" s="23"/>
      <c r="N34" s="73">
        <f t="shared" si="3"/>
        <v>0</v>
      </c>
      <c r="O34" s="23"/>
      <c r="P34" s="23"/>
      <c r="Q34" s="73">
        <f t="shared" si="4"/>
        <v>0</v>
      </c>
      <c r="R34" s="23"/>
      <c r="S34" s="23"/>
      <c r="T34" s="73">
        <f t="shared" si="5"/>
        <v>0</v>
      </c>
      <c r="U34" s="23"/>
      <c r="V34" s="23"/>
      <c r="W34" s="73">
        <f t="shared" si="6"/>
        <v>0</v>
      </c>
      <c r="X34" s="23"/>
      <c r="Y34" s="23"/>
      <c r="Z34" s="73">
        <f t="shared" si="7"/>
        <v>0</v>
      </c>
      <c r="AA34" s="23"/>
      <c r="AB34" s="23"/>
      <c r="AC34" s="73">
        <f t="shared" si="8"/>
        <v>0</v>
      </c>
      <c r="AD34" s="23"/>
      <c r="AE34" s="23"/>
      <c r="AF34" s="73">
        <f t="shared" si="9"/>
        <v>0</v>
      </c>
      <c r="AG34" s="23"/>
      <c r="AH34" s="23"/>
      <c r="AI34" s="73">
        <f t="shared" si="10"/>
        <v>0</v>
      </c>
      <c r="AJ34" s="23"/>
      <c r="AK34" s="23"/>
      <c r="AL34" s="73">
        <f t="shared" si="11"/>
        <v>0</v>
      </c>
      <c r="AM34" s="23"/>
      <c r="AN34" s="23"/>
      <c r="AO34" s="73">
        <f t="shared" si="12"/>
        <v>0</v>
      </c>
      <c r="AP34" s="23"/>
      <c r="AQ34" s="23"/>
      <c r="AR34" s="73">
        <f t="shared" si="13"/>
        <v>0</v>
      </c>
      <c r="AS34" s="23"/>
      <c r="AT34" s="23"/>
      <c r="AU34" s="73">
        <f t="shared" si="14"/>
        <v>0</v>
      </c>
      <c r="AV34" s="23"/>
      <c r="AW34" s="23"/>
      <c r="AX34" s="73">
        <f t="shared" si="15"/>
        <v>0</v>
      </c>
      <c r="AY34" s="23"/>
      <c r="AZ34" s="23"/>
      <c r="BA34" s="73">
        <f t="shared" si="16"/>
        <v>0</v>
      </c>
      <c r="BB34" s="23"/>
      <c r="BC34" s="23"/>
      <c r="BD34" s="73">
        <f t="shared" si="17"/>
        <v>0</v>
      </c>
      <c r="BE34" s="23"/>
      <c r="BF34" s="23"/>
      <c r="BG34" s="73">
        <f t="shared" si="18"/>
        <v>0</v>
      </c>
      <c r="BH34" s="23"/>
      <c r="BI34" s="23"/>
      <c r="BJ34" s="73">
        <f t="shared" si="19"/>
        <v>0</v>
      </c>
      <c r="BK34" s="23"/>
      <c r="BL34" s="23"/>
      <c r="BM34" s="73">
        <f t="shared" si="20"/>
        <v>0</v>
      </c>
      <c r="BN34" s="23"/>
      <c r="BO34" s="23"/>
      <c r="BP34" s="73">
        <f t="shared" si="21"/>
        <v>0</v>
      </c>
      <c r="BQ34" s="23"/>
      <c r="BR34" s="23"/>
      <c r="BS34" s="73">
        <f t="shared" si="22"/>
        <v>0</v>
      </c>
      <c r="BT34" s="23"/>
      <c r="BU34" s="23"/>
      <c r="BV34" s="73">
        <f t="shared" si="23"/>
        <v>0</v>
      </c>
      <c r="BW34" s="23"/>
      <c r="BX34" s="23"/>
      <c r="BY34" s="73">
        <f t="shared" si="24"/>
        <v>0</v>
      </c>
      <c r="BZ34" s="23"/>
      <c r="CA34" s="23"/>
      <c r="CB34" s="73">
        <f t="shared" si="25"/>
        <v>0</v>
      </c>
      <c r="CC34" s="23"/>
      <c r="CD34" s="23"/>
      <c r="CE34" s="73">
        <f t="shared" si="26"/>
        <v>0</v>
      </c>
      <c r="CF34" s="23"/>
      <c r="CG34" s="23"/>
      <c r="CH34" s="73">
        <f t="shared" si="27"/>
        <v>0</v>
      </c>
      <c r="CI34" s="23"/>
      <c r="CJ34" s="23"/>
      <c r="CK34" s="73">
        <f t="shared" si="28"/>
        <v>0</v>
      </c>
      <c r="CL34" s="23"/>
      <c r="CM34" s="23"/>
      <c r="CN34" s="73">
        <f t="shared" si="29"/>
        <v>0</v>
      </c>
      <c r="CO34" s="23"/>
      <c r="CP34" s="23"/>
      <c r="CQ34" s="73">
        <f t="shared" si="30"/>
        <v>0</v>
      </c>
      <c r="CR34" s="23"/>
      <c r="CS34" s="23"/>
      <c r="CT34" s="73">
        <f t="shared" si="31"/>
        <v>0</v>
      </c>
      <c r="CU34" s="23"/>
      <c r="CV34" s="23"/>
      <c r="CW34" s="73">
        <f t="shared" si="32"/>
        <v>0</v>
      </c>
      <c r="CX34" s="23"/>
      <c r="CY34" s="23"/>
      <c r="CZ34" s="73">
        <f t="shared" si="33"/>
        <v>0</v>
      </c>
      <c r="DA34" s="23"/>
      <c r="DB34" s="23"/>
      <c r="DC34" s="73">
        <f t="shared" si="34"/>
        <v>0</v>
      </c>
      <c r="DD34" s="23"/>
      <c r="DE34" s="23"/>
      <c r="DF34" s="73">
        <f t="shared" si="35"/>
        <v>0</v>
      </c>
      <c r="DG34" s="23"/>
      <c r="DH34" s="23"/>
      <c r="DI34" s="73">
        <f t="shared" si="36"/>
        <v>0</v>
      </c>
      <c r="DJ34" s="23"/>
      <c r="DK34" s="23"/>
      <c r="DL34" s="73">
        <f t="shared" si="37"/>
        <v>0</v>
      </c>
      <c r="DM34" s="23"/>
      <c r="DN34" s="23"/>
      <c r="DO34" s="73">
        <f t="shared" si="38"/>
        <v>0</v>
      </c>
      <c r="DP34" s="23"/>
      <c r="DQ34" s="23"/>
      <c r="DR34" s="73">
        <f t="shared" si="39"/>
        <v>0</v>
      </c>
      <c r="DS34" s="73">
        <f t="shared" si="40"/>
        <v>0</v>
      </c>
      <c r="DT34" s="73">
        <f t="shared" si="41"/>
        <v>0</v>
      </c>
      <c r="DU34" s="73">
        <f t="shared" si="42"/>
        <v>0</v>
      </c>
      <c r="DV34" s="111"/>
      <c r="DW34" s="79"/>
      <c r="DX34" s="79"/>
      <c r="DY34" s="111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</row>
    <row r="35" spans="1:178" x14ac:dyDescent="0.2">
      <c r="A35" s="72">
        <f>+BaseloadMarkets!A35</f>
        <v>36737</v>
      </c>
      <c r="B35" s="72" t="str">
        <f>+BaseloadMarkets!B35</f>
        <v>Sun</v>
      </c>
      <c r="C35" s="23"/>
      <c r="D35" s="23"/>
      <c r="E35" s="73">
        <f t="shared" si="0"/>
        <v>0</v>
      </c>
      <c r="F35" s="23"/>
      <c r="G35" s="23"/>
      <c r="H35" s="73">
        <f t="shared" si="1"/>
        <v>0</v>
      </c>
      <c r="I35" s="23"/>
      <c r="J35" s="23"/>
      <c r="K35" s="73">
        <f t="shared" si="2"/>
        <v>0</v>
      </c>
      <c r="L35" s="23"/>
      <c r="M35" s="23"/>
      <c r="N35" s="73">
        <f t="shared" si="3"/>
        <v>0</v>
      </c>
      <c r="O35" s="23"/>
      <c r="P35" s="23"/>
      <c r="Q35" s="73">
        <f t="shared" si="4"/>
        <v>0</v>
      </c>
      <c r="R35" s="23"/>
      <c r="S35" s="23"/>
      <c r="T35" s="73">
        <f t="shared" si="5"/>
        <v>0</v>
      </c>
      <c r="U35" s="23"/>
      <c r="V35" s="23"/>
      <c r="W35" s="73">
        <f t="shared" si="6"/>
        <v>0</v>
      </c>
      <c r="X35" s="23"/>
      <c r="Y35" s="23"/>
      <c r="Z35" s="73">
        <f t="shared" si="7"/>
        <v>0</v>
      </c>
      <c r="AA35" s="23"/>
      <c r="AB35" s="23"/>
      <c r="AC35" s="73">
        <f t="shared" si="8"/>
        <v>0</v>
      </c>
      <c r="AD35" s="23"/>
      <c r="AE35" s="23"/>
      <c r="AF35" s="73">
        <f t="shared" si="9"/>
        <v>0</v>
      </c>
      <c r="AG35" s="23"/>
      <c r="AH35" s="23"/>
      <c r="AI35" s="73">
        <f t="shared" si="10"/>
        <v>0</v>
      </c>
      <c r="AJ35" s="23"/>
      <c r="AK35" s="23"/>
      <c r="AL35" s="73">
        <f t="shared" si="11"/>
        <v>0</v>
      </c>
      <c r="AM35" s="23"/>
      <c r="AN35" s="23"/>
      <c r="AO35" s="73">
        <f t="shared" si="12"/>
        <v>0</v>
      </c>
      <c r="AP35" s="23"/>
      <c r="AQ35" s="23"/>
      <c r="AR35" s="73">
        <f t="shared" si="13"/>
        <v>0</v>
      </c>
      <c r="AS35" s="23"/>
      <c r="AT35" s="23"/>
      <c r="AU35" s="73">
        <f t="shared" si="14"/>
        <v>0</v>
      </c>
      <c r="AV35" s="23"/>
      <c r="AW35" s="23"/>
      <c r="AX35" s="73">
        <f t="shared" si="15"/>
        <v>0</v>
      </c>
      <c r="AY35" s="23"/>
      <c r="AZ35" s="23"/>
      <c r="BA35" s="73">
        <f t="shared" si="16"/>
        <v>0</v>
      </c>
      <c r="BB35" s="23"/>
      <c r="BC35" s="23"/>
      <c r="BD35" s="73">
        <f t="shared" si="17"/>
        <v>0</v>
      </c>
      <c r="BE35" s="23"/>
      <c r="BF35" s="23"/>
      <c r="BG35" s="73">
        <f t="shared" si="18"/>
        <v>0</v>
      </c>
      <c r="BH35" s="23"/>
      <c r="BI35" s="23"/>
      <c r="BJ35" s="73">
        <f t="shared" si="19"/>
        <v>0</v>
      </c>
      <c r="BK35" s="23"/>
      <c r="BL35" s="23"/>
      <c r="BM35" s="73">
        <f t="shared" si="20"/>
        <v>0</v>
      </c>
      <c r="BN35" s="23"/>
      <c r="BO35" s="23"/>
      <c r="BP35" s="73">
        <f t="shared" si="21"/>
        <v>0</v>
      </c>
      <c r="BQ35" s="23"/>
      <c r="BR35" s="23"/>
      <c r="BS35" s="73">
        <f t="shared" si="22"/>
        <v>0</v>
      </c>
      <c r="BT35" s="23"/>
      <c r="BU35" s="23"/>
      <c r="BV35" s="73">
        <f t="shared" si="23"/>
        <v>0</v>
      </c>
      <c r="BW35" s="23"/>
      <c r="BX35" s="23"/>
      <c r="BY35" s="73">
        <f t="shared" si="24"/>
        <v>0</v>
      </c>
      <c r="BZ35" s="23"/>
      <c r="CA35" s="23"/>
      <c r="CB35" s="73">
        <f t="shared" si="25"/>
        <v>0</v>
      </c>
      <c r="CC35" s="23"/>
      <c r="CD35" s="23"/>
      <c r="CE35" s="73">
        <f t="shared" si="26"/>
        <v>0</v>
      </c>
      <c r="CF35" s="23"/>
      <c r="CG35" s="23"/>
      <c r="CH35" s="73">
        <f t="shared" si="27"/>
        <v>0</v>
      </c>
      <c r="CI35" s="23"/>
      <c r="CJ35" s="23"/>
      <c r="CK35" s="73">
        <f t="shared" si="28"/>
        <v>0</v>
      </c>
      <c r="CL35" s="23"/>
      <c r="CM35" s="23"/>
      <c r="CN35" s="73">
        <f t="shared" si="29"/>
        <v>0</v>
      </c>
      <c r="CO35" s="23"/>
      <c r="CP35" s="23"/>
      <c r="CQ35" s="73">
        <f t="shared" si="30"/>
        <v>0</v>
      </c>
      <c r="CR35" s="23"/>
      <c r="CS35" s="23"/>
      <c r="CT35" s="73">
        <f t="shared" si="31"/>
        <v>0</v>
      </c>
      <c r="CU35" s="23"/>
      <c r="CV35" s="23"/>
      <c r="CW35" s="73">
        <f t="shared" si="32"/>
        <v>0</v>
      </c>
      <c r="CX35" s="23"/>
      <c r="CY35" s="23"/>
      <c r="CZ35" s="73">
        <f t="shared" si="33"/>
        <v>0</v>
      </c>
      <c r="DA35" s="23"/>
      <c r="DB35" s="23"/>
      <c r="DC35" s="73">
        <f t="shared" si="34"/>
        <v>0</v>
      </c>
      <c r="DD35" s="23"/>
      <c r="DE35" s="23"/>
      <c r="DF35" s="73">
        <f t="shared" si="35"/>
        <v>0</v>
      </c>
      <c r="DG35" s="23"/>
      <c r="DH35" s="23"/>
      <c r="DI35" s="73">
        <f t="shared" si="36"/>
        <v>0</v>
      </c>
      <c r="DJ35" s="23"/>
      <c r="DK35" s="23"/>
      <c r="DL35" s="73">
        <f t="shared" si="37"/>
        <v>0</v>
      </c>
      <c r="DM35" s="23"/>
      <c r="DN35" s="23"/>
      <c r="DO35" s="73">
        <f t="shared" si="38"/>
        <v>0</v>
      </c>
      <c r="DP35" s="23"/>
      <c r="DQ35" s="23"/>
      <c r="DR35" s="73">
        <f t="shared" si="39"/>
        <v>0</v>
      </c>
      <c r="DS35" s="73">
        <f t="shared" si="40"/>
        <v>0</v>
      </c>
      <c r="DT35" s="73">
        <f t="shared" si="41"/>
        <v>0</v>
      </c>
      <c r="DU35" s="73">
        <f t="shared" si="42"/>
        <v>0</v>
      </c>
      <c r="DV35" s="111"/>
      <c r="DW35" s="79"/>
      <c r="DX35" s="79"/>
      <c r="DY35" s="111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</row>
    <row r="36" spans="1:178" x14ac:dyDescent="0.2">
      <c r="A36" s="72">
        <f>+BaseloadMarkets!A36</f>
        <v>36738</v>
      </c>
      <c r="B36" s="72" t="str">
        <f>+BaseloadMarkets!B36</f>
        <v>Mon</v>
      </c>
      <c r="C36" s="23"/>
      <c r="D36" s="23"/>
      <c r="E36" s="73">
        <f t="shared" si="0"/>
        <v>0</v>
      </c>
      <c r="F36" s="23"/>
      <c r="G36" s="23"/>
      <c r="H36" s="73">
        <f t="shared" si="1"/>
        <v>0</v>
      </c>
      <c r="I36" s="23"/>
      <c r="J36" s="23"/>
      <c r="K36" s="73">
        <f t="shared" si="2"/>
        <v>0</v>
      </c>
      <c r="L36" s="23"/>
      <c r="M36" s="23"/>
      <c r="N36" s="73">
        <f t="shared" si="3"/>
        <v>0</v>
      </c>
      <c r="O36" s="23"/>
      <c r="P36" s="23"/>
      <c r="Q36" s="73">
        <f t="shared" si="4"/>
        <v>0</v>
      </c>
      <c r="R36" s="23"/>
      <c r="S36" s="23"/>
      <c r="T36" s="73">
        <f t="shared" si="5"/>
        <v>0</v>
      </c>
      <c r="U36" s="23"/>
      <c r="V36" s="23"/>
      <c r="W36" s="73">
        <f t="shared" si="6"/>
        <v>0</v>
      </c>
      <c r="X36" s="23"/>
      <c r="Y36" s="23"/>
      <c r="Z36" s="73">
        <f t="shared" si="7"/>
        <v>0</v>
      </c>
      <c r="AA36" s="23"/>
      <c r="AB36" s="23"/>
      <c r="AC36" s="73">
        <f t="shared" si="8"/>
        <v>0</v>
      </c>
      <c r="AD36" s="23"/>
      <c r="AE36" s="23"/>
      <c r="AF36" s="73">
        <f t="shared" si="9"/>
        <v>0</v>
      </c>
      <c r="AG36" s="23"/>
      <c r="AH36" s="23"/>
      <c r="AI36" s="73">
        <f t="shared" si="10"/>
        <v>0</v>
      </c>
      <c r="AJ36" s="23"/>
      <c r="AK36" s="23"/>
      <c r="AL36" s="73">
        <f t="shared" si="11"/>
        <v>0</v>
      </c>
      <c r="AM36" s="23"/>
      <c r="AN36" s="23"/>
      <c r="AO36" s="73">
        <f t="shared" si="12"/>
        <v>0</v>
      </c>
      <c r="AP36" s="23"/>
      <c r="AQ36" s="23"/>
      <c r="AR36" s="73">
        <f t="shared" si="13"/>
        <v>0</v>
      </c>
      <c r="AS36" s="23"/>
      <c r="AT36" s="23"/>
      <c r="AU36" s="73">
        <f t="shared" si="14"/>
        <v>0</v>
      </c>
      <c r="AV36" s="23"/>
      <c r="AW36" s="23"/>
      <c r="AX36" s="73">
        <f t="shared" si="15"/>
        <v>0</v>
      </c>
      <c r="AY36" s="23"/>
      <c r="AZ36" s="23"/>
      <c r="BA36" s="73">
        <f t="shared" si="16"/>
        <v>0</v>
      </c>
      <c r="BB36" s="23"/>
      <c r="BC36" s="23"/>
      <c r="BD36" s="73">
        <f t="shared" si="17"/>
        <v>0</v>
      </c>
      <c r="BE36" s="23"/>
      <c r="BF36" s="23"/>
      <c r="BG36" s="73">
        <f t="shared" si="18"/>
        <v>0</v>
      </c>
      <c r="BH36" s="23"/>
      <c r="BI36" s="23"/>
      <c r="BJ36" s="73">
        <f t="shared" si="19"/>
        <v>0</v>
      </c>
      <c r="BK36" s="23"/>
      <c r="BL36" s="23"/>
      <c r="BM36" s="73">
        <f t="shared" si="20"/>
        <v>0</v>
      </c>
      <c r="BN36" s="23"/>
      <c r="BO36" s="23"/>
      <c r="BP36" s="73">
        <f t="shared" si="21"/>
        <v>0</v>
      </c>
      <c r="BQ36" s="23"/>
      <c r="BR36" s="23"/>
      <c r="BS36" s="73">
        <f t="shared" si="22"/>
        <v>0</v>
      </c>
      <c r="BT36" s="23"/>
      <c r="BU36" s="23"/>
      <c r="BV36" s="73">
        <f t="shared" si="23"/>
        <v>0</v>
      </c>
      <c r="BW36" s="23"/>
      <c r="BX36" s="23"/>
      <c r="BY36" s="73">
        <f t="shared" si="24"/>
        <v>0</v>
      </c>
      <c r="BZ36" s="23"/>
      <c r="CA36" s="23"/>
      <c r="CB36" s="73">
        <f t="shared" si="25"/>
        <v>0</v>
      </c>
      <c r="CC36" s="23"/>
      <c r="CD36" s="23"/>
      <c r="CE36" s="73">
        <f t="shared" si="26"/>
        <v>0</v>
      </c>
      <c r="CF36" s="23"/>
      <c r="CG36" s="23"/>
      <c r="CH36" s="73">
        <f t="shared" si="27"/>
        <v>0</v>
      </c>
      <c r="CI36" s="23"/>
      <c r="CJ36" s="23"/>
      <c r="CK36" s="73">
        <f t="shared" si="28"/>
        <v>0</v>
      </c>
      <c r="CL36" s="23"/>
      <c r="CM36" s="23"/>
      <c r="CN36" s="73">
        <f t="shared" si="29"/>
        <v>0</v>
      </c>
      <c r="CO36" s="23"/>
      <c r="CP36" s="23"/>
      <c r="CQ36" s="73">
        <f t="shared" si="30"/>
        <v>0</v>
      </c>
      <c r="CR36" s="23"/>
      <c r="CS36" s="23"/>
      <c r="CT36" s="73">
        <f t="shared" si="31"/>
        <v>0</v>
      </c>
      <c r="CU36" s="23"/>
      <c r="CV36" s="23"/>
      <c r="CW36" s="73">
        <f t="shared" si="32"/>
        <v>0</v>
      </c>
      <c r="CX36" s="23"/>
      <c r="CY36" s="23"/>
      <c r="CZ36" s="73">
        <f t="shared" si="33"/>
        <v>0</v>
      </c>
      <c r="DA36" s="23"/>
      <c r="DB36" s="23"/>
      <c r="DC36" s="73">
        <f t="shared" si="34"/>
        <v>0</v>
      </c>
      <c r="DD36" s="23"/>
      <c r="DE36" s="23"/>
      <c r="DF36" s="73">
        <f t="shared" si="35"/>
        <v>0</v>
      </c>
      <c r="DG36" s="23"/>
      <c r="DH36" s="23"/>
      <c r="DI36" s="73">
        <f t="shared" si="36"/>
        <v>0</v>
      </c>
      <c r="DJ36" s="23"/>
      <c r="DK36" s="23"/>
      <c r="DL36" s="73">
        <f t="shared" si="37"/>
        <v>0</v>
      </c>
      <c r="DM36" s="23"/>
      <c r="DN36" s="23"/>
      <c r="DO36" s="73">
        <f t="shared" si="38"/>
        <v>0</v>
      </c>
      <c r="DP36" s="23"/>
      <c r="DQ36" s="23"/>
      <c r="DR36" s="73">
        <f t="shared" si="39"/>
        <v>0</v>
      </c>
      <c r="DS36" s="73">
        <f t="shared" si="40"/>
        <v>0</v>
      </c>
      <c r="DT36" s="73">
        <f t="shared" si="41"/>
        <v>0</v>
      </c>
      <c r="DU36" s="73">
        <f t="shared" si="42"/>
        <v>0</v>
      </c>
      <c r="DV36" s="111"/>
      <c r="DW36" s="79"/>
      <c r="DX36" s="79"/>
      <c r="DY36" s="111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</row>
    <row r="37" spans="1:178" s="92" customFormat="1" x14ac:dyDescent="0.2">
      <c r="A37" s="83" t="s">
        <v>56</v>
      </c>
      <c r="B37" s="84"/>
      <c r="C37" s="30">
        <f t="shared" ref="C37:J37" si="43">SUM(C6:C36)</f>
        <v>17459</v>
      </c>
      <c r="D37" s="30">
        <f t="shared" si="43"/>
        <v>17459</v>
      </c>
      <c r="E37" s="30">
        <f t="shared" si="43"/>
        <v>0</v>
      </c>
      <c r="F37" s="30">
        <f t="shared" si="43"/>
        <v>56076</v>
      </c>
      <c r="G37" s="30">
        <f t="shared" si="43"/>
        <v>56076</v>
      </c>
      <c r="H37" s="30">
        <f t="shared" si="43"/>
        <v>0</v>
      </c>
      <c r="I37" s="30">
        <f t="shared" si="43"/>
        <v>20000</v>
      </c>
      <c r="J37" s="30">
        <f t="shared" si="43"/>
        <v>20000</v>
      </c>
      <c r="K37" s="85">
        <f>SUM(K10:K36)</f>
        <v>0</v>
      </c>
      <c r="L37" s="30">
        <f t="shared" ref="L37:AQ37" si="44">SUM(L6:L36)</f>
        <v>33346</v>
      </c>
      <c r="M37" s="30">
        <f t="shared" si="44"/>
        <v>33346</v>
      </c>
      <c r="N37" s="85">
        <f t="shared" si="44"/>
        <v>0</v>
      </c>
      <c r="O37" s="30">
        <f t="shared" si="44"/>
        <v>868028</v>
      </c>
      <c r="P37" s="30">
        <f t="shared" si="44"/>
        <v>857528</v>
      </c>
      <c r="Q37" s="85">
        <f t="shared" si="44"/>
        <v>-10500</v>
      </c>
      <c r="R37" s="30">
        <f t="shared" si="44"/>
        <v>60000</v>
      </c>
      <c r="S37" s="30">
        <f t="shared" si="44"/>
        <v>60000</v>
      </c>
      <c r="T37" s="85">
        <f t="shared" si="44"/>
        <v>0</v>
      </c>
      <c r="U37" s="30">
        <f t="shared" si="44"/>
        <v>0</v>
      </c>
      <c r="V37" s="30">
        <f t="shared" si="44"/>
        <v>0</v>
      </c>
      <c r="W37" s="85">
        <f t="shared" si="44"/>
        <v>0</v>
      </c>
      <c r="X37" s="30">
        <f t="shared" si="44"/>
        <v>8974</v>
      </c>
      <c r="Y37" s="30">
        <f t="shared" si="44"/>
        <v>8974</v>
      </c>
      <c r="Z37" s="85">
        <f t="shared" si="44"/>
        <v>0</v>
      </c>
      <c r="AA37" s="30">
        <f t="shared" si="44"/>
        <v>172000</v>
      </c>
      <c r="AB37" s="30">
        <f t="shared" si="44"/>
        <v>172000</v>
      </c>
      <c r="AC37" s="85">
        <f t="shared" si="44"/>
        <v>0</v>
      </c>
      <c r="AD37" s="30">
        <f t="shared" si="44"/>
        <v>54000</v>
      </c>
      <c r="AE37" s="30">
        <f t="shared" si="44"/>
        <v>54000</v>
      </c>
      <c r="AF37" s="85">
        <f t="shared" si="44"/>
        <v>0</v>
      </c>
      <c r="AG37" s="30">
        <f t="shared" si="44"/>
        <v>24000</v>
      </c>
      <c r="AH37" s="30">
        <f t="shared" si="44"/>
        <v>24000</v>
      </c>
      <c r="AI37" s="85">
        <f t="shared" si="44"/>
        <v>0</v>
      </c>
      <c r="AJ37" s="30">
        <f t="shared" si="44"/>
        <v>20000</v>
      </c>
      <c r="AK37" s="30">
        <f t="shared" si="44"/>
        <v>20000</v>
      </c>
      <c r="AL37" s="85">
        <f t="shared" si="44"/>
        <v>0</v>
      </c>
      <c r="AM37" s="30">
        <f t="shared" si="44"/>
        <v>15000</v>
      </c>
      <c r="AN37" s="30">
        <f t="shared" si="44"/>
        <v>15000</v>
      </c>
      <c r="AO37" s="85">
        <f t="shared" si="44"/>
        <v>0</v>
      </c>
      <c r="AP37" s="30">
        <f t="shared" si="44"/>
        <v>0</v>
      </c>
      <c r="AQ37" s="30">
        <f t="shared" si="44"/>
        <v>0</v>
      </c>
      <c r="AR37" s="85">
        <f t="shared" ref="AR37:BW37" si="45">SUM(AR6:AR36)</f>
        <v>0</v>
      </c>
      <c r="AS37" s="30">
        <f t="shared" si="45"/>
        <v>0</v>
      </c>
      <c r="AT37" s="30">
        <f t="shared" si="45"/>
        <v>0</v>
      </c>
      <c r="AU37" s="85">
        <f t="shared" si="45"/>
        <v>0</v>
      </c>
      <c r="AV37" s="30">
        <f t="shared" si="45"/>
        <v>0</v>
      </c>
      <c r="AW37" s="30">
        <f t="shared" si="45"/>
        <v>0</v>
      </c>
      <c r="AX37" s="85">
        <f t="shared" si="45"/>
        <v>0</v>
      </c>
      <c r="AY37" s="30">
        <f t="shared" si="45"/>
        <v>0</v>
      </c>
      <c r="AZ37" s="30">
        <f t="shared" si="45"/>
        <v>0</v>
      </c>
      <c r="BA37" s="85">
        <f t="shared" si="45"/>
        <v>0</v>
      </c>
      <c r="BB37" s="30">
        <f t="shared" si="45"/>
        <v>0</v>
      </c>
      <c r="BC37" s="30">
        <f t="shared" si="45"/>
        <v>0</v>
      </c>
      <c r="BD37" s="85">
        <f t="shared" si="45"/>
        <v>0</v>
      </c>
      <c r="BE37" s="30">
        <f t="shared" si="45"/>
        <v>0</v>
      </c>
      <c r="BF37" s="30">
        <f t="shared" si="45"/>
        <v>0</v>
      </c>
      <c r="BG37" s="30">
        <f t="shared" si="45"/>
        <v>0</v>
      </c>
      <c r="BH37" s="30">
        <f t="shared" si="45"/>
        <v>0</v>
      </c>
      <c r="BI37" s="30">
        <f t="shared" si="45"/>
        <v>0</v>
      </c>
      <c r="BJ37" s="85">
        <f t="shared" si="45"/>
        <v>0</v>
      </c>
      <c r="BK37" s="30">
        <f t="shared" si="45"/>
        <v>0</v>
      </c>
      <c r="BL37" s="30">
        <f t="shared" si="45"/>
        <v>0</v>
      </c>
      <c r="BM37" s="85">
        <f t="shared" si="45"/>
        <v>0</v>
      </c>
      <c r="BN37" s="30">
        <f t="shared" si="45"/>
        <v>0</v>
      </c>
      <c r="BO37" s="30">
        <f t="shared" si="45"/>
        <v>0</v>
      </c>
      <c r="BP37" s="85">
        <f t="shared" si="45"/>
        <v>0</v>
      </c>
      <c r="BQ37" s="30">
        <f t="shared" si="45"/>
        <v>0</v>
      </c>
      <c r="BR37" s="30">
        <f t="shared" si="45"/>
        <v>0</v>
      </c>
      <c r="BS37" s="85">
        <f t="shared" si="45"/>
        <v>0</v>
      </c>
      <c r="BT37" s="30">
        <f t="shared" si="45"/>
        <v>0</v>
      </c>
      <c r="BU37" s="30">
        <f t="shared" si="45"/>
        <v>0</v>
      </c>
      <c r="BV37" s="85">
        <f t="shared" si="45"/>
        <v>0</v>
      </c>
      <c r="BW37" s="30">
        <f t="shared" si="45"/>
        <v>0</v>
      </c>
      <c r="BX37" s="30">
        <f t="shared" ref="BX37:DC37" si="46">SUM(BX6:BX36)</f>
        <v>0</v>
      </c>
      <c r="BY37" s="85">
        <f t="shared" si="46"/>
        <v>0</v>
      </c>
      <c r="BZ37" s="30">
        <f t="shared" si="46"/>
        <v>0</v>
      </c>
      <c r="CA37" s="30">
        <f t="shared" si="46"/>
        <v>0</v>
      </c>
      <c r="CB37" s="85">
        <f t="shared" si="46"/>
        <v>0</v>
      </c>
      <c r="CC37" s="30">
        <f t="shared" si="46"/>
        <v>0</v>
      </c>
      <c r="CD37" s="30">
        <f t="shared" si="46"/>
        <v>0</v>
      </c>
      <c r="CE37" s="85">
        <f t="shared" si="46"/>
        <v>0</v>
      </c>
      <c r="CF37" s="30">
        <f t="shared" si="46"/>
        <v>0</v>
      </c>
      <c r="CG37" s="30">
        <f t="shared" si="46"/>
        <v>0</v>
      </c>
      <c r="CH37" s="85">
        <f t="shared" si="46"/>
        <v>0</v>
      </c>
      <c r="CI37" s="30">
        <f t="shared" si="46"/>
        <v>0</v>
      </c>
      <c r="CJ37" s="30">
        <f t="shared" si="46"/>
        <v>0</v>
      </c>
      <c r="CK37" s="85">
        <f t="shared" si="46"/>
        <v>0</v>
      </c>
      <c r="CL37" s="30">
        <f t="shared" si="46"/>
        <v>0</v>
      </c>
      <c r="CM37" s="30">
        <f t="shared" si="46"/>
        <v>0</v>
      </c>
      <c r="CN37" s="85">
        <f t="shared" si="46"/>
        <v>0</v>
      </c>
      <c r="CO37" s="30">
        <f t="shared" si="46"/>
        <v>0</v>
      </c>
      <c r="CP37" s="30">
        <f t="shared" si="46"/>
        <v>0</v>
      </c>
      <c r="CQ37" s="85">
        <f t="shared" si="46"/>
        <v>0</v>
      </c>
      <c r="CR37" s="30">
        <f t="shared" si="46"/>
        <v>0</v>
      </c>
      <c r="CS37" s="30">
        <f t="shared" si="46"/>
        <v>0</v>
      </c>
      <c r="CT37" s="85">
        <f t="shared" si="46"/>
        <v>0</v>
      </c>
      <c r="CU37" s="30">
        <f t="shared" si="46"/>
        <v>0</v>
      </c>
      <c r="CV37" s="30">
        <f t="shared" si="46"/>
        <v>0</v>
      </c>
      <c r="CW37" s="85">
        <f t="shared" si="46"/>
        <v>0</v>
      </c>
      <c r="CX37" s="30">
        <f t="shared" si="46"/>
        <v>0</v>
      </c>
      <c r="CY37" s="30">
        <f t="shared" si="46"/>
        <v>0</v>
      </c>
      <c r="CZ37" s="85">
        <f t="shared" si="46"/>
        <v>0</v>
      </c>
      <c r="DA37" s="30">
        <f t="shared" si="46"/>
        <v>0</v>
      </c>
      <c r="DB37" s="30">
        <f t="shared" si="46"/>
        <v>0</v>
      </c>
      <c r="DC37" s="85">
        <f t="shared" si="46"/>
        <v>0</v>
      </c>
      <c r="DD37" s="30">
        <f t="shared" ref="DD37:DU37" si="47">SUM(DD6:DD36)</f>
        <v>0</v>
      </c>
      <c r="DE37" s="30">
        <f t="shared" si="47"/>
        <v>0</v>
      </c>
      <c r="DF37" s="85">
        <f t="shared" si="47"/>
        <v>0</v>
      </c>
      <c r="DG37" s="30">
        <f t="shared" si="47"/>
        <v>0</v>
      </c>
      <c r="DH37" s="30">
        <f t="shared" si="47"/>
        <v>0</v>
      </c>
      <c r="DI37" s="85">
        <f t="shared" si="47"/>
        <v>0</v>
      </c>
      <c r="DJ37" s="30">
        <f t="shared" si="47"/>
        <v>0</v>
      </c>
      <c r="DK37" s="30">
        <f t="shared" si="47"/>
        <v>0</v>
      </c>
      <c r="DL37" s="85">
        <f t="shared" si="47"/>
        <v>0</v>
      </c>
      <c r="DM37" s="30">
        <f t="shared" si="47"/>
        <v>0</v>
      </c>
      <c r="DN37" s="30">
        <f t="shared" si="47"/>
        <v>0</v>
      </c>
      <c r="DO37" s="85">
        <f t="shared" si="47"/>
        <v>0</v>
      </c>
      <c r="DP37" s="30">
        <f t="shared" si="47"/>
        <v>0</v>
      </c>
      <c r="DQ37" s="30">
        <f t="shared" si="47"/>
        <v>0</v>
      </c>
      <c r="DR37" s="85">
        <f t="shared" si="47"/>
        <v>0</v>
      </c>
      <c r="DS37" s="87">
        <f t="shared" si="47"/>
        <v>1348883</v>
      </c>
      <c r="DT37" s="85">
        <f t="shared" si="47"/>
        <v>1338383</v>
      </c>
      <c r="DU37" s="85">
        <f t="shared" si="47"/>
        <v>-10500</v>
      </c>
      <c r="DV37" s="30"/>
      <c r="DW37" s="30"/>
      <c r="DX37" s="30"/>
      <c r="DY37" s="88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89"/>
      <c r="EM37" s="89"/>
      <c r="EN37" s="89"/>
      <c r="EO37" s="89"/>
      <c r="EP37" s="89"/>
      <c r="EQ37" s="89"/>
      <c r="ER37" s="89"/>
      <c r="ES37" s="89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1"/>
      <c r="FQ37" s="91"/>
      <c r="FR37" s="91"/>
      <c r="FS37" s="91"/>
      <c r="FT37" s="91"/>
      <c r="FU37" s="91"/>
      <c r="FV37" s="91"/>
    </row>
    <row r="38" spans="1:178" s="100" customFormat="1" x14ac:dyDescent="0.2">
      <c r="A38" s="93"/>
      <c r="B38" s="8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42"/>
      <c r="AD38" s="33"/>
      <c r="AE38" s="33"/>
      <c r="AF38" s="42"/>
      <c r="AG38" s="33"/>
      <c r="AH38" s="33"/>
      <c r="AI38" s="42"/>
      <c r="AJ38" s="33"/>
      <c r="AK38" s="33"/>
      <c r="AL38" s="42"/>
      <c r="AM38" s="33"/>
      <c r="AN38" s="33"/>
      <c r="AO38" s="42"/>
      <c r="AP38" s="33"/>
      <c r="AQ38" s="33"/>
      <c r="AR38" s="42"/>
      <c r="AS38" s="33"/>
      <c r="AT38" s="33"/>
      <c r="AU38" s="42"/>
      <c r="AV38" s="33"/>
      <c r="AW38" s="33"/>
      <c r="AX38" s="33"/>
      <c r="AY38" s="33"/>
      <c r="AZ38" s="33"/>
      <c r="BA38" s="42"/>
      <c r="BB38" s="33"/>
      <c r="BC38" s="33"/>
      <c r="BD38" s="42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42"/>
      <c r="BZ38" s="33"/>
      <c r="CA38" s="33"/>
      <c r="CB38" s="42"/>
      <c r="CC38" s="33"/>
      <c r="CD38" s="33"/>
      <c r="CE38" s="42"/>
      <c r="CF38" s="33"/>
      <c r="CG38" s="33"/>
      <c r="CH38" s="42"/>
      <c r="CI38" s="33"/>
      <c r="CJ38" s="33"/>
      <c r="CK38" s="42"/>
      <c r="CL38" s="33"/>
      <c r="CM38" s="33"/>
      <c r="CN38" s="42"/>
      <c r="CO38" s="33"/>
      <c r="CP38" s="33"/>
      <c r="CQ38" s="42"/>
      <c r="CR38" s="33"/>
      <c r="CS38" s="33"/>
      <c r="CT38" s="42"/>
      <c r="CU38" s="33"/>
      <c r="CV38" s="33"/>
      <c r="CW38" s="42"/>
      <c r="CX38" s="33"/>
      <c r="CY38" s="33"/>
      <c r="CZ38" s="42"/>
      <c r="DA38" s="33"/>
      <c r="DB38" s="33"/>
      <c r="DC38" s="42"/>
      <c r="DD38" s="33"/>
      <c r="DE38" s="33"/>
      <c r="DF38" s="42"/>
      <c r="DG38" s="33"/>
      <c r="DH38" s="33"/>
      <c r="DI38" s="33"/>
      <c r="DJ38" s="33"/>
      <c r="DK38" s="33"/>
      <c r="DL38" s="42"/>
      <c r="DM38" s="33"/>
      <c r="DN38" s="33"/>
      <c r="DO38" s="42"/>
      <c r="DP38" s="33"/>
      <c r="DQ38" s="33"/>
      <c r="DR38" s="42"/>
      <c r="DS38" s="42"/>
      <c r="DT38" s="33"/>
      <c r="DU38" s="33"/>
      <c r="DV38" s="33"/>
      <c r="DW38" s="33"/>
      <c r="DX38" s="33"/>
      <c r="DY38" s="96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97"/>
      <c r="EM38" s="97"/>
      <c r="EN38" s="97"/>
      <c r="EO38" s="97"/>
      <c r="EP38" s="97"/>
      <c r="EQ38" s="97"/>
      <c r="ER38" s="97"/>
      <c r="ES38" s="97"/>
      <c r="ET38" s="98"/>
      <c r="EU38" s="98"/>
      <c r="EV38" s="98"/>
      <c r="EW38" s="98"/>
      <c r="EX38" s="98"/>
      <c r="EY38" s="98"/>
      <c r="EZ38" s="98"/>
      <c r="FA38" s="98"/>
      <c r="FB38" s="98"/>
      <c r="FC38" s="98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99"/>
      <c r="FQ38" s="99"/>
      <c r="FR38" s="99"/>
      <c r="FS38" s="99"/>
      <c r="FT38" s="99"/>
      <c r="FU38" s="99"/>
      <c r="FV38" s="99"/>
    </row>
    <row r="39" spans="1:178" x14ac:dyDescent="0.2">
      <c r="A39" s="84"/>
      <c r="C39" s="39"/>
      <c r="F39" s="39"/>
      <c r="I39" s="39"/>
      <c r="L39" s="39"/>
      <c r="O39" s="39"/>
      <c r="R39" s="39"/>
      <c r="U39" s="39"/>
      <c r="X39" s="39"/>
      <c r="AA39" s="39"/>
      <c r="AD39" s="39"/>
      <c r="AG39" s="39"/>
      <c r="AJ39" s="39"/>
      <c r="AM39" s="39"/>
      <c r="AP39" s="39"/>
      <c r="AS39" s="39"/>
      <c r="AV39" s="39"/>
      <c r="AY39" s="39"/>
      <c r="BB39" s="39"/>
      <c r="BE39" s="39"/>
      <c r="BH39" s="39"/>
      <c r="BK39" s="39"/>
      <c r="BN39" s="39"/>
      <c r="BQ39" s="39"/>
      <c r="BT39" s="39"/>
      <c r="BW39" s="39"/>
      <c r="BZ39" s="39"/>
      <c r="CC39" s="39"/>
      <c r="CF39" s="39"/>
      <c r="CI39" s="39"/>
      <c r="CL39" s="39"/>
      <c r="CO39" s="39"/>
      <c r="CR39" s="39"/>
      <c r="CU39" s="39"/>
      <c r="CX39" s="39"/>
      <c r="DA39" s="39"/>
      <c r="DD39" s="39"/>
      <c r="DG39" s="39"/>
      <c r="DJ39" s="39"/>
      <c r="DM39" s="39"/>
      <c r="DP39" s="39"/>
      <c r="DS39" s="42"/>
    </row>
    <row r="40" spans="1:178" x14ac:dyDescent="0.2">
      <c r="A40" s="84"/>
      <c r="C40" s="39"/>
      <c r="F40" s="39"/>
      <c r="I40" s="39"/>
      <c r="L40" s="39"/>
      <c r="O40" s="39"/>
      <c r="R40" s="39"/>
      <c r="U40" s="39"/>
      <c r="X40" s="39"/>
      <c r="AA40" s="39"/>
      <c r="AD40" s="39"/>
      <c r="AG40" s="39"/>
      <c r="AJ40" s="39"/>
      <c r="AM40" s="39"/>
      <c r="AP40" s="39"/>
      <c r="AS40" s="39"/>
      <c r="AV40" s="39"/>
      <c r="AY40" s="39"/>
      <c r="BB40" s="39"/>
      <c r="BE40" s="39"/>
      <c r="BH40" s="39"/>
      <c r="BK40" s="39"/>
      <c r="BN40" s="39"/>
      <c r="BQ40" s="39"/>
      <c r="BT40" s="39"/>
      <c r="BW40" s="39"/>
      <c r="BZ40" s="39"/>
      <c r="CC40" s="39"/>
      <c r="CF40" s="39"/>
      <c r="CI40" s="39"/>
      <c r="CL40" s="39"/>
      <c r="CO40" s="39"/>
      <c r="CR40" s="39"/>
      <c r="CU40" s="39"/>
      <c r="CX40" s="39"/>
      <c r="DA40" s="39"/>
      <c r="DD40" s="39"/>
      <c r="DG40" s="39"/>
      <c r="DJ40" s="39"/>
      <c r="DM40" s="39"/>
      <c r="DP40" s="39"/>
      <c r="DS40" s="42"/>
    </row>
    <row r="41" spans="1:178" x14ac:dyDescent="0.2">
      <c r="A41" s="84"/>
      <c r="C41" s="39"/>
      <c r="F41" s="39"/>
      <c r="I41" s="39"/>
      <c r="L41" s="39"/>
      <c r="O41" s="39"/>
      <c r="R41" s="39"/>
      <c r="U41" s="39"/>
      <c r="X41" s="39"/>
      <c r="AA41" s="39"/>
      <c r="AD41" s="39"/>
      <c r="AG41" s="39"/>
      <c r="AJ41" s="39"/>
      <c r="AM41" s="39"/>
      <c r="AP41" s="39"/>
      <c r="AS41" s="39"/>
      <c r="AV41" s="39"/>
      <c r="AY41" s="39"/>
      <c r="BB41" s="39"/>
      <c r="BE41" s="39"/>
      <c r="BH41" s="39"/>
      <c r="BK41" s="39"/>
      <c r="BN41" s="39"/>
      <c r="BQ41" s="39"/>
      <c r="BT41" s="39"/>
      <c r="BW41" s="39"/>
      <c r="BZ41" s="39"/>
      <c r="CC41" s="39"/>
      <c r="CF41" s="39"/>
      <c r="CI41" s="39"/>
      <c r="CL41" s="39"/>
      <c r="CO41" s="39"/>
      <c r="CR41" s="39"/>
      <c r="CU41" s="39"/>
      <c r="CX41" s="39"/>
      <c r="DA41" s="39"/>
      <c r="DD41" s="39"/>
      <c r="DG41" s="39"/>
      <c r="DJ41" s="39"/>
      <c r="DM41" s="39"/>
      <c r="DP41" s="39"/>
    </row>
    <row r="42" spans="1:178" x14ac:dyDescent="0.2">
      <c r="A42" s="84"/>
      <c r="C42" s="39"/>
      <c r="F42" s="39"/>
      <c r="I42" s="39"/>
      <c r="L42" s="39"/>
      <c r="O42" s="39"/>
      <c r="R42" s="39"/>
      <c r="U42" s="39"/>
      <c r="X42" s="39"/>
      <c r="AA42" s="39"/>
      <c r="AD42" s="39"/>
      <c r="AG42" s="39"/>
      <c r="AJ42" s="39"/>
      <c r="AM42" s="39"/>
      <c r="AP42" s="39"/>
      <c r="AS42" s="39"/>
      <c r="AV42" s="39"/>
      <c r="AY42" s="39"/>
      <c r="BB42" s="39"/>
      <c r="BE42" s="39"/>
      <c r="BH42" s="39"/>
      <c r="BK42" s="39"/>
      <c r="BN42" s="39"/>
      <c r="BQ42" s="39"/>
      <c r="BT42" s="39"/>
      <c r="BW42" s="39"/>
      <c r="BZ42" s="39"/>
      <c r="CC42" s="39"/>
      <c r="CF42" s="39"/>
      <c r="CI42" s="39"/>
      <c r="CL42" s="39"/>
      <c r="CO42" s="39"/>
      <c r="CR42" s="39"/>
      <c r="CU42" s="39"/>
      <c r="CX42" s="39"/>
      <c r="DA42" s="39"/>
      <c r="DD42" s="39"/>
      <c r="DG42" s="39"/>
      <c r="DJ42" s="39"/>
      <c r="DM42" s="39"/>
      <c r="DP42" s="39"/>
    </row>
    <row r="43" spans="1:178" x14ac:dyDescent="0.2">
      <c r="A43" s="84"/>
      <c r="C43" s="39"/>
      <c r="F43" s="39"/>
      <c r="I43" s="39"/>
      <c r="L43" s="39"/>
      <c r="O43" s="39"/>
      <c r="R43" s="39"/>
      <c r="U43" s="39"/>
      <c r="X43" s="39"/>
      <c r="AA43" s="39"/>
      <c r="AD43" s="39"/>
      <c r="AG43" s="39"/>
      <c r="AJ43" s="39"/>
      <c r="AM43" s="39"/>
      <c r="AP43" s="39"/>
      <c r="AS43" s="39"/>
      <c r="AV43" s="39"/>
      <c r="AY43" s="39"/>
      <c r="BB43" s="39"/>
      <c r="BE43" s="39"/>
      <c r="BH43" s="39"/>
      <c r="BK43" s="39"/>
      <c r="BN43" s="39"/>
      <c r="BQ43" s="39"/>
      <c r="BT43" s="39"/>
      <c r="BW43" s="39"/>
      <c r="BZ43" s="39"/>
      <c r="CC43" s="39"/>
      <c r="CF43" s="39"/>
      <c r="CI43" s="39"/>
      <c r="CL43" s="39"/>
      <c r="CO43" s="39"/>
      <c r="CR43" s="39"/>
      <c r="CU43" s="39"/>
      <c r="CX43" s="39"/>
      <c r="DA43" s="39"/>
      <c r="DD43" s="39"/>
      <c r="DG43" s="39"/>
      <c r="DJ43" s="39"/>
      <c r="DM43" s="39"/>
      <c r="DP43" s="39"/>
    </row>
    <row r="44" spans="1:178" customFormat="1" x14ac:dyDescent="0.2"/>
    <row r="45" spans="1:178" x14ac:dyDescent="0.2">
      <c r="A45" s="84"/>
    </row>
    <row r="46" spans="1:178" x14ac:dyDescent="0.2">
      <c r="A46" s="84"/>
    </row>
    <row r="47" spans="1:178" x14ac:dyDescent="0.2">
      <c r="A47" s="84"/>
    </row>
    <row r="48" spans="1:178" x14ac:dyDescent="0.2">
      <c r="A48" s="84"/>
    </row>
    <row r="49" spans="1:1" x14ac:dyDescent="0.2">
      <c r="A49" s="84"/>
    </row>
    <row r="50" spans="1:1" x14ac:dyDescent="0.2">
      <c r="A50" s="84"/>
    </row>
    <row r="51" spans="1:1" x14ac:dyDescent="0.2">
      <c r="A51" s="84"/>
    </row>
    <row r="52" spans="1:1" x14ac:dyDescent="0.2">
      <c r="A52" s="84"/>
    </row>
    <row r="53" spans="1:1" x14ac:dyDescent="0.2">
      <c r="A53" s="84"/>
    </row>
    <row r="54" spans="1:1" x14ac:dyDescent="0.2">
      <c r="A54" s="84"/>
    </row>
    <row r="55" spans="1:1" x14ac:dyDescent="0.2">
      <c r="A55" s="84"/>
    </row>
    <row r="56" spans="1:1" x14ac:dyDescent="0.2">
      <c r="A56" s="84"/>
    </row>
    <row r="57" spans="1:1" x14ac:dyDescent="0.2">
      <c r="A57" s="84"/>
    </row>
    <row r="58" spans="1:1" x14ac:dyDescent="0.2">
      <c r="A58" s="84"/>
    </row>
    <row r="59" spans="1:1" x14ac:dyDescent="0.2">
      <c r="A59" s="84"/>
    </row>
    <row r="60" spans="1:1" x14ac:dyDescent="0.2">
      <c r="A60" s="84"/>
    </row>
    <row r="61" spans="1:1" x14ac:dyDescent="0.2">
      <c r="A61" s="84"/>
    </row>
    <row r="62" spans="1:1" x14ac:dyDescent="0.2">
      <c r="A62" s="84"/>
    </row>
    <row r="63" spans="1:1" x14ac:dyDescent="0.2">
      <c r="A63" s="84"/>
    </row>
    <row r="64" spans="1:1" x14ac:dyDescent="0.2">
      <c r="A64" s="84"/>
    </row>
    <row r="65" spans="1:1" x14ac:dyDescent="0.2">
      <c r="A65" s="84"/>
    </row>
    <row r="66" spans="1:1" x14ac:dyDescent="0.2">
      <c r="A66" s="84"/>
    </row>
    <row r="67" spans="1:1" x14ac:dyDescent="0.2">
      <c r="A67" s="84"/>
    </row>
    <row r="68" spans="1:1" x14ac:dyDescent="0.2">
      <c r="A68" s="84"/>
    </row>
    <row r="69" spans="1:1" x14ac:dyDescent="0.2">
      <c r="A69" s="84"/>
    </row>
    <row r="70" spans="1:1" x14ac:dyDescent="0.2">
      <c r="A70" s="84"/>
    </row>
    <row r="71" spans="1:1" x14ac:dyDescent="0.2">
      <c r="A71" s="84"/>
    </row>
    <row r="72" spans="1:1" x14ac:dyDescent="0.2">
      <c r="A72" s="84"/>
    </row>
    <row r="73" spans="1:1" x14ac:dyDescent="0.2">
      <c r="A73" s="84"/>
    </row>
    <row r="74" spans="1:1" x14ac:dyDescent="0.2">
      <c r="A74" s="84"/>
    </row>
    <row r="75" spans="1:1" x14ac:dyDescent="0.2">
      <c r="A75" s="84"/>
    </row>
    <row r="76" spans="1:1" x14ac:dyDescent="0.2">
      <c r="A76" s="84"/>
    </row>
    <row r="77" spans="1:1" x14ac:dyDescent="0.2">
      <c r="A77" s="84"/>
    </row>
    <row r="78" spans="1:1" x14ac:dyDescent="0.2">
      <c r="A78" s="84"/>
    </row>
    <row r="79" spans="1:1" x14ac:dyDescent="0.2">
      <c r="A79" s="84"/>
    </row>
    <row r="80" spans="1:1" x14ac:dyDescent="0.2">
      <c r="A80" s="84"/>
    </row>
    <row r="81" spans="1:1" x14ac:dyDescent="0.2">
      <c r="A81" s="84"/>
    </row>
    <row r="82" spans="1:1" x14ac:dyDescent="0.2">
      <c r="A82" s="84"/>
    </row>
    <row r="83" spans="1:1" x14ac:dyDescent="0.2">
      <c r="A83" s="84"/>
    </row>
    <row r="84" spans="1:1" x14ac:dyDescent="0.2">
      <c r="A84" s="84"/>
    </row>
    <row r="85" spans="1:1" x14ac:dyDescent="0.2">
      <c r="A85" s="84"/>
    </row>
    <row r="86" spans="1:1" x14ac:dyDescent="0.2">
      <c r="A86" s="84"/>
    </row>
    <row r="87" spans="1:1" x14ac:dyDescent="0.2">
      <c r="A87" s="84"/>
    </row>
    <row r="88" spans="1:1" x14ac:dyDescent="0.2">
      <c r="A88" s="84"/>
    </row>
    <row r="89" spans="1:1" x14ac:dyDescent="0.2">
      <c r="A89" s="84"/>
    </row>
    <row r="90" spans="1:1" x14ac:dyDescent="0.2">
      <c r="A90" s="84"/>
    </row>
    <row r="91" spans="1:1" x14ac:dyDescent="0.2">
      <c r="A91" s="84"/>
    </row>
    <row r="92" spans="1:1" x14ac:dyDescent="0.2">
      <c r="A92" s="84"/>
    </row>
    <row r="93" spans="1:1" x14ac:dyDescent="0.2">
      <c r="A93" s="84"/>
    </row>
    <row r="94" spans="1:1" x14ac:dyDescent="0.2">
      <c r="A94" s="84"/>
    </row>
    <row r="95" spans="1:1" x14ac:dyDescent="0.2">
      <c r="A95" s="84"/>
    </row>
    <row r="96" spans="1:1" x14ac:dyDescent="0.2">
      <c r="A96" s="84"/>
    </row>
    <row r="97" spans="1:1" x14ac:dyDescent="0.2">
      <c r="A97" s="84"/>
    </row>
    <row r="98" spans="1:1" x14ac:dyDescent="0.2">
      <c r="A98" s="84"/>
    </row>
    <row r="99" spans="1:1" x14ac:dyDescent="0.2">
      <c r="A99" s="84"/>
    </row>
    <row r="100" spans="1:1" x14ac:dyDescent="0.2">
      <c r="A100" s="84"/>
    </row>
    <row r="101" spans="1:1" x14ac:dyDescent="0.2">
      <c r="A101" s="84"/>
    </row>
    <row r="102" spans="1:1" x14ac:dyDescent="0.2">
      <c r="A102" s="84"/>
    </row>
    <row r="103" spans="1:1" x14ac:dyDescent="0.2">
      <c r="A103" s="84"/>
    </row>
    <row r="104" spans="1:1" x14ac:dyDescent="0.2">
      <c r="A104" s="84"/>
    </row>
    <row r="105" spans="1:1" x14ac:dyDescent="0.2">
      <c r="A105" s="84"/>
    </row>
    <row r="106" spans="1:1" x14ac:dyDescent="0.2">
      <c r="A106" s="84"/>
    </row>
    <row r="107" spans="1:1" x14ac:dyDescent="0.2">
      <c r="A107" s="84"/>
    </row>
    <row r="108" spans="1:1" x14ac:dyDescent="0.2">
      <c r="A108" s="84"/>
    </row>
    <row r="109" spans="1:1" x14ac:dyDescent="0.2">
      <c r="A109" s="84"/>
    </row>
    <row r="110" spans="1:1" x14ac:dyDescent="0.2">
      <c r="A110" s="84"/>
    </row>
    <row r="111" spans="1:1" x14ac:dyDescent="0.2">
      <c r="A111" s="84"/>
    </row>
    <row r="112" spans="1:1" x14ac:dyDescent="0.2">
      <c r="A112" s="84"/>
    </row>
    <row r="113" spans="1:1" x14ac:dyDescent="0.2">
      <c r="A113" s="84"/>
    </row>
    <row r="114" spans="1:1" x14ac:dyDescent="0.2">
      <c r="A114" s="84"/>
    </row>
    <row r="115" spans="1:1" x14ac:dyDescent="0.2">
      <c r="A115" s="84"/>
    </row>
    <row r="116" spans="1:1" x14ac:dyDescent="0.2">
      <c r="A116" s="84"/>
    </row>
    <row r="117" spans="1:1" x14ac:dyDescent="0.2">
      <c r="A117" s="84"/>
    </row>
    <row r="118" spans="1:1" x14ac:dyDescent="0.2">
      <c r="A118" s="84"/>
    </row>
    <row r="119" spans="1:1" x14ac:dyDescent="0.2">
      <c r="A119" s="84"/>
    </row>
    <row r="120" spans="1:1" x14ac:dyDescent="0.2">
      <c r="A120" s="84"/>
    </row>
    <row r="121" spans="1:1" x14ac:dyDescent="0.2">
      <c r="A121" s="84"/>
    </row>
    <row r="122" spans="1:1" x14ac:dyDescent="0.2">
      <c r="A122" s="84"/>
    </row>
    <row r="123" spans="1:1" x14ac:dyDescent="0.2">
      <c r="A123" s="84"/>
    </row>
    <row r="124" spans="1:1" x14ac:dyDescent="0.2">
      <c r="A124" s="84"/>
    </row>
    <row r="125" spans="1:1" x14ac:dyDescent="0.2">
      <c r="A125" s="84"/>
    </row>
    <row r="126" spans="1:1" x14ac:dyDescent="0.2">
      <c r="A126" s="84"/>
    </row>
    <row r="127" spans="1:1" x14ac:dyDescent="0.2">
      <c r="A127" s="84"/>
    </row>
    <row r="128" spans="1:1" x14ac:dyDescent="0.2">
      <c r="A128" s="84"/>
    </row>
    <row r="129" spans="1:1" x14ac:dyDescent="0.2">
      <c r="A129" s="84"/>
    </row>
    <row r="130" spans="1:1" x14ac:dyDescent="0.2">
      <c r="A130" s="84"/>
    </row>
    <row r="131" spans="1:1" x14ac:dyDescent="0.2">
      <c r="A131" s="84"/>
    </row>
    <row r="132" spans="1:1" x14ac:dyDescent="0.2">
      <c r="A132" s="84"/>
    </row>
    <row r="133" spans="1:1" x14ac:dyDescent="0.2">
      <c r="A133" s="84"/>
    </row>
    <row r="134" spans="1:1" x14ac:dyDescent="0.2">
      <c r="A134" s="84"/>
    </row>
    <row r="135" spans="1:1" x14ac:dyDescent="0.2">
      <c r="A135" s="84"/>
    </row>
    <row r="136" spans="1:1" x14ac:dyDescent="0.2">
      <c r="A136" s="84"/>
    </row>
    <row r="137" spans="1:1" x14ac:dyDescent="0.2">
      <c r="A137" s="84"/>
    </row>
    <row r="138" spans="1:1" x14ac:dyDescent="0.2">
      <c r="A138" s="84"/>
    </row>
    <row r="139" spans="1:1" x14ac:dyDescent="0.2">
      <c r="A139" s="84"/>
    </row>
    <row r="140" spans="1:1" x14ac:dyDescent="0.2">
      <c r="A140" s="84"/>
    </row>
    <row r="141" spans="1:1" x14ac:dyDescent="0.2">
      <c r="A141" s="84"/>
    </row>
    <row r="142" spans="1:1" x14ac:dyDescent="0.2">
      <c r="A142" s="84"/>
    </row>
    <row r="143" spans="1:1" x14ac:dyDescent="0.2">
      <c r="A143" s="84"/>
    </row>
    <row r="144" spans="1:1" x14ac:dyDescent="0.2">
      <c r="A144" s="84"/>
    </row>
    <row r="145" spans="1:1" x14ac:dyDescent="0.2">
      <c r="A145" s="84"/>
    </row>
    <row r="146" spans="1:1" x14ac:dyDescent="0.2">
      <c r="A146" s="84"/>
    </row>
    <row r="147" spans="1:1" x14ac:dyDescent="0.2">
      <c r="A147" s="84"/>
    </row>
    <row r="148" spans="1:1" x14ac:dyDescent="0.2">
      <c r="A148" s="84"/>
    </row>
    <row r="149" spans="1:1" x14ac:dyDescent="0.2">
      <c r="A149" s="84"/>
    </row>
    <row r="150" spans="1:1" x14ac:dyDescent="0.2">
      <c r="A150" s="84"/>
    </row>
    <row r="151" spans="1:1" x14ac:dyDescent="0.2">
      <c r="A151" s="84"/>
    </row>
    <row r="152" spans="1:1" x14ac:dyDescent="0.2">
      <c r="A152" s="84"/>
    </row>
    <row r="153" spans="1:1" x14ac:dyDescent="0.2">
      <c r="A153" s="84"/>
    </row>
    <row r="154" spans="1:1" x14ac:dyDescent="0.2">
      <c r="A154" s="84"/>
    </row>
    <row r="155" spans="1:1" x14ac:dyDescent="0.2">
      <c r="A155" s="84"/>
    </row>
    <row r="156" spans="1:1" x14ac:dyDescent="0.2">
      <c r="A156" s="84"/>
    </row>
    <row r="157" spans="1:1" x14ac:dyDescent="0.2">
      <c r="A157" s="84"/>
    </row>
    <row r="158" spans="1:1" x14ac:dyDescent="0.2">
      <c r="A158" s="84"/>
    </row>
    <row r="159" spans="1:1" x14ac:dyDescent="0.2">
      <c r="A159" s="84"/>
    </row>
    <row r="160" spans="1:1" x14ac:dyDescent="0.2">
      <c r="A160" s="84"/>
    </row>
    <row r="161" spans="1:1" x14ac:dyDescent="0.2">
      <c r="A161" s="84"/>
    </row>
    <row r="162" spans="1:1" x14ac:dyDescent="0.2">
      <c r="A162" s="84"/>
    </row>
    <row r="163" spans="1:1" x14ac:dyDescent="0.2">
      <c r="A163" s="84"/>
    </row>
    <row r="164" spans="1:1" x14ac:dyDescent="0.2">
      <c r="A164" s="84"/>
    </row>
    <row r="165" spans="1:1" x14ac:dyDescent="0.2">
      <c r="A165" s="84"/>
    </row>
    <row r="166" spans="1:1" x14ac:dyDescent="0.2">
      <c r="A166" s="84"/>
    </row>
    <row r="167" spans="1:1" x14ac:dyDescent="0.2">
      <c r="A167" s="84"/>
    </row>
    <row r="168" spans="1:1" x14ac:dyDescent="0.2">
      <c r="A168" s="84"/>
    </row>
    <row r="169" spans="1:1" x14ac:dyDescent="0.2">
      <c r="A169" s="84"/>
    </row>
    <row r="170" spans="1:1" x14ac:dyDescent="0.2">
      <c r="A170" s="84"/>
    </row>
    <row r="171" spans="1:1" x14ac:dyDescent="0.2">
      <c r="A171" s="84"/>
    </row>
    <row r="172" spans="1:1" x14ac:dyDescent="0.2">
      <c r="A172" s="84"/>
    </row>
    <row r="173" spans="1:1" x14ac:dyDescent="0.2">
      <c r="A173" s="84"/>
    </row>
    <row r="174" spans="1:1" x14ac:dyDescent="0.2">
      <c r="A174" s="84"/>
    </row>
    <row r="175" spans="1:1" x14ac:dyDescent="0.2">
      <c r="A175" s="84"/>
    </row>
    <row r="176" spans="1:1" x14ac:dyDescent="0.2">
      <c r="A176" s="84"/>
    </row>
    <row r="177" spans="1:1" x14ac:dyDescent="0.2">
      <c r="A177" s="84"/>
    </row>
    <row r="178" spans="1:1" x14ac:dyDescent="0.2">
      <c r="A178" s="84"/>
    </row>
    <row r="179" spans="1:1" x14ac:dyDescent="0.2">
      <c r="A179" s="84"/>
    </row>
    <row r="180" spans="1:1" x14ac:dyDescent="0.2">
      <c r="A180" s="84"/>
    </row>
    <row r="181" spans="1:1" x14ac:dyDescent="0.2">
      <c r="A181" s="84"/>
    </row>
    <row r="182" spans="1:1" x14ac:dyDescent="0.2">
      <c r="A182" s="84"/>
    </row>
    <row r="183" spans="1:1" x14ac:dyDescent="0.2">
      <c r="A183" s="84"/>
    </row>
    <row r="184" spans="1:1" x14ac:dyDescent="0.2">
      <c r="A184" s="84"/>
    </row>
    <row r="185" spans="1:1" x14ac:dyDescent="0.2">
      <c r="A185" s="84"/>
    </row>
    <row r="186" spans="1:1" x14ac:dyDescent="0.2">
      <c r="A186" s="84"/>
    </row>
    <row r="187" spans="1:1" x14ac:dyDescent="0.2">
      <c r="A187" s="84"/>
    </row>
    <row r="188" spans="1:1" x14ac:dyDescent="0.2">
      <c r="A188" s="84"/>
    </row>
    <row r="189" spans="1:1" x14ac:dyDescent="0.2">
      <c r="A189" s="84"/>
    </row>
    <row r="190" spans="1:1" x14ac:dyDescent="0.2">
      <c r="A190" s="84"/>
    </row>
    <row r="191" spans="1:1" x14ac:dyDescent="0.2">
      <c r="A191" s="84"/>
    </row>
    <row r="192" spans="1:1" x14ac:dyDescent="0.2">
      <c r="A192" s="84"/>
    </row>
    <row r="193" spans="1:1" x14ac:dyDescent="0.2">
      <c r="A193" s="84"/>
    </row>
    <row r="194" spans="1:1" x14ac:dyDescent="0.2">
      <c r="A194" s="84"/>
    </row>
    <row r="195" spans="1:1" x14ac:dyDescent="0.2">
      <c r="A195" s="84"/>
    </row>
    <row r="196" spans="1:1" x14ac:dyDescent="0.2">
      <c r="A196" s="84"/>
    </row>
    <row r="197" spans="1:1" x14ac:dyDescent="0.2">
      <c r="A197" s="84"/>
    </row>
    <row r="198" spans="1:1" x14ac:dyDescent="0.2">
      <c r="A198" s="84"/>
    </row>
    <row r="199" spans="1:1" x14ac:dyDescent="0.2">
      <c r="A199" s="84"/>
    </row>
    <row r="200" spans="1:1" x14ac:dyDescent="0.2">
      <c r="A200" s="84"/>
    </row>
    <row r="201" spans="1:1" x14ac:dyDescent="0.2">
      <c r="A201" s="84"/>
    </row>
    <row r="202" spans="1:1" x14ac:dyDescent="0.2">
      <c r="A202" s="84"/>
    </row>
    <row r="203" spans="1:1" x14ac:dyDescent="0.2">
      <c r="A203" s="84"/>
    </row>
    <row r="204" spans="1:1" x14ac:dyDescent="0.2">
      <c r="A204" s="84"/>
    </row>
    <row r="205" spans="1:1" x14ac:dyDescent="0.2">
      <c r="A205" s="84"/>
    </row>
    <row r="206" spans="1:1" x14ac:dyDescent="0.2">
      <c r="A206" s="84"/>
    </row>
    <row r="207" spans="1:1" x14ac:dyDescent="0.2">
      <c r="A207" s="84"/>
    </row>
    <row r="208" spans="1:1" x14ac:dyDescent="0.2">
      <c r="A208" s="84"/>
    </row>
    <row r="209" spans="1:1" x14ac:dyDescent="0.2">
      <c r="A209" s="84"/>
    </row>
    <row r="210" spans="1:1" x14ac:dyDescent="0.2">
      <c r="A210" s="84"/>
    </row>
    <row r="211" spans="1:1" x14ac:dyDescent="0.2">
      <c r="A211" s="84"/>
    </row>
    <row r="212" spans="1:1" x14ac:dyDescent="0.2">
      <c r="A212" s="84"/>
    </row>
    <row r="213" spans="1:1" x14ac:dyDescent="0.2">
      <c r="A213" s="84"/>
    </row>
    <row r="214" spans="1:1" x14ac:dyDescent="0.2">
      <c r="A214" s="84"/>
    </row>
    <row r="215" spans="1:1" x14ac:dyDescent="0.2">
      <c r="A215" s="84"/>
    </row>
    <row r="216" spans="1:1" x14ac:dyDescent="0.2">
      <c r="A216" s="84"/>
    </row>
    <row r="217" spans="1:1" x14ac:dyDescent="0.2">
      <c r="A217" s="84"/>
    </row>
    <row r="218" spans="1:1" x14ac:dyDescent="0.2">
      <c r="A218" s="84"/>
    </row>
    <row r="219" spans="1:1" x14ac:dyDescent="0.2">
      <c r="A219" s="84"/>
    </row>
    <row r="220" spans="1:1" x14ac:dyDescent="0.2">
      <c r="A220" s="84"/>
    </row>
    <row r="221" spans="1:1" x14ac:dyDescent="0.2">
      <c r="A221" s="84"/>
    </row>
    <row r="222" spans="1:1" x14ac:dyDescent="0.2">
      <c r="A222" s="84"/>
    </row>
    <row r="223" spans="1:1" x14ac:dyDescent="0.2">
      <c r="A223" s="84"/>
    </row>
    <row r="224" spans="1:1" x14ac:dyDescent="0.2">
      <c r="A224" s="84"/>
    </row>
    <row r="225" spans="1:1" x14ac:dyDescent="0.2">
      <c r="A225" s="84"/>
    </row>
    <row r="226" spans="1:1" x14ac:dyDescent="0.2">
      <c r="A226" s="84"/>
    </row>
    <row r="227" spans="1:1" x14ac:dyDescent="0.2">
      <c r="A227" s="84"/>
    </row>
    <row r="228" spans="1:1" x14ac:dyDescent="0.2">
      <c r="A228" s="84"/>
    </row>
    <row r="229" spans="1:1" x14ac:dyDescent="0.2">
      <c r="A229" s="84"/>
    </row>
    <row r="230" spans="1:1" x14ac:dyDescent="0.2">
      <c r="A230" s="84"/>
    </row>
    <row r="231" spans="1:1" x14ac:dyDescent="0.2">
      <c r="A231" s="84"/>
    </row>
    <row r="232" spans="1:1" x14ac:dyDescent="0.2">
      <c r="A232" s="84"/>
    </row>
    <row r="233" spans="1:1" x14ac:dyDescent="0.2">
      <c r="A233" s="84"/>
    </row>
    <row r="234" spans="1:1" x14ac:dyDescent="0.2">
      <c r="A234" s="84"/>
    </row>
    <row r="235" spans="1:1" x14ac:dyDescent="0.2">
      <c r="A235" s="84"/>
    </row>
    <row r="236" spans="1:1" x14ac:dyDescent="0.2">
      <c r="A236" s="84"/>
    </row>
    <row r="237" spans="1:1" x14ac:dyDescent="0.2">
      <c r="A237" s="84"/>
    </row>
    <row r="238" spans="1:1" x14ac:dyDescent="0.2">
      <c r="A238" s="84"/>
    </row>
    <row r="239" spans="1:1" x14ac:dyDescent="0.2">
      <c r="A239" s="84"/>
    </row>
    <row r="240" spans="1:1" x14ac:dyDescent="0.2">
      <c r="A240" s="84"/>
    </row>
    <row r="241" spans="1:1" x14ac:dyDescent="0.2">
      <c r="A241" s="84"/>
    </row>
    <row r="242" spans="1:1" x14ac:dyDescent="0.2">
      <c r="A242" s="84"/>
    </row>
    <row r="243" spans="1:1" x14ac:dyDescent="0.2">
      <c r="A243" s="84"/>
    </row>
    <row r="244" spans="1:1" x14ac:dyDescent="0.2">
      <c r="A244" s="84"/>
    </row>
    <row r="245" spans="1:1" x14ac:dyDescent="0.2">
      <c r="A245" s="84"/>
    </row>
    <row r="246" spans="1:1" x14ac:dyDescent="0.2">
      <c r="A246" s="84"/>
    </row>
    <row r="247" spans="1:1" x14ac:dyDescent="0.2">
      <c r="A247" s="84"/>
    </row>
    <row r="248" spans="1:1" x14ac:dyDescent="0.2">
      <c r="A248" s="84"/>
    </row>
    <row r="249" spans="1:1" x14ac:dyDescent="0.2">
      <c r="A249" s="84"/>
    </row>
    <row r="250" spans="1:1" x14ac:dyDescent="0.2">
      <c r="A250" s="84"/>
    </row>
    <row r="251" spans="1:1" x14ac:dyDescent="0.2">
      <c r="A251" s="84"/>
    </row>
    <row r="252" spans="1:1" x14ac:dyDescent="0.2">
      <c r="A252" s="84"/>
    </row>
    <row r="253" spans="1:1" x14ac:dyDescent="0.2">
      <c r="A253" s="84"/>
    </row>
    <row r="254" spans="1:1" x14ac:dyDescent="0.2">
      <c r="A254" s="84"/>
    </row>
    <row r="255" spans="1:1" x14ac:dyDescent="0.2">
      <c r="A255" s="84"/>
    </row>
    <row r="256" spans="1:1" x14ac:dyDescent="0.2">
      <c r="A256" s="84"/>
    </row>
    <row r="257" spans="1:1" x14ac:dyDescent="0.2">
      <c r="A257" s="84"/>
    </row>
    <row r="258" spans="1:1" x14ac:dyDescent="0.2">
      <c r="A258" s="84"/>
    </row>
    <row r="259" spans="1:1" x14ac:dyDescent="0.2">
      <c r="A259" s="84"/>
    </row>
    <row r="260" spans="1:1" x14ac:dyDescent="0.2">
      <c r="A260" s="84"/>
    </row>
    <row r="261" spans="1:1" x14ac:dyDescent="0.2">
      <c r="A261" s="84"/>
    </row>
    <row r="262" spans="1:1" x14ac:dyDescent="0.2">
      <c r="A262" s="84"/>
    </row>
    <row r="263" spans="1:1" x14ac:dyDescent="0.2">
      <c r="A263" s="84"/>
    </row>
    <row r="264" spans="1:1" x14ac:dyDescent="0.2">
      <c r="A264" s="84"/>
    </row>
    <row r="265" spans="1:1" x14ac:dyDescent="0.2">
      <c r="A265" s="84"/>
    </row>
    <row r="266" spans="1:1" x14ac:dyDescent="0.2">
      <c r="A266" s="84"/>
    </row>
    <row r="267" spans="1:1" x14ac:dyDescent="0.2">
      <c r="A267" s="84"/>
    </row>
    <row r="268" spans="1:1" x14ac:dyDescent="0.2">
      <c r="A268" s="84"/>
    </row>
    <row r="269" spans="1:1" x14ac:dyDescent="0.2">
      <c r="A269" s="84"/>
    </row>
    <row r="270" spans="1:1" x14ac:dyDescent="0.2">
      <c r="A270" s="84"/>
    </row>
    <row r="271" spans="1:1" x14ac:dyDescent="0.2">
      <c r="A271" s="84"/>
    </row>
    <row r="272" spans="1:1" x14ac:dyDescent="0.2">
      <c r="A272" s="84"/>
    </row>
    <row r="273" spans="1:1" x14ac:dyDescent="0.2">
      <c r="A273" s="84"/>
    </row>
    <row r="274" spans="1:1" x14ac:dyDescent="0.2">
      <c r="A274" s="84"/>
    </row>
    <row r="275" spans="1:1" x14ac:dyDescent="0.2">
      <c r="A275" s="84"/>
    </row>
    <row r="276" spans="1:1" x14ac:dyDescent="0.2">
      <c r="A276" s="84"/>
    </row>
    <row r="277" spans="1:1" x14ac:dyDescent="0.2">
      <c r="A277" s="84"/>
    </row>
    <row r="278" spans="1:1" x14ac:dyDescent="0.2">
      <c r="A278" s="84"/>
    </row>
    <row r="279" spans="1:1" x14ac:dyDescent="0.2">
      <c r="A279" s="84"/>
    </row>
    <row r="280" spans="1:1" x14ac:dyDescent="0.2">
      <c r="A280" s="84"/>
    </row>
    <row r="281" spans="1:1" x14ac:dyDescent="0.2">
      <c r="A281" s="84"/>
    </row>
    <row r="282" spans="1:1" x14ac:dyDescent="0.2">
      <c r="A282" s="84"/>
    </row>
    <row r="283" spans="1:1" x14ac:dyDescent="0.2">
      <c r="A283" s="84"/>
    </row>
    <row r="284" spans="1:1" x14ac:dyDescent="0.2">
      <c r="A284" s="84"/>
    </row>
    <row r="285" spans="1:1" x14ac:dyDescent="0.2">
      <c r="A285" s="84"/>
    </row>
    <row r="286" spans="1:1" x14ac:dyDescent="0.2">
      <c r="A286" s="84"/>
    </row>
    <row r="287" spans="1:1" x14ac:dyDescent="0.2">
      <c r="A287" s="84"/>
    </row>
    <row r="288" spans="1:1" x14ac:dyDescent="0.2">
      <c r="A288" s="84"/>
    </row>
    <row r="289" spans="1:1" x14ac:dyDescent="0.2">
      <c r="A289" s="84"/>
    </row>
    <row r="290" spans="1:1" x14ac:dyDescent="0.2">
      <c r="A290" s="84"/>
    </row>
    <row r="291" spans="1:1" x14ac:dyDescent="0.2">
      <c r="A291" s="84"/>
    </row>
    <row r="292" spans="1:1" x14ac:dyDescent="0.2">
      <c r="A292" s="84"/>
    </row>
    <row r="293" spans="1:1" x14ac:dyDescent="0.2">
      <c r="A293" s="84"/>
    </row>
    <row r="294" spans="1:1" x14ac:dyDescent="0.2">
      <c r="A294" s="84"/>
    </row>
    <row r="295" spans="1:1" x14ac:dyDescent="0.2">
      <c r="A295" s="84"/>
    </row>
    <row r="296" spans="1:1" x14ac:dyDescent="0.2">
      <c r="A296" s="84"/>
    </row>
    <row r="297" spans="1:1" x14ac:dyDescent="0.2">
      <c r="A297" s="84"/>
    </row>
    <row r="298" spans="1:1" x14ac:dyDescent="0.2">
      <c r="A298" s="84"/>
    </row>
    <row r="299" spans="1:1" x14ac:dyDescent="0.2">
      <c r="A299" s="84"/>
    </row>
    <row r="300" spans="1:1" x14ac:dyDescent="0.2">
      <c r="A300" s="84"/>
    </row>
    <row r="301" spans="1:1" x14ac:dyDescent="0.2">
      <c r="A301" s="84"/>
    </row>
    <row r="302" spans="1:1" x14ac:dyDescent="0.2">
      <c r="A302" s="84"/>
    </row>
    <row r="303" spans="1:1" x14ac:dyDescent="0.2">
      <c r="A303" s="84"/>
    </row>
    <row r="304" spans="1:1" x14ac:dyDescent="0.2">
      <c r="A304" s="84"/>
    </row>
    <row r="305" spans="1:1" x14ac:dyDescent="0.2">
      <c r="A305" s="84"/>
    </row>
    <row r="306" spans="1:1" x14ac:dyDescent="0.2">
      <c r="A306" s="84"/>
    </row>
    <row r="307" spans="1:1" x14ac:dyDescent="0.2">
      <c r="A307" s="84"/>
    </row>
    <row r="308" spans="1:1" x14ac:dyDescent="0.2">
      <c r="A308" s="84"/>
    </row>
    <row r="309" spans="1:1" x14ac:dyDescent="0.2">
      <c r="A309" s="84"/>
    </row>
    <row r="310" spans="1:1" x14ac:dyDescent="0.2">
      <c r="A310" s="84"/>
    </row>
    <row r="311" spans="1:1" x14ac:dyDescent="0.2">
      <c r="A311" s="84"/>
    </row>
    <row r="312" spans="1:1" x14ac:dyDescent="0.2">
      <c r="A312" s="84"/>
    </row>
    <row r="313" spans="1:1" x14ac:dyDescent="0.2">
      <c r="A313" s="84"/>
    </row>
    <row r="314" spans="1:1" x14ac:dyDescent="0.2">
      <c r="A314" s="84"/>
    </row>
    <row r="315" spans="1:1" x14ac:dyDescent="0.2">
      <c r="A315" s="84"/>
    </row>
    <row r="316" spans="1:1" x14ac:dyDescent="0.2">
      <c r="A316" s="84"/>
    </row>
    <row r="317" spans="1:1" x14ac:dyDescent="0.2">
      <c r="A317" s="84"/>
    </row>
    <row r="318" spans="1:1" x14ac:dyDescent="0.2">
      <c r="A318" s="84"/>
    </row>
    <row r="319" spans="1:1" x14ac:dyDescent="0.2">
      <c r="A319" s="84"/>
    </row>
    <row r="320" spans="1:1" x14ac:dyDescent="0.2">
      <c r="A320" s="84"/>
    </row>
    <row r="321" spans="1:1" x14ac:dyDescent="0.2">
      <c r="A321" s="84"/>
    </row>
    <row r="322" spans="1:1" x14ac:dyDescent="0.2">
      <c r="A322" s="84"/>
    </row>
    <row r="323" spans="1:1" x14ac:dyDescent="0.2">
      <c r="A323" s="84"/>
    </row>
    <row r="324" spans="1:1" x14ac:dyDescent="0.2">
      <c r="A324" s="84"/>
    </row>
    <row r="325" spans="1:1" x14ac:dyDescent="0.2">
      <c r="A325" s="84"/>
    </row>
    <row r="326" spans="1:1" x14ac:dyDescent="0.2">
      <c r="A326" s="84"/>
    </row>
    <row r="327" spans="1:1" x14ac:dyDescent="0.2">
      <c r="A327" s="84"/>
    </row>
    <row r="328" spans="1:1" x14ac:dyDescent="0.2">
      <c r="A328" s="84"/>
    </row>
    <row r="329" spans="1:1" x14ac:dyDescent="0.2">
      <c r="A329" s="84"/>
    </row>
    <row r="330" spans="1:1" x14ac:dyDescent="0.2">
      <c r="A330" s="84"/>
    </row>
    <row r="331" spans="1:1" x14ac:dyDescent="0.2">
      <c r="A331" s="84"/>
    </row>
    <row r="332" spans="1:1" x14ac:dyDescent="0.2">
      <c r="A332" s="84"/>
    </row>
    <row r="333" spans="1:1" x14ac:dyDescent="0.2">
      <c r="A333" s="84"/>
    </row>
    <row r="334" spans="1:1" x14ac:dyDescent="0.2">
      <c r="A334" s="84"/>
    </row>
    <row r="335" spans="1:1" x14ac:dyDescent="0.2">
      <c r="A335" s="84"/>
    </row>
    <row r="336" spans="1:1" x14ac:dyDescent="0.2">
      <c r="A336" s="84"/>
    </row>
    <row r="337" spans="1:1" x14ac:dyDescent="0.2">
      <c r="A337" s="84"/>
    </row>
    <row r="338" spans="1:1" x14ac:dyDescent="0.2">
      <c r="A338" s="84"/>
    </row>
    <row r="339" spans="1:1" x14ac:dyDescent="0.2">
      <c r="A339" s="84"/>
    </row>
    <row r="340" spans="1:1" x14ac:dyDescent="0.2">
      <c r="A340" s="84"/>
    </row>
    <row r="341" spans="1:1" x14ac:dyDescent="0.2">
      <c r="A341" s="84"/>
    </row>
    <row r="342" spans="1:1" x14ac:dyDescent="0.2">
      <c r="A342" s="84"/>
    </row>
    <row r="343" spans="1:1" x14ac:dyDescent="0.2">
      <c r="A343" s="84"/>
    </row>
    <row r="344" spans="1:1" x14ac:dyDescent="0.2">
      <c r="A344" s="84"/>
    </row>
    <row r="345" spans="1:1" x14ac:dyDescent="0.2">
      <c r="A345" s="84"/>
    </row>
    <row r="346" spans="1:1" x14ac:dyDescent="0.2">
      <c r="A346" s="84"/>
    </row>
    <row r="347" spans="1:1" x14ac:dyDescent="0.2">
      <c r="A347" s="84"/>
    </row>
    <row r="348" spans="1:1" x14ac:dyDescent="0.2">
      <c r="A348" s="84"/>
    </row>
    <row r="349" spans="1:1" x14ac:dyDescent="0.2">
      <c r="A349" s="84"/>
    </row>
    <row r="350" spans="1:1" x14ac:dyDescent="0.2">
      <c r="A350" s="84"/>
    </row>
    <row r="351" spans="1:1" x14ac:dyDescent="0.2">
      <c r="A351" s="84"/>
    </row>
    <row r="352" spans="1:1" x14ac:dyDescent="0.2">
      <c r="A352" s="84"/>
    </row>
    <row r="353" spans="1:1" x14ac:dyDescent="0.2">
      <c r="A353" s="84"/>
    </row>
    <row r="354" spans="1:1" x14ac:dyDescent="0.2">
      <c r="A354" s="84"/>
    </row>
    <row r="355" spans="1:1" x14ac:dyDescent="0.2">
      <c r="A355" s="84"/>
    </row>
    <row r="356" spans="1:1" x14ac:dyDescent="0.2">
      <c r="A356" s="84"/>
    </row>
    <row r="357" spans="1:1" x14ac:dyDescent="0.2">
      <c r="A357" s="84"/>
    </row>
    <row r="358" spans="1:1" x14ac:dyDescent="0.2">
      <c r="A358" s="84"/>
    </row>
    <row r="359" spans="1:1" x14ac:dyDescent="0.2">
      <c r="A359" s="84"/>
    </row>
    <row r="360" spans="1:1" x14ac:dyDescent="0.2">
      <c r="A360" s="84"/>
    </row>
    <row r="361" spans="1:1" x14ac:dyDescent="0.2">
      <c r="A361" s="84"/>
    </row>
    <row r="362" spans="1:1" x14ac:dyDescent="0.2">
      <c r="A362" s="84"/>
    </row>
    <row r="363" spans="1:1" x14ac:dyDescent="0.2">
      <c r="A363" s="84"/>
    </row>
    <row r="364" spans="1:1" x14ac:dyDescent="0.2">
      <c r="A364" s="84"/>
    </row>
    <row r="365" spans="1:1" x14ac:dyDescent="0.2">
      <c r="A365" s="84"/>
    </row>
    <row r="366" spans="1:1" x14ac:dyDescent="0.2">
      <c r="A366" s="84"/>
    </row>
    <row r="367" spans="1:1" x14ac:dyDescent="0.2">
      <c r="A367" s="84"/>
    </row>
    <row r="368" spans="1:1" x14ac:dyDescent="0.2">
      <c r="A368" s="84"/>
    </row>
    <row r="369" spans="1:1" x14ac:dyDescent="0.2">
      <c r="A369" s="84"/>
    </row>
    <row r="370" spans="1:1" x14ac:dyDescent="0.2">
      <c r="A370" s="84"/>
    </row>
    <row r="371" spans="1:1" x14ac:dyDescent="0.2">
      <c r="A371" s="84"/>
    </row>
    <row r="372" spans="1:1" x14ac:dyDescent="0.2">
      <c r="A372" s="84"/>
    </row>
    <row r="373" spans="1:1" x14ac:dyDescent="0.2">
      <c r="A373" s="84"/>
    </row>
    <row r="374" spans="1:1" x14ac:dyDescent="0.2">
      <c r="A374" s="84"/>
    </row>
    <row r="375" spans="1:1" x14ac:dyDescent="0.2">
      <c r="A375" s="84"/>
    </row>
    <row r="376" spans="1:1" x14ac:dyDescent="0.2">
      <c r="A376" s="84"/>
    </row>
    <row r="377" spans="1:1" x14ac:dyDescent="0.2">
      <c r="A377" s="84"/>
    </row>
    <row r="378" spans="1:1" x14ac:dyDescent="0.2">
      <c r="A378" s="84"/>
    </row>
    <row r="379" spans="1:1" x14ac:dyDescent="0.2">
      <c r="A379" s="84"/>
    </row>
    <row r="380" spans="1:1" x14ac:dyDescent="0.2">
      <c r="A380" s="84"/>
    </row>
    <row r="381" spans="1:1" x14ac:dyDescent="0.2">
      <c r="A381" s="84"/>
    </row>
    <row r="382" spans="1:1" x14ac:dyDescent="0.2">
      <c r="A382" s="84"/>
    </row>
    <row r="383" spans="1:1" x14ac:dyDescent="0.2">
      <c r="A383" s="84"/>
    </row>
    <row r="384" spans="1:1" x14ac:dyDescent="0.2">
      <c r="A384" s="84"/>
    </row>
    <row r="385" spans="1:1" x14ac:dyDescent="0.2">
      <c r="A385" s="84"/>
    </row>
    <row r="386" spans="1:1" x14ac:dyDescent="0.2">
      <c r="A386" s="84"/>
    </row>
    <row r="387" spans="1:1" x14ac:dyDescent="0.2">
      <c r="A387" s="84"/>
    </row>
    <row r="388" spans="1:1" x14ac:dyDescent="0.2">
      <c r="A388" s="84"/>
    </row>
    <row r="389" spans="1:1" x14ac:dyDescent="0.2">
      <c r="A389" s="84"/>
    </row>
    <row r="390" spans="1:1" x14ac:dyDescent="0.2">
      <c r="A390" s="84"/>
    </row>
    <row r="391" spans="1:1" x14ac:dyDescent="0.2">
      <c r="A391" s="84"/>
    </row>
    <row r="392" spans="1:1" x14ac:dyDescent="0.2">
      <c r="A392" s="84"/>
    </row>
    <row r="393" spans="1:1" x14ac:dyDescent="0.2">
      <c r="A393" s="84"/>
    </row>
    <row r="394" spans="1:1" x14ac:dyDescent="0.2">
      <c r="A394" s="84"/>
    </row>
    <row r="395" spans="1:1" x14ac:dyDescent="0.2">
      <c r="A395" s="84"/>
    </row>
    <row r="396" spans="1:1" x14ac:dyDescent="0.2">
      <c r="A396" s="84"/>
    </row>
    <row r="397" spans="1:1" x14ac:dyDescent="0.2">
      <c r="A397" s="84"/>
    </row>
    <row r="398" spans="1:1" x14ac:dyDescent="0.2">
      <c r="A398" s="84"/>
    </row>
    <row r="399" spans="1:1" x14ac:dyDescent="0.2">
      <c r="A399" s="84"/>
    </row>
    <row r="400" spans="1:1" x14ac:dyDescent="0.2">
      <c r="A400" s="84"/>
    </row>
    <row r="401" spans="1:1" x14ac:dyDescent="0.2">
      <c r="A401" s="84"/>
    </row>
    <row r="402" spans="1:1" x14ac:dyDescent="0.2">
      <c r="A402" s="84"/>
    </row>
    <row r="403" spans="1:1" x14ac:dyDescent="0.2">
      <c r="A403" s="84"/>
    </row>
    <row r="404" spans="1:1" x14ac:dyDescent="0.2">
      <c r="A404" s="84"/>
    </row>
    <row r="405" spans="1:1" x14ac:dyDescent="0.2">
      <c r="A405" s="84"/>
    </row>
    <row r="406" spans="1:1" x14ac:dyDescent="0.2">
      <c r="A406" s="84"/>
    </row>
    <row r="407" spans="1:1" x14ac:dyDescent="0.2">
      <c r="A407" s="84"/>
    </row>
    <row r="408" spans="1:1" x14ac:dyDescent="0.2">
      <c r="A408" s="84"/>
    </row>
    <row r="409" spans="1:1" x14ac:dyDescent="0.2">
      <c r="A409" s="84"/>
    </row>
    <row r="410" spans="1:1" x14ac:dyDescent="0.2">
      <c r="A410" s="84"/>
    </row>
    <row r="411" spans="1:1" x14ac:dyDescent="0.2">
      <c r="A411" s="84"/>
    </row>
    <row r="412" spans="1:1" x14ac:dyDescent="0.2">
      <c r="A412" s="84"/>
    </row>
    <row r="413" spans="1:1" x14ac:dyDescent="0.2">
      <c r="A413" s="84"/>
    </row>
    <row r="414" spans="1:1" x14ac:dyDescent="0.2">
      <c r="A414" s="84"/>
    </row>
    <row r="415" spans="1:1" x14ac:dyDescent="0.2">
      <c r="A415" s="84"/>
    </row>
    <row r="416" spans="1:1" x14ac:dyDescent="0.2">
      <c r="A416" s="84"/>
    </row>
    <row r="417" spans="1:1" x14ac:dyDescent="0.2">
      <c r="A417" s="84"/>
    </row>
    <row r="418" spans="1:1" x14ac:dyDescent="0.2">
      <c r="A418" s="84"/>
    </row>
    <row r="419" spans="1:1" x14ac:dyDescent="0.2">
      <c r="A419" s="84"/>
    </row>
    <row r="420" spans="1:1" x14ac:dyDescent="0.2">
      <c r="A420" s="84"/>
    </row>
    <row r="421" spans="1:1" x14ac:dyDescent="0.2">
      <c r="A421" s="84"/>
    </row>
    <row r="422" spans="1:1" x14ac:dyDescent="0.2">
      <c r="A422" s="84"/>
    </row>
    <row r="423" spans="1:1" x14ac:dyDescent="0.2">
      <c r="A423" s="84"/>
    </row>
    <row r="424" spans="1:1" x14ac:dyDescent="0.2">
      <c r="A424" s="84"/>
    </row>
    <row r="425" spans="1:1" x14ac:dyDescent="0.2">
      <c r="A425" s="84"/>
    </row>
    <row r="426" spans="1:1" x14ac:dyDescent="0.2">
      <c r="A426" s="84"/>
    </row>
    <row r="427" spans="1:1" x14ac:dyDescent="0.2">
      <c r="A427" s="84"/>
    </row>
    <row r="428" spans="1:1" x14ac:dyDescent="0.2">
      <c r="A428" s="84"/>
    </row>
    <row r="429" spans="1:1" x14ac:dyDescent="0.2">
      <c r="A429" s="84"/>
    </row>
    <row r="430" spans="1:1" x14ac:dyDescent="0.2">
      <c r="A430" s="84"/>
    </row>
    <row r="431" spans="1:1" x14ac:dyDescent="0.2">
      <c r="A431" s="84"/>
    </row>
    <row r="432" spans="1:1" x14ac:dyDescent="0.2">
      <c r="A432" s="84"/>
    </row>
    <row r="433" spans="1:1" x14ac:dyDescent="0.2">
      <c r="A433" s="84"/>
    </row>
    <row r="434" spans="1:1" x14ac:dyDescent="0.2">
      <c r="A434" s="84"/>
    </row>
    <row r="435" spans="1:1" x14ac:dyDescent="0.2">
      <c r="A435" s="84"/>
    </row>
    <row r="436" spans="1:1" x14ac:dyDescent="0.2">
      <c r="A436" s="84"/>
    </row>
    <row r="437" spans="1:1" x14ac:dyDescent="0.2">
      <c r="A437" s="84"/>
    </row>
    <row r="438" spans="1:1" x14ac:dyDescent="0.2">
      <c r="A438" s="84"/>
    </row>
    <row r="439" spans="1:1" x14ac:dyDescent="0.2">
      <c r="A439" s="84"/>
    </row>
    <row r="440" spans="1:1" x14ac:dyDescent="0.2">
      <c r="A440" s="84"/>
    </row>
    <row r="441" spans="1:1" x14ac:dyDescent="0.2">
      <c r="A441" s="84"/>
    </row>
    <row r="442" spans="1:1" x14ac:dyDescent="0.2">
      <c r="A442" s="84"/>
    </row>
    <row r="443" spans="1:1" x14ac:dyDescent="0.2">
      <c r="A443" s="84"/>
    </row>
    <row r="444" spans="1:1" x14ac:dyDescent="0.2">
      <c r="A444" s="84"/>
    </row>
    <row r="445" spans="1:1" x14ac:dyDescent="0.2">
      <c r="A445" s="84"/>
    </row>
    <row r="446" spans="1:1" x14ac:dyDescent="0.2">
      <c r="A446" s="84"/>
    </row>
    <row r="447" spans="1:1" x14ac:dyDescent="0.2">
      <c r="A447" s="84"/>
    </row>
    <row r="448" spans="1:1" x14ac:dyDescent="0.2">
      <c r="A448" s="84"/>
    </row>
    <row r="449" spans="1:1" x14ac:dyDescent="0.2">
      <c r="A449" s="84"/>
    </row>
    <row r="450" spans="1:1" x14ac:dyDescent="0.2">
      <c r="A450" s="84"/>
    </row>
    <row r="451" spans="1:1" x14ac:dyDescent="0.2">
      <c r="A451" s="84"/>
    </row>
    <row r="452" spans="1:1" x14ac:dyDescent="0.2">
      <c r="A452" s="84"/>
    </row>
    <row r="453" spans="1:1" x14ac:dyDescent="0.2">
      <c r="A453" s="84"/>
    </row>
    <row r="454" spans="1:1" x14ac:dyDescent="0.2">
      <c r="A454" s="84"/>
    </row>
    <row r="455" spans="1:1" x14ac:dyDescent="0.2">
      <c r="A455" s="84"/>
    </row>
    <row r="456" spans="1:1" x14ac:dyDescent="0.2">
      <c r="A456" s="84"/>
    </row>
    <row r="457" spans="1:1" x14ac:dyDescent="0.2">
      <c r="A457" s="84"/>
    </row>
    <row r="458" spans="1:1" x14ac:dyDescent="0.2">
      <c r="A458" s="84"/>
    </row>
    <row r="459" spans="1:1" x14ac:dyDescent="0.2">
      <c r="A459" s="84"/>
    </row>
    <row r="460" spans="1:1" x14ac:dyDescent="0.2">
      <c r="A460" s="84"/>
    </row>
    <row r="461" spans="1:1" x14ac:dyDescent="0.2">
      <c r="A461" s="84"/>
    </row>
    <row r="462" spans="1:1" x14ac:dyDescent="0.2">
      <c r="A462" s="84"/>
    </row>
    <row r="463" spans="1:1" x14ac:dyDescent="0.2">
      <c r="A463" s="84"/>
    </row>
    <row r="464" spans="1:1" x14ac:dyDescent="0.2">
      <c r="A464" s="84"/>
    </row>
    <row r="465" spans="1:1" x14ac:dyDescent="0.2">
      <c r="A465" s="84"/>
    </row>
    <row r="466" spans="1:1" x14ac:dyDescent="0.2">
      <c r="A466" s="84"/>
    </row>
    <row r="467" spans="1:1" x14ac:dyDescent="0.2">
      <c r="A467" s="84"/>
    </row>
    <row r="468" spans="1:1" x14ac:dyDescent="0.2">
      <c r="A468" s="84"/>
    </row>
    <row r="469" spans="1:1" x14ac:dyDescent="0.2">
      <c r="A469" s="84"/>
    </row>
    <row r="470" spans="1:1" x14ac:dyDescent="0.2">
      <c r="A470" s="84"/>
    </row>
    <row r="471" spans="1:1" x14ac:dyDescent="0.2">
      <c r="A471" s="84"/>
    </row>
    <row r="472" spans="1:1" x14ac:dyDescent="0.2">
      <c r="A472" s="84"/>
    </row>
    <row r="473" spans="1:1" x14ac:dyDescent="0.2">
      <c r="A473" s="84"/>
    </row>
    <row r="474" spans="1:1" x14ac:dyDescent="0.2">
      <c r="A474" s="84"/>
    </row>
    <row r="475" spans="1:1" x14ac:dyDescent="0.2">
      <c r="A475" s="84"/>
    </row>
    <row r="476" spans="1:1" x14ac:dyDescent="0.2">
      <c r="A476" s="84"/>
    </row>
    <row r="477" spans="1:1" x14ac:dyDescent="0.2">
      <c r="A477" s="84"/>
    </row>
    <row r="478" spans="1:1" x14ac:dyDescent="0.2">
      <c r="A478" s="84"/>
    </row>
    <row r="479" spans="1:1" x14ac:dyDescent="0.2">
      <c r="A479" s="84"/>
    </row>
    <row r="480" spans="1:1" x14ac:dyDescent="0.2">
      <c r="A480" s="84"/>
    </row>
    <row r="481" spans="1:1" x14ac:dyDescent="0.2">
      <c r="A481" s="84"/>
    </row>
    <row r="482" spans="1:1" x14ac:dyDescent="0.2">
      <c r="A482" s="84"/>
    </row>
    <row r="483" spans="1:1" x14ac:dyDescent="0.2">
      <c r="A483" s="84"/>
    </row>
    <row r="484" spans="1:1" x14ac:dyDescent="0.2">
      <c r="A484" s="84"/>
    </row>
    <row r="485" spans="1:1" x14ac:dyDescent="0.2">
      <c r="A485" s="84"/>
    </row>
    <row r="486" spans="1:1" x14ac:dyDescent="0.2">
      <c r="A486" s="84"/>
    </row>
    <row r="487" spans="1:1" x14ac:dyDescent="0.2">
      <c r="A487" s="84"/>
    </row>
    <row r="488" spans="1:1" x14ac:dyDescent="0.2">
      <c r="A488" s="84"/>
    </row>
    <row r="489" spans="1:1" x14ac:dyDescent="0.2">
      <c r="A489" s="84"/>
    </row>
    <row r="490" spans="1:1" x14ac:dyDescent="0.2">
      <c r="A490" s="84"/>
    </row>
    <row r="491" spans="1:1" x14ac:dyDescent="0.2">
      <c r="A491" s="84"/>
    </row>
    <row r="492" spans="1:1" x14ac:dyDescent="0.2">
      <c r="A492" s="84"/>
    </row>
    <row r="493" spans="1:1" x14ac:dyDescent="0.2">
      <c r="A493" s="84"/>
    </row>
    <row r="494" spans="1:1" x14ac:dyDescent="0.2">
      <c r="A494" s="84"/>
    </row>
    <row r="495" spans="1:1" x14ac:dyDescent="0.2">
      <c r="A495" s="84"/>
    </row>
    <row r="496" spans="1:1" x14ac:dyDescent="0.2">
      <c r="A496" s="84"/>
    </row>
    <row r="497" spans="1:1" x14ac:dyDescent="0.2">
      <c r="A497" s="84"/>
    </row>
    <row r="498" spans="1:1" x14ac:dyDescent="0.2">
      <c r="A498" s="84"/>
    </row>
    <row r="499" spans="1:1" x14ac:dyDescent="0.2">
      <c r="A499" s="84"/>
    </row>
    <row r="500" spans="1:1" x14ac:dyDescent="0.2">
      <c r="A500" s="84"/>
    </row>
    <row r="501" spans="1:1" x14ac:dyDescent="0.2">
      <c r="A501" s="84"/>
    </row>
    <row r="502" spans="1:1" x14ac:dyDescent="0.2">
      <c r="A502" s="84"/>
    </row>
    <row r="503" spans="1:1" x14ac:dyDescent="0.2">
      <c r="A503" s="84"/>
    </row>
    <row r="504" spans="1:1" x14ac:dyDescent="0.2">
      <c r="A504" s="84"/>
    </row>
    <row r="505" spans="1:1" x14ac:dyDescent="0.2">
      <c r="A505" s="84"/>
    </row>
    <row r="506" spans="1:1" x14ac:dyDescent="0.2">
      <c r="A506" s="84"/>
    </row>
    <row r="507" spans="1:1" x14ac:dyDescent="0.2">
      <c r="A507" s="84"/>
    </row>
    <row r="508" spans="1:1" x14ac:dyDescent="0.2">
      <c r="A508" s="84"/>
    </row>
    <row r="509" spans="1:1" x14ac:dyDescent="0.2">
      <c r="A509" s="84"/>
    </row>
    <row r="510" spans="1:1" x14ac:dyDescent="0.2">
      <c r="A510" s="84"/>
    </row>
    <row r="511" spans="1:1" x14ac:dyDescent="0.2">
      <c r="A511" s="84"/>
    </row>
    <row r="512" spans="1:1" x14ac:dyDescent="0.2">
      <c r="A512" s="84"/>
    </row>
    <row r="513" spans="1:1" x14ac:dyDescent="0.2">
      <c r="A513" s="84"/>
    </row>
    <row r="514" spans="1:1" x14ac:dyDescent="0.2">
      <c r="A514" s="84"/>
    </row>
    <row r="515" spans="1:1" x14ac:dyDescent="0.2">
      <c r="A515" s="84"/>
    </row>
  </sheetData>
  <printOptions horizontalCentered="1" verticalCentered="1" gridLines="1" gridLinesSet="0"/>
  <pageMargins left="0" right="0" top="0" bottom="0" header="0" footer="0"/>
  <pageSetup paperSize="5" scale="65" orientation="landscape" horizontalDpi="4294967293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IK515"/>
  <sheetViews>
    <sheetView zoomScale="90" workbookViewId="0">
      <pane xSplit="2" ySplit="5" topLeftCell="AB10" activePane="bottomRight" state="frozen"/>
      <selection activeCell="AT19" sqref="AT19"/>
      <selection pane="topRight" activeCell="AT19" sqref="AT19"/>
      <selection pane="bottomLeft" activeCell="AT19" sqref="AT19"/>
      <selection pane="bottomRight" activeCell="AH36" sqref="AH36"/>
    </sheetView>
  </sheetViews>
  <sheetFormatPr defaultColWidth="15.1640625" defaultRowHeight="12.75" x14ac:dyDescent="0.2"/>
  <cols>
    <col min="1" max="1" width="15.1640625" style="106" customWidth="1"/>
    <col min="2" max="2" width="15.1640625" style="84" customWidth="1"/>
    <col min="3" max="3" width="18.1640625" style="43" customWidth="1"/>
    <col min="4" max="5" width="15.1640625" style="43" customWidth="1"/>
    <col min="6" max="6" width="18.1640625" style="43" customWidth="1"/>
    <col min="7" max="8" width="15.1640625" style="43" customWidth="1"/>
    <col min="9" max="9" width="18.1640625" style="43" customWidth="1"/>
    <col min="10" max="11" width="15.1640625" style="43" customWidth="1"/>
    <col min="12" max="12" width="18.1640625" style="43" customWidth="1"/>
    <col min="13" max="14" width="15.1640625" style="43" customWidth="1"/>
    <col min="15" max="15" width="18.1640625" style="43" customWidth="1"/>
    <col min="16" max="17" width="15.1640625" style="43" customWidth="1"/>
    <col min="18" max="18" width="18.1640625" style="43" customWidth="1"/>
    <col min="19" max="20" width="15.1640625" style="43" customWidth="1"/>
    <col min="21" max="21" width="18.1640625" style="43" customWidth="1"/>
    <col min="22" max="23" width="15.1640625" style="43" customWidth="1"/>
    <col min="24" max="24" width="18.1640625" style="43" customWidth="1"/>
    <col min="25" max="26" width="15.1640625" style="43" customWidth="1"/>
    <col min="27" max="27" width="18.1640625" style="43" customWidth="1"/>
    <col min="28" max="29" width="15.1640625" style="43" customWidth="1"/>
    <col min="30" max="30" width="18.1640625" style="43" customWidth="1"/>
    <col min="31" max="32" width="15.1640625" style="43" customWidth="1"/>
    <col min="33" max="33" width="18.1640625" style="103" customWidth="1"/>
    <col min="34" max="35" width="15.1640625" style="103" customWidth="1"/>
    <col min="36" max="36" width="18.1640625" style="43" customWidth="1"/>
    <col min="37" max="38" width="15.1640625" style="43" customWidth="1"/>
    <col min="39" max="39" width="18.1640625" style="43" customWidth="1"/>
    <col min="40" max="41" width="15.1640625" style="43" customWidth="1"/>
    <col min="42" max="42" width="18.1640625" style="43" customWidth="1"/>
    <col min="43" max="44" width="15.1640625" style="43" customWidth="1"/>
    <col min="45" max="45" width="18.1640625" style="43" customWidth="1"/>
    <col min="46" max="47" width="15.1640625" style="43" customWidth="1"/>
    <col min="48" max="48" width="18.1640625" style="43" customWidth="1"/>
    <col min="49" max="50" width="15.1640625" style="43" customWidth="1"/>
    <col min="51" max="51" width="18.1640625" style="43" customWidth="1"/>
    <col min="52" max="53" width="15.1640625" style="43" customWidth="1"/>
    <col min="54" max="54" width="18.1640625" style="43" customWidth="1"/>
    <col min="55" max="56" width="15.1640625" style="43" customWidth="1"/>
    <col min="57" max="57" width="18.1640625" style="43" customWidth="1"/>
    <col min="58" max="59" width="15.1640625" style="43" customWidth="1"/>
    <col min="60" max="60" width="18.1640625" style="43" customWidth="1"/>
    <col min="61" max="62" width="15.1640625" style="43" customWidth="1"/>
    <col min="63" max="63" width="18.1640625" style="43" customWidth="1"/>
    <col min="64" max="65" width="15.1640625" style="43" customWidth="1"/>
    <col min="66" max="66" width="18.1640625" style="43" customWidth="1"/>
    <col min="67" max="68" width="15.1640625" style="43" customWidth="1"/>
    <col min="69" max="69" width="18.1640625" style="43" customWidth="1"/>
    <col min="70" max="71" width="15.1640625" style="43" customWidth="1"/>
    <col min="72" max="72" width="18.1640625" style="43" customWidth="1"/>
    <col min="73" max="74" width="15.1640625" style="43" customWidth="1"/>
    <col min="75" max="75" width="18.1640625" style="43" customWidth="1"/>
    <col min="76" max="77" width="15.1640625" style="43" customWidth="1"/>
    <col min="78" max="78" width="18.1640625" style="43" customWidth="1"/>
    <col min="79" max="80" width="15.1640625" style="43" customWidth="1"/>
    <col min="81" max="81" width="18.1640625" style="43" customWidth="1"/>
    <col min="82" max="83" width="15.1640625" style="43" customWidth="1"/>
    <col min="84" max="84" width="18.1640625" style="43" customWidth="1"/>
    <col min="85" max="86" width="15.1640625" style="43" customWidth="1"/>
    <col min="87" max="87" width="18.1640625" style="43" customWidth="1"/>
    <col min="88" max="89" width="15.1640625" style="43" customWidth="1"/>
    <col min="90" max="90" width="18.1640625" style="43" customWidth="1"/>
    <col min="91" max="92" width="15.1640625" style="43" customWidth="1"/>
    <col min="93" max="93" width="18.1640625" style="43" customWidth="1"/>
    <col min="94" max="95" width="15.1640625" style="43" customWidth="1"/>
    <col min="96" max="96" width="18.1640625" style="43" customWidth="1"/>
    <col min="97" max="98" width="15.1640625" style="43" customWidth="1"/>
    <col min="99" max="99" width="18.1640625" style="43" customWidth="1"/>
    <col min="100" max="101" width="15.1640625" style="43" customWidth="1"/>
    <col min="102" max="102" width="18.1640625" style="43" customWidth="1"/>
    <col min="103" max="104" width="15.1640625" style="43" customWidth="1"/>
    <col min="105" max="105" width="18.1640625" style="43" customWidth="1"/>
    <col min="106" max="107" width="15.1640625" style="43" customWidth="1"/>
    <col min="108" max="108" width="18.1640625" style="43" customWidth="1"/>
    <col min="109" max="110" width="15.1640625" style="43" customWidth="1"/>
    <col min="111" max="111" width="18.1640625" style="43" customWidth="1"/>
    <col min="112" max="113" width="15.1640625" style="43" customWidth="1"/>
    <col min="114" max="114" width="18.1640625" style="43" customWidth="1"/>
    <col min="115" max="116" width="15.1640625" style="43" customWidth="1"/>
    <col min="117" max="117" width="18.1640625" style="43" customWidth="1"/>
    <col min="118" max="119" width="15.1640625" style="43" customWidth="1"/>
    <col min="120" max="120" width="18.1640625" style="43" customWidth="1"/>
    <col min="121" max="122" width="15.1640625" style="43" customWidth="1"/>
    <col min="123" max="123" width="18.1640625" style="43" customWidth="1"/>
    <col min="124" max="125" width="15.1640625" style="43" customWidth="1"/>
    <col min="126" max="126" width="18.1640625" style="43" customWidth="1"/>
    <col min="127" max="128" width="15.1640625" style="43" customWidth="1"/>
    <col min="129" max="129" width="18.1640625" style="43" customWidth="1"/>
    <col min="130" max="131" width="15.1640625" style="43" customWidth="1"/>
    <col min="132" max="132" width="18.1640625" style="43" customWidth="1"/>
    <col min="133" max="134" width="15.1640625" style="43" customWidth="1"/>
    <col min="135" max="135" width="18.1640625" style="43" customWidth="1"/>
    <col min="136" max="137" width="15.1640625" style="43" customWidth="1"/>
    <col min="138" max="138" width="18.1640625" style="43" customWidth="1"/>
    <col min="139" max="140" width="15.1640625" style="43" customWidth="1"/>
    <col min="141" max="141" width="18.1640625" style="43" customWidth="1"/>
    <col min="142" max="143" width="15.1640625" style="43" customWidth="1"/>
    <col min="144" max="144" width="18.1640625" style="43" customWidth="1"/>
    <col min="145" max="146" width="15.1640625" style="43" customWidth="1"/>
    <col min="147" max="147" width="15.1640625" style="104" customWidth="1"/>
    <col min="148" max="150" width="15.1640625" style="42" customWidth="1"/>
    <col min="151" max="152" width="15.1640625" style="43" customWidth="1"/>
    <col min="153" max="153" width="15.1640625" style="104" customWidth="1"/>
    <col min="154" max="165" width="15.1640625" style="43" customWidth="1"/>
    <col min="166" max="173" width="15.1640625" style="80" customWidth="1"/>
    <col min="174" max="195" width="15.1640625" style="81" customWidth="1"/>
    <col min="196" max="202" width="15.1640625" style="82" customWidth="1"/>
    <col min="203" max="16384" width="15.1640625" style="28"/>
  </cols>
  <sheetData>
    <row r="1" spans="1:202" s="52" customFormat="1" x14ac:dyDescent="0.2">
      <c r="A1" s="45" t="s">
        <v>58</v>
      </c>
      <c r="B1" s="46">
        <f>+BaseloadMarkets!B1</f>
        <v>36708</v>
      </c>
      <c r="C1" s="4" t="s">
        <v>99</v>
      </c>
      <c r="D1" s="4"/>
      <c r="E1" s="47"/>
      <c r="F1" s="4" t="s">
        <v>100</v>
      </c>
      <c r="G1" s="4"/>
      <c r="H1" s="47"/>
      <c r="I1" s="4" t="s">
        <v>76</v>
      </c>
      <c r="J1" s="4"/>
      <c r="K1" s="47"/>
      <c r="L1" s="4" t="s">
        <v>4</v>
      </c>
      <c r="M1" s="4"/>
      <c r="N1" s="47"/>
      <c r="O1" s="4" t="s">
        <v>100</v>
      </c>
      <c r="P1" s="4"/>
      <c r="Q1" s="47"/>
      <c r="R1" s="4" t="s">
        <v>101</v>
      </c>
      <c r="S1" s="4"/>
      <c r="T1" s="47"/>
      <c r="U1" s="4" t="s">
        <v>4</v>
      </c>
      <c r="V1" s="4"/>
      <c r="W1" s="47"/>
      <c r="X1" s="4" t="s">
        <v>102</v>
      </c>
      <c r="Y1" s="4"/>
      <c r="Z1" s="47"/>
      <c r="AA1" s="4" t="s">
        <v>102</v>
      </c>
      <c r="AB1" s="4"/>
      <c r="AC1" s="47"/>
      <c r="AD1" s="4" t="s">
        <v>74</v>
      </c>
      <c r="AE1" s="4"/>
      <c r="AF1" s="47"/>
      <c r="AG1" s="114"/>
      <c r="AH1" s="114"/>
      <c r="AI1" s="49"/>
      <c r="AJ1" s="4" t="s">
        <v>4</v>
      </c>
      <c r="AK1" s="4"/>
      <c r="AL1" s="47"/>
      <c r="AM1" s="4"/>
      <c r="AN1" s="4"/>
      <c r="AO1" s="47"/>
      <c r="AP1" s="4"/>
      <c r="AQ1" s="4"/>
      <c r="AR1" s="47"/>
      <c r="AS1" s="4"/>
      <c r="AT1" s="4"/>
      <c r="AU1" s="47"/>
      <c r="AV1" s="4"/>
      <c r="AW1" s="4"/>
      <c r="AX1" s="47"/>
      <c r="AY1" s="4"/>
      <c r="AZ1" s="4"/>
      <c r="BA1" s="47"/>
      <c r="BB1" s="4"/>
      <c r="BC1" s="4"/>
      <c r="BD1" s="47"/>
      <c r="BE1" s="4"/>
      <c r="BF1" s="4"/>
      <c r="BG1" s="47"/>
      <c r="BH1" s="4"/>
      <c r="BI1" s="4"/>
      <c r="BJ1" s="47"/>
      <c r="BK1" s="4"/>
      <c r="BL1" s="4"/>
      <c r="BM1" s="47"/>
      <c r="BN1" s="4"/>
      <c r="BO1" s="4"/>
      <c r="BP1" s="47"/>
      <c r="BQ1" s="4"/>
      <c r="BR1" s="4"/>
      <c r="BS1" s="47"/>
      <c r="BT1" s="4"/>
      <c r="BU1" s="4"/>
      <c r="BV1" s="47"/>
      <c r="BW1" s="4"/>
      <c r="BX1" s="4"/>
      <c r="BY1" s="47"/>
      <c r="BZ1" s="4"/>
      <c r="CA1" s="4"/>
      <c r="CB1" s="47"/>
      <c r="CC1" s="4"/>
      <c r="CD1" s="4"/>
      <c r="CE1" s="47"/>
      <c r="CF1" s="4"/>
      <c r="CG1" s="4"/>
      <c r="CH1" s="47"/>
      <c r="CI1" s="4"/>
      <c r="CJ1" s="4"/>
      <c r="CK1" s="47"/>
      <c r="CL1" s="4"/>
      <c r="CM1" s="4"/>
      <c r="CN1" s="47"/>
      <c r="CO1" s="4"/>
      <c r="CP1" s="4"/>
      <c r="CQ1" s="47"/>
      <c r="CR1" s="4"/>
      <c r="CS1" s="4"/>
      <c r="CT1" s="47"/>
      <c r="CU1" s="4"/>
      <c r="CV1" s="4"/>
      <c r="CW1" s="47"/>
      <c r="CX1" s="4"/>
      <c r="CY1" s="4"/>
      <c r="CZ1" s="47"/>
      <c r="DA1" s="4"/>
      <c r="DB1" s="4"/>
      <c r="DC1" s="47"/>
      <c r="DD1" s="4"/>
      <c r="DE1" s="4"/>
      <c r="DF1" s="47"/>
      <c r="DG1" s="4"/>
      <c r="DH1" s="4"/>
      <c r="DI1" s="47"/>
      <c r="DJ1" s="4"/>
      <c r="DK1" s="4"/>
      <c r="DL1" s="47"/>
      <c r="DM1" s="4"/>
      <c r="DN1" s="4"/>
      <c r="DO1" s="47"/>
      <c r="DP1" s="4"/>
      <c r="DQ1" s="4"/>
      <c r="DR1" s="47"/>
      <c r="DS1" s="4"/>
      <c r="DT1" s="4"/>
      <c r="DU1" s="47"/>
      <c r="DV1" s="4"/>
      <c r="DW1" s="4"/>
      <c r="DX1" s="47"/>
      <c r="DY1" s="4"/>
      <c r="DZ1" s="4"/>
      <c r="EA1" s="47"/>
      <c r="EB1" s="4"/>
      <c r="EC1" s="4"/>
      <c r="ED1" s="47"/>
      <c r="EE1" s="4"/>
      <c r="EF1" s="4"/>
      <c r="EG1" s="47"/>
      <c r="EH1" s="4"/>
      <c r="EI1" s="4"/>
      <c r="EJ1" s="47"/>
      <c r="EK1" s="4"/>
      <c r="EL1" s="4"/>
      <c r="EM1" s="47"/>
      <c r="EN1" s="4"/>
      <c r="EO1" s="4"/>
      <c r="EP1" s="47"/>
      <c r="EQ1" s="50"/>
      <c r="ER1" s="50"/>
      <c r="ES1" s="50"/>
      <c r="ET1" s="50"/>
      <c r="EU1" s="47"/>
      <c r="EV1" s="47"/>
      <c r="EW1" s="51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</row>
    <row r="2" spans="1:202" s="16" customFormat="1" ht="12.75" customHeight="1" x14ac:dyDescent="0.2">
      <c r="A2" s="6" t="s">
        <v>35</v>
      </c>
      <c r="B2" s="6"/>
      <c r="C2" s="9">
        <v>300834</v>
      </c>
      <c r="D2" s="9"/>
      <c r="E2" s="9"/>
      <c r="F2" s="9">
        <v>305609</v>
      </c>
      <c r="G2" s="9"/>
      <c r="H2" s="9"/>
      <c r="I2" s="9">
        <v>308669</v>
      </c>
      <c r="J2" s="9"/>
      <c r="K2" s="9"/>
      <c r="L2" s="9">
        <v>305826</v>
      </c>
      <c r="M2" s="9"/>
      <c r="N2" s="9"/>
      <c r="O2" s="9">
        <v>313129</v>
      </c>
      <c r="P2" s="9"/>
      <c r="Q2" s="9"/>
      <c r="R2" s="9">
        <v>310915</v>
      </c>
      <c r="S2" s="9"/>
      <c r="T2" s="9"/>
      <c r="U2" s="9">
        <v>312157</v>
      </c>
      <c r="V2" s="9"/>
      <c r="W2" s="9"/>
      <c r="X2" s="9">
        <v>312219</v>
      </c>
      <c r="Y2" s="9"/>
      <c r="Z2" s="9"/>
      <c r="AA2" s="9">
        <v>312907</v>
      </c>
      <c r="AB2" s="9"/>
      <c r="AC2" s="9"/>
      <c r="AD2" s="9">
        <v>313473</v>
      </c>
      <c r="AE2" s="9"/>
      <c r="AF2" s="9"/>
      <c r="AG2" s="54" t="s">
        <v>61</v>
      </c>
      <c r="AH2" s="54"/>
      <c r="AI2" s="54"/>
      <c r="AJ2" s="9">
        <v>311809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55"/>
      <c r="ET2" s="56"/>
      <c r="EU2" s="9"/>
      <c r="EV2" s="9"/>
      <c r="EW2" s="108"/>
      <c r="EX2" s="9" t="s">
        <v>40</v>
      </c>
      <c r="EY2" s="9" t="s">
        <v>40</v>
      </c>
      <c r="EZ2" s="9"/>
      <c r="FA2" s="9" t="s">
        <v>40</v>
      </c>
      <c r="FB2" s="9" t="s">
        <v>40</v>
      </c>
      <c r="FC2" s="9"/>
      <c r="FD2" s="9"/>
      <c r="FE2" s="9"/>
      <c r="FF2" s="9"/>
      <c r="FG2" s="9"/>
      <c r="FH2" s="9"/>
      <c r="FI2" s="9"/>
      <c r="FJ2" s="57"/>
      <c r="FK2" s="57"/>
      <c r="FL2" s="57"/>
      <c r="FM2" s="57"/>
      <c r="FN2" s="57"/>
      <c r="FO2" s="57"/>
      <c r="FP2" s="57"/>
      <c r="FQ2" s="57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9"/>
      <c r="GO2" s="59"/>
      <c r="GP2" s="59"/>
      <c r="GQ2" s="59"/>
      <c r="GR2" s="59"/>
      <c r="GS2" s="59"/>
      <c r="GT2" s="59"/>
    </row>
    <row r="3" spans="1:202" s="116" customFormat="1" ht="12.75" customHeight="1" x14ac:dyDescent="0.2">
      <c r="A3" s="11"/>
      <c r="B3" s="11"/>
      <c r="C3" s="15" t="s">
        <v>64</v>
      </c>
      <c r="D3" s="15"/>
      <c r="E3" s="15"/>
      <c r="F3" s="15" t="s">
        <v>64</v>
      </c>
      <c r="G3" s="15"/>
      <c r="H3" s="15"/>
      <c r="I3" s="15" t="s">
        <v>64</v>
      </c>
      <c r="J3" s="15"/>
      <c r="K3" s="15"/>
      <c r="L3" s="15" t="s">
        <v>64</v>
      </c>
      <c r="M3" s="15"/>
      <c r="N3" s="15"/>
      <c r="O3" s="15" t="s">
        <v>64</v>
      </c>
      <c r="P3" s="15"/>
      <c r="Q3" s="15"/>
      <c r="R3" s="15" t="s">
        <v>64</v>
      </c>
      <c r="S3" s="15"/>
      <c r="T3" s="15"/>
      <c r="U3" s="15" t="s">
        <v>64</v>
      </c>
      <c r="V3" s="15"/>
      <c r="W3" s="15"/>
      <c r="X3" s="15" t="s">
        <v>64</v>
      </c>
      <c r="Y3" s="15"/>
      <c r="Z3" s="15"/>
      <c r="AA3" s="15" t="s">
        <v>64</v>
      </c>
      <c r="AB3" s="15"/>
      <c r="AC3" s="15"/>
      <c r="AD3" s="15" t="s">
        <v>64</v>
      </c>
      <c r="AE3" s="15"/>
      <c r="AF3" s="15"/>
      <c r="AG3" s="61" t="s">
        <v>33</v>
      </c>
      <c r="AH3" s="61"/>
      <c r="AI3" s="61"/>
      <c r="AJ3" s="15" t="s">
        <v>64</v>
      </c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15"/>
      <c r="ET3" s="62"/>
      <c r="EU3" s="15"/>
      <c r="EV3" s="9" t="s">
        <v>40</v>
      </c>
      <c r="EW3" s="9" t="s">
        <v>40</v>
      </c>
      <c r="EX3" s="15" t="s">
        <v>64</v>
      </c>
      <c r="EY3" s="15" t="s">
        <v>64</v>
      </c>
      <c r="EZ3" s="15"/>
      <c r="FA3" s="15" t="s">
        <v>33</v>
      </c>
      <c r="FB3" s="15" t="s">
        <v>33</v>
      </c>
      <c r="FC3" s="15"/>
      <c r="FD3" s="15"/>
      <c r="FE3" s="15"/>
      <c r="FF3" s="15"/>
      <c r="FG3" s="15"/>
      <c r="FH3" s="15"/>
      <c r="FI3" s="15"/>
      <c r="FJ3" s="117"/>
      <c r="FK3" s="117"/>
      <c r="FL3" s="117"/>
      <c r="FM3" s="117"/>
      <c r="FN3" s="117"/>
      <c r="FO3" s="117"/>
      <c r="FP3" s="117"/>
      <c r="FQ3" s="117"/>
      <c r="FR3" s="118"/>
      <c r="FS3" s="118"/>
      <c r="FT3" s="118"/>
      <c r="FU3" s="118"/>
      <c r="FV3" s="118"/>
      <c r="FW3" s="118"/>
      <c r="FX3" s="118"/>
      <c r="FY3" s="118"/>
      <c r="FZ3" s="118"/>
      <c r="GA3" s="118"/>
      <c r="GB3" s="118"/>
      <c r="GC3" s="118"/>
      <c r="GD3" s="118"/>
      <c r="GE3" s="118"/>
      <c r="GF3" s="118"/>
      <c r="GG3" s="118"/>
      <c r="GH3" s="118"/>
      <c r="GI3" s="118"/>
      <c r="GJ3" s="118"/>
      <c r="GK3" s="118"/>
      <c r="GL3" s="118"/>
      <c r="GM3" s="118"/>
      <c r="GN3" s="119"/>
      <c r="GO3" s="119"/>
      <c r="GP3" s="119"/>
      <c r="GQ3" s="119"/>
      <c r="GR3" s="119"/>
      <c r="GS3" s="119"/>
      <c r="GT3" s="119"/>
    </row>
    <row r="4" spans="1:202" s="16" customFormat="1" ht="12.75" customHeight="1" x14ac:dyDescent="0.2">
      <c r="A4" s="6" t="s">
        <v>65</v>
      </c>
      <c r="B4" s="6" t="s">
        <v>66</v>
      </c>
      <c r="C4" s="9" t="s">
        <v>13</v>
      </c>
      <c r="D4" s="9"/>
      <c r="E4" s="9" t="s">
        <v>62</v>
      </c>
      <c r="F4" s="9" t="s">
        <v>13</v>
      </c>
      <c r="G4" s="9"/>
      <c r="H4" s="9" t="s">
        <v>62</v>
      </c>
      <c r="I4" s="9" t="s">
        <v>78</v>
      </c>
      <c r="J4" s="9"/>
      <c r="K4" s="9" t="s">
        <v>62</v>
      </c>
      <c r="L4" s="9" t="s">
        <v>26</v>
      </c>
      <c r="M4" s="9"/>
      <c r="N4" s="9" t="s">
        <v>62</v>
      </c>
      <c r="O4" s="9" t="s">
        <v>12</v>
      </c>
      <c r="P4" s="9"/>
      <c r="Q4" s="9" t="s">
        <v>62</v>
      </c>
      <c r="R4" s="9" t="s">
        <v>78</v>
      </c>
      <c r="S4" s="9"/>
      <c r="T4" s="9" t="s">
        <v>62</v>
      </c>
      <c r="U4" s="9" t="s">
        <v>78</v>
      </c>
      <c r="V4" s="9"/>
      <c r="W4" s="9" t="s">
        <v>62</v>
      </c>
      <c r="X4" s="9" t="s">
        <v>78</v>
      </c>
      <c r="Y4" s="9"/>
      <c r="Z4" s="9" t="s">
        <v>62</v>
      </c>
      <c r="AA4" s="9" t="s">
        <v>78</v>
      </c>
      <c r="AB4" s="9"/>
      <c r="AC4" s="9" t="s">
        <v>62</v>
      </c>
      <c r="AD4" s="9" t="s">
        <v>79</v>
      </c>
      <c r="AE4" s="9"/>
      <c r="AF4" s="9" t="s">
        <v>62</v>
      </c>
      <c r="AG4" s="54"/>
      <c r="AH4" s="54"/>
      <c r="AI4" s="54" t="s">
        <v>62</v>
      </c>
      <c r="AJ4" s="9" t="s">
        <v>103</v>
      </c>
      <c r="AK4" s="9"/>
      <c r="AL4" s="9" t="s">
        <v>62</v>
      </c>
      <c r="AM4" s="9"/>
      <c r="AN4" s="9"/>
      <c r="AO4" s="9" t="s">
        <v>62</v>
      </c>
      <c r="AP4" s="9"/>
      <c r="AQ4" s="9"/>
      <c r="AR4" s="9" t="s">
        <v>62</v>
      </c>
      <c r="AS4" s="9"/>
      <c r="AT4" s="9"/>
      <c r="AU4" s="9" t="s">
        <v>62</v>
      </c>
      <c r="AV4" s="9"/>
      <c r="AW4" s="9"/>
      <c r="AX4" s="9" t="s">
        <v>62</v>
      </c>
      <c r="AY4" s="9"/>
      <c r="AZ4" s="9"/>
      <c r="BA4" s="9" t="s">
        <v>62</v>
      </c>
      <c r="BB4" s="9"/>
      <c r="BC4" s="9"/>
      <c r="BD4" s="9" t="s">
        <v>62</v>
      </c>
      <c r="BE4" s="9"/>
      <c r="BF4" s="9"/>
      <c r="BG4" s="9" t="s">
        <v>62</v>
      </c>
      <c r="BH4" s="9"/>
      <c r="BI4" s="9"/>
      <c r="BJ4" s="9" t="s">
        <v>62</v>
      </c>
      <c r="BK4" s="9"/>
      <c r="BL4" s="9"/>
      <c r="BM4" s="9" t="s">
        <v>62</v>
      </c>
      <c r="BN4" s="9"/>
      <c r="BO4" s="9"/>
      <c r="BP4" s="9" t="s">
        <v>62</v>
      </c>
      <c r="BQ4" s="9"/>
      <c r="BR4" s="9"/>
      <c r="BS4" s="9" t="s">
        <v>62</v>
      </c>
      <c r="BT4" s="9"/>
      <c r="BU4" s="9"/>
      <c r="BV4" s="9" t="s">
        <v>62</v>
      </c>
      <c r="BW4" s="9"/>
      <c r="BX4" s="9"/>
      <c r="BY4" s="9" t="s">
        <v>62</v>
      </c>
      <c r="BZ4" s="9"/>
      <c r="CA4" s="9"/>
      <c r="CB4" s="9" t="s">
        <v>62</v>
      </c>
      <c r="CC4" s="9"/>
      <c r="CD4" s="9"/>
      <c r="CE4" s="9" t="s">
        <v>62</v>
      </c>
      <c r="CF4" s="9"/>
      <c r="CG4" s="9"/>
      <c r="CH4" s="9" t="s">
        <v>62</v>
      </c>
      <c r="CI4" s="9"/>
      <c r="CJ4" s="9"/>
      <c r="CK4" s="9" t="s">
        <v>62</v>
      </c>
      <c r="CL4" s="9"/>
      <c r="CM4" s="9"/>
      <c r="CN4" s="9" t="s">
        <v>62</v>
      </c>
      <c r="CO4" s="9"/>
      <c r="CP4" s="9"/>
      <c r="CQ4" s="9" t="s">
        <v>62</v>
      </c>
      <c r="CR4" s="9"/>
      <c r="CS4" s="9"/>
      <c r="CT4" s="9" t="s">
        <v>62</v>
      </c>
      <c r="CU4" s="9"/>
      <c r="CV4" s="9"/>
      <c r="CW4" s="9" t="s">
        <v>62</v>
      </c>
      <c r="CX4" s="9"/>
      <c r="CY4" s="9"/>
      <c r="CZ4" s="9" t="s">
        <v>62</v>
      </c>
      <c r="DA4" s="9"/>
      <c r="DB4" s="9"/>
      <c r="DC4" s="9" t="s">
        <v>62</v>
      </c>
      <c r="DD4" s="9"/>
      <c r="DE4" s="9"/>
      <c r="DF4" s="9" t="s">
        <v>62</v>
      </c>
      <c r="DG4" s="9"/>
      <c r="DH4" s="9"/>
      <c r="DI4" s="9" t="s">
        <v>62</v>
      </c>
      <c r="DJ4" s="9"/>
      <c r="DK4" s="9"/>
      <c r="DL4" s="9" t="s">
        <v>62</v>
      </c>
      <c r="DM4" s="9"/>
      <c r="DN4" s="9"/>
      <c r="DO4" s="9" t="s">
        <v>62</v>
      </c>
      <c r="DP4" s="9"/>
      <c r="DQ4" s="9"/>
      <c r="DR4" s="9" t="s">
        <v>62</v>
      </c>
      <c r="DS4" s="9"/>
      <c r="DT4" s="9"/>
      <c r="DU4" s="9" t="s">
        <v>62</v>
      </c>
      <c r="DV4" s="9"/>
      <c r="DW4" s="9"/>
      <c r="DX4" s="9" t="s">
        <v>62</v>
      </c>
      <c r="DY4" s="9"/>
      <c r="DZ4" s="9"/>
      <c r="EA4" s="9" t="s">
        <v>62</v>
      </c>
      <c r="EB4" s="9"/>
      <c r="EC4" s="9"/>
      <c r="ED4" s="9" t="s">
        <v>62</v>
      </c>
      <c r="EE4" s="9"/>
      <c r="EF4" s="9"/>
      <c r="EG4" s="9" t="s">
        <v>62</v>
      </c>
      <c r="EH4" s="9"/>
      <c r="EI4" s="9"/>
      <c r="EJ4" s="9" t="s">
        <v>62</v>
      </c>
      <c r="EK4" s="9"/>
      <c r="EL4" s="9"/>
      <c r="EM4" s="9" t="s">
        <v>62</v>
      </c>
      <c r="EN4" s="9"/>
      <c r="EO4" s="9"/>
      <c r="EP4" s="9" t="s">
        <v>62</v>
      </c>
      <c r="EQ4" s="6" t="s">
        <v>40</v>
      </c>
      <c r="ER4" s="7" t="s">
        <v>40</v>
      </c>
      <c r="ET4" s="56" t="s">
        <v>67</v>
      </c>
      <c r="EU4" s="9"/>
      <c r="EV4" s="9" t="s">
        <v>64</v>
      </c>
      <c r="EW4" s="9" t="s">
        <v>64</v>
      </c>
      <c r="EX4" s="9" t="s">
        <v>62</v>
      </c>
      <c r="EY4" s="9" t="s">
        <v>63</v>
      </c>
      <c r="EZ4" s="9"/>
      <c r="FA4" s="9" t="s">
        <v>62</v>
      </c>
      <c r="FB4" s="9" t="s">
        <v>63</v>
      </c>
      <c r="FC4" s="9"/>
      <c r="FD4" s="9"/>
      <c r="FE4" s="9"/>
      <c r="FF4" s="9"/>
      <c r="FG4" s="9"/>
      <c r="FH4" s="9"/>
      <c r="FI4" s="9"/>
      <c r="FJ4" s="57"/>
      <c r="FK4" s="57"/>
      <c r="FL4" s="57"/>
      <c r="FM4" s="57"/>
      <c r="FN4" s="57"/>
      <c r="FO4" s="57"/>
      <c r="FP4" s="57"/>
      <c r="FQ4" s="57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9"/>
      <c r="GO4" s="59"/>
      <c r="GP4" s="59"/>
      <c r="GQ4" s="59"/>
      <c r="GR4" s="59"/>
      <c r="GS4" s="59"/>
      <c r="GT4" s="59"/>
    </row>
    <row r="5" spans="1:202" s="71" customFormat="1" ht="12.75" customHeight="1" x14ac:dyDescent="0.2">
      <c r="A5" s="6" t="s">
        <v>41</v>
      </c>
      <c r="B5" s="6" t="s">
        <v>68</v>
      </c>
      <c r="C5" s="20" t="s">
        <v>44</v>
      </c>
      <c r="D5" s="20"/>
      <c r="E5" s="20" t="s">
        <v>69</v>
      </c>
      <c r="F5" s="20" t="s">
        <v>44</v>
      </c>
      <c r="G5" s="20"/>
      <c r="H5" s="20" t="s">
        <v>69</v>
      </c>
      <c r="I5" s="20" t="s">
        <v>44</v>
      </c>
      <c r="J5" s="20"/>
      <c r="K5" s="20" t="s">
        <v>69</v>
      </c>
      <c r="L5" s="20" t="s">
        <v>44</v>
      </c>
      <c r="M5" s="20"/>
      <c r="N5" s="20" t="s">
        <v>69</v>
      </c>
      <c r="O5" s="20" t="s">
        <v>44</v>
      </c>
      <c r="P5" s="20"/>
      <c r="Q5" s="20" t="s">
        <v>69</v>
      </c>
      <c r="R5" s="20" t="s">
        <v>44</v>
      </c>
      <c r="S5" s="20"/>
      <c r="T5" s="20" t="s">
        <v>69</v>
      </c>
      <c r="U5" s="20" t="s">
        <v>44</v>
      </c>
      <c r="V5" s="20"/>
      <c r="W5" s="20" t="s">
        <v>69</v>
      </c>
      <c r="X5" s="20" t="s">
        <v>44</v>
      </c>
      <c r="Y5" s="20"/>
      <c r="Z5" s="20" t="s">
        <v>69</v>
      </c>
      <c r="AA5" s="20" t="s">
        <v>44</v>
      </c>
      <c r="AB5" s="20"/>
      <c r="AC5" s="20" t="s">
        <v>69</v>
      </c>
      <c r="AD5" s="20" t="s">
        <v>44</v>
      </c>
      <c r="AE5" s="20"/>
      <c r="AF5" s="20" t="s">
        <v>69</v>
      </c>
      <c r="AG5" s="67"/>
      <c r="AH5" s="67"/>
      <c r="AI5" s="67" t="s">
        <v>69</v>
      </c>
      <c r="AJ5" s="20" t="s">
        <v>44</v>
      </c>
      <c r="AK5" s="20"/>
      <c r="AL5" s="20" t="s">
        <v>69</v>
      </c>
      <c r="AM5" s="20"/>
      <c r="AN5" s="20"/>
      <c r="AO5" s="20" t="s">
        <v>69</v>
      </c>
      <c r="AP5" s="20"/>
      <c r="AQ5" s="20"/>
      <c r="AR5" s="20" t="s">
        <v>69</v>
      </c>
      <c r="AS5" s="20"/>
      <c r="AT5" s="20"/>
      <c r="AU5" s="20" t="s">
        <v>69</v>
      </c>
      <c r="AV5" s="20"/>
      <c r="AW5" s="20"/>
      <c r="AX5" s="20" t="s">
        <v>69</v>
      </c>
      <c r="AY5" s="20"/>
      <c r="AZ5" s="20"/>
      <c r="BA5" s="20" t="s">
        <v>69</v>
      </c>
      <c r="BB5" s="20"/>
      <c r="BC5" s="20"/>
      <c r="BD5" s="20" t="s">
        <v>69</v>
      </c>
      <c r="BE5" s="20"/>
      <c r="BF5" s="20"/>
      <c r="BG5" s="20" t="s">
        <v>69</v>
      </c>
      <c r="BH5" s="20"/>
      <c r="BI5" s="20"/>
      <c r="BJ5" s="20" t="s">
        <v>69</v>
      </c>
      <c r="BK5" s="20"/>
      <c r="BL5" s="20"/>
      <c r="BM5" s="20" t="s">
        <v>69</v>
      </c>
      <c r="BN5" s="20"/>
      <c r="BO5" s="20"/>
      <c r="BP5" s="20" t="s">
        <v>69</v>
      </c>
      <c r="BQ5" s="20"/>
      <c r="BR5" s="20"/>
      <c r="BS5" s="20" t="s">
        <v>69</v>
      </c>
      <c r="BT5" s="20"/>
      <c r="BU5" s="20"/>
      <c r="BV5" s="20" t="s">
        <v>69</v>
      </c>
      <c r="BW5" s="20"/>
      <c r="BX5" s="20"/>
      <c r="BY5" s="20" t="s">
        <v>69</v>
      </c>
      <c r="BZ5" s="20"/>
      <c r="CA5" s="20"/>
      <c r="CB5" s="20" t="s">
        <v>69</v>
      </c>
      <c r="CC5" s="20"/>
      <c r="CD5" s="20"/>
      <c r="CE5" s="20" t="s">
        <v>69</v>
      </c>
      <c r="CF5" s="20"/>
      <c r="CG5" s="20"/>
      <c r="CH5" s="20" t="s">
        <v>69</v>
      </c>
      <c r="CI5" s="20"/>
      <c r="CJ5" s="20"/>
      <c r="CK5" s="20" t="s">
        <v>69</v>
      </c>
      <c r="CL5" s="20"/>
      <c r="CM5" s="20"/>
      <c r="CN5" s="20" t="s">
        <v>69</v>
      </c>
      <c r="CO5" s="20"/>
      <c r="CP5" s="20"/>
      <c r="CQ5" s="20" t="s">
        <v>69</v>
      </c>
      <c r="CR5" s="20"/>
      <c r="CS5" s="20"/>
      <c r="CT5" s="20" t="s">
        <v>69</v>
      </c>
      <c r="CU5" s="20"/>
      <c r="CV5" s="20"/>
      <c r="CW5" s="20" t="s">
        <v>69</v>
      </c>
      <c r="CX5" s="20"/>
      <c r="CY5" s="20"/>
      <c r="CZ5" s="20" t="s">
        <v>69</v>
      </c>
      <c r="DA5" s="20"/>
      <c r="DB5" s="20"/>
      <c r="DC5" s="20" t="s">
        <v>69</v>
      </c>
      <c r="DD5" s="20"/>
      <c r="DE5" s="20"/>
      <c r="DF5" s="20" t="s">
        <v>69</v>
      </c>
      <c r="DG5" s="20"/>
      <c r="DH5" s="20"/>
      <c r="DI5" s="20" t="s">
        <v>69</v>
      </c>
      <c r="DJ5" s="20"/>
      <c r="DK5" s="20"/>
      <c r="DL5" s="20" t="s">
        <v>69</v>
      </c>
      <c r="DM5" s="20"/>
      <c r="DN5" s="20"/>
      <c r="DO5" s="20" t="s">
        <v>69</v>
      </c>
      <c r="DP5" s="20"/>
      <c r="DQ5" s="20"/>
      <c r="DR5" s="20" t="s">
        <v>69</v>
      </c>
      <c r="DS5" s="20"/>
      <c r="DT5" s="20"/>
      <c r="DU5" s="20" t="s">
        <v>69</v>
      </c>
      <c r="DV5" s="20"/>
      <c r="DW5" s="20"/>
      <c r="DX5" s="20" t="s">
        <v>69</v>
      </c>
      <c r="DY5" s="20"/>
      <c r="DZ5" s="20"/>
      <c r="EA5" s="20" t="s">
        <v>69</v>
      </c>
      <c r="EB5" s="20"/>
      <c r="EC5" s="20"/>
      <c r="ED5" s="20" t="s">
        <v>69</v>
      </c>
      <c r="EE5" s="20"/>
      <c r="EF5" s="20"/>
      <c r="EG5" s="20" t="s">
        <v>69</v>
      </c>
      <c r="EH5" s="20"/>
      <c r="EI5" s="20"/>
      <c r="EJ5" s="20" t="s">
        <v>69</v>
      </c>
      <c r="EK5" s="20"/>
      <c r="EL5" s="20"/>
      <c r="EM5" s="20" t="s">
        <v>69</v>
      </c>
      <c r="EN5" s="20"/>
      <c r="EO5" s="20"/>
      <c r="EP5" s="20" t="s">
        <v>69</v>
      </c>
      <c r="EQ5" s="56" t="s">
        <v>58</v>
      </c>
      <c r="ER5" s="56" t="s">
        <v>70</v>
      </c>
      <c r="ES5" s="56" t="s">
        <v>69</v>
      </c>
      <c r="ET5" s="20" t="s">
        <v>69</v>
      </c>
      <c r="EU5" s="20"/>
      <c r="EV5" s="20" t="s">
        <v>71</v>
      </c>
      <c r="EW5" s="20" t="s">
        <v>72</v>
      </c>
      <c r="EX5" s="20" t="s">
        <v>73</v>
      </c>
      <c r="EY5" s="20" t="s">
        <v>73</v>
      </c>
      <c r="EZ5" s="20"/>
      <c r="FA5" s="20" t="s">
        <v>73</v>
      </c>
      <c r="FB5" s="20" t="s">
        <v>73</v>
      </c>
      <c r="FC5" s="20"/>
      <c r="FD5" s="20"/>
      <c r="FE5" s="20"/>
      <c r="FF5" s="20"/>
      <c r="FG5" s="20"/>
      <c r="FH5" s="20"/>
      <c r="FI5" s="20"/>
      <c r="FJ5" s="68"/>
      <c r="FK5" s="68"/>
      <c r="FL5" s="68"/>
      <c r="FM5" s="68"/>
      <c r="FN5" s="68"/>
      <c r="FO5" s="68"/>
      <c r="FP5" s="68"/>
      <c r="FQ5" s="68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70"/>
      <c r="GO5" s="70"/>
      <c r="GP5" s="70"/>
      <c r="GQ5" s="70"/>
      <c r="GR5" s="70"/>
      <c r="GS5" s="70"/>
      <c r="GT5" s="70"/>
    </row>
    <row r="6" spans="1:202" s="78" customFormat="1" x14ac:dyDescent="0.2">
      <c r="A6" s="72">
        <f>+BaseloadMarkets!A6</f>
        <v>36708</v>
      </c>
      <c r="B6" s="72" t="str">
        <f>+BaseloadMarkets!B6</f>
        <v>Sat</v>
      </c>
      <c r="C6" s="23">
        <v>10000</v>
      </c>
      <c r="D6" s="23">
        <v>8056</v>
      </c>
      <c r="E6" s="73">
        <f t="shared" ref="E6:E36" si="0">D6-C6</f>
        <v>-1944</v>
      </c>
      <c r="F6" s="23">
        <v>10000</v>
      </c>
      <c r="G6" s="23">
        <v>4881</v>
      </c>
      <c r="H6" s="73">
        <f t="shared" ref="H6:H36" si="1">G6-F6</f>
        <v>-5119</v>
      </c>
      <c r="I6" s="23">
        <v>10000</v>
      </c>
      <c r="J6" s="23">
        <v>10000</v>
      </c>
      <c r="K6" s="73">
        <f t="shared" ref="K6:K36" si="2">J6-I6</f>
        <v>0</v>
      </c>
      <c r="L6" s="23">
        <v>5000</v>
      </c>
      <c r="M6" s="23">
        <v>5000</v>
      </c>
      <c r="N6" s="73">
        <f t="shared" ref="N6:N36" si="3">M6-L6</f>
        <v>0</v>
      </c>
      <c r="O6" s="23">
        <v>10000</v>
      </c>
      <c r="P6" s="23">
        <v>10000</v>
      </c>
      <c r="Q6" s="73">
        <f t="shared" ref="Q6:Q36" si="4">P6-O6</f>
        <v>0</v>
      </c>
      <c r="R6" s="23">
        <f t="shared" ref="R6:S36" si="5">5000+5000</f>
        <v>10000</v>
      </c>
      <c r="S6" s="23">
        <f t="shared" si="5"/>
        <v>10000</v>
      </c>
      <c r="T6" s="73">
        <f t="shared" ref="T6:T36" si="6">S6-R6</f>
        <v>0</v>
      </c>
      <c r="U6" s="23">
        <f t="shared" ref="U6:V36" si="7">5000+5000</f>
        <v>10000</v>
      </c>
      <c r="V6" s="23">
        <f t="shared" si="7"/>
        <v>10000</v>
      </c>
      <c r="W6" s="73">
        <f t="shared" ref="W6:W36" si="8">V6-U6</f>
        <v>0</v>
      </c>
      <c r="X6" s="23">
        <f t="shared" ref="X6:Y36" si="9">5000+5000</f>
        <v>10000</v>
      </c>
      <c r="Y6" s="23">
        <f t="shared" si="9"/>
        <v>10000</v>
      </c>
      <c r="Z6" s="73">
        <f t="shared" ref="Z6:Z36" si="10">Y6-X6</f>
        <v>0</v>
      </c>
      <c r="AA6" s="23">
        <f t="shared" ref="AA6:AB36" si="11">5000+5000</f>
        <v>10000</v>
      </c>
      <c r="AB6" s="23">
        <f t="shared" si="11"/>
        <v>10000</v>
      </c>
      <c r="AC6" s="73">
        <f t="shared" ref="AC6:AC36" si="12">AB6-AA6</f>
        <v>0</v>
      </c>
      <c r="AD6" s="23">
        <f t="shared" ref="AD6:AE36" si="13">5000+5000</f>
        <v>10000</v>
      </c>
      <c r="AE6" s="23">
        <f t="shared" si="13"/>
        <v>10000</v>
      </c>
      <c r="AF6" s="73">
        <f t="shared" ref="AF6:AF36" si="14">AE6-AD6</f>
        <v>0</v>
      </c>
      <c r="AG6" s="75">
        <v>130000</v>
      </c>
      <c r="AH6" s="75">
        <v>117808</v>
      </c>
      <c r="AI6" s="120">
        <f t="shared" ref="AI6:AI36" si="15">AH6-AG6</f>
        <v>-12192</v>
      </c>
      <c r="AJ6" s="23">
        <f t="shared" ref="AJ6:AJ36" si="16">5000+5000</f>
        <v>10000</v>
      </c>
      <c r="AK6" s="23">
        <v>5777</v>
      </c>
      <c r="AL6" s="73">
        <f t="shared" ref="AL6:AL36" si="17">AK6-AJ6</f>
        <v>-4223</v>
      </c>
      <c r="AM6" s="23"/>
      <c r="AN6" s="23"/>
      <c r="AO6" s="73">
        <f t="shared" ref="AO6:AO36" si="18">AN6-AM6</f>
        <v>0</v>
      </c>
      <c r="AP6" s="23"/>
      <c r="AQ6" s="23"/>
      <c r="AR6" s="73">
        <f t="shared" ref="AR6:AR36" si="19">AQ6-AP6</f>
        <v>0</v>
      </c>
      <c r="AS6" s="23"/>
      <c r="AT6" s="23"/>
      <c r="AU6" s="73">
        <f t="shared" ref="AU6:AU36" si="20">AT6-AS6</f>
        <v>0</v>
      </c>
      <c r="AV6" s="23"/>
      <c r="AW6" s="23"/>
      <c r="AX6" s="73">
        <f t="shared" ref="AX6:AX36" si="21">AW6-AV6</f>
        <v>0</v>
      </c>
      <c r="AY6" s="23"/>
      <c r="AZ6" s="23"/>
      <c r="BA6" s="73">
        <f t="shared" ref="BA6:BA36" si="22">AZ6-AY6</f>
        <v>0</v>
      </c>
      <c r="BB6" s="23"/>
      <c r="BC6" s="23"/>
      <c r="BD6" s="73">
        <f t="shared" ref="BD6:BD36" si="23">BC6-BB6</f>
        <v>0</v>
      </c>
      <c r="BE6" s="23"/>
      <c r="BF6" s="23"/>
      <c r="BG6" s="73">
        <f t="shared" ref="BG6:BG36" si="24">BF6-BE6</f>
        <v>0</v>
      </c>
      <c r="BH6" s="23"/>
      <c r="BI6" s="23"/>
      <c r="BJ6" s="73">
        <f t="shared" ref="BJ6:BJ36" si="25">BI6-BH6</f>
        <v>0</v>
      </c>
      <c r="BK6" s="23"/>
      <c r="BL6" s="23"/>
      <c r="BM6" s="73">
        <f t="shared" ref="BM6:BM36" si="26">BL6-BK6</f>
        <v>0</v>
      </c>
      <c r="BN6" s="23"/>
      <c r="BO6" s="23"/>
      <c r="BP6" s="73">
        <f t="shared" ref="BP6:BP36" si="27">BO6-BN6</f>
        <v>0</v>
      </c>
      <c r="BQ6" s="23"/>
      <c r="BR6" s="23"/>
      <c r="BS6" s="73">
        <f t="shared" ref="BS6:BS36" si="28">BR6-BQ6</f>
        <v>0</v>
      </c>
      <c r="BT6" s="23"/>
      <c r="BU6" s="23"/>
      <c r="BV6" s="73">
        <f t="shared" ref="BV6:BV36" si="29">BU6-BT6</f>
        <v>0</v>
      </c>
      <c r="BW6" s="23"/>
      <c r="BX6" s="23"/>
      <c r="BY6" s="73">
        <f t="shared" ref="BY6:BY36" si="30">BX6-BW6</f>
        <v>0</v>
      </c>
      <c r="BZ6" s="23"/>
      <c r="CA6" s="23"/>
      <c r="CB6" s="73">
        <f t="shared" ref="CB6:CB36" si="31">CA6-BZ6</f>
        <v>0</v>
      </c>
      <c r="CC6" s="23"/>
      <c r="CD6" s="23"/>
      <c r="CE6" s="73">
        <f t="shared" ref="CE6:CE36" si="32">CD6-CC6</f>
        <v>0</v>
      </c>
      <c r="CF6" s="23"/>
      <c r="CG6" s="23"/>
      <c r="CH6" s="73">
        <f t="shared" ref="CH6:CH36" si="33">CG6-CF6</f>
        <v>0</v>
      </c>
      <c r="CI6" s="23"/>
      <c r="CJ6" s="23"/>
      <c r="CK6" s="73">
        <f t="shared" ref="CK6:CK36" si="34">CJ6-CI6</f>
        <v>0</v>
      </c>
      <c r="CL6" s="23"/>
      <c r="CM6" s="23"/>
      <c r="CN6" s="73">
        <f t="shared" ref="CN6:CN36" si="35">CM6-CL6</f>
        <v>0</v>
      </c>
      <c r="CO6" s="23"/>
      <c r="CP6" s="23"/>
      <c r="CQ6" s="73">
        <f t="shared" ref="CQ6:CQ36" si="36">CP6-CO6</f>
        <v>0</v>
      </c>
      <c r="CR6" s="23"/>
      <c r="CS6" s="23"/>
      <c r="CT6" s="73">
        <f t="shared" ref="CT6:CT36" si="37">CS6-CR6</f>
        <v>0</v>
      </c>
      <c r="CU6" s="23"/>
      <c r="CV6" s="23"/>
      <c r="CW6" s="73">
        <f t="shared" ref="CW6:CW36" si="38">CV6-CU6</f>
        <v>0</v>
      </c>
      <c r="CX6" s="23"/>
      <c r="CY6" s="23"/>
      <c r="CZ6" s="73">
        <f t="shared" ref="CZ6:CZ36" si="39">CY6-CX6</f>
        <v>0</v>
      </c>
      <c r="DA6" s="23"/>
      <c r="DB6" s="23"/>
      <c r="DC6" s="73">
        <f t="shared" ref="DC6:DC36" si="40">DB6-DA6</f>
        <v>0</v>
      </c>
      <c r="DD6" s="23"/>
      <c r="DE6" s="23"/>
      <c r="DF6" s="73">
        <f t="shared" ref="DF6:DF36" si="41">DE6-DD6</f>
        <v>0</v>
      </c>
      <c r="DG6" s="23"/>
      <c r="DH6" s="23"/>
      <c r="DI6" s="73">
        <f t="shared" ref="DI6:DI36" si="42">DH6-DG6</f>
        <v>0</v>
      </c>
      <c r="DJ6" s="23"/>
      <c r="DK6" s="23"/>
      <c r="DL6" s="73">
        <f t="shared" ref="DL6:DL36" si="43">DK6-DJ6</f>
        <v>0</v>
      </c>
      <c r="DM6" s="23"/>
      <c r="DN6" s="23"/>
      <c r="DO6" s="73">
        <f t="shared" ref="DO6:DO36" si="44">DN6-DM6</f>
        <v>0</v>
      </c>
      <c r="DP6" s="23"/>
      <c r="DQ6" s="23"/>
      <c r="DR6" s="73">
        <f t="shared" ref="DR6:DR36" si="45">DQ6-DP6</f>
        <v>0</v>
      </c>
      <c r="DS6" s="23"/>
      <c r="DT6" s="23"/>
      <c r="DU6" s="73">
        <f t="shared" ref="DU6:DU36" si="46">DT6-DS6</f>
        <v>0</v>
      </c>
      <c r="DV6" s="23"/>
      <c r="DW6" s="23"/>
      <c r="DX6" s="73">
        <f t="shared" ref="DX6:DX36" si="47">DW6-DV6</f>
        <v>0</v>
      </c>
      <c r="DY6" s="23"/>
      <c r="DZ6" s="23"/>
      <c r="EA6" s="73">
        <f t="shared" ref="EA6:EA36" si="48">DZ6-DY6</f>
        <v>0</v>
      </c>
      <c r="EB6" s="23"/>
      <c r="EC6" s="23"/>
      <c r="ED6" s="73">
        <f t="shared" ref="ED6:ED36" si="49">EC6-EB6</f>
        <v>0</v>
      </c>
      <c r="EE6" s="23"/>
      <c r="EF6" s="23"/>
      <c r="EG6" s="73">
        <f t="shared" ref="EG6:EG36" si="50">EF6-EE6</f>
        <v>0</v>
      </c>
      <c r="EH6" s="23"/>
      <c r="EI6" s="23"/>
      <c r="EJ6" s="73">
        <f t="shared" ref="EJ6:EJ36" si="51">EI6-EH6</f>
        <v>0</v>
      </c>
      <c r="EK6" s="23"/>
      <c r="EL6" s="23"/>
      <c r="EM6" s="73">
        <f t="shared" ref="EM6:EM36" si="52">EL6-EK6</f>
        <v>0</v>
      </c>
      <c r="EN6" s="23"/>
      <c r="EO6" s="23"/>
      <c r="EP6" s="73">
        <f t="shared" ref="EP6:EP36" si="53">EO6-EN6</f>
        <v>0</v>
      </c>
      <c r="EQ6" s="73">
        <f t="shared" ref="EQ6:EQ36" si="54">+C6+F6+I6+L6+O6+R6+U6+X6+AA6+AD6+AG6+AJ6+AM6+AP6+AS6+AV6+AY6+BB6+BE6+BH6+BK6+BN6+BQ6+BT6+BW6+BZ6+CC6+CF6+CI6+CL6+CO6+CR6+CU6+CX6+DA6+DD6+DG6+DJ6+DM6+DP6+DS6+DV6+DY6+EB6+EE6+EH6+EK6+EN6</f>
        <v>235000</v>
      </c>
      <c r="ER6" s="73">
        <f t="shared" ref="ER6:ER36" si="55">+D6+G6+J6+M6+P6+S6+V6+Y6+AB6+AE6+AH6+AK6+AN6+AQ6+AT6+AW6+AZ6+BC6+BF6+BI6+BL6+BO6+BR6+BU6+BX6+CA6+CD6+CG6+CJ6+CM6+CP6+CS6+CV6+CY6+DB6+DE6+DH6+DK6+DN6+DQ6+DT6+DW6+DZ6+EC6+EF6+EI6+EL6+EO6</f>
        <v>211522</v>
      </c>
      <c r="ES6" s="73">
        <f t="shared" ref="ES6:ES36" si="56">ER6-EQ6</f>
        <v>-23478</v>
      </c>
      <c r="ET6" s="23">
        <f>+ES6</f>
        <v>-23478</v>
      </c>
      <c r="EU6" s="23"/>
      <c r="EV6" s="73">
        <f t="shared" ref="EV6:EV36" si="57">+EQ6-AG6</f>
        <v>105000</v>
      </c>
      <c r="EW6" s="73">
        <f t="shared" ref="EW6:EW36" si="58">+ER6-AH6</f>
        <v>93714</v>
      </c>
      <c r="EX6" s="23">
        <f t="shared" ref="EX6:EX36" si="59">+EW6-EV6</f>
        <v>-11286</v>
      </c>
      <c r="EY6" s="23">
        <f>+EX6</f>
        <v>-11286</v>
      </c>
      <c r="EZ6" s="23"/>
      <c r="FA6" s="23">
        <f t="shared" ref="FA6:FA36" si="60">+AI6</f>
        <v>-12192</v>
      </c>
      <c r="FB6" s="23">
        <f>+FA6</f>
        <v>-12192</v>
      </c>
      <c r="FC6" s="23"/>
      <c r="FD6" s="23"/>
      <c r="FE6" s="23"/>
      <c r="FF6" s="23"/>
      <c r="FG6" s="23"/>
      <c r="FH6" s="23"/>
      <c r="FI6" s="23"/>
      <c r="FJ6" s="40"/>
      <c r="FK6" s="40"/>
      <c r="FL6" s="40"/>
      <c r="FM6" s="40"/>
      <c r="FN6" s="40"/>
      <c r="FO6" s="40"/>
      <c r="FP6" s="40"/>
      <c r="FQ6" s="40"/>
      <c r="FR6" s="76"/>
      <c r="FS6" s="76"/>
      <c r="FT6" s="76"/>
      <c r="FU6" s="76"/>
      <c r="FV6" s="76"/>
      <c r="FW6" s="76"/>
      <c r="FX6" s="76"/>
      <c r="FY6" s="76"/>
      <c r="FZ6" s="76"/>
      <c r="GA6" s="76"/>
      <c r="GB6" s="76"/>
      <c r="GC6" s="76"/>
      <c r="GD6" s="76"/>
      <c r="GE6" s="76"/>
      <c r="GF6" s="76"/>
      <c r="GG6" s="76"/>
      <c r="GH6" s="76"/>
      <c r="GI6" s="76"/>
      <c r="GJ6" s="76"/>
      <c r="GK6" s="76"/>
      <c r="GL6" s="76"/>
      <c r="GM6" s="76"/>
      <c r="GN6" s="77"/>
      <c r="GO6" s="77"/>
      <c r="GP6" s="77"/>
      <c r="GQ6" s="77"/>
      <c r="GR6" s="77"/>
      <c r="GS6" s="77"/>
      <c r="GT6" s="77"/>
    </row>
    <row r="7" spans="1:202" s="78" customFormat="1" x14ac:dyDescent="0.2">
      <c r="A7" s="72">
        <f>+BaseloadMarkets!A7</f>
        <v>36709</v>
      </c>
      <c r="B7" s="72" t="str">
        <f>+BaseloadMarkets!B7</f>
        <v>Sun</v>
      </c>
      <c r="C7" s="23">
        <v>10000</v>
      </c>
      <c r="D7" s="23">
        <v>6215</v>
      </c>
      <c r="E7" s="73">
        <f t="shared" si="0"/>
        <v>-3785</v>
      </c>
      <c r="F7" s="23">
        <v>10000</v>
      </c>
      <c r="G7" s="23">
        <v>4442</v>
      </c>
      <c r="H7" s="73">
        <f t="shared" si="1"/>
        <v>-5558</v>
      </c>
      <c r="I7" s="23">
        <v>10000</v>
      </c>
      <c r="J7" s="23">
        <v>10000</v>
      </c>
      <c r="K7" s="73">
        <f t="shared" si="2"/>
        <v>0</v>
      </c>
      <c r="L7" s="23">
        <v>5000</v>
      </c>
      <c r="M7" s="23">
        <v>5000</v>
      </c>
      <c r="N7" s="73">
        <f t="shared" si="3"/>
        <v>0</v>
      </c>
      <c r="O7" s="23">
        <v>10000</v>
      </c>
      <c r="P7" s="23">
        <v>10000</v>
      </c>
      <c r="Q7" s="73">
        <f t="shared" si="4"/>
        <v>0</v>
      </c>
      <c r="R7" s="23">
        <f t="shared" si="5"/>
        <v>10000</v>
      </c>
      <c r="S7" s="23">
        <f t="shared" si="5"/>
        <v>10000</v>
      </c>
      <c r="T7" s="73">
        <f t="shared" si="6"/>
        <v>0</v>
      </c>
      <c r="U7" s="23">
        <f t="shared" si="7"/>
        <v>10000</v>
      </c>
      <c r="V7" s="23">
        <f t="shared" si="7"/>
        <v>10000</v>
      </c>
      <c r="W7" s="73">
        <f t="shared" si="8"/>
        <v>0</v>
      </c>
      <c r="X7" s="23">
        <f t="shared" si="9"/>
        <v>10000</v>
      </c>
      <c r="Y7" s="23">
        <f t="shared" si="9"/>
        <v>10000</v>
      </c>
      <c r="Z7" s="73">
        <f t="shared" si="10"/>
        <v>0</v>
      </c>
      <c r="AA7" s="23">
        <f t="shared" si="11"/>
        <v>10000</v>
      </c>
      <c r="AB7" s="23">
        <f t="shared" si="11"/>
        <v>10000</v>
      </c>
      <c r="AC7" s="73">
        <f t="shared" si="12"/>
        <v>0</v>
      </c>
      <c r="AD7" s="23">
        <f t="shared" si="13"/>
        <v>10000</v>
      </c>
      <c r="AE7" s="23">
        <f t="shared" si="13"/>
        <v>10000</v>
      </c>
      <c r="AF7" s="73">
        <f t="shared" si="14"/>
        <v>0</v>
      </c>
      <c r="AG7" s="75">
        <v>130000</v>
      </c>
      <c r="AH7" s="75">
        <v>118588</v>
      </c>
      <c r="AI7" s="120">
        <f t="shared" si="15"/>
        <v>-11412</v>
      </c>
      <c r="AJ7" s="23">
        <f t="shared" si="16"/>
        <v>10000</v>
      </c>
      <c r="AK7" s="23">
        <v>5923</v>
      </c>
      <c r="AL7" s="73">
        <f t="shared" si="17"/>
        <v>-4077</v>
      </c>
      <c r="AM7" s="23"/>
      <c r="AN7" s="23"/>
      <c r="AO7" s="73">
        <f t="shared" si="18"/>
        <v>0</v>
      </c>
      <c r="AP7" s="23"/>
      <c r="AQ7" s="23"/>
      <c r="AR7" s="73">
        <f t="shared" si="19"/>
        <v>0</v>
      </c>
      <c r="AS7" s="23"/>
      <c r="AT7" s="23"/>
      <c r="AU7" s="73">
        <f t="shared" si="20"/>
        <v>0</v>
      </c>
      <c r="AV7" s="23"/>
      <c r="AW7" s="23"/>
      <c r="AX7" s="73">
        <f t="shared" si="21"/>
        <v>0</v>
      </c>
      <c r="AY7" s="23"/>
      <c r="AZ7" s="23"/>
      <c r="BA7" s="73">
        <f t="shared" si="22"/>
        <v>0</v>
      </c>
      <c r="BB7" s="23"/>
      <c r="BC7" s="23"/>
      <c r="BD7" s="73">
        <f t="shared" si="23"/>
        <v>0</v>
      </c>
      <c r="BE7" s="23"/>
      <c r="BF7" s="23"/>
      <c r="BG7" s="73">
        <f t="shared" si="24"/>
        <v>0</v>
      </c>
      <c r="BH7" s="23"/>
      <c r="BI7" s="23"/>
      <c r="BJ7" s="73">
        <f t="shared" si="25"/>
        <v>0</v>
      </c>
      <c r="BK7" s="23"/>
      <c r="BL7" s="23"/>
      <c r="BM7" s="73">
        <f t="shared" si="26"/>
        <v>0</v>
      </c>
      <c r="BN7" s="23"/>
      <c r="BO7" s="23"/>
      <c r="BP7" s="73">
        <f t="shared" si="27"/>
        <v>0</v>
      </c>
      <c r="BQ7" s="23"/>
      <c r="BR7" s="23"/>
      <c r="BS7" s="73">
        <f t="shared" si="28"/>
        <v>0</v>
      </c>
      <c r="BT7" s="23"/>
      <c r="BU7" s="23"/>
      <c r="BV7" s="73">
        <f t="shared" si="29"/>
        <v>0</v>
      </c>
      <c r="BW7" s="23"/>
      <c r="BX7" s="23"/>
      <c r="BY7" s="73">
        <f t="shared" si="30"/>
        <v>0</v>
      </c>
      <c r="BZ7" s="23"/>
      <c r="CA7" s="23"/>
      <c r="CB7" s="73">
        <f t="shared" si="31"/>
        <v>0</v>
      </c>
      <c r="CC7" s="23"/>
      <c r="CD7" s="23"/>
      <c r="CE7" s="73">
        <f t="shared" si="32"/>
        <v>0</v>
      </c>
      <c r="CF7" s="23"/>
      <c r="CG7" s="23"/>
      <c r="CH7" s="73">
        <f t="shared" si="33"/>
        <v>0</v>
      </c>
      <c r="CI7" s="23"/>
      <c r="CJ7" s="23"/>
      <c r="CK7" s="73">
        <f t="shared" si="34"/>
        <v>0</v>
      </c>
      <c r="CL7" s="23"/>
      <c r="CM7" s="23"/>
      <c r="CN7" s="73">
        <f t="shared" si="35"/>
        <v>0</v>
      </c>
      <c r="CO7" s="23"/>
      <c r="CP7" s="23"/>
      <c r="CQ7" s="73">
        <f t="shared" si="36"/>
        <v>0</v>
      </c>
      <c r="CR7" s="23"/>
      <c r="CS7" s="23"/>
      <c r="CT7" s="73">
        <f t="shared" si="37"/>
        <v>0</v>
      </c>
      <c r="CU7" s="23"/>
      <c r="CV7" s="23"/>
      <c r="CW7" s="73">
        <f t="shared" si="38"/>
        <v>0</v>
      </c>
      <c r="CX7" s="23"/>
      <c r="CY7" s="23"/>
      <c r="CZ7" s="73">
        <f t="shared" si="39"/>
        <v>0</v>
      </c>
      <c r="DA7" s="23"/>
      <c r="DB7" s="23"/>
      <c r="DC7" s="73">
        <f t="shared" si="40"/>
        <v>0</v>
      </c>
      <c r="DD7" s="23"/>
      <c r="DE7" s="23"/>
      <c r="DF7" s="73">
        <f t="shared" si="41"/>
        <v>0</v>
      </c>
      <c r="DG7" s="23"/>
      <c r="DH7" s="23"/>
      <c r="DI7" s="73">
        <f t="shared" si="42"/>
        <v>0</v>
      </c>
      <c r="DJ7" s="23"/>
      <c r="DK7" s="23"/>
      <c r="DL7" s="73">
        <f t="shared" si="43"/>
        <v>0</v>
      </c>
      <c r="DM7" s="23"/>
      <c r="DN7" s="23"/>
      <c r="DO7" s="73">
        <f t="shared" si="44"/>
        <v>0</v>
      </c>
      <c r="DP7" s="23"/>
      <c r="DQ7" s="23"/>
      <c r="DR7" s="73">
        <f t="shared" si="45"/>
        <v>0</v>
      </c>
      <c r="DS7" s="23"/>
      <c r="DT7" s="23"/>
      <c r="DU7" s="73">
        <f t="shared" si="46"/>
        <v>0</v>
      </c>
      <c r="DV7" s="23"/>
      <c r="DW7" s="23"/>
      <c r="DX7" s="73">
        <f t="shared" si="47"/>
        <v>0</v>
      </c>
      <c r="DY7" s="23"/>
      <c r="DZ7" s="23"/>
      <c r="EA7" s="73">
        <f t="shared" si="48"/>
        <v>0</v>
      </c>
      <c r="EB7" s="23"/>
      <c r="EC7" s="23"/>
      <c r="ED7" s="73">
        <f t="shared" si="49"/>
        <v>0</v>
      </c>
      <c r="EE7" s="23"/>
      <c r="EF7" s="23"/>
      <c r="EG7" s="73">
        <f t="shared" si="50"/>
        <v>0</v>
      </c>
      <c r="EH7" s="23"/>
      <c r="EI7" s="23"/>
      <c r="EJ7" s="73">
        <f t="shared" si="51"/>
        <v>0</v>
      </c>
      <c r="EK7" s="23"/>
      <c r="EL7" s="23"/>
      <c r="EM7" s="73">
        <f t="shared" si="52"/>
        <v>0</v>
      </c>
      <c r="EN7" s="23"/>
      <c r="EO7" s="23"/>
      <c r="EP7" s="73">
        <f t="shared" si="53"/>
        <v>0</v>
      </c>
      <c r="EQ7" s="73">
        <f t="shared" si="54"/>
        <v>235000</v>
      </c>
      <c r="ER7" s="73">
        <f t="shared" si="55"/>
        <v>210168</v>
      </c>
      <c r="ES7" s="73">
        <f t="shared" si="56"/>
        <v>-24832</v>
      </c>
      <c r="ET7" s="23">
        <f t="shared" ref="ET7:ET36" si="61">+ET6+ES7</f>
        <v>-48310</v>
      </c>
      <c r="EU7" s="23"/>
      <c r="EV7" s="73">
        <f t="shared" si="57"/>
        <v>105000</v>
      </c>
      <c r="EW7" s="73">
        <f t="shared" si="58"/>
        <v>91580</v>
      </c>
      <c r="EX7" s="23">
        <f t="shared" si="59"/>
        <v>-13420</v>
      </c>
      <c r="EY7" s="23">
        <f t="shared" ref="EY7:EY36" si="62">+EY6+EX7</f>
        <v>-24706</v>
      </c>
      <c r="EZ7" s="23"/>
      <c r="FA7" s="23">
        <f t="shared" si="60"/>
        <v>-11412</v>
      </c>
      <c r="FB7" s="23">
        <f t="shared" ref="FB7:FB36" si="63">+FB6+FA7</f>
        <v>-23604</v>
      </c>
      <c r="FC7" s="23"/>
      <c r="FD7" s="23"/>
      <c r="FE7" s="23"/>
      <c r="FF7" s="23"/>
      <c r="FG7" s="23"/>
      <c r="FH7" s="23"/>
      <c r="FI7" s="23"/>
      <c r="FJ7" s="40"/>
      <c r="FK7" s="40"/>
      <c r="FL7" s="40"/>
      <c r="FM7" s="40"/>
      <c r="FN7" s="40"/>
      <c r="FO7" s="40"/>
      <c r="FP7" s="40"/>
      <c r="FQ7" s="40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  <c r="GC7" s="76"/>
      <c r="GD7" s="76"/>
      <c r="GE7" s="76"/>
      <c r="GF7" s="76"/>
      <c r="GG7" s="76"/>
      <c r="GH7" s="76"/>
      <c r="GI7" s="76"/>
      <c r="GJ7" s="76"/>
      <c r="GK7" s="76"/>
      <c r="GL7" s="76"/>
      <c r="GM7" s="76"/>
      <c r="GN7" s="77"/>
      <c r="GO7" s="77"/>
      <c r="GP7" s="77"/>
      <c r="GQ7" s="77"/>
      <c r="GR7" s="77"/>
      <c r="GS7" s="77"/>
      <c r="GT7" s="77"/>
    </row>
    <row r="8" spans="1:202" x14ac:dyDescent="0.2">
      <c r="A8" s="72">
        <f>+BaseloadMarkets!A8</f>
        <v>36710</v>
      </c>
      <c r="B8" s="72" t="str">
        <f>+BaseloadMarkets!B8</f>
        <v>Mon</v>
      </c>
      <c r="C8" s="23">
        <v>10000</v>
      </c>
      <c r="D8" s="23">
        <v>7080</v>
      </c>
      <c r="E8" s="73">
        <f t="shared" si="0"/>
        <v>-2920</v>
      </c>
      <c r="F8" s="23">
        <v>10000</v>
      </c>
      <c r="G8" s="23">
        <v>4667</v>
      </c>
      <c r="H8" s="73">
        <f t="shared" si="1"/>
        <v>-5333</v>
      </c>
      <c r="I8" s="23">
        <v>10000</v>
      </c>
      <c r="J8" s="23">
        <v>10000</v>
      </c>
      <c r="K8" s="73">
        <f t="shared" si="2"/>
        <v>0</v>
      </c>
      <c r="L8" s="23">
        <v>5000</v>
      </c>
      <c r="M8" s="23">
        <v>5000</v>
      </c>
      <c r="N8" s="73">
        <f t="shared" si="3"/>
        <v>0</v>
      </c>
      <c r="O8" s="23">
        <v>10000</v>
      </c>
      <c r="P8" s="23">
        <v>10000</v>
      </c>
      <c r="Q8" s="73">
        <f t="shared" si="4"/>
        <v>0</v>
      </c>
      <c r="R8" s="23">
        <f t="shared" si="5"/>
        <v>10000</v>
      </c>
      <c r="S8" s="23">
        <f t="shared" si="5"/>
        <v>10000</v>
      </c>
      <c r="T8" s="73">
        <f t="shared" si="6"/>
        <v>0</v>
      </c>
      <c r="U8" s="23">
        <f t="shared" si="7"/>
        <v>10000</v>
      </c>
      <c r="V8" s="23">
        <f t="shared" si="7"/>
        <v>10000</v>
      </c>
      <c r="W8" s="73">
        <f t="shared" si="8"/>
        <v>0</v>
      </c>
      <c r="X8" s="23">
        <f t="shared" si="9"/>
        <v>10000</v>
      </c>
      <c r="Y8" s="23">
        <f t="shared" si="9"/>
        <v>10000</v>
      </c>
      <c r="Z8" s="73">
        <f t="shared" si="10"/>
        <v>0</v>
      </c>
      <c r="AA8" s="23">
        <f t="shared" si="11"/>
        <v>10000</v>
      </c>
      <c r="AB8" s="23">
        <f t="shared" si="11"/>
        <v>10000</v>
      </c>
      <c r="AC8" s="73">
        <f t="shared" si="12"/>
        <v>0</v>
      </c>
      <c r="AD8" s="23">
        <f t="shared" si="13"/>
        <v>10000</v>
      </c>
      <c r="AE8" s="23">
        <f t="shared" si="13"/>
        <v>10000</v>
      </c>
      <c r="AF8" s="73">
        <f t="shared" si="14"/>
        <v>0</v>
      </c>
      <c r="AG8" s="75">
        <v>130000</v>
      </c>
      <c r="AH8" s="75">
        <v>118660</v>
      </c>
      <c r="AI8" s="120">
        <f t="shared" si="15"/>
        <v>-11340</v>
      </c>
      <c r="AJ8" s="23">
        <f t="shared" si="16"/>
        <v>10000</v>
      </c>
      <c r="AK8" s="23">
        <v>5909</v>
      </c>
      <c r="AL8" s="73">
        <f t="shared" si="17"/>
        <v>-4091</v>
      </c>
      <c r="AM8" s="23"/>
      <c r="AN8" s="23"/>
      <c r="AO8" s="73">
        <f t="shared" si="18"/>
        <v>0</v>
      </c>
      <c r="AP8" s="23"/>
      <c r="AQ8" s="23"/>
      <c r="AR8" s="73">
        <f t="shared" si="19"/>
        <v>0</v>
      </c>
      <c r="AS8" s="23"/>
      <c r="AT8" s="23"/>
      <c r="AU8" s="73">
        <f t="shared" si="20"/>
        <v>0</v>
      </c>
      <c r="AV8" s="23"/>
      <c r="AW8" s="23"/>
      <c r="AX8" s="73">
        <f t="shared" si="21"/>
        <v>0</v>
      </c>
      <c r="AY8" s="23"/>
      <c r="AZ8" s="23"/>
      <c r="BA8" s="73">
        <f t="shared" si="22"/>
        <v>0</v>
      </c>
      <c r="BB8" s="23"/>
      <c r="BC8" s="23"/>
      <c r="BD8" s="73">
        <f t="shared" si="23"/>
        <v>0</v>
      </c>
      <c r="BE8" s="23"/>
      <c r="BF8" s="23"/>
      <c r="BG8" s="73">
        <f t="shared" si="24"/>
        <v>0</v>
      </c>
      <c r="BH8" s="23"/>
      <c r="BI8" s="23"/>
      <c r="BJ8" s="73">
        <f t="shared" si="25"/>
        <v>0</v>
      </c>
      <c r="BK8" s="23"/>
      <c r="BL8" s="23"/>
      <c r="BM8" s="73">
        <f t="shared" si="26"/>
        <v>0</v>
      </c>
      <c r="BN8" s="23"/>
      <c r="BO8" s="23"/>
      <c r="BP8" s="73">
        <f t="shared" si="27"/>
        <v>0</v>
      </c>
      <c r="BQ8" s="23"/>
      <c r="BR8" s="23"/>
      <c r="BS8" s="73">
        <f t="shared" si="28"/>
        <v>0</v>
      </c>
      <c r="BT8" s="23"/>
      <c r="BU8" s="23"/>
      <c r="BV8" s="73">
        <f t="shared" si="29"/>
        <v>0</v>
      </c>
      <c r="BW8" s="23"/>
      <c r="BX8" s="23"/>
      <c r="BY8" s="73">
        <f t="shared" si="30"/>
        <v>0</v>
      </c>
      <c r="BZ8" s="23"/>
      <c r="CA8" s="23"/>
      <c r="CB8" s="73">
        <f t="shared" si="31"/>
        <v>0</v>
      </c>
      <c r="CC8" s="23"/>
      <c r="CD8" s="23"/>
      <c r="CE8" s="73">
        <f t="shared" si="32"/>
        <v>0</v>
      </c>
      <c r="CF8" s="23"/>
      <c r="CG8" s="23"/>
      <c r="CH8" s="73">
        <f t="shared" si="33"/>
        <v>0</v>
      </c>
      <c r="CI8" s="23"/>
      <c r="CJ8" s="23"/>
      <c r="CK8" s="73">
        <f t="shared" si="34"/>
        <v>0</v>
      </c>
      <c r="CL8" s="23"/>
      <c r="CM8" s="23"/>
      <c r="CN8" s="73">
        <f t="shared" si="35"/>
        <v>0</v>
      </c>
      <c r="CO8" s="23"/>
      <c r="CP8" s="23"/>
      <c r="CQ8" s="73">
        <f t="shared" si="36"/>
        <v>0</v>
      </c>
      <c r="CR8" s="23"/>
      <c r="CS8" s="23"/>
      <c r="CT8" s="73">
        <f t="shared" si="37"/>
        <v>0</v>
      </c>
      <c r="CU8" s="23"/>
      <c r="CV8" s="23"/>
      <c r="CW8" s="73">
        <f t="shared" si="38"/>
        <v>0</v>
      </c>
      <c r="CX8" s="23"/>
      <c r="CY8" s="23"/>
      <c r="CZ8" s="73">
        <f t="shared" si="39"/>
        <v>0</v>
      </c>
      <c r="DA8" s="23"/>
      <c r="DB8" s="23"/>
      <c r="DC8" s="73">
        <f t="shared" si="40"/>
        <v>0</v>
      </c>
      <c r="DD8" s="23"/>
      <c r="DE8" s="23"/>
      <c r="DF8" s="73">
        <f t="shared" si="41"/>
        <v>0</v>
      </c>
      <c r="DG8" s="23"/>
      <c r="DH8" s="23"/>
      <c r="DI8" s="73">
        <f t="shared" si="42"/>
        <v>0</v>
      </c>
      <c r="DJ8" s="23"/>
      <c r="DK8" s="23"/>
      <c r="DL8" s="73">
        <f t="shared" si="43"/>
        <v>0</v>
      </c>
      <c r="DM8" s="23"/>
      <c r="DN8" s="23"/>
      <c r="DO8" s="73">
        <f t="shared" si="44"/>
        <v>0</v>
      </c>
      <c r="DP8" s="23"/>
      <c r="DQ8" s="23"/>
      <c r="DR8" s="73">
        <f t="shared" si="45"/>
        <v>0</v>
      </c>
      <c r="DS8" s="23"/>
      <c r="DT8" s="23"/>
      <c r="DU8" s="73">
        <f t="shared" si="46"/>
        <v>0</v>
      </c>
      <c r="DV8" s="23"/>
      <c r="DW8" s="23"/>
      <c r="DX8" s="73">
        <f t="shared" si="47"/>
        <v>0</v>
      </c>
      <c r="DY8" s="23"/>
      <c r="DZ8" s="23"/>
      <c r="EA8" s="73">
        <f t="shared" si="48"/>
        <v>0</v>
      </c>
      <c r="EB8" s="23"/>
      <c r="EC8" s="23"/>
      <c r="ED8" s="73">
        <f t="shared" si="49"/>
        <v>0</v>
      </c>
      <c r="EE8" s="23"/>
      <c r="EF8" s="23"/>
      <c r="EG8" s="73">
        <f t="shared" si="50"/>
        <v>0</v>
      </c>
      <c r="EH8" s="23"/>
      <c r="EI8" s="23"/>
      <c r="EJ8" s="73">
        <f t="shared" si="51"/>
        <v>0</v>
      </c>
      <c r="EK8" s="23"/>
      <c r="EL8" s="23"/>
      <c r="EM8" s="73">
        <f t="shared" si="52"/>
        <v>0</v>
      </c>
      <c r="EN8" s="23"/>
      <c r="EO8" s="23"/>
      <c r="EP8" s="73">
        <f t="shared" si="53"/>
        <v>0</v>
      </c>
      <c r="EQ8" s="73">
        <f t="shared" si="54"/>
        <v>235000</v>
      </c>
      <c r="ER8" s="73">
        <f t="shared" si="55"/>
        <v>211316</v>
      </c>
      <c r="ES8" s="73">
        <f t="shared" si="56"/>
        <v>-23684</v>
      </c>
      <c r="ET8" s="23">
        <f t="shared" si="61"/>
        <v>-71994</v>
      </c>
      <c r="EU8" s="79"/>
      <c r="EV8" s="73">
        <f t="shared" si="57"/>
        <v>105000</v>
      </c>
      <c r="EW8" s="73">
        <f t="shared" si="58"/>
        <v>92656</v>
      </c>
      <c r="EX8" s="23">
        <f t="shared" si="59"/>
        <v>-12344</v>
      </c>
      <c r="EY8" s="23">
        <f t="shared" si="62"/>
        <v>-37050</v>
      </c>
      <c r="EZ8" s="79"/>
      <c r="FA8" s="23">
        <f t="shared" si="60"/>
        <v>-11340</v>
      </c>
      <c r="FB8" s="23">
        <f t="shared" si="63"/>
        <v>-34944</v>
      </c>
      <c r="FC8" s="79"/>
      <c r="FD8" s="79"/>
      <c r="FE8" s="79"/>
      <c r="FF8" s="79"/>
      <c r="FG8" s="79"/>
      <c r="FH8" s="79"/>
      <c r="FI8" s="79"/>
    </row>
    <row r="9" spans="1:202" x14ac:dyDescent="0.2">
      <c r="A9" s="72">
        <f>+BaseloadMarkets!A9</f>
        <v>36711</v>
      </c>
      <c r="B9" s="72" t="str">
        <f>+BaseloadMarkets!B9</f>
        <v>Tues</v>
      </c>
      <c r="C9" s="23">
        <v>10000</v>
      </c>
      <c r="D9" s="23">
        <v>6349</v>
      </c>
      <c r="E9" s="73">
        <f t="shared" si="0"/>
        <v>-3651</v>
      </c>
      <c r="F9" s="23">
        <v>10000</v>
      </c>
      <c r="G9" s="23">
        <v>4319</v>
      </c>
      <c r="H9" s="73">
        <f t="shared" si="1"/>
        <v>-5681</v>
      </c>
      <c r="I9" s="23">
        <v>10000</v>
      </c>
      <c r="J9" s="23">
        <v>10000</v>
      </c>
      <c r="K9" s="73">
        <f t="shared" si="2"/>
        <v>0</v>
      </c>
      <c r="L9" s="23">
        <v>5000</v>
      </c>
      <c r="M9" s="23">
        <v>5000</v>
      </c>
      <c r="N9" s="73">
        <f t="shared" si="3"/>
        <v>0</v>
      </c>
      <c r="O9" s="23">
        <v>10000</v>
      </c>
      <c r="P9" s="23">
        <v>10000</v>
      </c>
      <c r="Q9" s="73">
        <f t="shared" si="4"/>
        <v>0</v>
      </c>
      <c r="R9" s="23">
        <f t="shared" si="5"/>
        <v>10000</v>
      </c>
      <c r="S9" s="23">
        <f t="shared" si="5"/>
        <v>10000</v>
      </c>
      <c r="T9" s="73">
        <f t="shared" si="6"/>
        <v>0</v>
      </c>
      <c r="U9" s="23">
        <f t="shared" si="7"/>
        <v>10000</v>
      </c>
      <c r="V9" s="23">
        <f t="shared" si="7"/>
        <v>10000</v>
      </c>
      <c r="W9" s="73">
        <f t="shared" si="8"/>
        <v>0</v>
      </c>
      <c r="X9" s="23">
        <f t="shared" si="9"/>
        <v>10000</v>
      </c>
      <c r="Y9" s="23">
        <f t="shared" si="9"/>
        <v>10000</v>
      </c>
      <c r="Z9" s="73">
        <f t="shared" si="10"/>
        <v>0</v>
      </c>
      <c r="AA9" s="23">
        <f t="shared" si="11"/>
        <v>10000</v>
      </c>
      <c r="AB9" s="23">
        <f t="shared" si="11"/>
        <v>10000</v>
      </c>
      <c r="AC9" s="73">
        <f t="shared" si="12"/>
        <v>0</v>
      </c>
      <c r="AD9" s="23">
        <f t="shared" si="13"/>
        <v>10000</v>
      </c>
      <c r="AE9" s="23">
        <f t="shared" si="13"/>
        <v>10000</v>
      </c>
      <c r="AF9" s="73">
        <f t="shared" si="14"/>
        <v>0</v>
      </c>
      <c r="AG9" s="75">
        <v>130000</v>
      </c>
      <c r="AH9" s="75">
        <v>118578</v>
      </c>
      <c r="AI9" s="120">
        <f t="shared" si="15"/>
        <v>-11422</v>
      </c>
      <c r="AJ9" s="23">
        <f t="shared" si="16"/>
        <v>10000</v>
      </c>
      <c r="AK9" s="23">
        <v>5885</v>
      </c>
      <c r="AL9" s="73">
        <f t="shared" si="17"/>
        <v>-4115</v>
      </c>
      <c r="AM9" s="23"/>
      <c r="AN9" s="23"/>
      <c r="AO9" s="73">
        <f t="shared" si="18"/>
        <v>0</v>
      </c>
      <c r="AP9" s="23"/>
      <c r="AQ9" s="23"/>
      <c r="AR9" s="73">
        <f t="shared" si="19"/>
        <v>0</v>
      </c>
      <c r="AS9" s="23"/>
      <c r="AT9" s="23"/>
      <c r="AU9" s="73">
        <f t="shared" si="20"/>
        <v>0</v>
      </c>
      <c r="AV9" s="23"/>
      <c r="AW9" s="23"/>
      <c r="AX9" s="73">
        <f t="shared" si="21"/>
        <v>0</v>
      </c>
      <c r="AY9" s="23"/>
      <c r="AZ9" s="23"/>
      <c r="BA9" s="73">
        <f t="shared" si="22"/>
        <v>0</v>
      </c>
      <c r="BB9" s="23"/>
      <c r="BC9" s="23"/>
      <c r="BD9" s="73">
        <f t="shared" si="23"/>
        <v>0</v>
      </c>
      <c r="BE9" s="23"/>
      <c r="BF9" s="23"/>
      <c r="BG9" s="73">
        <f t="shared" si="24"/>
        <v>0</v>
      </c>
      <c r="BH9" s="23"/>
      <c r="BI9" s="23"/>
      <c r="BJ9" s="73">
        <f t="shared" si="25"/>
        <v>0</v>
      </c>
      <c r="BK9" s="23"/>
      <c r="BL9" s="23"/>
      <c r="BM9" s="73">
        <f t="shared" si="26"/>
        <v>0</v>
      </c>
      <c r="BN9" s="23"/>
      <c r="BO9" s="23"/>
      <c r="BP9" s="73">
        <f t="shared" si="27"/>
        <v>0</v>
      </c>
      <c r="BQ9" s="23"/>
      <c r="BR9" s="23"/>
      <c r="BS9" s="73">
        <f t="shared" si="28"/>
        <v>0</v>
      </c>
      <c r="BT9" s="23"/>
      <c r="BU9" s="23"/>
      <c r="BV9" s="73">
        <f t="shared" si="29"/>
        <v>0</v>
      </c>
      <c r="BW9" s="23"/>
      <c r="BX9" s="23"/>
      <c r="BY9" s="73">
        <f t="shared" si="30"/>
        <v>0</v>
      </c>
      <c r="BZ9" s="23"/>
      <c r="CA9" s="23"/>
      <c r="CB9" s="73">
        <f t="shared" si="31"/>
        <v>0</v>
      </c>
      <c r="CC9" s="23"/>
      <c r="CD9" s="23"/>
      <c r="CE9" s="73">
        <f t="shared" si="32"/>
        <v>0</v>
      </c>
      <c r="CF9" s="23"/>
      <c r="CG9" s="23"/>
      <c r="CH9" s="73">
        <f t="shared" si="33"/>
        <v>0</v>
      </c>
      <c r="CI9" s="23"/>
      <c r="CJ9" s="23"/>
      <c r="CK9" s="73">
        <f t="shared" si="34"/>
        <v>0</v>
      </c>
      <c r="CL9" s="23"/>
      <c r="CM9" s="23"/>
      <c r="CN9" s="73">
        <f t="shared" si="35"/>
        <v>0</v>
      </c>
      <c r="CO9" s="23"/>
      <c r="CP9" s="23"/>
      <c r="CQ9" s="73">
        <f t="shared" si="36"/>
        <v>0</v>
      </c>
      <c r="CR9" s="23"/>
      <c r="CS9" s="23"/>
      <c r="CT9" s="73">
        <f t="shared" si="37"/>
        <v>0</v>
      </c>
      <c r="CU9" s="23"/>
      <c r="CV9" s="23"/>
      <c r="CW9" s="73">
        <f t="shared" si="38"/>
        <v>0</v>
      </c>
      <c r="CX9" s="23"/>
      <c r="CY9" s="23"/>
      <c r="CZ9" s="73">
        <f t="shared" si="39"/>
        <v>0</v>
      </c>
      <c r="DA9" s="23"/>
      <c r="DB9" s="23"/>
      <c r="DC9" s="73">
        <f t="shared" si="40"/>
        <v>0</v>
      </c>
      <c r="DD9" s="23"/>
      <c r="DE9" s="23"/>
      <c r="DF9" s="73">
        <f t="shared" si="41"/>
        <v>0</v>
      </c>
      <c r="DG9" s="23"/>
      <c r="DH9" s="23"/>
      <c r="DI9" s="73">
        <f t="shared" si="42"/>
        <v>0</v>
      </c>
      <c r="DJ9" s="23"/>
      <c r="DK9" s="23"/>
      <c r="DL9" s="73">
        <f t="shared" si="43"/>
        <v>0</v>
      </c>
      <c r="DM9" s="23"/>
      <c r="DN9" s="23"/>
      <c r="DO9" s="73">
        <f t="shared" si="44"/>
        <v>0</v>
      </c>
      <c r="DP9" s="23"/>
      <c r="DQ9" s="23"/>
      <c r="DR9" s="73">
        <f t="shared" si="45"/>
        <v>0</v>
      </c>
      <c r="DS9" s="23"/>
      <c r="DT9" s="23"/>
      <c r="DU9" s="73">
        <f t="shared" si="46"/>
        <v>0</v>
      </c>
      <c r="DV9" s="23"/>
      <c r="DW9" s="23"/>
      <c r="DX9" s="73">
        <f t="shared" si="47"/>
        <v>0</v>
      </c>
      <c r="DY9" s="23"/>
      <c r="DZ9" s="23"/>
      <c r="EA9" s="73">
        <f t="shared" si="48"/>
        <v>0</v>
      </c>
      <c r="EB9" s="23"/>
      <c r="EC9" s="23"/>
      <c r="ED9" s="73">
        <f t="shared" si="49"/>
        <v>0</v>
      </c>
      <c r="EE9" s="23"/>
      <c r="EF9" s="23"/>
      <c r="EG9" s="73">
        <f t="shared" si="50"/>
        <v>0</v>
      </c>
      <c r="EH9" s="23"/>
      <c r="EI9" s="23"/>
      <c r="EJ9" s="73">
        <f t="shared" si="51"/>
        <v>0</v>
      </c>
      <c r="EK9" s="23"/>
      <c r="EL9" s="23"/>
      <c r="EM9" s="73">
        <f t="shared" si="52"/>
        <v>0</v>
      </c>
      <c r="EN9" s="23"/>
      <c r="EO9" s="23"/>
      <c r="EP9" s="73">
        <f t="shared" si="53"/>
        <v>0</v>
      </c>
      <c r="EQ9" s="73">
        <f t="shared" si="54"/>
        <v>235000</v>
      </c>
      <c r="ER9" s="73">
        <f t="shared" si="55"/>
        <v>210131</v>
      </c>
      <c r="ES9" s="73">
        <f t="shared" si="56"/>
        <v>-24869</v>
      </c>
      <c r="ET9" s="23">
        <f t="shared" si="61"/>
        <v>-96863</v>
      </c>
      <c r="EU9" s="79"/>
      <c r="EV9" s="73">
        <f t="shared" si="57"/>
        <v>105000</v>
      </c>
      <c r="EW9" s="73">
        <f t="shared" si="58"/>
        <v>91553</v>
      </c>
      <c r="EX9" s="23">
        <f t="shared" si="59"/>
        <v>-13447</v>
      </c>
      <c r="EY9" s="23">
        <f t="shared" si="62"/>
        <v>-50497</v>
      </c>
      <c r="EZ9" s="79"/>
      <c r="FA9" s="23">
        <f t="shared" si="60"/>
        <v>-11422</v>
      </c>
      <c r="FB9" s="23">
        <f t="shared" si="63"/>
        <v>-46366</v>
      </c>
      <c r="FC9" s="79"/>
      <c r="FD9" s="79"/>
      <c r="FE9" s="79"/>
      <c r="FF9" s="79"/>
      <c r="FG9" s="79"/>
      <c r="FH9" s="79"/>
      <c r="FI9" s="79"/>
    </row>
    <row r="10" spans="1:202" x14ac:dyDescent="0.2">
      <c r="A10" s="72">
        <f>+BaseloadMarkets!A10</f>
        <v>36712</v>
      </c>
      <c r="B10" s="72" t="str">
        <f>+BaseloadMarkets!B10</f>
        <v>Wed</v>
      </c>
      <c r="C10" s="23">
        <v>10000</v>
      </c>
      <c r="D10" s="23">
        <v>10000</v>
      </c>
      <c r="E10" s="73">
        <f t="shared" si="0"/>
        <v>0</v>
      </c>
      <c r="F10" s="23">
        <v>10000</v>
      </c>
      <c r="G10" s="23">
        <v>10000</v>
      </c>
      <c r="H10" s="73">
        <f t="shared" si="1"/>
        <v>0</v>
      </c>
      <c r="I10" s="23">
        <v>10000</v>
      </c>
      <c r="J10" s="23">
        <v>10000</v>
      </c>
      <c r="K10" s="73">
        <f t="shared" si="2"/>
        <v>0</v>
      </c>
      <c r="L10" s="23">
        <v>5000</v>
      </c>
      <c r="M10" s="23">
        <v>5000</v>
      </c>
      <c r="N10" s="73">
        <f t="shared" si="3"/>
        <v>0</v>
      </c>
      <c r="O10" s="23">
        <v>10000</v>
      </c>
      <c r="P10" s="23">
        <v>10000</v>
      </c>
      <c r="Q10" s="73">
        <f t="shared" si="4"/>
        <v>0</v>
      </c>
      <c r="R10" s="23">
        <f t="shared" si="5"/>
        <v>10000</v>
      </c>
      <c r="S10" s="23">
        <f t="shared" si="5"/>
        <v>10000</v>
      </c>
      <c r="T10" s="73">
        <f t="shared" si="6"/>
        <v>0</v>
      </c>
      <c r="U10" s="23">
        <f t="shared" si="7"/>
        <v>10000</v>
      </c>
      <c r="V10" s="23">
        <f t="shared" si="7"/>
        <v>10000</v>
      </c>
      <c r="W10" s="73">
        <f t="shared" si="8"/>
        <v>0</v>
      </c>
      <c r="X10" s="23">
        <f t="shared" si="9"/>
        <v>10000</v>
      </c>
      <c r="Y10" s="23">
        <f t="shared" si="9"/>
        <v>10000</v>
      </c>
      <c r="Z10" s="73">
        <f t="shared" si="10"/>
        <v>0</v>
      </c>
      <c r="AA10" s="23">
        <f t="shared" si="11"/>
        <v>10000</v>
      </c>
      <c r="AB10" s="23">
        <f t="shared" si="11"/>
        <v>10000</v>
      </c>
      <c r="AC10" s="73">
        <f t="shared" si="12"/>
        <v>0</v>
      </c>
      <c r="AD10" s="23">
        <f t="shared" si="13"/>
        <v>10000</v>
      </c>
      <c r="AE10" s="23">
        <f t="shared" si="13"/>
        <v>10000</v>
      </c>
      <c r="AF10" s="73">
        <f t="shared" si="14"/>
        <v>0</v>
      </c>
      <c r="AG10" s="75">
        <v>130000</v>
      </c>
      <c r="AH10" s="75">
        <v>121584</v>
      </c>
      <c r="AI10" s="120">
        <f t="shared" si="15"/>
        <v>-8416</v>
      </c>
      <c r="AJ10" s="23">
        <f t="shared" si="16"/>
        <v>10000</v>
      </c>
      <c r="AK10" s="23">
        <v>5809</v>
      </c>
      <c r="AL10" s="73">
        <f t="shared" si="17"/>
        <v>-4191</v>
      </c>
      <c r="AM10" s="23"/>
      <c r="AN10" s="23"/>
      <c r="AO10" s="73">
        <f t="shared" si="18"/>
        <v>0</v>
      </c>
      <c r="AP10" s="23"/>
      <c r="AQ10" s="23"/>
      <c r="AR10" s="73">
        <f t="shared" si="19"/>
        <v>0</v>
      </c>
      <c r="AS10" s="23"/>
      <c r="AT10" s="23"/>
      <c r="AU10" s="73">
        <f t="shared" si="20"/>
        <v>0</v>
      </c>
      <c r="AV10" s="23"/>
      <c r="AW10" s="23"/>
      <c r="AX10" s="73">
        <f t="shared" si="21"/>
        <v>0</v>
      </c>
      <c r="AY10" s="23"/>
      <c r="AZ10" s="23"/>
      <c r="BA10" s="73">
        <f t="shared" si="22"/>
        <v>0</v>
      </c>
      <c r="BB10" s="23"/>
      <c r="BC10" s="23"/>
      <c r="BD10" s="73">
        <f t="shared" si="23"/>
        <v>0</v>
      </c>
      <c r="BE10" s="23"/>
      <c r="BF10" s="23"/>
      <c r="BG10" s="73">
        <f t="shared" si="24"/>
        <v>0</v>
      </c>
      <c r="BH10" s="23"/>
      <c r="BI10" s="23"/>
      <c r="BJ10" s="73">
        <f t="shared" si="25"/>
        <v>0</v>
      </c>
      <c r="BK10" s="23"/>
      <c r="BL10" s="23"/>
      <c r="BM10" s="73">
        <f t="shared" si="26"/>
        <v>0</v>
      </c>
      <c r="BN10" s="23"/>
      <c r="BO10" s="23"/>
      <c r="BP10" s="73">
        <f t="shared" si="27"/>
        <v>0</v>
      </c>
      <c r="BQ10" s="23"/>
      <c r="BR10" s="23"/>
      <c r="BS10" s="73">
        <f t="shared" si="28"/>
        <v>0</v>
      </c>
      <c r="BT10" s="23"/>
      <c r="BU10" s="23"/>
      <c r="BV10" s="73">
        <f t="shared" si="29"/>
        <v>0</v>
      </c>
      <c r="BW10" s="23"/>
      <c r="BX10" s="23"/>
      <c r="BY10" s="73">
        <f t="shared" si="30"/>
        <v>0</v>
      </c>
      <c r="BZ10" s="23"/>
      <c r="CA10" s="23"/>
      <c r="CB10" s="73">
        <f t="shared" si="31"/>
        <v>0</v>
      </c>
      <c r="CC10" s="23"/>
      <c r="CD10" s="23"/>
      <c r="CE10" s="73">
        <f t="shared" si="32"/>
        <v>0</v>
      </c>
      <c r="CF10" s="23"/>
      <c r="CG10" s="23"/>
      <c r="CH10" s="73">
        <f t="shared" si="33"/>
        <v>0</v>
      </c>
      <c r="CI10" s="23"/>
      <c r="CJ10" s="23"/>
      <c r="CK10" s="73">
        <f t="shared" si="34"/>
        <v>0</v>
      </c>
      <c r="CL10" s="23"/>
      <c r="CM10" s="23"/>
      <c r="CN10" s="73">
        <f t="shared" si="35"/>
        <v>0</v>
      </c>
      <c r="CO10" s="23"/>
      <c r="CP10" s="23"/>
      <c r="CQ10" s="73">
        <f t="shared" si="36"/>
        <v>0</v>
      </c>
      <c r="CR10" s="23"/>
      <c r="CS10" s="23"/>
      <c r="CT10" s="73">
        <f t="shared" si="37"/>
        <v>0</v>
      </c>
      <c r="CU10" s="23"/>
      <c r="CV10" s="23"/>
      <c r="CW10" s="73">
        <f t="shared" si="38"/>
        <v>0</v>
      </c>
      <c r="CX10" s="23"/>
      <c r="CY10" s="23"/>
      <c r="CZ10" s="73">
        <f t="shared" si="39"/>
        <v>0</v>
      </c>
      <c r="DA10" s="23"/>
      <c r="DB10" s="23"/>
      <c r="DC10" s="73">
        <f t="shared" si="40"/>
        <v>0</v>
      </c>
      <c r="DD10" s="23"/>
      <c r="DE10" s="23"/>
      <c r="DF10" s="73">
        <f t="shared" si="41"/>
        <v>0</v>
      </c>
      <c r="DG10" s="23"/>
      <c r="DH10" s="23"/>
      <c r="DI10" s="73">
        <f t="shared" si="42"/>
        <v>0</v>
      </c>
      <c r="DJ10" s="23"/>
      <c r="DK10" s="23"/>
      <c r="DL10" s="73">
        <f t="shared" si="43"/>
        <v>0</v>
      </c>
      <c r="DM10" s="23"/>
      <c r="DN10" s="23"/>
      <c r="DO10" s="73">
        <f t="shared" si="44"/>
        <v>0</v>
      </c>
      <c r="DP10" s="23"/>
      <c r="DQ10" s="23"/>
      <c r="DR10" s="73">
        <f t="shared" si="45"/>
        <v>0</v>
      </c>
      <c r="DS10" s="23"/>
      <c r="DT10" s="23"/>
      <c r="DU10" s="73">
        <f t="shared" si="46"/>
        <v>0</v>
      </c>
      <c r="DV10" s="23"/>
      <c r="DW10" s="23"/>
      <c r="DX10" s="73">
        <f t="shared" si="47"/>
        <v>0</v>
      </c>
      <c r="DY10" s="23"/>
      <c r="DZ10" s="23"/>
      <c r="EA10" s="73">
        <f t="shared" si="48"/>
        <v>0</v>
      </c>
      <c r="EB10" s="23"/>
      <c r="EC10" s="23"/>
      <c r="ED10" s="73">
        <f t="shared" si="49"/>
        <v>0</v>
      </c>
      <c r="EE10" s="23"/>
      <c r="EF10" s="23"/>
      <c r="EG10" s="73">
        <f t="shared" si="50"/>
        <v>0</v>
      </c>
      <c r="EH10" s="23"/>
      <c r="EI10" s="23"/>
      <c r="EJ10" s="73">
        <f t="shared" si="51"/>
        <v>0</v>
      </c>
      <c r="EK10" s="23"/>
      <c r="EL10" s="23"/>
      <c r="EM10" s="73">
        <f t="shared" si="52"/>
        <v>0</v>
      </c>
      <c r="EN10" s="23"/>
      <c r="EO10" s="23"/>
      <c r="EP10" s="73">
        <f t="shared" si="53"/>
        <v>0</v>
      </c>
      <c r="EQ10" s="73">
        <f t="shared" si="54"/>
        <v>235000</v>
      </c>
      <c r="ER10" s="73">
        <f t="shared" si="55"/>
        <v>222393</v>
      </c>
      <c r="ES10" s="73">
        <f t="shared" si="56"/>
        <v>-12607</v>
      </c>
      <c r="ET10" s="23">
        <f t="shared" si="61"/>
        <v>-109470</v>
      </c>
      <c r="EU10" s="79"/>
      <c r="EV10" s="73">
        <f t="shared" si="57"/>
        <v>105000</v>
      </c>
      <c r="EW10" s="73">
        <f t="shared" si="58"/>
        <v>100809</v>
      </c>
      <c r="EX10" s="23">
        <f t="shared" si="59"/>
        <v>-4191</v>
      </c>
      <c r="EY10" s="23">
        <f t="shared" si="62"/>
        <v>-54688</v>
      </c>
      <c r="EZ10" s="79"/>
      <c r="FA10" s="23">
        <f t="shared" si="60"/>
        <v>-8416</v>
      </c>
      <c r="FB10" s="23">
        <f t="shared" si="63"/>
        <v>-54782</v>
      </c>
      <c r="FC10" s="79"/>
      <c r="FD10" s="79"/>
      <c r="FE10" s="79"/>
      <c r="FF10" s="79"/>
      <c r="FG10" s="79"/>
      <c r="FH10" s="79"/>
      <c r="FI10" s="79"/>
    </row>
    <row r="11" spans="1:202" x14ac:dyDescent="0.2">
      <c r="A11" s="72">
        <f>+BaseloadMarkets!A11</f>
        <v>36713</v>
      </c>
      <c r="B11" s="72" t="str">
        <f>+BaseloadMarkets!B11</f>
        <v>Thu</v>
      </c>
      <c r="C11" s="23">
        <v>10000</v>
      </c>
      <c r="D11" s="23">
        <v>10000</v>
      </c>
      <c r="E11" s="73">
        <f t="shared" si="0"/>
        <v>0</v>
      </c>
      <c r="F11" s="23">
        <v>10000</v>
      </c>
      <c r="G11" s="23">
        <v>10000</v>
      </c>
      <c r="H11" s="73">
        <f t="shared" si="1"/>
        <v>0</v>
      </c>
      <c r="I11" s="23">
        <v>10000</v>
      </c>
      <c r="J11" s="23">
        <v>10000</v>
      </c>
      <c r="K11" s="73">
        <f t="shared" si="2"/>
        <v>0</v>
      </c>
      <c r="L11" s="23">
        <v>5000</v>
      </c>
      <c r="M11" s="23">
        <v>5000</v>
      </c>
      <c r="N11" s="73">
        <f t="shared" si="3"/>
        <v>0</v>
      </c>
      <c r="O11" s="23">
        <v>10000</v>
      </c>
      <c r="P11" s="23">
        <v>10000</v>
      </c>
      <c r="Q11" s="73">
        <f t="shared" si="4"/>
        <v>0</v>
      </c>
      <c r="R11" s="23">
        <f t="shared" si="5"/>
        <v>10000</v>
      </c>
      <c r="S11" s="23">
        <f t="shared" si="5"/>
        <v>10000</v>
      </c>
      <c r="T11" s="73">
        <f t="shared" si="6"/>
        <v>0</v>
      </c>
      <c r="U11" s="23">
        <f t="shared" si="7"/>
        <v>10000</v>
      </c>
      <c r="V11" s="23">
        <f t="shared" si="7"/>
        <v>10000</v>
      </c>
      <c r="W11" s="73">
        <f t="shared" si="8"/>
        <v>0</v>
      </c>
      <c r="X11" s="23">
        <f t="shared" si="9"/>
        <v>10000</v>
      </c>
      <c r="Y11" s="23">
        <f t="shared" si="9"/>
        <v>10000</v>
      </c>
      <c r="Z11" s="73">
        <f t="shared" si="10"/>
        <v>0</v>
      </c>
      <c r="AA11" s="23">
        <f t="shared" si="11"/>
        <v>10000</v>
      </c>
      <c r="AB11" s="23">
        <f t="shared" si="11"/>
        <v>10000</v>
      </c>
      <c r="AC11" s="73">
        <f t="shared" si="12"/>
        <v>0</v>
      </c>
      <c r="AD11" s="23">
        <f t="shared" si="13"/>
        <v>10000</v>
      </c>
      <c r="AE11" s="23">
        <f t="shared" si="13"/>
        <v>10000</v>
      </c>
      <c r="AF11" s="73">
        <f t="shared" si="14"/>
        <v>0</v>
      </c>
      <c r="AG11" s="75">
        <v>135000</v>
      </c>
      <c r="AH11" s="75">
        <f>135000-5000+3008</f>
        <v>133008</v>
      </c>
      <c r="AI11" s="120">
        <f t="shared" si="15"/>
        <v>-1992</v>
      </c>
      <c r="AJ11" s="23">
        <f t="shared" si="16"/>
        <v>10000</v>
      </c>
      <c r="AK11" s="23">
        <v>6016</v>
      </c>
      <c r="AL11" s="73">
        <f t="shared" si="17"/>
        <v>-3984</v>
      </c>
      <c r="AM11" s="23"/>
      <c r="AN11" s="23"/>
      <c r="AO11" s="73">
        <f t="shared" si="18"/>
        <v>0</v>
      </c>
      <c r="AP11" s="23"/>
      <c r="AQ11" s="23"/>
      <c r="AR11" s="73">
        <f t="shared" si="19"/>
        <v>0</v>
      </c>
      <c r="AS11" s="23"/>
      <c r="AT11" s="23"/>
      <c r="AU11" s="73">
        <f t="shared" si="20"/>
        <v>0</v>
      </c>
      <c r="AV11" s="23"/>
      <c r="AW11" s="23"/>
      <c r="AX11" s="73">
        <f t="shared" si="21"/>
        <v>0</v>
      </c>
      <c r="AY11" s="23"/>
      <c r="AZ11" s="23"/>
      <c r="BA11" s="73">
        <f t="shared" si="22"/>
        <v>0</v>
      </c>
      <c r="BB11" s="23"/>
      <c r="BC11" s="23"/>
      <c r="BD11" s="73">
        <f t="shared" si="23"/>
        <v>0</v>
      </c>
      <c r="BE11" s="23"/>
      <c r="BF11" s="23"/>
      <c r="BG11" s="73">
        <f t="shared" si="24"/>
        <v>0</v>
      </c>
      <c r="BH11" s="23"/>
      <c r="BI11" s="23"/>
      <c r="BJ11" s="73">
        <f t="shared" si="25"/>
        <v>0</v>
      </c>
      <c r="BK11" s="23"/>
      <c r="BL11" s="23"/>
      <c r="BM11" s="73">
        <f t="shared" si="26"/>
        <v>0</v>
      </c>
      <c r="BN11" s="23"/>
      <c r="BO11" s="23"/>
      <c r="BP11" s="73">
        <f t="shared" si="27"/>
        <v>0</v>
      </c>
      <c r="BQ11" s="23"/>
      <c r="BR11" s="23"/>
      <c r="BS11" s="73">
        <f t="shared" si="28"/>
        <v>0</v>
      </c>
      <c r="BT11" s="23"/>
      <c r="BU11" s="23"/>
      <c r="BV11" s="73">
        <f t="shared" si="29"/>
        <v>0</v>
      </c>
      <c r="BW11" s="23"/>
      <c r="BX11" s="23"/>
      <c r="BY11" s="73">
        <f t="shared" si="30"/>
        <v>0</v>
      </c>
      <c r="BZ11" s="23"/>
      <c r="CA11" s="23"/>
      <c r="CB11" s="73">
        <f t="shared" si="31"/>
        <v>0</v>
      </c>
      <c r="CC11" s="23"/>
      <c r="CD11" s="23"/>
      <c r="CE11" s="73">
        <f t="shared" si="32"/>
        <v>0</v>
      </c>
      <c r="CF11" s="23"/>
      <c r="CG11" s="23"/>
      <c r="CH11" s="73">
        <f t="shared" si="33"/>
        <v>0</v>
      </c>
      <c r="CI11" s="23"/>
      <c r="CJ11" s="23"/>
      <c r="CK11" s="73">
        <f t="shared" si="34"/>
        <v>0</v>
      </c>
      <c r="CL11" s="23"/>
      <c r="CM11" s="23"/>
      <c r="CN11" s="73">
        <f t="shared" si="35"/>
        <v>0</v>
      </c>
      <c r="CO11" s="23"/>
      <c r="CP11" s="23"/>
      <c r="CQ11" s="73">
        <f t="shared" si="36"/>
        <v>0</v>
      </c>
      <c r="CR11" s="23"/>
      <c r="CS11" s="23"/>
      <c r="CT11" s="73">
        <f t="shared" si="37"/>
        <v>0</v>
      </c>
      <c r="CU11" s="23"/>
      <c r="CV11" s="23"/>
      <c r="CW11" s="73">
        <f t="shared" si="38"/>
        <v>0</v>
      </c>
      <c r="CX11" s="23"/>
      <c r="CY11" s="23"/>
      <c r="CZ11" s="73">
        <f t="shared" si="39"/>
        <v>0</v>
      </c>
      <c r="DA11" s="23"/>
      <c r="DB11" s="23"/>
      <c r="DC11" s="73">
        <f t="shared" si="40"/>
        <v>0</v>
      </c>
      <c r="DD11" s="23"/>
      <c r="DE11" s="23"/>
      <c r="DF11" s="73">
        <f t="shared" si="41"/>
        <v>0</v>
      </c>
      <c r="DG11" s="23"/>
      <c r="DH11" s="23"/>
      <c r="DI11" s="73">
        <f t="shared" si="42"/>
        <v>0</v>
      </c>
      <c r="DJ11" s="23"/>
      <c r="DK11" s="23"/>
      <c r="DL11" s="73">
        <f t="shared" si="43"/>
        <v>0</v>
      </c>
      <c r="DM11" s="23"/>
      <c r="DN11" s="23"/>
      <c r="DO11" s="73">
        <f t="shared" si="44"/>
        <v>0</v>
      </c>
      <c r="DP11" s="23"/>
      <c r="DQ11" s="23"/>
      <c r="DR11" s="73">
        <f t="shared" si="45"/>
        <v>0</v>
      </c>
      <c r="DS11" s="23"/>
      <c r="DT11" s="23"/>
      <c r="DU11" s="73">
        <f t="shared" si="46"/>
        <v>0</v>
      </c>
      <c r="DV11" s="23"/>
      <c r="DW11" s="23"/>
      <c r="DX11" s="73">
        <f t="shared" si="47"/>
        <v>0</v>
      </c>
      <c r="DY11" s="23"/>
      <c r="DZ11" s="23"/>
      <c r="EA11" s="73">
        <f t="shared" si="48"/>
        <v>0</v>
      </c>
      <c r="EB11" s="23"/>
      <c r="EC11" s="23"/>
      <c r="ED11" s="73">
        <f t="shared" si="49"/>
        <v>0</v>
      </c>
      <c r="EE11" s="23"/>
      <c r="EF11" s="23"/>
      <c r="EG11" s="73">
        <f t="shared" si="50"/>
        <v>0</v>
      </c>
      <c r="EH11" s="23"/>
      <c r="EI11" s="23"/>
      <c r="EJ11" s="73">
        <f t="shared" si="51"/>
        <v>0</v>
      </c>
      <c r="EK11" s="23"/>
      <c r="EL11" s="23"/>
      <c r="EM11" s="73">
        <f t="shared" si="52"/>
        <v>0</v>
      </c>
      <c r="EN11" s="23"/>
      <c r="EO11" s="23"/>
      <c r="EP11" s="73">
        <f t="shared" si="53"/>
        <v>0</v>
      </c>
      <c r="EQ11" s="73">
        <f t="shared" si="54"/>
        <v>240000</v>
      </c>
      <c r="ER11" s="73">
        <f t="shared" si="55"/>
        <v>234024</v>
      </c>
      <c r="ES11" s="73">
        <f t="shared" si="56"/>
        <v>-5976</v>
      </c>
      <c r="ET11" s="23">
        <f t="shared" si="61"/>
        <v>-115446</v>
      </c>
      <c r="EU11" s="79"/>
      <c r="EV11" s="73">
        <f t="shared" si="57"/>
        <v>105000</v>
      </c>
      <c r="EW11" s="73">
        <f t="shared" si="58"/>
        <v>101016</v>
      </c>
      <c r="EX11" s="23">
        <f t="shared" si="59"/>
        <v>-3984</v>
      </c>
      <c r="EY11" s="23">
        <f t="shared" si="62"/>
        <v>-58672</v>
      </c>
      <c r="EZ11" s="79"/>
      <c r="FA11" s="23">
        <f t="shared" si="60"/>
        <v>-1992</v>
      </c>
      <c r="FB11" s="23">
        <f t="shared" si="63"/>
        <v>-56774</v>
      </c>
      <c r="FC11" s="79"/>
      <c r="FD11" s="79"/>
      <c r="FE11" s="79"/>
      <c r="FF11" s="79"/>
      <c r="FG11" s="79"/>
      <c r="FH11" s="79"/>
      <c r="FI11" s="79"/>
    </row>
    <row r="12" spans="1:202" x14ac:dyDescent="0.2">
      <c r="A12" s="72">
        <f>+BaseloadMarkets!A12</f>
        <v>36714</v>
      </c>
      <c r="B12" s="72" t="str">
        <f>+BaseloadMarkets!B12</f>
        <v>Fri</v>
      </c>
      <c r="C12" s="23">
        <v>10000</v>
      </c>
      <c r="D12" s="23">
        <v>10000</v>
      </c>
      <c r="E12" s="73">
        <f t="shared" si="0"/>
        <v>0</v>
      </c>
      <c r="F12" s="23">
        <v>10000</v>
      </c>
      <c r="G12" s="23">
        <v>10000</v>
      </c>
      <c r="H12" s="73">
        <f t="shared" si="1"/>
        <v>0</v>
      </c>
      <c r="I12" s="23">
        <v>10000</v>
      </c>
      <c r="J12" s="23">
        <v>10000</v>
      </c>
      <c r="K12" s="73">
        <f t="shared" si="2"/>
        <v>0</v>
      </c>
      <c r="L12" s="23">
        <v>5000</v>
      </c>
      <c r="M12" s="23">
        <v>5000</v>
      </c>
      <c r="N12" s="73">
        <f t="shared" si="3"/>
        <v>0</v>
      </c>
      <c r="O12" s="23">
        <v>10000</v>
      </c>
      <c r="P12" s="23">
        <v>10000</v>
      </c>
      <c r="Q12" s="73">
        <f t="shared" si="4"/>
        <v>0</v>
      </c>
      <c r="R12" s="23">
        <f t="shared" si="5"/>
        <v>10000</v>
      </c>
      <c r="S12" s="23">
        <f t="shared" si="5"/>
        <v>10000</v>
      </c>
      <c r="T12" s="73">
        <f t="shared" si="6"/>
        <v>0</v>
      </c>
      <c r="U12" s="23">
        <f t="shared" si="7"/>
        <v>10000</v>
      </c>
      <c r="V12" s="23">
        <f t="shared" si="7"/>
        <v>10000</v>
      </c>
      <c r="W12" s="73">
        <f t="shared" si="8"/>
        <v>0</v>
      </c>
      <c r="X12" s="23">
        <f t="shared" si="9"/>
        <v>10000</v>
      </c>
      <c r="Y12" s="23">
        <f t="shared" si="9"/>
        <v>10000</v>
      </c>
      <c r="Z12" s="73">
        <f t="shared" si="10"/>
        <v>0</v>
      </c>
      <c r="AA12" s="23">
        <f t="shared" si="11"/>
        <v>10000</v>
      </c>
      <c r="AB12" s="23">
        <f t="shared" si="11"/>
        <v>10000</v>
      </c>
      <c r="AC12" s="73">
        <f t="shared" si="12"/>
        <v>0</v>
      </c>
      <c r="AD12" s="23">
        <f t="shared" si="13"/>
        <v>10000</v>
      </c>
      <c r="AE12" s="23">
        <f t="shared" si="13"/>
        <v>10000</v>
      </c>
      <c r="AF12" s="73">
        <f t="shared" si="14"/>
        <v>0</v>
      </c>
      <c r="AG12" s="75">
        <v>195000</v>
      </c>
      <c r="AH12" s="75">
        <v>184855</v>
      </c>
      <c r="AI12" s="120">
        <f t="shared" si="15"/>
        <v>-10145</v>
      </c>
      <c r="AJ12" s="23">
        <f t="shared" si="16"/>
        <v>10000</v>
      </c>
      <c r="AK12" s="23">
        <v>6018</v>
      </c>
      <c r="AL12" s="73">
        <f t="shared" si="17"/>
        <v>-3982</v>
      </c>
      <c r="AM12" s="23"/>
      <c r="AN12" s="23"/>
      <c r="AO12" s="73">
        <f t="shared" si="18"/>
        <v>0</v>
      </c>
      <c r="AP12" s="23"/>
      <c r="AQ12" s="23"/>
      <c r="AR12" s="73">
        <f t="shared" si="19"/>
        <v>0</v>
      </c>
      <c r="AS12" s="23"/>
      <c r="AT12" s="23"/>
      <c r="AU12" s="73">
        <f t="shared" si="20"/>
        <v>0</v>
      </c>
      <c r="AV12" s="23"/>
      <c r="AW12" s="23"/>
      <c r="AX12" s="73">
        <f t="shared" si="21"/>
        <v>0</v>
      </c>
      <c r="AY12" s="23"/>
      <c r="AZ12" s="23"/>
      <c r="BA12" s="73">
        <f t="shared" si="22"/>
        <v>0</v>
      </c>
      <c r="BB12" s="23"/>
      <c r="BC12" s="23"/>
      <c r="BD12" s="73">
        <f t="shared" si="23"/>
        <v>0</v>
      </c>
      <c r="BE12" s="23"/>
      <c r="BF12" s="23"/>
      <c r="BG12" s="73">
        <f t="shared" si="24"/>
        <v>0</v>
      </c>
      <c r="BH12" s="23"/>
      <c r="BI12" s="23"/>
      <c r="BJ12" s="73">
        <f t="shared" si="25"/>
        <v>0</v>
      </c>
      <c r="BK12" s="23"/>
      <c r="BL12" s="23"/>
      <c r="BM12" s="73">
        <f t="shared" si="26"/>
        <v>0</v>
      </c>
      <c r="BN12" s="23"/>
      <c r="BO12" s="23"/>
      <c r="BP12" s="73">
        <f t="shared" si="27"/>
        <v>0</v>
      </c>
      <c r="BQ12" s="23"/>
      <c r="BR12" s="23"/>
      <c r="BS12" s="73">
        <f t="shared" si="28"/>
        <v>0</v>
      </c>
      <c r="BT12" s="23"/>
      <c r="BU12" s="23"/>
      <c r="BV12" s="73">
        <f t="shared" si="29"/>
        <v>0</v>
      </c>
      <c r="BW12" s="23"/>
      <c r="BX12" s="23"/>
      <c r="BY12" s="73">
        <f t="shared" si="30"/>
        <v>0</v>
      </c>
      <c r="BZ12" s="23"/>
      <c r="CA12" s="23"/>
      <c r="CB12" s="73">
        <f t="shared" si="31"/>
        <v>0</v>
      </c>
      <c r="CC12" s="23"/>
      <c r="CD12" s="23"/>
      <c r="CE12" s="73">
        <f t="shared" si="32"/>
        <v>0</v>
      </c>
      <c r="CF12" s="23"/>
      <c r="CG12" s="23"/>
      <c r="CH12" s="73">
        <f t="shared" si="33"/>
        <v>0</v>
      </c>
      <c r="CI12" s="23"/>
      <c r="CJ12" s="23"/>
      <c r="CK12" s="73">
        <f t="shared" si="34"/>
        <v>0</v>
      </c>
      <c r="CL12" s="23"/>
      <c r="CM12" s="23"/>
      <c r="CN12" s="73">
        <f t="shared" si="35"/>
        <v>0</v>
      </c>
      <c r="CO12" s="23"/>
      <c r="CP12" s="23"/>
      <c r="CQ12" s="73">
        <f t="shared" si="36"/>
        <v>0</v>
      </c>
      <c r="CR12" s="23"/>
      <c r="CS12" s="23"/>
      <c r="CT12" s="73">
        <f t="shared" si="37"/>
        <v>0</v>
      </c>
      <c r="CU12" s="23"/>
      <c r="CV12" s="23"/>
      <c r="CW12" s="73">
        <f t="shared" si="38"/>
        <v>0</v>
      </c>
      <c r="CX12" s="23"/>
      <c r="CY12" s="23"/>
      <c r="CZ12" s="73">
        <f t="shared" si="39"/>
        <v>0</v>
      </c>
      <c r="DA12" s="23"/>
      <c r="DB12" s="23"/>
      <c r="DC12" s="73">
        <f t="shared" si="40"/>
        <v>0</v>
      </c>
      <c r="DD12" s="23"/>
      <c r="DE12" s="23"/>
      <c r="DF12" s="73">
        <f t="shared" si="41"/>
        <v>0</v>
      </c>
      <c r="DG12" s="23"/>
      <c r="DH12" s="23"/>
      <c r="DI12" s="73">
        <f t="shared" si="42"/>
        <v>0</v>
      </c>
      <c r="DJ12" s="23"/>
      <c r="DK12" s="23"/>
      <c r="DL12" s="73">
        <f t="shared" si="43"/>
        <v>0</v>
      </c>
      <c r="DM12" s="23"/>
      <c r="DN12" s="23"/>
      <c r="DO12" s="73">
        <f t="shared" si="44"/>
        <v>0</v>
      </c>
      <c r="DP12" s="23"/>
      <c r="DQ12" s="23"/>
      <c r="DR12" s="73">
        <f t="shared" si="45"/>
        <v>0</v>
      </c>
      <c r="DS12" s="23"/>
      <c r="DT12" s="23"/>
      <c r="DU12" s="73">
        <f t="shared" si="46"/>
        <v>0</v>
      </c>
      <c r="DV12" s="23"/>
      <c r="DW12" s="23"/>
      <c r="DX12" s="73">
        <f t="shared" si="47"/>
        <v>0</v>
      </c>
      <c r="DY12" s="23"/>
      <c r="DZ12" s="23"/>
      <c r="EA12" s="73">
        <f t="shared" si="48"/>
        <v>0</v>
      </c>
      <c r="EB12" s="23"/>
      <c r="EC12" s="23"/>
      <c r="ED12" s="73">
        <f t="shared" si="49"/>
        <v>0</v>
      </c>
      <c r="EE12" s="23"/>
      <c r="EF12" s="23"/>
      <c r="EG12" s="73">
        <f t="shared" si="50"/>
        <v>0</v>
      </c>
      <c r="EH12" s="23"/>
      <c r="EI12" s="23"/>
      <c r="EJ12" s="73">
        <f t="shared" si="51"/>
        <v>0</v>
      </c>
      <c r="EK12" s="23"/>
      <c r="EL12" s="23"/>
      <c r="EM12" s="73">
        <f t="shared" si="52"/>
        <v>0</v>
      </c>
      <c r="EN12" s="23"/>
      <c r="EO12" s="23"/>
      <c r="EP12" s="73">
        <f t="shared" si="53"/>
        <v>0</v>
      </c>
      <c r="EQ12" s="73">
        <f t="shared" si="54"/>
        <v>300000</v>
      </c>
      <c r="ER12" s="73">
        <f t="shared" si="55"/>
        <v>285873</v>
      </c>
      <c r="ES12" s="73">
        <f t="shared" si="56"/>
        <v>-14127</v>
      </c>
      <c r="ET12" s="23">
        <f t="shared" si="61"/>
        <v>-129573</v>
      </c>
      <c r="EU12" s="79"/>
      <c r="EV12" s="73">
        <f t="shared" si="57"/>
        <v>105000</v>
      </c>
      <c r="EW12" s="73">
        <f t="shared" si="58"/>
        <v>101018</v>
      </c>
      <c r="EX12" s="23">
        <f t="shared" si="59"/>
        <v>-3982</v>
      </c>
      <c r="EY12" s="23">
        <f t="shared" si="62"/>
        <v>-62654</v>
      </c>
      <c r="EZ12" s="79"/>
      <c r="FA12" s="23">
        <f t="shared" si="60"/>
        <v>-10145</v>
      </c>
      <c r="FB12" s="23">
        <f t="shared" si="63"/>
        <v>-66919</v>
      </c>
      <c r="FC12" s="79"/>
      <c r="FD12" s="79"/>
      <c r="FE12" s="79"/>
      <c r="FF12" s="79"/>
      <c r="FG12" s="79"/>
      <c r="FH12" s="79"/>
      <c r="FI12" s="79"/>
    </row>
    <row r="13" spans="1:202" x14ac:dyDescent="0.2">
      <c r="A13" s="72">
        <f>+BaseloadMarkets!A13</f>
        <v>36715</v>
      </c>
      <c r="B13" s="72" t="str">
        <f>+BaseloadMarkets!B13</f>
        <v>Sat</v>
      </c>
      <c r="C13" s="23">
        <v>10000</v>
      </c>
      <c r="D13" s="23">
        <v>10000</v>
      </c>
      <c r="E13" s="73">
        <f t="shared" si="0"/>
        <v>0</v>
      </c>
      <c r="F13" s="23">
        <v>10000</v>
      </c>
      <c r="G13" s="23">
        <v>10000</v>
      </c>
      <c r="H13" s="73">
        <f t="shared" si="1"/>
        <v>0</v>
      </c>
      <c r="I13" s="23">
        <v>10000</v>
      </c>
      <c r="J13" s="23">
        <v>10000</v>
      </c>
      <c r="K13" s="73">
        <f t="shared" si="2"/>
        <v>0</v>
      </c>
      <c r="L13" s="23">
        <v>5000</v>
      </c>
      <c r="M13" s="23">
        <v>5000</v>
      </c>
      <c r="N13" s="73">
        <f t="shared" si="3"/>
        <v>0</v>
      </c>
      <c r="O13" s="23">
        <v>10000</v>
      </c>
      <c r="P13" s="23">
        <v>10000</v>
      </c>
      <c r="Q13" s="73">
        <f t="shared" si="4"/>
        <v>0</v>
      </c>
      <c r="R13" s="23">
        <f t="shared" si="5"/>
        <v>10000</v>
      </c>
      <c r="S13" s="23">
        <f t="shared" si="5"/>
        <v>10000</v>
      </c>
      <c r="T13" s="73">
        <f t="shared" si="6"/>
        <v>0</v>
      </c>
      <c r="U13" s="23">
        <f t="shared" si="7"/>
        <v>10000</v>
      </c>
      <c r="V13" s="23">
        <f t="shared" si="7"/>
        <v>10000</v>
      </c>
      <c r="W13" s="73">
        <f t="shared" si="8"/>
        <v>0</v>
      </c>
      <c r="X13" s="23">
        <f t="shared" si="9"/>
        <v>10000</v>
      </c>
      <c r="Y13" s="23">
        <f t="shared" si="9"/>
        <v>10000</v>
      </c>
      <c r="Z13" s="73">
        <f t="shared" si="10"/>
        <v>0</v>
      </c>
      <c r="AA13" s="23">
        <f t="shared" si="11"/>
        <v>10000</v>
      </c>
      <c r="AB13" s="23">
        <f t="shared" si="11"/>
        <v>10000</v>
      </c>
      <c r="AC13" s="73">
        <f t="shared" si="12"/>
        <v>0</v>
      </c>
      <c r="AD13" s="23">
        <f t="shared" si="13"/>
        <v>10000</v>
      </c>
      <c r="AE13" s="23">
        <f t="shared" si="13"/>
        <v>10000</v>
      </c>
      <c r="AF13" s="73">
        <f t="shared" si="14"/>
        <v>0</v>
      </c>
      <c r="AG13" s="75">
        <v>120000</v>
      </c>
      <c r="AH13" s="75">
        <v>117570</v>
      </c>
      <c r="AI13" s="120">
        <f t="shared" si="15"/>
        <v>-2430</v>
      </c>
      <c r="AJ13" s="23">
        <f t="shared" si="16"/>
        <v>10000</v>
      </c>
      <c r="AK13" s="23">
        <f t="shared" ref="AK13:AK36" si="64">5000+5000</f>
        <v>10000</v>
      </c>
      <c r="AL13" s="73">
        <f t="shared" si="17"/>
        <v>0</v>
      </c>
      <c r="AM13" s="23"/>
      <c r="AN13" s="23"/>
      <c r="AO13" s="73">
        <f t="shared" si="18"/>
        <v>0</v>
      </c>
      <c r="AP13" s="23"/>
      <c r="AQ13" s="23"/>
      <c r="AR13" s="73">
        <f t="shared" si="19"/>
        <v>0</v>
      </c>
      <c r="AS13" s="23"/>
      <c r="AT13" s="23"/>
      <c r="AU13" s="73">
        <f t="shared" si="20"/>
        <v>0</v>
      </c>
      <c r="AV13" s="23"/>
      <c r="AW13" s="23"/>
      <c r="AX13" s="73">
        <f t="shared" si="21"/>
        <v>0</v>
      </c>
      <c r="AY13" s="23"/>
      <c r="AZ13" s="23"/>
      <c r="BA13" s="73">
        <f t="shared" si="22"/>
        <v>0</v>
      </c>
      <c r="BB13" s="23"/>
      <c r="BC13" s="23"/>
      <c r="BD13" s="73">
        <f t="shared" si="23"/>
        <v>0</v>
      </c>
      <c r="BE13" s="23"/>
      <c r="BF13" s="23"/>
      <c r="BG13" s="73">
        <f t="shared" si="24"/>
        <v>0</v>
      </c>
      <c r="BH13" s="23"/>
      <c r="BI13" s="23"/>
      <c r="BJ13" s="73">
        <f t="shared" si="25"/>
        <v>0</v>
      </c>
      <c r="BK13" s="23"/>
      <c r="BL13" s="23"/>
      <c r="BM13" s="73">
        <f t="shared" si="26"/>
        <v>0</v>
      </c>
      <c r="BN13" s="23"/>
      <c r="BO13" s="23"/>
      <c r="BP13" s="73">
        <f t="shared" si="27"/>
        <v>0</v>
      </c>
      <c r="BQ13" s="23"/>
      <c r="BR13" s="23"/>
      <c r="BS13" s="73">
        <f t="shared" si="28"/>
        <v>0</v>
      </c>
      <c r="BT13" s="23"/>
      <c r="BU13" s="23"/>
      <c r="BV13" s="73">
        <f t="shared" si="29"/>
        <v>0</v>
      </c>
      <c r="BW13" s="23"/>
      <c r="BX13" s="23"/>
      <c r="BY13" s="73">
        <f t="shared" si="30"/>
        <v>0</v>
      </c>
      <c r="BZ13" s="23"/>
      <c r="CA13" s="23"/>
      <c r="CB13" s="73">
        <f t="shared" si="31"/>
        <v>0</v>
      </c>
      <c r="CC13" s="23"/>
      <c r="CD13" s="23"/>
      <c r="CE13" s="73">
        <f t="shared" si="32"/>
        <v>0</v>
      </c>
      <c r="CF13" s="23"/>
      <c r="CG13" s="23"/>
      <c r="CH13" s="73">
        <f t="shared" si="33"/>
        <v>0</v>
      </c>
      <c r="CI13" s="23"/>
      <c r="CJ13" s="23"/>
      <c r="CK13" s="73">
        <f t="shared" si="34"/>
        <v>0</v>
      </c>
      <c r="CL13" s="23"/>
      <c r="CM13" s="23"/>
      <c r="CN13" s="73">
        <f t="shared" si="35"/>
        <v>0</v>
      </c>
      <c r="CO13" s="23"/>
      <c r="CP13" s="23"/>
      <c r="CQ13" s="73">
        <f t="shared" si="36"/>
        <v>0</v>
      </c>
      <c r="CR13" s="23"/>
      <c r="CS13" s="23"/>
      <c r="CT13" s="73">
        <f t="shared" si="37"/>
        <v>0</v>
      </c>
      <c r="CU13" s="23"/>
      <c r="CV13" s="23"/>
      <c r="CW13" s="73">
        <f t="shared" si="38"/>
        <v>0</v>
      </c>
      <c r="CX13" s="23"/>
      <c r="CY13" s="23"/>
      <c r="CZ13" s="73">
        <f t="shared" si="39"/>
        <v>0</v>
      </c>
      <c r="DA13" s="23"/>
      <c r="DB13" s="23"/>
      <c r="DC13" s="73">
        <f t="shared" si="40"/>
        <v>0</v>
      </c>
      <c r="DD13" s="23"/>
      <c r="DE13" s="23"/>
      <c r="DF13" s="73">
        <f t="shared" si="41"/>
        <v>0</v>
      </c>
      <c r="DG13" s="23"/>
      <c r="DH13" s="23"/>
      <c r="DI13" s="73">
        <f t="shared" si="42"/>
        <v>0</v>
      </c>
      <c r="DJ13" s="23"/>
      <c r="DK13" s="23"/>
      <c r="DL13" s="73">
        <f t="shared" si="43"/>
        <v>0</v>
      </c>
      <c r="DM13" s="23"/>
      <c r="DN13" s="23"/>
      <c r="DO13" s="73">
        <f t="shared" si="44"/>
        <v>0</v>
      </c>
      <c r="DP13" s="23"/>
      <c r="DQ13" s="23"/>
      <c r="DR13" s="73">
        <f t="shared" si="45"/>
        <v>0</v>
      </c>
      <c r="DS13" s="23"/>
      <c r="DT13" s="23"/>
      <c r="DU13" s="73">
        <f t="shared" si="46"/>
        <v>0</v>
      </c>
      <c r="DV13" s="23"/>
      <c r="DW13" s="23"/>
      <c r="DX13" s="73">
        <f t="shared" si="47"/>
        <v>0</v>
      </c>
      <c r="DY13" s="23"/>
      <c r="DZ13" s="23"/>
      <c r="EA13" s="73">
        <f t="shared" si="48"/>
        <v>0</v>
      </c>
      <c r="EB13" s="23"/>
      <c r="EC13" s="23"/>
      <c r="ED13" s="73">
        <f t="shared" si="49"/>
        <v>0</v>
      </c>
      <c r="EE13" s="23"/>
      <c r="EF13" s="23"/>
      <c r="EG13" s="73">
        <f t="shared" si="50"/>
        <v>0</v>
      </c>
      <c r="EH13" s="23"/>
      <c r="EI13" s="23"/>
      <c r="EJ13" s="73">
        <f t="shared" si="51"/>
        <v>0</v>
      </c>
      <c r="EK13" s="23"/>
      <c r="EL13" s="23"/>
      <c r="EM13" s="73">
        <f t="shared" si="52"/>
        <v>0</v>
      </c>
      <c r="EN13" s="23"/>
      <c r="EO13" s="23"/>
      <c r="EP13" s="73">
        <f t="shared" si="53"/>
        <v>0</v>
      </c>
      <c r="EQ13" s="73">
        <f t="shared" si="54"/>
        <v>225000</v>
      </c>
      <c r="ER13" s="73">
        <f t="shared" si="55"/>
        <v>222570</v>
      </c>
      <c r="ES13" s="73">
        <f t="shared" si="56"/>
        <v>-2430</v>
      </c>
      <c r="ET13" s="23">
        <f t="shared" si="61"/>
        <v>-132003</v>
      </c>
      <c r="EU13" s="79"/>
      <c r="EV13" s="73">
        <f t="shared" si="57"/>
        <v>105000</v>
      </c>
      <c r="EW13" s="73">
        <f t="shared" si="58"/>
        <v>105000</v>
      </c>
      <c r="EX13" s="23">
        <f t="shared" si="59"/>
        <v>0</v>
      </c>
      <c r="EY13" s="23">
        <f t="shared" si="62"/>
        <v>-62654</v>
      </c>
      <c r="EZ13" s="79"/>
      <c r="FA13" s="23">
        <f t="shared" si="60"/>
        <v>-2430</v>
      </c>
      <c r="FB13" s="23">
        <f t="shared" si="63"/>
        <v>-69349</v>
      </c>
      <c r="FC13" s="79"/>
      <c r="FD13" s="79"/>
      <c r="FE13" s="79"/>
      <c r="FF13" s="79"/>
      <c r="FG13" s="79"/>
      <c r="FH13" s="79"/>
      <c r="FI13" s="79"/>
    </row>
    <row r="14" spans="1:202" x14ac:dyDescent="0.2">
      <c r="A14" s="72">
        <f>+BaseloadMarkets!A14</f>
        <v>36716</v>
      </c>
      <c r="B14" s="72" t="str">
        <f>+BaseloadMarkets!B14</f>
        <v>Sun</v>
      </c>
      <c r="C14" s="23">
        <v>10000</v>
      </c>
      <c r="D14" s="23">
        <v>10000</v>
      </c>
      <c r="E14" s="73">
        <f t="shared" si="0"/>
        <v>0</v>
      </c>
      <c r="F14" s="23">
        <v>10000</v>
      </c>
      <c r="G14" s="23">
        <v>10000</v>
      </c>
      <c r="H14" s="73">
        <f t="shared" si="1"/>
        <v>0</v>
      </c>
      <c r="I14" s="23">
        <v>10000</v>
      </c>
      <c r="J14" s="23">
        <v>10000</v>
      </c>
      <c r="K14" s="73">
        <f t="shared" si="2"/>
        <v>0</v>
      </c>
      <c r="L14" s="23">
        <v>5000</v>
      </c>
      <c r="M14" s="23">
        <v>5000</v>
      </c>
      <c r="N14" s="73">
        <f t="shared" si="3"/>
        <v>0</v>
      </c>
      <c r="O14" s="23">
        <v>10000</v>
      </c>
      <c r="P14" s="23">
        <v>10000</v>
      </c>
      <c r="Q14" s="73">
        <f t="shared" si="4"/>
        <v>0</v>
      </c>
      <c r="R14" s="23">
        <f t="shared" si="5"/>
        <v>10000</v>
      </c>
      <c r="S14" s="23">
        <f t="shared" si="5"/>
        <v>10000</v>
      </c>
      <c r="T14" s="73">
        <f t="shared" si="6"/>
        <v>0</v>
      </c>
      <c r="U14" s="23">
        <f t="shared" si="7"/>
        <v>10000</v>
      </c>
      <c r="V14" s="23">
        <f t="shared" si="7"/>
        <v>10000</v>
      </c>
      <c r="W14" s="73">
        <f t="shared" si="8"/>
        <v>0</v>
      </c>
      <c r="X14" s="23">
        <f t="shared" si="9"/>
        <v>10000</v>
      </c>
      <c r="Y14" s="23">
        <f t="shared" si="9"/>
        <v>10000</v>
      </c>
      <c r="Z14" s="73">
        <f t="shared" si="10"/>
        <v>0</v>
      </c>
      <c r="AA14" s="23">
        <f t="shared" si="11"/>
        <v>10000</v>
      </c>
      <c r="AB14" s="23">
        <f t="shared" si="11"/>
        <v>10000</v>
      </c>
      <c r="AC14" s="73">
        <f t="shared" si="12"/>
        <v>0</v>
      </c>
      <c r="AD14" s="23">
        <f t="shared" si="13"/>
        <v>10000</v>
      </c>
      <c r="AE14" s="23">
        <f t="shared" si="13"/>
        <v>10000</v>
      </c>
      <c r="AF14" s="73">
        <f t="shared" si="14"/>
        <v>0</v>
      </c>
      <c r="AG14" s="75">
        <v>120000</v>
      </c>
      <c r="AH14" s="75">
        <f>120000-5000+3517-9321-25679+18062+9321</f>
        <v>110900</v>
      </c>
      <c r="AI14" s="120">
        <f t="shared" si="15"/>
        <v>-9100</v>
      </c>
      <c r="AJ14" s="23">
        <f t="shared" si="16"/>
        <v>10000</v>
      </c>
      <c r="AK14" s="23">
        <f t="shared" si="64"/>
        <v>10000</v>
      </c>
      <c r="AL14" s="73">
        <f t="shared" si="17"/>
        <v>0</v>
      </c>
      <c r="AM14" s="23"/>
      <c r="AN14" s="23"/>
      <c r="AO14" s="73">
        <f t="shared" si="18"/>
        <v>0</v>
      </c>
      <c r="AP14" s="23"/>
      <c r="AQ14" s="23"/>
      <c r="AR14" s="73">
        <f t="shared" si="19"/>
        <v>0</v>
      </c>
      <c r="AS14" s="23"/>
      <c r="AT14" s="23"/>
      <c r="AU14" s="73">
        <f t="shared" si="20"/>
        <v>0</v>
      </c>
      <c r="AV14" s="23"/>
      <c r="AW14" s="23"/>
      <c r="AX14" s="73">
        <f t="shared" si="21"/>
        <v>0</v>
      </c>
      <c r="AY14" s="23"/>
      <c r="AZ14" s="23"/>
      <c r="BA14" s="73">
        <f t="shared" si="22"/>
        <v>0</v>
      </c>
      <c r="BB14" s="23"/>
      <c r="BC14" s="23"/>
      <c r="BD14" s="73">
        <f t="shared" si="23"/>
        <v>0</v>
      </c>
      <c r="BE14" s="23"/>
      <c r="BF14" s="23"/>
      <c r="BG14" s="73">
        <f t="shared" si="24"/>
        <v>0</v>
      </c>
      <c r="BH14" s="23"/>
      <c r="BI14" s="23"/>
      <c r="BJ14" s="73">
        <f t="shared" si="25"/>
        <v>0</v>
      </c>
      <c r="BK14" s="23"/>
      <c r="BL14" s="23"/>
      <c r="BM14" s="73">
        <f t="shared" si="26"/>
        <v>0</v>
      </c>
      <c r="BN14" s="23"/>
      <c r="BO14" s="23"/>
      <c r="BP14" s="73">
        <f t="shared" si="27"/>
        <v>0</v>
      </c>
      <c r="BQ14" s="23"/>
      <c r="BR14" s="23"/>
      <c r="BS14" s="73">
        <f t="shared" si="28"/>
        <v>0</v>
      </c>
      <c r="BT14" s="23"/>
      <c r="BU14" s="23"/>
      <c r="BV14" s="73">
        <f t="shared" si="29"/>
        <v>0</v>
      </c>
      <c r="BW14" s="23"/>
      <c r="BX14" s="23"/>
      <c r="BY14" s="73">
        <f t="shared" si="30"/>
        <v>0</v>
      </c>
      <c r="BZ14" s="23"/>
      <c r="CA14" s="23"/>
      <c r="CB14" s="73">
        <f t="shared" si="31"/>
        <v>0</v>
      </c>
      <c r="CC14" s="23"/>
      <c r="CD14" s="23"/>
      <c r="CE14" s="73">
        <f t="shared" si="32"/>
        <v>0</v>
      </c>
      <c r="CF14" s="23"/>
      <c r="CG14" s="23"/>
      <c r="CH14" s="73">
        <f t="shared" si="33"/>
        <v>0</v>
      </c>
      <c r="CI14" s="23"/>
      <c r="CJ14" s="23"/>
      <c r="CK14" s="73">
        <f t="shared" si="34"/>
        <v>0</v>
      </c>
      <c r="CL14" s="23"/>
      <c r="CM14" s="23"/>
      <c r="CN14" s="73">
        <f t="shared" si="35"/>
        <v>0</v>
      </c>
      <c r="CO14" s="23"/>
      <c r="CP14" s="23"/>
      <c r="CQ14" s="73">
        <f t="shared" si="36"/>
        <v>0</v>
      </c>
      <c r="CR14" s="23"/>
      <c r="CS14" s="23"/>
      <c r="CT14" s="73">
        <f t="shared" si="37"/>
        <v>0</v>
      </c>
      <c r="CU14" s="23"/>
      <c r="CV14" s="23"/>
      <c r="CW14" s="73">
        <f t="shared" si="38"/>
        <v>0</v>
      </c>
      <c r="CX14" s="23"/>
      <c r="CY14" s="23"/>
      <c r="CZ14" s="73">
        <f t="shared" si="39"/>
        <v>0</v>
      </c>
      <c r="DA14" s="23"/>
      <c r="DB14" s="23"/>
      <c r="DC14" s="73">
        <f t="shared" si="40"/>
        <v>0</v>
      </c>
      <c r="DD14" s="23"/>
      <c r="DE14" s="23"/>
      <c r="DF14" s="73">
        <f t="shared" si="41"/>
        <v>0</v>
      </c>
      <c r="DG14" s="23"/>
      <c r="DH14" s="23"/>
      <c r="DI14" s="73">
        <f t="shared" si="42"/>
        <v>0</v>
      </c>
      <c r="DJ14" s="23"/>
      <c r="DK14" s="23"/>
      <c r="DL14" s="73">
        <f t="shared" si="43"/>
        <v>0</v>
      </c>
      <c r="DM14" s="23"/>
      <c r="DN14" s="23"/>
      <c r="DO14" s="73">
        <f t="shared" si="44"/>
        <v>0</v>
      </c>
      <c r="DP14" s="23"/>
      <c r="DQ14" s="23"/>
      <c r="DR14" s="73">
        <f t="shared" si="45"/>
        <v>0</v>
      </c>
      <c r="DS14" s="23"/>
      <c r="DT14" s="23"/>
      <c r="DU14" s="73">
        <f t="shared" si="46"/>
        <v>0</v>
      </c>
      <c r="DV14" s="23"/>
      <c r="DW14" s="23"/>
      <c r="DX14" s="73">
        <f t="shared" si="47"/>
        <v>0</v>
      </c>
      <c r="DY14" s="23"/>
      <c r="DZ14" s="23"/>
      <c r="EA14" s="73">
        <f t="shared" si="48"/>
        <v>0</v>
      </c>
      <c r="EB14" s="23"/>
      <c r="EC14" s="23"/>
      <c r="ED14" s="73">
        <f t="shared" si="49"/>
        <v>0</v>
      </c>
      <c r="EE14" s="23"/>
      <c r="EF14" s="23"/>
      <c r="EG14" s="73">
        <f t="shared" si="50"/>
        <v>0</v>
      </c>
      <c r="EH14" s="23"/>
      <c r="EI14" s="23"/>
      <c r="EJ14" s="73">
        <f t="shared" si="51"/>
        <v>0</v>
      </c>
      <c r="EK14" s="23"/>
      <c r="EL14" s="23"/>
      <c r="EM14" s="73">
        <f t="shared" si="52"/>
        <v>0</v>
      </c>
      <c r="EN14" s="23"/>
      <c r="EO14" s="23"/>
      <c r="EP14" s="73">
        <f t="shared" si="53"/>
        <v>0</v>
      </c>
      <c r="EQ14" s="73">
        <f t="shared" si="54"/>
        <v>225000</v>
      </c>
      <c r="ER14" s="73">
        <f t="shared" si="55"/>
        <v>215900</v>
      </c>
      <c r="ES14" s="73">
        <f t="shared" si="56"/>
        <v>-9100</v>
      </c>
      <c r="ET14" s="23">
        <f t="shared" si="61"/>
        <v>-141103</v>
      </c>
      <c r="EU14" s="79"/>
      <c r="EV14" s="73">
        <f t="shared" si="57"/>
        <v>105000</v>
      </c>
      <c r="EW14" s="73">
        <f t="shared" si="58"/>
        <v>105000</v>
      </c>
      <c r="EX14" s="23">
        <f t="shared" si="59"/>
        <v>0</v>
      </c>
      <c r="EY14" s="23">
        <f t="shared" si="62"/>
        <v>-62654</v>
      </c>
      <c r="EZ14" s="79"/>
      <c r="FA14" s="23">
        <f t="shared" si="60"/>
        <v>-9100</v>
      </c>
      <c r="FB14" s="23">
        <f t="shared" si="63"/>
        <v>-78449</v>
      </c>
      <c r="FC14" s="79"/>
      <c r="FD14" s="79"/>
      <c r="FE14" s="79"/>
      <c r="FF14" s="79"/>
      <c r="FG14" s="79"/>
      <c r="FH14" s="79"/>
      <c r="FI14" s="79"/>
    </row>
    <row r="15" spans="1:202" x14ac:dyDescent="0.2">
      <c r="A15" s="72">
        <f>+BaseloadMarkets!A15</f>
        <v>36717</v>
      </c>
      <c r="B15" s="72" t="str">
        <f>+BaseloadMarkets!B15</f>
        <v>Mon</v>
      </c>
      <c r="C15" s="23">
        <v>10000</v>
      </c>
      <c r="D15" s="23">
        <v>10000</v>
      </c>
      <c r="E15" s="73">
        <f t="shared" si="0"/>
        <v>0</v>
      </c>
      <c r="F15" s="23">
        <v>10000</v>
      </c>
      <c r="G15" s="23">
        <v>10000</v>
      </c>
      <c r="H15" s="73">
        <f t="shared" si="1"/>
        <v>0</v>
      </c>
      <c r="I15" s="23">
        <v>10000</v>
      </c>
      <c r="J15" s="23">
        <v>10000</v>
      </c>
      <c r="K15" s="73">
        <f t="shared" si="2"/>
        <v>0</v>
      </c>
      <c r="L15" s="23">
        <v>5000</v>
      </c>
      <c r="M15" s="23">
        <v>5000</v>
      </c>
      <c r="N15" s="73">
        <f t="shared" si="3"/>
        <v>0</v>
      </c>
      <c r="O15" s="23">
        <v>10000</v>
      </c>
      <c r="P15" s="23">
        <v>10000</v>
      </c>
      <c r="Q15" s="73">
        <f t="shared" si="4"/>
        <v>0</v>
      </c>
      <c r="R15" s="23">
        <f t="shared" si="5"/>
        <v>10000</v>
      </c>
      <c r="S15" s="23">
        <f t="shared" si="5"/>
        <v>10000</v>
      </c>
      <c r="T15" s="73">
        <f t="shared" si="6"/>
        <v>0</v>
      </c>
      <c r="U15" s="23">
        <f t="shared" si="7"/>
        <v>10000</v>
      </c>
      <c r="V15" s="23">
        <f t="shared" si="7"/>
        <v>10000</v>
      </c>
      <c r="W15" s="73">
        <f t="shared" si="8"/>
        <v>0</v>
      </c>
      <c r="X15" s="23">
        <f t="shared" si="9"/>
        <v>10000</v>
      </c>
      <c r="Y15" s="23">
        <f t="shared" si="9"/>
        <v>10000</v>
      </c>
      <c r="Z15" s="73">
        <f t="shared" si="10"/>
        <v>0</v>
      </c>
      <c r="AA15" s="23">
        <f t="shared" si="11"/>
        <v>10000</v>
      </c>
      <c r="AB15" s="23">
        <f t="shared" si="11"/>
        <v>10000</v>
      </c>
      <c r="AC15" s="73">
        <f t="shared" si="12"/>
        <v>0</v>
      </c>
      <c r="AD15" s="23">
        <f t="shared" si="13"/>
        <v>10000</v>
      </c>
      <c r="AE15" s="23">
        <f t="shared" si="13"/>
        <v>10000</v>
      </c>
      <c r="AF15" s="73">
        <f t="shared" si="14"/>
        <v>0</v>
      </c>
      <c r="AG15" s="75">
        <v>120000</v>
      </c>
      <c r="AH15" s="75">
        <v>118296</v>
      </c>
      <c r="AI15" s="120">
        <f t="shared" si="15"/>
        <v>-1704</v>
      </c>
      <c r="AJ15" s="23">
        <f t="shared" si="16"/>
        <v>10000</v>
      </c>
      <c r="AK15" s="23">
        <f t="shared" si="64"/>
        <v>10000</v>
      </c>
      <c r="AL15" s="73">
        <f t="shared" si="17"/>
        <v>0</v>
      </c>
      <c r="AM15" s="23"/>
      <c r="AN15" s="23"/>
      <c r="AO15" s="73">
        <f t="shared" si="18"/>
        <v>0</v>
      </c>
      <c r="AP15" s="23"/>
      <c r="AQ15" s="23"/>
      <c r="AR15" s="73">
        <f t="shared" si="19"/>
        <v>0</v>
      </c>
      <c r="AS15" s="23"/>
      <c r="AT15" s="23"/>
      <c r="AU15" s="73">
        <f t="shared" si="20"/>
        <v>0</v>
      </c>
      <c r="AV15" s="23"/>
      <c r="AW15" s="23"/>
      <c r="AX15" s="73">
        <f t="shared" si="21"/>
        <v>0</v>
      </c>
      <c r="AY15" s="23"/>
      <c r="AZ15" s="23"/>
      <c r="BA15" s="73">
        <f t="shared" si="22"/>
        <v>0</v>
      </c>
      <c r="BB15" s="23"/>
      <c r="BC15" s="23"/>
      <c r="BD15" s="73">
        <f t="shared" si="23"/>
        <v>0</v>
      </c>
      <c r="BE15" s="23"/>
      <c r="BF15" s="23"/>
      <c r="BG15" s="73">
        <f t="shared" si="24"/>
        <v>0</v>
      </c>
      <c r="BH15" s="23"/>
      <c r="BI15" s="23"/>
      <c r="BJ15" s="73">
        <f t="shared" si="25"/>
        <v>0</v>
      </c>
      <c r="BK15" s="23"/>
      <c r="BL15" s="23"/>
      <c r="BM15" s="73">
        <f t="shared" si="26"/>
        <v>0</v>
      </c>
      <c r="BN15" s="23"/>
      <c r="BO15" s="23"/>
      <c r="BP15" s="73">
        <f t="shared" si="27"/>
        <v>0</v>
      </c>
      <c r="BQ15" s="23"/>
      <c r="BR15" s="23"/>
      <c r="BS15" s="73">
        <f t="shared" si="28"/>
        <v>0</v>
      </c>
      <c r="BT15" s="23"/>
      <c r="BU15" s="23"/>
      <c r="BV15" s="73">
        <f t="shared" si="29"/>
        <v>0</v>
      </c>
      <c r="BW15" s="23"/>
      <c r="BX15" s="23"/>
      <c r="BY15" s="73">
        <f t="shared" si="30"/>
        <v>0</v>
      </c>
      <c r="BZ15" s="23"/>
      <c r="CA15" s="23"/>
      <c r="CB15" s="73">
        <f t="shared" si="31"/>
        <v>0</v>
      </c>
      <c r="CC15" s="23"/>
      <c r="CD15" s="23"/>
      <c r="CE15" s="73">
        <f t="shared" si="32"/>
        <v>0</v>
      </c>
      <c r="CF15" s="23"/>
      <c r="CG15" s="23"/>
      <c r="CH15" s="73">
        <f t="shared" si="33"/>
        <v>0</v>
      </c>
      <c r="CI15" s="23"/>
      <c r="CJ15" s="23"/>
      <c r="CK15" s="73">
        <f t="shared" si="34"/>
        <v>0</v>
      </c>
      <c r="CL15" s="23"/>
      <c r="CM15" s="23"/>
      <c r="CN15" s="73">
        <f t="shared" si="35"/>
        <v>0</v>
      </c>
      <c r="CO15" s="23"/>
      <c r="CP15" s="23"/>
      <c r="CQ15" s="73">
        <f t="shared" si="36"/>
        <v>0</v>
      </c>
      <c r="CR15" s="23"/>
      <c r="CS15" s="23"/>
      <c r="CT15" s="73">
        <f t="shared" si="37"/>
        <v>0</v>
      </c>
      <c r="CU15" s="23"/>
      <c r="CV15" s="23"/>
      <c r="CW15" s="73">
        <f t="shared" si="38"/>
        <v>0</v>
      </c>
      <c r="CX15" s="23"/>
      <c r="CY15" s="23"/>
      <c r="CZ15" s="73">
        <f t="shared" si="39"/>
        <v>0</v>
      </c>
      <c r="DA15" s="23"/>
      <c r="DB15" s="23"/>
      <c r="DC15" s="73">
        <f t="shared" si="40"/>
        <v>0</v>
      </c>
      <c r="DD15" s="23"/>
      <c r="DE15" s="23"/>
      <c r="DF15" s="73">
        <f t="shared" si="41"/>
        <v>0</v>
      </c>
      <c r="DG15" s="23"/>
      <c r="DH15" s="23"/>
      <c r="DI15" s="73">
        <f t="shared" si="42"/>
        <v>0</v>
      </c>
      <c r="DJ15" s="23"/>
      <c r="DK15" s="23"/>
      <c r="DL15" s="73">
        <f t="shared" si="43"/>
        <v>0</v>
      </c>
      <c r="DM15" s="23"/>
      <c r="DN15" s="23"/>
      <c r="DO15" s="73">
        <f t="shared" si="44"/>
        <v>0</v>
      </c>
      <c r="DP15" s="23"/>
      <c r="DQ15" s="23"/>
      <c r="DR15" s="73">
        <f t="shared" si="45"/>
        <v>0</v>
      </c>
      <c r="DS15" s="23"/>
      <c r="DT15" s="23"/>
      <c r="DU15" s="73">
        <f t="shared" si="46"/>
        <v>0</v>
      </c>
      <c r="DV15" s="23"/>
      <c r="DW15" s="23"/>
      <c r="DX15" s="73">
        <f t="shared" si="47"/>
        <v>0</v>
      </c>
      <c r="DY15" s="23"/>
      <c r="DZ15" s="23"/>
      <c r="EA15" s="73">
        <f t="shared" si="48"/>
        <v>0</v>
      </c>
      <c r="EB15" s="23"/>
      <c r="EC15" s="23"/>
      <c r="ED15" s="73">
        <f t="shared" si="49"/>
        <v>0</v>
      </c>
      <c r="EE15" s="23"/>
      <c r="EF15" s="23"/>
      <c r="EG15" s="73">
        <f t="shared" si="50"/>
        <v>0</v>
      </c>
      <c r="EH15" s="23"/>
      <c r="EI15" s="23"/>
      <c r="EJ15" s="73">
        <f t="shared" si="51"/>
        <v>0</v>
      </c>
      <c r="EK15" s="23"/>
      <c r="EL15" s="23"/>
      <c r="EM15" s="73">
        <f t="shared" si="52"/>
        <v>0</v>
      </c>
      <c r="EN15" s="23"/>
      <c r="EO15" s="23"/>
      <c r="EP15" s="73">
        <f t="shared" si="53"/>
        <v>0</v>
      </c>
      <c r="EQ15" s="73">
        <f t="shared" si="54"/>
        <v>225000</v>
      </c>
      <c r="ER15" s="73">
        <f t="shared" si="55"/>
        <v>223296</v>
      </c>
      <c r="ES15" s="73">
        <f t="shared" si="56"/>
        <v>-1704</v>
      </c>
      <c r="ET15" s="23">
        <f t="shared" si="61"/>
        <v>-142807</v>
      </c>
      <c r="EU15" s="79"/>
      <c r="EV15" s="73">
        <f t="shared" si="57"/>
        <v>105000</v>
      </c>
      <c r="EW15" s="73">
        <f t="shared" si="58"/>
        <v>105000</v>
      </c>
      <c r="EX15" s="23">
        <f t="shared" si="59"/>
        <v>0</v>
      </c>
      <c r="EY15" s="23">
        <f t="shared" si="62"/>
        <v>-62654</v>
      </c>
      <c r="EZ15" s="79"/>
      <c r="FA15" s="23">
        <f t="shared" si="60"/>
        <v>-1704</v>
      </c>
      <c r="FB15" s="23">
        <f t="shared" si="63"/>
        <v>-80153</v>
      </c>
      <c r="FC15" s="79"/>
      <c r="FD15" s="79"/>
      <c r="FE15" s="79"/>
      <c r="FF15" s="79"/>
      <c r="FG15" s="79"/>
      <c r="FH15" s="79"/>
      <c r="FI15" s="79"/>
    </row>
    <row r="16" spans="1:202" x14ac:dyDescent="0.2">
      <c r="A16" s="72">
        <f>+BaseloadMarkets!A16</f>
        <v>36718</v>
      </c>
      <c r="B16" s="72" t="str">
        <f>+BaseloadMarkets!B16</f>
        <v>Tues</v>
      </c>
      <c r="C16" s="23">
        <v>10000</v>
      </c>
      <c r="D16" s="23">
        <v>10000</v>
      </c>
      <c r="E16" s="73">
        <f t="shared" si="0"/>
        <v>0</v>
      </c>
      <c r="F16" s="23">
        <v>10000</v>
      </c>
      <c r="G16" s="23">
        <v>10000</v>
      </c>
      <c r="H16" s="73">
        <f t="shared" si="1"/>
        <v>0</v>
      </c>
      <c r="I16" s="23">
        <v>10000</v>
      </c>
      <c r="J16" s="23">
        <v>10000</v>
      </c>
      <c r="K16" s="73">
        <f t="shared" si="2"/>
        <v>0</v>
      </c>
      <c r="L16" s="23">
        <v>5000</v>
      </c>
      <c r="M16" s="23">
        <v>5000</v>
      </c>
      <c r="N16" s="73">
        <f t="shared" si="3"/>
        <v>0</v>
      </c>
      <c r="O16" s="23">
        <v>10000</v>
      </c>
      <c r="P16" s="23">
        <v>10000</v>
      </c>
      <c r="Q16" s="73">
        <f t="shared" si="4"/>
        <v>0</v>
      </c>
      <c r="R16" s="23">
        <f t="shared" si="5"/>
        <v>10000</v>
      </c>
      <c r="S16" s="23">
        <f t="shared" si="5"/>
        <v>10000</v>
      </c>
      <c r="T16" s="73">
        <f t="shared" si="6"/>
        <v>0</v>
      </c>
      <c r="U16" s="23">
        <f t="shared" si="7"/>
        <v>10000</v>
      </c>
      <c r="V16" s="23">
        <f t="shared" si="7"/>
        <v>10000</v>
      </c>
      <c r="W16" s="73">
        <f t="shared" si="8"/>
        <v>0</v>
      </c>
      <c r="X16" s="23">
        <f t="shared" si="9"/>
        <v>10000</v>
      </c>
      <c r="Y16" s="23">
        <f t="shared" si="9"/>
        <v>10000</v>
      </c>
      <c r="Z16" s="73">
        <f t="shared" si="10"/>
        <v>0</v>
      </c>
      <c r="AA16" s="23">
        <f t="shared" si="11"/>
        <v>10000</v>
      </c>
      <c r="AB16" s="23">
        <f t="shared" si="11"/>
        <v>10000</v>
      </c>
      <c r="AC16" s="73">
        <f t="shared" si="12"/>
        <v>0</v>
      </c>
      <c r="AD16" s="23">
        <f t="shared" si="13"/>
        <v>10000</v>
      </c>
      <c r="AE16" s="23">
        <f t="shared" si="13"/>
        <v>10000</v>
      </c>
      <c r="AF16" s="73">
        <f t="shared" si="14"/>
        <v>0</v>
      </c>
      <c r="AG16" s="75">
        <v>380000</v>
      </c>
      <c r="AH16" s="75">
        <f>353962-2214</f>
        <v>351748</v>
      </c>
      <c r="AI16" s="120">
        <f t="shared" si="15"/>
        <v>-28252</v>
      </c>
      <c r="AJ16" s="23">
        <f t="shared" si="16"/>
        <v>10000</v>
      </c>
      <c r="AK16" s="23">
        <f t="shared" si="64"/>
        <v>10000</v>
      </c>
      <c r="AL16" s="73">
        <f t="shared" si="17"/>
        <v>0</v>
      </c>
      <c r="AM16" s="23"/>
      <c r="AN16" s="23"/>
      <c r="AO16" s="73">
        <f t="shared" si="18"/>
        <v>0</v>
      </c>
      <c r="AP16" s="23"/>
      <c r="AQ16" s="23"/>
      <c r="AR16" s="73">
        <f t="shared" si="19"/>
        <v>0</v>
      </c>
      <c r="AS16" s="23"/>
      <c r="AT16" s="23"/>
      <c r="AU16" s="73">
        <f t="shared" si="20"/>
        <v>0</v>
      </c>
      <c r="AV16" s="23"/>
      <c r="AW16" s="23"/>
      <c r="AX16" s="73">
        <f t="shared" si="21"/>
        <v>0</v>
      </c>
      <c r="AY16" s="23"/>
      <c r="AZ16" s="23"/>
      <c r="BA16" s="73">
        <f t="shared" si="22"/>
        <v>0</v>
      </c>
      <c r="BB16" s="23"/>
      <c r="BC16" s="23"/>
      <c r="BD16" s="73">
        <f t="shared" si="23"/>
        <v>0</v>
      </c>
      <c r="BE16" s="23"/>
      <c r="BF16" s="23"/>
      <c r="BG16" s="73">
        <f t="shared" si="24"/>
        <v>0</v>
      </c>
      <c r="BH16" s="23"/>
      <c r="BI16" s="23"/>
      <c r="BJ16" s="73">
        <f t="shared" si="25"/>
        <v>0</v>
      </c>
      <c r="BK16" s="23"/>
      <c r="BL16" s="23"/>
      <c r="BM16" s="73">
        <f t="shared" si="26"/>
        <v>0</v>
      </c>
      <c r="BN16" s="23"/>
      <c r="BO16" s="23"/>
      <c r="BP16" s="73">
        <f t="shared" si="27"/>
        <v>0</v>
      </c>
      <c r="BQ16" s="23"/>
      <c r="BR16" s="23"/>
      <c r="BS16" s="73">
        <f t="shared" si="28"/>
        <v>0</v>
      </c>
      <c r="BT16" s="23"/>
      <c r="BU16" s="23"/>
      <c r="BV16" s="73">
        <f t="shared" si="29"/>
        <v>0</v>
      </c>
      <c r="BW16" s="23"/>
      <c r="BX16" s="23"/>
      <c r="BY16" s="73">
        <f t="shared" si="30"/>
        <v>0</v>
      </c>
      <c r="BZ16" s="23"/>
      <c r="CA16" s="23"/>
      <c r="CB16" s="73">
        <f t="shared" si="31"/>
        <v>0</v>
      </c>
      <c r="CC16" s="23"/>
      <c r="CD16" s="23"/>
      <c r="CE16" s="73">
        <f t="shared" si="32"/>
        <v>0</v>
      </c>
      <c r="CF16" s="23"/>
      <c r="CG16" s="23"/>
      <c r="CH16" s="73">
        <f t="shared" si="33"/>
        <v>0</v>
      </c>
      <c r="CI16" s="23"/>
      <c r="CJ16" s="23"/>
      <c r="CK16" s="73">
        <f t="shared" si="34"/>
        <v>0</v>
      </c>
      <c r="CL16" s="23"/>
      <c r="CM16" s="23"/>
      <c r="CN16" s="73">
        <f t="shared" si="35"/>
        <v>0</v>
      </c>
      <c r="CO16" s="23"/>
      <c r="CP16" s="23"/>
      <c r="CQ16" s="73">
        <f t="shared" si="36"/>
        <v>0</v>
      </c>
      <c r="CR16" s="23"/>
      <c r="CS16" s="23"/>
      <c r="CT16" s="73">
        <f t="shared" si="37"/>
        <v>0</v>
      </c>
      <c r="CU16" s="23"/>
      <c r="CV16" s="23"/>
      <c r="CW16" s="73">
        <f t="shared" si="38"/>
        <v>0</v>
      </c>
      <c r="CX16" s="23"/>
      <c r="CY16" s="23"/>
      <c r="CZ16" s="73">
        <f t="shared" si="39"/>
        <v>0</v>
      </c>
      <c r="DA16" s="23"/>
      <c r="DB16" s="23"/>
      <c r="DC16" s="73">
        <f t="shared" si="40"/>
        <v>0</v>
      </c>
      <c r="DD16" s="23"/>
      <c r="DE16" s="23"/>
      <c r="DF16" s="73">
        <f t="shared" si="41"/>
        <v>0</v>
      </c>
      <c r="DG16" s="23"/>
      <c r="DH16" s="23"/>
      <c r="DI16" s="73">
        <f t="shared" si="42"/>
        <v>0</v>
      </c>
      <c r="DJ16" s="23"/>
      <c r="DK16" s="23"/>
      <c r="DL16" s="73">
        <f t="shared" si="43"/>
        <v>0</v>
      </c>
      <c r="DM16" s="23"/>
      <c r="DN16" s="23"/>
      <c r="DO16" s="73">
        <f t="shared" si="44"/>
        <v>0</v>
      </c>
      <c r="DP16" s="23"/>
      <c r="DQ16" s="23"/>
      <c r="DR16" s="73">
        <f t="shared" si="45"/>
        <v>0</v>
      </c>
      <c r="DS16" s="23"/>
      <c r="DT16" s="23"/>
      <c r="DU16" s="73">
        <f t="shared" si="46"/>
        <v>0</v>
      </c>
      <c r="DV16" s="23"/>
      <c r="DW16" s="23"/>
      <c r="DX16" s="73">
        <f t="shared" si="47"/>
        <v>0</v>
      </c>
      <c r="DY16" s="23"/>
      <c r="DZ16" s="23"/>
      <c r="EA16" s="73">
        <f t="shared" si="48"/>
        <v>0</v>
      </c>
      <c r="EB16" s="23"/>
      <c r="EC16" s="23"/>
      <c r="ED16" s="73">
        <f t="shared" si="49"/>
        <v>0</v>
      </c>
      <c r="EE16" s="23"/>
      <c r="EF16" s="23"/>
      <c r="EG16" s="73">
        <f t="shared" si="50"/>
        <v>0</v>
      </c>
      <c r="EH16" s="23"/>
      <c r="EI16" s="23"/>
      <c r="EJ16" s="73">
        <f t="shared" si="51"/>
        <v>0</v>
      </c>
      <c r="EK16" s="23"/>
      <c r="EL16" s="23"/>
      <c r="EM16" s="73">
        <f t="shared" si="52"/>
        <v>0</v>
      </c>
      <c r="EN16" s="23"/>
      <c r="EO16" s="23"/>
      <c r="EP16" s="73">
        <f t="shared" si="53"/>
        <v>0</v>
      </c>
      <c r="EQ16" s="73">
        <f t="shared" si="54"/>
        <v>485000</v>
      </c>
      <c r="ER16" s="73">
        <f t="shared" si="55"/>
        <v>456748</v>
      </c>
      <c r="ES16" s="73">
        <f t="shared" si="56"/>
        <v>-28252</v>
      </c>
      <c r="ET16" s="23">
        <f t="shared" si="61"/>
        <v>-171059</v>
      </c>
      <c r="EU16" s="79"/>
      <c r="EV16" s="73">
        <f t="shared" si="57"/>
        <v>105000</v>
      </c>
      <c r="EW16" s="73">
        <f t="shared" si="58"/>
        <v>105000</v>
      </c>
      <c r="EX16" s="23">
        <f t="shared" si="59"/>
        <v>0</v>
      </c>
      <c r="EY16" s="23">
        <f t="shared" si="62"/>
        <v>-62654</v>
      </c>
      <c r="EZ16" s="79"/>
      <c r="FA16" s="23">
        <f t="shared" si="60"/>
        <v>-28252</v>
      </c>
      <c r="FB16" s="23">
        <f t="shared" si="63"/>
        <v>-108405</v>
      </c>
      <c r="FC16" s="79"/>
      <c r="FD16" s="79"/>
      <c r="FE16" s="79"/>
      <c r="FF16" s="79"/>
      <c r="FG16" s="79"/>
      <c r="FH16" s="79"/>
      <c r="FI16" s="79"/>
    </row>
    <row r="17" spans="1:165" x14ac:dyDescent="0.2">
      <c r="A17" s="72">
        <f>+BaseloadMarkets!A17</f>
        <v>36719</v>
      </c>
      <c r="B17" s="72" t="str">
        <f>+BaseloadMarkets!B17</f>
        <v>Wed</v>
      </c>
      <c r="C17" s="23">
        <v>10000</v>
      </c>
      <c r="D17" s="23">
        <v>10000</v>
      </c>
      <c r="E17" s="73">
        <f t="shared" si="0"/>
        <v>0</v>
      </c>
      <c r="F17" s="23">
        <v>10000</v>
      </c>
      <c r="G17" s="23">
        <v>10000</v>
      </c>
      <c r="H17" s="73">
        <f t="shared" si="1"/>
        <v>0</v>
      </c>
      <c r="I17" s="23">
        <v>10000</v>
      </c>
      <c r="J17" s="23">
        <v>10000</v>
      </c>
      <c r="K17" s="73">
        <f t="shared" si="2"/>
        <v>0</v>
      </c>
      <c r="L17" s="23">
        <v>5000</v>
      </c>
      <c r="M17" s="23">
        <v>5000</v>
      </c>
      <c r="N17" s="73">
        <f t="shared" si="3"/>
        <v>0</v>
      </c>
      <c r="O17" s="23">
        <v>10000</v>
      </c>
      <c r="P17" s="23">
        <v>10000</v>
      </c>
      <c r="Q17" s="73">
        <f t="shared" si="4"/>
        <v>0</v>
      </c>
      <c r="R17" s="23">
        <f t="shared" si="5"/>
        <v>10000</v>
      </c>
      <c r="S17" s="23">
        <f t="shared" si="5"/>
        <v>10000</v>
      </c>
      <c r="T17" s="73">
        <f t="shared" si="6"/>
        <v>0</v>
      </c>
      <c r="U17" s="23">
        <f t="shared" si="7"/>
        <v>10000</v>
      </c>
      <c r="V17" s="23">
        <f t="shared" si="7"/>
        <v>10000</v>
      </c>
      <c r="W17" s="73">
        <f t="shared" si="8"/>
        <v>0</v>
      </c>
      <c r="X17" s="23">
        <f t="shared" si="9"/>
        <v>10000</v>
      </c>
      <c r="Y17" s="23">
        <f t="shared" si="9"/>
        <v>10000</v>
      </c>
      <c r="Z17" s="73">
        <f t="shared" si="10"/>
        <v>0</v>
      </c>
      <c r="AA17" s="23">
        <f t="shared" si="11"/>
        <v>10000</v>
      </c>
      <c r="AB17" s="23">
        <f t="shared" si="11"/>
        <v>10000</v>
      </c>
      <c r="AC17" s="73">
        <f t="shared" si="12"/>
        <v>0</v>
      </c>
      <c r="AD17" s="23">
        <f t="shared" si="13"/>
        <v>10000</v>
      </c>
      <c r="AE17" s="23">
        <f t="shared" si="13"/>
        <v>10000</v>
      </c>
      <c r="AF17" s="73">
        <f t="shared" si="14"/>
        <v>0</v>
      </c>
      <c r="AG17" s="75">
        <v>255000</v>
      </c>
      <c r="AH17" s="75">
        <f>255000-10000+1026</f>
        <v>246026</v>
      </c>
      <c r="AI17" s="120">
        <f t="shared" si="15"/>
        <v>-8974</v>
      </c>
      <c r="AJ17" s="23">
        <f t="shared" si="16"/>
        <v>10000</v>
      </c>
      <c r="AK17" s="23">
        <f t="shared" si="64"/>
        <v>10000</v>
      </c>
      <c r="AL17" s="73">
        <f t="shared" si="17"/>
        <v>0</v>
      </c>
      <c r="AM17" s="23"/>
      <c r="AN17" s="23"/>
      <c r="AO17" s="73">
        <f t="shared" si="18"/>
        <v>0</v>
      </c>
      <c r="AP17" s="23"/>
      <c r="AQ17" s="23"/>
      <c r="AR17" s="73">
        <f t="shared" si="19"/>
        <v>0</v>
      </c>
      <c r="AS17" s="23"/>
      <c r="AT17" s="23"/>
      <c r="AU17" s="73">
        <f t="shared" si="20"/>
        <v>0</v>
      </c>
      <c r="AV17" s="23"/>
      <c r="AW17" s="23"/>
      <c r="AX17" s="73">
        <f t="shared" si="21"/>
        <v>0</v>
      </c>
      <c r="AY17" s="23"/>
      <c r="AZ17" s="23"/>
      <c r="BA17" s="73">
        <f t="shared" si="22"/>
        <v>0</v>
      </c>
      <c r="BB17" s="23"/>
      <c r="BC17" s="23"/>
      <c r="BD17" s="73">
        <f t="shared" si="23"/>
        <v>0</v>
      </c>
      <c r="BE17" s="23"/>
      <c r="BF17" s="23"/>
      <c r="BG17" s="73">
        <f t="shared" si="24"/>
        <v>0</v>
      </c>
      <c r="BH17" s="23"/>
      <c r="BI17" s="23"/>
      <c r="BJ17" s="73">
        <f t="shared" si="25"/>
        <v>0</v>
      </c>
      <c r="BK17" s="23"/>
      <c r="BL17" s="23"/>
      <c r="BM17" s="73">
        <f t="shared" si="26"/>
        <v>0</v>
      </c>
      <c r="BN17" s="23"/>
      <c r="BO17" s="23"/>
      <c r="BP17" s="73">
        <f t="shared" si="27"/>
        <v>0</v>
      </c>
      <c r="BQ17" s="23"/>
      <c r="BR17" s="23"/>
      <c r="BS17" s="73">
        <f t="shared" si="28"/>
        <v>0</v>
      </c>
      <c r="BT17" s="23"/>
      <c r="BU17" s="23"/>
      <c r="BV17" s="73">
        <f t="shared" si="29"/>
        <v>0</v>
      </c>
      <c r="BW17" s="23"/>
      <c r="BX17" s="23"/>
      <c r="BY17" s="73">
        <f t="shared" si="30"/>
        <v>0</v>
      </c>
      <c r="BZ17" s="23"/>
      <c r="CA17" s="23"/>
      <c r="CB17" s="73">
        <f t="shared" si="31"/>
        <v>0</v>
      </c>
      <c r="CC17" s="23"/>
      <c r="CD17" s="23"/>
      <c r="CE17" s="73">
        <f t="shared" si="32"/>
        <v>0</v>
      </c>
      <c r="CF17" s="23"/>
      <c r="CG17" s="23"/>
      <c r="CH17" s="73">
        <f t="shared" si="33"/>
        <v>0</v>
      </c>
      <c r="CI17" s="23"/>
      <c r="CJ17" s="23"/>
      <c r="CK17" s="73">
        <f t="shared" si="34"/>
        <v>0</v>
      </c>
      <c r="CL17" s="23"/>
      <c r="CM17" s="23"/>
      <c r="CN17" s="73">
        <f t="shared" si="35"/>
        <v>0</v>
      </c>
      <c r="CO17" s="23"/>
      <c r="CP17" s="23"/>
      <c r="CQ17" s="73">
        <f t="shared" si="36"/>
        <v>0</v>
      </c>
      <c r="CR17" s="23"/>
      <c r="CS17" s="23"/>
      <c r="CT17" s="73">
        <f t="shared" si="37"/>
        <v>0</v>
      </c>
      <c r="CU17" s="23"/>
      <c r="CV17" s="23"/>
      <c r="CW17" s="73">
        <f t="shared" si="38"/>
        <v>0</v>
      </c>
      <c r="CX17" s="23"/>
      <c r="CY17" s="23"/>
      <c r="CZ17" s="73">
        <f t="shared" si="39"/>
        <v>0</v>
      </c>
      <c r="DA17" s="23"/>
      <c r="DB17" s="23"/>
      <c r="DC17" s="73">
        <f t="shared" si="40"/>
        <v>0</v>
      </c>
      <c r="DD17" s="23"/>
      <c r="DE17" s="23"/>
      <c r="DF17" s="73">
        <f t="shared" si="41"/>
        <v>0</v>
      </c>
      <c r="DG17" s="23"/>
      <c r="DH17" s="23"/>
      <c r="DI17" s="73">
        <f t="shared" si="42"/>
        <v>0</v>
      </c>
      <c r="DJ17" s="23"/>
      <c r="DK17" s="23"/>
      <c r="DL17" s="73">
        <f t="shared" si="43"/>
        <v>0</v>
      </c>
      <c r="DM17" s="23"/>
      <c r="DN17" s="23"/>
      <c r="DO17" s="73">
        <f t="shared" si="44"/>
        <v>0</v>
      </c>
      <c r="DP17" s="23"/>
      <c r="DQ17" s="23"/>
      <c r="DR17" s="73">
        <f t="shared" si="45"/>
        <v>0</v>
      </c>
      <c r="DS17" s="23"/>
      <c r="DT17" s="23"/>
      <c r="DU17" s="73">
        <f t="shared" si="46"/>
        <v>0</v>
      </c>
      <c r="DV17" s="23"/>
      <c r="DW17" s="23"/>
      <c r="DX17" s="73">
        <f t="shared" si="47"/>
        <v>0</v>
      </c>
      <c r="DY17" s="23"/>
      <c r="DZ17" s="23"/>
      <c r="EA17" s="73">
        <f t="shared" si="48"/>
        <v>0</v>
      </c>
      <c r="EB17" s="23"/>
      <c r="EC17" s="23"/>
      <c r="ED17" s="73">
        <f t="shared" si="49"/>
        <v>0</v>
      </c>
      <c r="EE17" s="23"/>
      <c r="EF17" s="23"/>
      <c r="EG17" s="73">
        <f t="shared" si="50"/>
        <v>0</v>
      </c>
      <c r="EH17" s="23"/>
      <c r="EI17" s="23"/>
      <c r="EJ17" s="73">
        <f t="shared" si="51"/>
        <v>0</v>
      </c>
      <c r="EK17" s="23"/>
      <c r="EL17" s="23"/>
      <c r="EM17" s="73">
        <f t="shared" si="52"/>
        <v>0</v>
      </c>
      <c r="EN17" s="23"/>
      <c r="EO17" s="23"/>
      <c r="EP17" s="73">
        <f t="shared" si="53"/>
        <v>0</v>
      </c>
      <c r="EQ17" s="73">
        <f t="shared" si="54"/>
        <v>360000</v>
      </c>
      <c r="ER17" s="73">
        <f t="shared" si="55"/>
        <v>351026</v>
      </c>
      <c r="ES17" s="73">
        <f t="shared" si="56"/>
        <v>-8974</v>
      </c>
      <c r="ET17" s="23">
        <f t="shared" si="61"/>
        <v>-180033</v>
      </c>
      <c r="EU17" s="79"/>
      <c r="EV17" s="73">
        <f t="shared" si="57"/>
        <v>105000</v>
      </c>
      <c r="EW17" s="73">
        <f t="shared" si="58"/>
        <v>105000</v>
      </c>
      <c r="EX17" s="23">
        <f t="shared" si="59"/>
        <v>0</v>
      </c>
      <c r="EY17" s="23">
        <f t="shared" si="62"/>
        <v>-62654</v>
      </c>
      <c r="EZ17" s="79"/>
      <c r="FA17" s="23">
        <f t="shared" si="60"/>
        <v>-8974</v>
      </c>
      <c r="FB17" s="23">
        <f t="shared" si="63"/>
        <v>-117379</v>
      </c>
      <c r="FC17" s="79"/>
      <c r="FD17" s="79"/>
      <c r="FE17" s="79"/>
      <c r="FF17" s="79"/>
      <c r="FG17" s="79"/>
      <c r="FH17" s="79"/>
      <c r="FI17" s="79"/>
    </row>
    <row r="18" spans="1:165" x14ac:dyDescent="0.2">
      <c r="A18" s="72">
        <f>+BaseloadMarkets!A18</f>
        <v>36720</v>
      </c>
      <c r="B18" s="72" t="str">
        <f>+BaseloadMarkets!B18</f>
        <v>Thu</v>
      </c>
      <c r="C18" s="23">
        <v>10000</v>
      </c>
      <c r="D18" s="23">
        <v>10000</v>
      </c>
      <c r="E18" s="73">
        <f t="shared" si="0"/>
        <v>0</v>
      </c>
      <c r="F18" s="23">
        <v>10000</v>
      </c>
      <c r="G18" s="23">
        <v>10000</v>
      </c>
      <c r="H18" s="73">
        <f t="shared" si="1"/>
        <v>0</v>
      </c>
      <c r="I18" s="23">
        <v>10000</v>
      </c>
      <c r="J18" s="23">
        <v>10000</v>
      </c>
      <c r="K18" s="73">
        <f t="shared" si="2"/>
        <v>0</v>
      </c>
      <c r="L18" s="23">
        <v>5000</v>
      </c>
      <c r="M18" s="23">
        <v>5000</v>
      </c>
      <c r="N18" s="73">
        <f t="shared" si="3"/>
        <v>0</v>
      </c>
      <c r="O18" s="23">
        <v>10000</v>
      </c>
      <c r="P18" s="23">
        <v>10000</v>
      </c>
      <c r="Q18" s="73">
        <f t="shared" si="4"/>
        <v>0</v>
      </c>
      <c r="R18" s="23">
        <f t="shared" si="5"/>
        <v>10000</v>
      </c>
      <c r="S18" s="23">
        <f t="shared" si="5"/>
        <v>10000</v>
      </c>
      <c r="T18" s="73">
        <f t="shared" si="6"/>
        <v>0</v>
      </c>
      <c r="U18" s="23">
        <f t="shared" si="7"/>
        <v>10000</v>
      </c>
      <c r="V18" s="23">
        <f t="shared" si="7"/>
        <v>10000</v>
      </c>
      <c r="W18" s="73">
        <f t="shared" si="8"/>
        <v>0</v>
      </c>
      <c r="X18" s="23">
        <f t="shared" si="9"/>
        <v>10000</v>
      </c>
      <c r="Y18" s="23">
        <f t="shared" si="9"/>
        <v>10000</v>
      </c>
      <c r="Z18" s="73">
        <f t="shared" si="10"/>
        <v>0</v>
      </c>
      <c r="AA18" s="23">
        <f t="shared" si="11"/>
        <v>10000</v>
      </c>
      <c r="AB18" s="23">
        <f t="shared" si="11"/>
        <v>10000</v>
      </c>
      <c r="AC18" s="73">
        <f t="shared" si="12"/>
        <v>0</v>
      </c>
      <c r="AD18" s="23">
        <f t="shared" si="13"/>
        <v>10000</v>
      </c>
      <c r="AE18" s="23">
        <f t="shared" si="13"/>
        <v>10000</v>
      </c>
      <c r="AF18" s="73">
        <f t="shared" si="14"/>
        <v>0</v>
      </c>
      <c r="AG18" s="75">
        <v>315000</v>
      </c>
      <c r="AH18" s="75">
        <f>315000-5000+4813-5000+4813</f>
        <v>314626</v>
      </c>
      <c r="AI18" s="120">
        <f t="shared" si="15"/>
        <v>-374</v>
      </c>
      <c r="AJ18" s="23">
        <f t="shared" si="16"/>
        <v>10000</v>
      </c>
      <c r="AK18" s="23">
        <f t="shared" si="64"/>
        <v>10000</v>
      </c>
      <c r="AL18" s="73">
        <f t="shared" si="17"/>
        <v>0</v>
      </c>
      <c r="AM18" s="23"/>
      <c r="AN18" s="23"/>
      <c r="AO18" s="73">
        <f t="shared" si="18"/>
        <v>0</v>
      </c>
      <c r="AP18" s="23"/>
      <c r="AQ18" s="23"/>
      <c r="AR18" s="73">
        <f t="shared" si="19"/>
        <v>0</v>
      </c>
      <c r="AS18" s="23"/>
      <c r="AT18" s="23"/>
      <c r="AU18" s="73">
        <f t="shared" si="20"/>
        <v>0</v>
      </c>
      <c r="AV18" s="23"/>
      <c r="AW18" s="23"/>
      <c r="AX18" s="73">
        <f t="shared" si="21"/>
        <v>0</v>
      </c>
      <c r="AY18" s="23"/>
      <c r="AZ18" s="23"/>
      <c r="BA18" s="73">
        <f t="shared" si="22"/>
        <v>0</v>
      </c>
      <c r="BB18" s="23"/>
      <c r="BC18" s="23"/>
      <c r="BD18" s="73">
        <f t="shared" si="23"/>
        <v>0</v>
      </c>
      <c r="BE18" s="23"/>
      <c r="BF18" s="23"/>
      <c r="BG18" s="73">
        <f t="shared" si="24"/>
        <v>0</v>
      </c>
      <c r="BH18" s="23"/>
      <c r="BI18" s="23"/>
      <c r="BJ18" s="73">
        <f t="shared" si="25"/>
        <v>0</v>
      </c>
      <c r="BK18" s="23"/>
      <c r="BL18" s="23"/>
      <c r="BM18" s="73">
        <f t="shared" si="26"/>
        <v>0</v>
      </c>
      <c r="BN18" s="23"/>
      <c r="BO18" s="23"/>
      <c r="BP18" s="73">
        <f t="shared" si="27"/>
        <v>0</v>
      </c>
      <c r="BQ18" s="23"/>
      <c r="BR18" s="23"/>
      <c r="BS18" s="73">
        <f t="shared" si="28"/>
        <v>0</v>
      </c>
      <c r="BT18" s="23"/>
      <c r="BU18" s="23"/>
      <c r="BV18" s="73">
        <f t="shared" si="29"/>
        <v>0</v>
      </c>
      <c r="BW18" s="23"/>
      <c r="BX18" s="23"/>
      <c r="BY18" s="73">
        <f t="shared" si="30"/>
        <v>0</v>
      </c>
      <c r="BZ18" s="23"/>
      <c r="CA18" s="23"/>
      <c r="CB18" s="73">
        <f t="shared" si="31"/>
        <v>0</v>
      </c>
      <c r="CC18" s="23"/>
      <c r="CD18" s="23"/>
      <c r="CE18" s="73">
        <f t="shared" si="32"/>
        <v>0</v>
      </c>
      <c r="CF18" s="23"/>
      <c r="CG18" s="23"/>
      <c r="CH18" s="73">
        <f t="shared" si="33"/>
        <v>0</v>
      </c>
      <c r="CI18" s="23"/>
      <c r="CJ18" s="23"/>
      <c r="CK18" s="73">
        <f t="shared" si="34"/>
        <v>0</v>
      </c>
      <c r="CL18" s="23"/>
      <c r="CM18" s="23"/>
      <c r="CN18" s="73">
        <f t="shared" si="35"/>
        <v>0</v>
      </c>
      <c r="CO18" s="23"/>
      <c r="CP18" s="23"/>
      <c r="CQ18" s="73">
        <f t="shared" si="36"/>
        <v>0</v>
      </c>
      <c r="CR18" s="23"/>
      <c r="CS18" s="23"/>
      <c r="CT18" s="73">
        <f t="shared" si="37"/>
        <v>0</v>
      </c>
      <c r="CU18" s="23"/>
      <c r="CV18" s="23"/>
      <c r="CW18" s="73">
        <f t="shared" si="38"/>
        <v>0</v>
      </c>
      <c r="CX18" s="23"/>
      <c r="CY18" s="23"/>
      <c r="CZ18" s="73">
        <f t="shared" si="39"/>
        <v>0</v>
      </c>
      <c r="DA18" s="23"/>
      <c r="DB18" s="23"/>
      <c r="DC18" s="73">
        <f t="shared" si="40"/>
        <v>0</v>
      </c>
      <c r="DD18" s="23"/>
      <c r="DE18" s="23"/>
      <c r="DF18" s="73">
        <f t="shared" si="41"/>
        <v>0</v>
      </c>
      <c r="DG18" s="23"/>
      <c r="DH18" s="23"/>
      <c r="DI18" s="73">
        <f t="shared" si="42"/>
        <v>0</v>
      </c>
      <c r="DJ18" s="23"/>
      <c r="DK18" s="23"/>
      <c r="DL18" s="73">
        <f t="shared" si="43"/>
        <v>0</v>
      </c>
      <c r="DM18" s="23"/>
      <c r="DN18" s="23"/>
      <c r="DO18" s="73">
        <f t="shared" si="44"/>
        <v>0</v>
      </c>
      <c r="DP18" s="23"/>
      <c r="DQ18" s="23"/>
      <c r="DR18" s="73">
        <f t="shared" si="45"/>
        <v>0</v>
      </c>
      <c r="DS18" s="23"/>
      <c r="DT18" s="23"/>
      <c r="DU18" s="73">
        <f t="shared" si="46"/>
        <v>0</v>
      </c>
      <c r="DV18" s="23"/>
      <c r="DW18" s="23"/>
      <c r="DX18" s="73">
        <f t="shared" si="47"/>
        <v>0</v>
      </c>
      <c r="DY18" s="23"/>
      <c r="DZ18" s="23"/>
      <c r="EA18" s="73">
        <f t="shared" si="48"/>
        <v>0</v>
      </c>
      <c r="EB18" s="23"/>
      <c r="EC18" s="23"/>
      <c r="ED18" s="73">
        <f t="shared" si="49"/>
        <v>0</v>
      </c>
      <c r="EE18" s="23"/>
      <c r="EF18" s="23"/>
      <c r="EG18" s="73">
        <f t="shared" si="50"/>
        <v>0</v>
      </c>
      <c r="EH18" s="23"/>
      <c r="EI18" s="23"/>
      <c r="EJ18" s="73">
        <f t="shared" si="51"/>
        <v>0</v>
      </c>
      <c r="EK18" s="23"/>
      <c r="EL18" s="23"/>
      <c r="EM18" s="73">
        <f t="shared" si="52"/>
        <v>0</v>
      </c>
      <c r="EN18" s="23"/>
      <c r="EO18" s="23"/>
      <c r="EP18" s="73">
        <f t="shared" si="53"/>
        <v>0</v>
      </c>
      <c r="EQ18" s="73">
        <f t="shared" si="54"/>
        <v>420000</v>
      </c>
      <c r="ER18" s="73">
        <f t="shared" si="55"/>
        <v>419626</v>
      </c>
      <c r="ES18" s="73">
        <f t="shared" si="56"/>
        <v>-374</v>
      </c>
      <c r="ET18" s="23">
        <f t="shared" si="61"/>
        <v>-180407</v>
      </c>
      <c r="EU18" s="79"/>
      <c r="EV18" s="73">
        <f t="shared" si="57"/>
        <v>105000</v>
      </c>
      <c r="EW18" s="73">
        <f t="shared" si="58"/>
        <v>105000</v>
      </c>
      <c r="EX18" s="23">
        <f t="shared" si="59"/>
        <v>0</v>
      </c>
      <c r="EY18" s="23">
        <f t="shared" si="62"/>
        <v>-62654</v>
      </c>
      <c r="EZ18" s="79"/>
      <c r="FA18" s="23">
        <f t="shared" si="60"/>
        <v>-374</v>
      </c>
      <c r="FB18" s="23">
        <f t="shared" si="63"/>
        <v>-117753</v>
      </c>
      <c r="FC18" s="79"/>
      <c r="FD18" s="79"/>
      <c r="FE18" s="79"/>
      <c r="FF18" s="79"/>
      <c r="FG18" s="79"/>
      <c r="FH18" s="79"/>
      <c r="FI18" s="79"/>
    </row>
    <row r="19" spans="1:165" x14ac:dyDescent="0.2">
      <c r="A19" s="72">
        <f>+BaseloadMarkets!A19</f>
        <v>36721</v>
      </c>
      <c r="B19" s="72" t="str">
        <f>+BaseloadMarkets!B19</f>
        <v>Fri</v>
      </c>
      <c r="C19" s="23">
        <v>10000</v>
      </c>
      <c r="D19" s="23">
        <v>10000</v>
      </c>
      <c r="E19" s="73">
        <f t="shared" si="0"/>
        <v>0</v>
      </c>
      <c r="F19" s="23">
        <v>10000</v>
      </c>
      <c r="G19" s="23">
        <v>10000</v>
      </c>
      <c r="H19" s="73">
        <f t="shared" si="1"/>
        <v>0</v>
      </c>
      <c r="I19" s="23">
        <v>10000</v>
      </c>
      <c r="J19" s="23">
        <v>10000</v>
      </c>
      <c r="K19" s="73">
        <f t="shared" si="2"/>
        <v>0</v>
      </c>
      <c r="L19" s="23">
        <v>5000</v>
      </c>
      <c r="M19" s="23">
        <v>5000</v>
      </c>
      <c r="N19" s="73">
        <f t="shared" si="3"/>
        <v>0</v>
      </c>
      <c r="O19" s="23">
        <v>10000</v>
      </c>
      <c r="P19" s="23">
        <v>10000</v>
      </c>
      <c r="Q19" s="73">
        <f t="shared" si="4"/>
        <v>0</v>
      </c>
      <c r="R19" s="23">
        <f t="shared" si="5"/>
        <v>10000</v>
      </c>
      <c r="S19" s="23">
        <f t="shared" si="5"/>
        <v>10000</v>
      </c>
      <c r="T19" s="73">
        <f t="shared" si="6"/>
        <v>0</v>
      </c>
      <c r="U19" s="23">
        <f t="shared" si="7"/>
        <v>10000</v>
      </c>
      <c r="V19" s="23">
        <f t="shared" si="7"/>
        <v>10000</v>
      </c>
      <c r="W19" s="73">
        <f t="shared" si="8"/>
        <v>0</v>
      </c>
      <c r="X19" s="23">
        <f t="shared" si="9"/>
        <v>10000</v>
      </c>
      <c r="Y19" s="23">
        <f t="shared" si="9"/>
        <v>10000</v>
      </c>
      <c r="Z19" s="73">
        <f t="shared" si="10"/>
        <v>0</v>
      </c>
      <c r="AA19" s="23">
        <f t="shared" si="11"/>
        <v>10000</v>
      </c>
      <c r="AB19" s="23">
        <f t="shared" si="11"/>
        <v>10000</v>
      </c>
      <c r="AC19" s="73">
        <f t="shared" si="12"/>
        <v>0</v>
      </c>
      <c r="AD19" s="23">
        <f t="shared" si="13"/>
        <v>10000</v>
      </c>
      <c r="AE19" s="23">
        <f t="shared" si="13"/>
        <v>10000</v>
      </c>
      <c r="AF19" s="73">
        <f t="shared" si="14"/>
        <v>0</v>
      </c>
      <c r="AG19" s="75">
        <v>175000</v>
      </c>
      <c r="AH19" s="75">
        <f>175000-5000+2647-5000+2992</f>
        <v>170639</v>
      </c>
      <c r="AI19" s="120">
        <f t="shared" si="15"/>
        <v>-4361</v>
      </c>
      <c r="AJ19" s="23">
        <f t="shared" si="16"/>
        <v>10000</v>
      </c>
      <c r="AK19" s="23">
        <f t="shared" si="64"/>
        <v>10000</v>
      </c>
      <c r="AL19" s="73">
        <f t="shared" si="17"/>
        <v>0</v>
      </c>
      <c r="AM19" s="23"/>
      <c r="AN19" s="23"/>
      <c r="AO19" s="73">
        <f t="shared" si="18"/>
        <v>0</v>
      </c>
      <c r="AP19" s="23"/>
      <c r="AQ19" s="23"/>
      <c r="AR19" s="73">
        <f t="shared" si="19"/>
        <v>0</v>
      </c>
      <c r="AS19" s="23"/>
      <c r="AT19" s="23"/>
      <c r="AU19" s="73">
        <f t="shared" si="20"/>
        <v>0</v>
      </c>
      <c r="AV19" s="23"/>
      <c r="AW19" s="23"/>
      <c r="AX19" s="73">
        <f t="shared" si="21"/>
        <v>0</v>
      </c>
      <c r="AY19" s="23"/>
      <c r="AZ19" s="23"/>
      <c r="BA19" s="73">
        <f t="shared" si="22"/>
        <v>0</v>
      </c>
      <c r="BB19" s="23"/>
      <c r="BC19" s="23"/>
      <c r="BD19" s="73">
        <f t="shared" si="23"/>
        <v>0</v>
      </c>
      <c r="BE19" s="23"/>
      <c r="BF19" s="23"/>
      <c r="BG19" s="73">
        <f t="shared" si="24"/>
        <v>0</v>
      </c>
      <c r="BH19" s="23"/>
      <c r="BI19" s="23"/>
      <c r="BJ19" s="73">
        <f t="shared" si="25"/>
        <v>0</v>
      </c>
      <c r="BK19" s="23"/>
      <c r="BL19" s="23"/>
      <c r="BM19" s="73">
        <f t="shared" si="26"/>
        <v>0</v>
      </c>
      <c r="BN19" s="23"/>
      <c r="BO19" s="23"/>
      <c r="BP19" s="73">
        <f t="shared" si="27"/>
        <v>0</v>
      </c>
      <c r="BQ19" s="23"/>
      <c r="BR19" s="23"/>
      <c r="BS19" s="73">
        <f t="shared" si="28"/>
        <v>0</v>
      </c>
      <c r="BT19" s="23"/>
      <c r="BU19" s="23"/>
      <c r="BV19" s="73">
        <f t="shared" si="29"/>
        <v>0</v>
      </c>
      <c r="BW19" s="23"/>
      <c r="BX19" s="23"/>
      <c r="BY19" s="73">
        <f t="shared" si="30"/>
        <v>0</v>
      </c>
      <c r="BZ19" s="23"/>
      <c r="CA19" s="23"/>
      <c r="CB19" s="73">
        <f t="shared" si="31"/>
        <v>0</v>
      </c>
      <c r="CC19" s="23"/>
      <c r="CD19" s="23"/>
      <c r="CE19" s="73">
        <f t="shared" si="32"/>
        <v>0</v>
      </c>
      <c r="CF19" s="23"/>
      <c r="CG19" s="23"/>
      <c r="CH19" s="73">
        <f t="shared" si="33"/>
        <v>0</v>
      </c>
      <c r="CI19" s="23"/>
      <c r="CJ19" s="23"/>
      <c r="CK19" s="73">
        <f t="shared" si="34"/>
        <v>0</v>
      </c>
      <c r="CL19" s="23"/>
      <c r="CM19" s="23"/>
      <c r="CN19" s="73">
        <f t="shared" si="35"/>
        <v>0</v>
      </c>
      <c r="CO19" s="23"/>
      <c r="CP19" s="23"/>
      <c r="CQ19" s="73">
        <f t="shared" si="36"/>
        <v>0</v>
      </c>
      <c r="CR19" s="23"/>
      <c r="CS19" s="23"/>
      <c r="CT19" s="73">
        <f t="shared" si="37"/>
        <v>0</v>
      </c>
      <c r="CU19" s="23"/>
      <c r="CV19" s="23"/>
      <c r="CW19" s="73">
        <f t="shared" si="38"/>
        <v>0</v>
      </c>
      <c r="CX19" s="23"/>
      <c r="CY19" s="23"/>
      <c r="CZ19" s="73">
        <f t="shared" si="39"/>
        <v>0</v>
      </c>
      <c r="DA19" s="23"/>
      <c r="DB19" s="23"/>
      <c r="DC19" s="73">
        <f t="shared" si="40"/>
        <v>0</v>
      </c>
      <c r="DD19" s="23"/>
      <c r="DE19" s="23"/>
      <c r="DF19" s="73">
        <f t="shared" si="41"/>
        <v>0</v>
      </c>
      <c r="DG19" s="23"/>
      <c r="DH19" s="23"/>
      <c r="DI19" s="73">
        <f t="shared" si="42"/>
        <v>0</v>
      </c>
      <c r="DJ19" s="23"/>
      <c r="DK19" s="23"/>
      <c r="DL19" s="73">
        <f t="shared" si="43"/>
        <v>0</v>
      </c>
      <c r="DM19" s="23"/>
      <c r="DN19" s="23"/>
      <c r="DO19" s="73">
        <f t="shared" si="44"/>
        <v>0</v>
      </c>
      <c r="DP19" s="23"/>
      <c r="DQ19" s="23"/>
      <c r="DR19" s="73">
        <f t="shared" si="45"/>
        <v>0</v>
      </c>
      <c r="DS19" s="23"/>
      <c r="DT19" s="23"/>
      <c r="DU19" s="73">
        <f t="shared" si="46"/>
        <v>0</v>
      </c>
      <c r="DV19" s="23"/>
      <c r="DW19" s="23"/>
      <c r="DX19" s="73">
        <f t="shared" si="47"/>
        <v>0</v>
      </c>
      <c r="DY19" s="23"/>
      <c r="DZ19" s="23"/>
      <c r="EA19" s="73">
        <f t="shared" si="48"/>
        <v>0</v>
      </c>
      <c r="EB19" s="23"/>
      <c r="EC19" s="23"/>
      <c r="ED19" s="73">
        <f t="shared" si="49"/>
        <v>0</v>
      </c>
      <c r="EE19" s="23"/>
      <c r="EF19" s="23"/>
      <c r="EG19" s="73">
        <f t="shared" si="50"/>
        <v>0</v>
      </c>
      <c r="EH19" s="23"/>
      <c r="EI19" s="23"/>
      <c r="EJ19" s="73">
        <f t="shared" si="51"/>
        <v>0</v>
      </c>
      <c r="EK19" s="23"/>
      <c r="EL19" s="23"/>
      <c r="EM19" s="73">
        <f t="shared" si="52"/>
        <v>0</v>
      </c>
      <c r="EN19" s="23"/>
      <c r="EO19" s="23"/>
      <c r="EP19" s="73">
        <f t="shared" si="53"/>
        <v>0</v>
      </c>
      <c r="EQ19" s="73">
        <f t="shared" si="54"/>
        <v>280000</v>
      </c>
      <c r="ER19" s="73">
        <f t="shared" si="55"/>
        <v>275639</v>
      </c>
      <c r="ES19" s="73">
        <f t="shared" si="56"/>
        <v>-4361</v>
      </c>
      <c r="ET19" s="23">
        <f t="shared" si="61"/>
        <v>-184768</v>
      </c>
      <c r="EU19" s="79"/>
      <c r="EV19" s="73">
        <f t="shared" si="57"/>
        <v>105000</v>
      </c>
      <c r="EW19" s="73">
        <f t="shared" si="58"/>
        <v>105000</v>
      </c>
      <c r="EX19" s="23">
        <f t="shared" si="59"/>
        <v>0</v>
      </c>
      <c r="EY19" s="23">
        <f t="shared" si="62"/>
        <v>-62654</v>
      </c>
      <c r="EZ19" s="79"/>
      <c r="FA19" s="23">
        <f t="shared" si="60"/>
        <v>-4361</v>
      </c>
      <c r="FB19" s="23">
        <f t="shared" si="63"/>
        <v>-122114</v>
      </c>
      <c r="FC19" s="79"/>
      <c r="FD19" s="79"/>
      <c r="FE19" s="79"/>
      <c r="FF19" s="79"/>
      <c r="FG19" s="79"/>
      <c r="FH19" s="79"/>
      <c r="FI19" s="79"/>
    </row>
    <row r="20" spans="1:165" x14ac:dyDescent="0.2">
      <c r="A20" s="72">
        <f>+BaseloadMarkets!A20</f>
        <v>36722</v>
      </c>
      <c r="B20" s="72" t="str">
        <f>+BaseloadMarkets!B20</f>
        <v>Sat</v>
      </c>
      <c r="C20" s="23">
        <v>10000</v>
      </c>
      <c r="D20" s="23">
        <v>10000</v>
      </c>
      <c r="E20" s="73">
        <f t="shared" si="0"/>
        <v>0</v>
      </c>
      <c r="F20" s="23">
        <v>10000</v>
      </c>
      <c r="G20" s="23">
        <v>10000</v>
      </c>
      <c r="H20" s="73">
        <f t="shared" si="1"/>
        <v>0</v>
      </c>
      <c r="I20" s="23">
        <v>10000</v>
      </c>
      <c r="J20" s="23">
        <v>10000</v>
      </c>
      <c r="K20" s="73">
        <f t="shared" si="2"/>
        <v>0</v>
      </c>
      <c r="L20" s="23">
        <v>5000</v>
      </c>
      <c r="M20" s="23">
        <v>5000</v>
      </c>
      <c r="N20" s="73">
        <f t="shared" si="3"/>
        <v>0</v>
      </c>
      <c r="O20" s="23">
        <v>10000</v>
      </c>
      <c r="P20" s="23">
        <v>10000</v>
      </c>
      <c r="Q20" s="73">
        <f t="shared" si="4"/>
        <v>0</v>
      </c>
      <c r="R20" s="23">
        <f t="shared" si="5"/>
        <v>10000</v>
      </c>
      <c r="S20" s="23">
        <f t="shared" si="5"/>
        <v>10000</v>
      </c>
      <c r="T20" s="73">
        <f t="shared" si="6"/>
        <v>0</v>
      </c>
      <c r="U20" s="23">
        <f t="shared" si="7"/>
        <v>10000</v>
      </c>
      <c r="V20" s="23">
        <f t="shared" si="7"/>
        <v>10000</v>
      </c>
      <c r="W20" s="73">
        <f t="shared" si="8"/>
        <v>0</v>
      </c>
      <c r="X20" s="23">
        <f t="shared" si="9"/>
        <v>10000</v>
      </c>
      <c r="Y20" s="23">
        <f t="shared" si="9"/>
        <v>10000</v>
      </c>
      <c r="Z20" s="73">
        <f t="shared" si="10"/>
        <v>0</v>
      </c>
      <c r="AA20" s="23">
        <f t="shared" si="11"/>
        <v>10000</v>
      </c>
      <c r="AB20" s="23">
        <f t="shared" si="11"/>
        <v>10000</v>
      </c>
      <c r="AC20" s="73">
        <f t="shared" si="12"/>
        <v>0</v>
      </c>
      <c r="AD20" s="23">
        <f t="shared" si="13"/>
        <v>10000</v>
      </c>
      <c r="AE20" s="23">
        <f t="shared" si="13"/>
        <v>10000</v>
      </c>
      <c r="AF20" s="73">
        <f t="shared" si="14"/>
        <v>0</v>
      </c>
      <c r="AG20" s="75">
        <v>65000</v>
      </c>
      <c r="AH20" s="75">
        <v>65000</v>
      </c>
      <c r="AI20" s="120">
        <f t="shared" si="15"/>
        <v>0</v>
      </c>
      <c r="AJ20" s="23">
        <f t="shared" si="16"/>
        <v>10000</v>
      </c>
      <c r="AK20" s="23">
        <f t="shared" si="64"/>
        <v>10000</v>
      </c>
      <c r="AL20" s="73">
        <f t="shared" si="17"/>
        <v>0</v>
      </c>
      <c r="AM20" s="23"/>
      <c r="AN20" s="23"/>
      <c r="AO20" s="73">
        <f t="shared" si="18"/>
        <v>0</v>
      </c>
      <c r="AP20" s="23"/>
      <c r="AQ20" s="23"/>
      <c r="AR20" s="73">
        <f t="shared" si="19"/>
        <v>0</v>
      </c>
      <c r="AS20" s="23"/>
      <c r="AT20" s="23"/>
      <c r="AU20" s="73">
        <f t="shared" si="20"/>
        <v>0</v>
      </c>
      <c r="AV20" s="23"/>
      <c r="AW20" s="23"/>
      <c r="AX20" s="73">
        <f t="shared" si="21"/>
        <v>0</v>
      </c>
      <c r="AY20" s="23"/>
      <c r="AZ20" s="23"/>
      <c r="BA20" s="73">
        <f t="shared" si="22"/>
        <v>0</v>
      </c>
      <c r="BB20" s="23"/>
      <c r="BC20" s="23"/>
      <c r="BD20" s="73">
        <f t="shared" si="23"/>
        <v>0</v>
      </c>
      <c r="BE20" s="23"/>
      <c r="BF20" s="23"/>
      <c r="BG20" s="73">
        <f t="shared" si="24"/>
        <v>0</v>
      </c>
      <c r="BH20" s="23"/>
      <c r="BI20" s="23"/>
      <c r="BJ20" s="73">
        <f t="shared" si="25"/>
        <v>0</v>
      </c>
      <c r="BK20" s="23"/>
      <c r="BL20" s="23"/>
      <c r="BM20" s="73">
        <f t="shared" si="26"/>
        <v>0</v>
      </c>
      <c r="BN20" s="23"/>
      <c r="BO20" s="23"/>
      <c r="BP20" s="73">
        <f t="shared" si="27"/>
        <v>0</v>
      </c>
      <c r="BQ20" s="23"/>
      <c r="BR20" s="23"/>
      <c r="BS20" s="73">
        <f t="shared" si="28"/>
        <v>0</v>
      </c>
      <c r="BT20" s="23"/>
      <c r="BU20" s="23"/>
      <c r="BV20" s="73">
        <f t="shared" si="29"/>
        <v>0</v>
      </c>
      <c r="BW20" s="23"/>
      <c r="BX20" s="23"/>
      <c r="BY20" s="73">
        <f t="shared" si="30"/>
        <v>0</v>
      </c>
      <c r="BZ20" s="23"/>
      <c r="CA20" s="23"/>
      <c r="CB20" s="73">
        <f t="shared" si="31"/>
        <v>0</v>
      </c>
      <c r="CC20" s="23"/>
      <c r="CD20" s="23"/>
      <c r="CE20" s="73">
        <f t="shared" si="32"/>
        <v>0</v>
      </c>
      <c r="CF20" s="23"/>
      <c r="CG20" s="23"/>
      <c r="CH20" s="73">
        <f t="shared" si="33"/>
        <v>0</v>
      </c>
      <c r="CI20" s="23"/>
      <c r="CJ20" s="23"/>
      <c r="CK20" s="73">
        <f t="shared" si="34"/>
        <v>0</v>
      </c>
      <c r="CL20" s="23"/>
      <c r="CM20" s="23"/>
      <c r="CN20" s="73">
        <f t="shared" si="35"/>
        <v>0</v>
      </c>
      <c r="CO20" s="23"/>
      <c r="CP20" s="23"/>
      <c r="CQ20" s="73">
        <f t="shared" si="36"/>
        <v>0</v>
      </c>
      <c r="CR20" s="23"/>
      <c r="CS20" s="23"/>
      <c r="CT20" s="73">
        <f t="shared" si="37"/>
        <v>0</v>
      </c>
      <c r="CU20" s="23"/>
      <c r="CV20" s="23"/>
      <c r="CW20" s="73">
        <f t="shared" si="38"/>
        <v>0</v>
      </c>
      <c r="CX20" s="23"/>
      <c r="CY20" s="23"/>
      <c r="CZ20" s="73">
        <f t="shared" si="39"/>
        <v>0</v>
      </c>
      <c r="DA20" s="23"/>
      <c r="DB20" s="23"/>
      <c r="DC20" s="73">
        <f t="shared" si="40"/>
        <v>0</v>
      </c>
      <c r="DD20" s="23"/>
      <c r="DE20" s="23"/>
      <c r="DF20" s="73">
        <f t="shared" si="41"/>
        <v>0</v>
      </c>
      <c r="DG20" s="23"/>
      <c r="DH20" s="23"/>
      <c r="DI20" s="73">
        <f t="shared" si="42"/>
        <v>0</v>
      </c>
      <c r="DJ20" s="23"/>
      <c r="DK20" s="23"/>
      <c r="DL20" s="73">
        <f t="shared" si="43"/>
        <v>0</v>
      </c>
      <c r="DM20" s="23"/>
      <c r="DN20" s="23"/>
      <c r="DO20" s="73">
        <f t="shared" si="44"/>
        <v>0</v>
      </c>
      <c r="DP20" s="23"/>
      <c r="DQ20" s="23"/>
      <c r="DR20" s="73">
        <f t="shared" si="45"/>
        <v>0</v>
      </c>
      <c r="DS20" s="23"/>
      <c r="DT20" s="23"/>
      <c r="DU20" s="73">
        <f t="shared" si="46"/>
        <v>0</v>
      </c>
      <c r="DV20" s="23"/>
      <c r="DW20" s="23"/>
      <c r="DX20" s="73">
        <f t="shared" si="47"/>
        <v>0</v>
      </c>
      <c r="DY20" s="23"/>
      <c r="DZ20" s="23"/>
      <c r="EA20" s="73">
        <f t="shared" si="48"/>
        <v>0</v>
      </c>
      <c r="EB20" s="23"/>
      <c r="EC20" s="23"/>
      <c r="ED20" s="73">
        <f t="shared" si="49"/>
        <v>0</v>
      </c>
      <c r="EE20" s="23"/>
      <c r="EF20" s="23"/>
      <c r="EG20" s="73">
        <f t="shared" si="50"/>
        <v>0</v>
      </c>
      <c r="EH20" s="23"/>
      <c r="EI20" s="23"/>
      <c r="EJ20" s="73">
        <f t="shared" si="51"/>
        <v>0</v>
      </c>
      <c r="EK20" s="23"/>
      <c r="EL20" s="23"/>
      <c r="EM20" s="73">
        <f t="shared" si="52"/>
        <v>0</v>
      </c>
      <c r="EN20" s="23"/>
      <c r="EO20" s="23"/>
      <c r="EP20" s="73">
        <f t="shared" si="53"/>
        <v>0</v>
      </c>
      <c r="EQ20" s="73">
        <f t="shared" si="54"/>
        <v>170000</v>
      </c>
      <c r="ER20" s="73">
        <f t="shared" si="55"/>
        <v>170000</v>
      </c>
      <c r="ES20" s="73">
        <f t="shared" si="56"/>
        <v>0</v>
      </c>
      <c r="ET20" s="23">
        <f t="shared" si="61"/>
        <v>-184768</v>
      </c>
      <c r="EU20" s="79"/>
      <c r="EV20" s="73">
        <f t="shared" si="57"/>
        <v>105000</v>
      </c>
      <c r="EW20" s="73">
        <f t="shared" si="58"/>
        <v>105000</v>
      </c>
      <c r="EX20" s="23">
        <f t="shared" si="59"/>
        <v>0</v>
      </c>
      <c r="EY20" s="23">
        <f t="shared" si="62"/>
        <v>-62654</v>
      </c>
      <c r="EZ20" s="79"/>
      <c r="FA20" s="23">
        <f t="shared" si="60"/>
        <v>0</v>
      </c>
      <c r="FB20" s="23">
        <f t="shared" si="63"/>
        <v>-122114</v>
      </c>
      <c r="FC20" s="79"/>
      <c r="FD20" s="79"/>
      <c r="FE20" s="79"/>
      <c r="FF20" s="79"/>
      <c r="FG20" s="79"/>
      <c r="FH20" s="79"/>
      <c r="FI20" s="79"/>
    </row>
    <row r="21" spans="1:165" x14ac:dyDescent="0.2">
      <c r="A21" s="72">
        <f>+BaseloadMarkets!A21</f>
        <v>36723</v>
      </c>
      <c r="B21" s="72" t="str">
        <f>+BaseloadMarkets!B21</f>
        <v>Sun</v>
      </c>
      <c r="C21" s="23">
        <v>10000</v>
      </c>
      <c r="D21" s="23">
        <v>10000</v>
      </c>
      <c r="E21" s="73">
        <f t="shared" si="0"/>
        <v>0</v>
      </c>
      <c r="F21" s="23">
        <v>10000</v>
      </c>
      <c r="G21" s="23">
        <v>10000</v>
      </c>
      <c r="H21" s="73">
        <f t="shared" si="1"/>
        <v>0</v>
      </c>
      <c r="I21" s="23">
        <v>10000</v>
      </c>
      <c r="J21" s="23">
        <v>10000</v>
      </c>
      <c r="K21" s="73">
        <f t="shared" si="2"/>
        <v>0</v>
      </c>
      <c r="L21" s="23">
        <v>5000</v>
      </c>
      <c r="M21" s="23">
        <v>5000</v>
      </c>
      <c r="N21" s="73">
        <f t="shared" si="3"/>
        <v>0</v>
      </c>
      <c r="O21" s="23">
        <v>10000</v>
      </c>
      <c r="P21" s="23">
        <v>10000</v>
      </c>
      <c r="Q21" s="73">
        <f t="shared" si="4"/>
        <v>0</v>
      </c>
      <c r="R21" s="23">
        <f t="shared" si="5"/>
        <v>10000</v>
      </c>
      <c r="S21" s="23">
        <f t="shared" si="5"/>
        <v>10000</v>
      </c>
      <c r="T21" s="73">
        <f t="shared" si="6"/>
        <v>0</v>
      </c>
      <c r="U21" s="23">
        <f t="shared" si="7"/>
        <v>10000</v>
      </c>
      <c r="V21" s="23">
        <f t="shared" si="7"/>
        <v>10000</v>
      </c>
      <c r="W21" s="73">
        <f t="shared" si="8"/>
        <v>0</v>
      </c>
      <c r="X21" s="23">
        <f t="shared" si="9"/>
        <v>10000</v>
      </c>
      <c r="Y21" s="23">
        <f t="shared" si="9"/>
        <v>10000</v>
      </c>
      <c r="Z21" s="73">
        <f t="shared" si="10"/>
        <v>0</v>
      </c>
      <c r="AA21" s="23">
        <f t="shared" si="11"/>
        <v>10000</v>
      </c>
      <c r="AB21" s="23">
        <f t="shared" si="11"/>
        <v>10000</v>
      </c>
      <c r="AC21" s="73">
        <f t="shared" si="12"/>
        <v>0</v>
      </c>
      <c r="AD21" s="23">
        <f t="shared" si="13"/>
        <v>10000</v>
      </c>
      <c r="AE21" s="23">
        <f t="shared" si="13"/>
        <v>10000</v>
      </c>
      <c r="AF21" s="73">
        <f t="shared" si="14"/>
        <v>0</v>
      </c>
      <c r="AG21" s="75">
        <v>65000</v>
      </c>
      <c r="AH21" s="75">
        <v>65000</v>
      </c>
      <c r="AI21" s="120">
        <f t="shared" si="15"/>
        <v>0</v>
      </c>
      <c r="AJ21" s="23">
        <f t="shared" si="16"/>
        <v>10000</v>
      </c>
      <c r="AK21" s="23">
        <f t="shared" si="64"/>
        <v>10000</v>
      </c>
      <c r="AL21" s="73">
        <f t="shared" si="17"/>
        <v>0</v>
      </c>
      <c r="AM21" s="23"/>
      <c r="AN21" s="23"/>
      <c r="AO21" s="73">
        <f t="shared" si="18"/>
        <v>0</v>
      </c>
      <c r="AP21" s="23"/>
      <c r="AQ21" s="23"/>
      <c r="AR21" s="73">
        <f t="shared" si="19"/>
        <v>0</v>
      </c>
      <c r="AS21" s="23"/>
      <c r="AT21" s="23"/>
      <c r="AU21" s="73">
        <f t="shared" si="20"/>
        <v>0</v>
      </c>
      <c r="AV21" s="23"/>
      <c r="AW21" s="23"/>
      <c r="AX21" s="73">
        <f t="shared" si="21"/>
        <v>0</v>
      </c>
      <c r="AY21" s="23"/>
      <c r="AZ21" s="23"/>
      <c r="BA21" s="73">
        <f t="shared" si="22"/>
        <v>0</v>
      </c>
      <c r="BB21" s="23"/>
      <c r="BC21" s="23"/>
      <c r="BD21" s="73">
        <f t="shared" si="23"/>
        <v>0</v>
      </c>
      <c r="BE21" s="23"/>
      <c r="BF21" s="23"/>
      <c r="BG21" s="73">
        <f t="shared" si="24"/>
        <v>0</v>
      </c>
      <c r="BH21" s="23"/>
      <c r="BI21" s="23"/>
      <c r="BJ21" s="73">
        <f t="shared" si="25"/>
        <v>0</v>
      </c>
      <c r="BK21" s="23"/>
      <c r="BL21" s="23"/>
      <c r="BM21" s="73">
        <f t="shared" si="26"/>
        <v>0</v>
      </c>
      <c r="BN21" s="23"/>
      <c r="BO21" s="23"/>
      <c r="BP21" s="73">
        <f t="shared" si="27"/>
        <v>0</v>
      </c>
      <c r="BQ21" s="23"/>
      <c r="BR21" s="23"/>
      <c r="BS21" s="73">
        <f t="shared" si="28"/>
        <v>0</v>
      </c>
      <c r="BT21" s="23"/>
      <c r="BU21" s="23"/>
      <c r="BV21" s="73">
        <f t="shared" si="29"/>
        <v>0</v>
      </c>
      <c r="BW21" s="23"/>
      <c r="BX21" s="23"/>
      <c r="BY21" s="73">
        <f t="shared" si="30"/>
        <v>0</v>
      </c>
      <c r="BZ21" s="23"/>
      <c r="CA21" s="23"/>
      <c r="CB21" s="73">
        <f t="shared" si="31"/>
        <v>0</v>
      </c>
      <c r="CC21" s="23"/>
      <c r="CD21" s="23"/>
      <c r="CE21" s="73">
        <f t="shared" si="32"/>
        <v>0</v>
      </c>
      <c r="CF21" s="23"/>
      <c r="CG21" s="23"/>
      <c r="CH21" s="73">
        <f t="shared" si="33"/>
        <v>0</v>
      </c>
      <c r="CI21" s="23"/>
      <c r="CJ21" s="23"/>
      <c r="CK21" s="73">
        <f t="shared" si="34"/>
        <v>0</v>
      </c>
      <c r="CL21" s="23"/>
      <c r="CM21" s="23"/>
      <c r="CN21" s="73">
        <f t="shared" si="35"/>
        <v>0</v>
      </c>
      <c r="CO21" s="23"/>
      <c r="CP21" s="23"/>
      <c r="CQ21" s="73">
        <f t="shared" si="36"/>
        <v>0</v>
      </c>
      <c r="CR21" s="23"/>
      <c r="CS21" s="23"/>
      <c r="CT21" s="73">
        <f t="shared" si="37"/>
        <v>0</v>
      </c>
      <c r="CU21" s="23"/>
      <c r="CV21" s="23"/>
      <c r="CW21" s="73">
        <f t="shared" si="38"/>
        <v>0</v>
      </c>
      <c r="CX21" s="23"/>
      <c r="CY21" s="23"/>
      <c r="CZ21" s="73">
        <f t="shared" si="39"/>
        <v>0</v>
      </c>
      <c r="DA21" s="23"/>
      <c r="DB21" s="23"/>
      <c r="DC21" s="73">
        <f t="shared" si="40"/>
        <v>0</v>
      </c>
      <c r="DD21" s="23"/>
      <c r="DE21" s="23"/>
      <c r="DF21" s="73">
        <f t="shared" si="41"/>
        <v>0</v>
      </c>
      <c r="DG21" s="23"/>
      <c r="DH21" s="23"/>
      <c r="DI21" s="73">
        <f t="shared" si="42"/>
        <v>0</v>
      </c>
      <c r="DJ21" s="23"/>
      <c r="DK21" s="23"/>
      <c r="DL21" s="73">
        <f t="shared" si="43"/>
        <v>0</v>
      </c>
      <c r="DM21" s="23"/>
      <c r="DN21" s="23"/>
      <c r="DO21" s="73">
        <f t="shared" si="44"/>
        <v>0</v>
      </c>
      <c r="DP21" s="23"/>
      <c r="DQ21" s="23"/>
      <c r="DR21" s="73">
        <f t="shared" si="45"/>
        <v>0</v>
      </c>
      <c r="DS21" s="23"/>
      <c r="DT21" s="23"/>
      <c r="DU21" s="73">
        <f t="shared" si="46"/>
        <v>0</v>
      </c>
      <c r="DV21" s="23"/>
      <c r="DW21" s="23"/>
      <c r="DX21" s="73">
        <f t="shared" si="47"/>
        <v>0</v>
      </c>
      <c r="DY21" s="23"/>
      <c r="DZ21" s="23"/>
      <c r="EA21" s="73">
        <f t="shared" si="48"/>
        <v>0</v>
      </c>
      <c r="EB21" s="23"/>
      <c r="EC21" s="23"/>
      <c r="ED21" s="73">
        <f t="shared" si="49"/>
        <v>0</v>
      </c>
      <c r="EE21" s="23"/>
      <c r="EF21" s="23"/>
      <c r="EG21" s="73">
        <f t="shared" si="50"/>
        <v>0</v>
      </c>
      <c r="EH21" s="23"/>
      <c r="EI21" s="23"/>
      <c r="EJ21" s="73">
        <f t="shared" si="51"/>
        <v>0</v>
      </c>
      <c r="EK21" s="23"/>
      <c r="EL21" s="23"/>
      <c r="EM21" s="73">
        <f t="shared" si="52"/>
        <v>0</v>
      </c>
      <c r="EN21" s="23"/>
      <c r="EO21" s="23"/>
      <c r="EP21" s="73">
        <f t="shared" si="53"/>
        <v>0</v>
      </c>
      <c r="EQ21" s="73">
        <f t="shared" si="54"/>
        <v>170000</v>
      </c>
      <c r="ER21" s="73">
        <f t="shared" si="55"/>
        <v>170000</v>
      </c>
      <c r="ES21" s="73">
        <f t="shared" si="56"/>
        <v>0</v>
      </c>
      <c r="ET21" s="23">
        <f t="shared" si="61"/>
        <v>-184768</v>
      </c>
      <c r="EU21" s="79"/>
      <c r="EV21" s="73">
        <f t="shared" si="57"/>
        <v>105000</v>
      </c>
      <c r="EW21" s="73">
        <f t="shared" si="58"/>
        <v>105000</v>
      </c>
      <c r="EX21" s="23">
        <f t="shared" si="59"/>
        <v>0</v>
      </c>
      <c r="EY21" s="23">
        <f t="shared" si="62"/>
        <v>-62654</v>
      </c>
      <c r="EZ21" s="79"/>
      <c r="FA21" s="23">
        <f t="shared" si="60"/>
        <v>0</v>
      </c>
      <c r="FB21" s="23">
        <f t="shared" si="63"/>
        <v>-122114</v>
      </c>
      <c r="FC21" s="79"/>
      <c r="FD21" s="79"/>
      <c r="FE21" s="79"/>
      <c r="FF21" s="79"/>
      <c r="FG21" s="79"/>
      <c r="FH21" s="79"/>
      <c r="FI21" s="79"/>
    </row>
    <row r="22" spans="1:165" x14ac:dyDescent="0.2">
      <c r="A22" s="72">
        <f>+BaseloadMarkets!A22</f>
        <v>36724</v>
      </c>
      <c r="B22" s="72" t="str">
        <f>+BaseloadMarkets!B22</f>
        <v>Mon</v>
      </c>
      <c r="C22" s="23">
        <v>10000</v>
      </c>
      <c r="D22" s="23">
        <v>10000</v>
      </c>
      <c r="E22" s="73">
        <f t="shared" si="0"/>
        <v>0</v>
      </c>
      <c r="F22" s="23">
        <v>10000</v>
      </c>
      <c r="G22" s="23">
        <v>10000</v>
      </c>
      <c r="H22" s="73">
        <f t="shared" si="1"/>
        <v>0</v>
      </c>
      <c r="I22" s="23">
        <v>10000</v>
      </c>
      <c r="J22" s="23">
        <v>10000</v>
      </c>
      <c r="K22" s="73">
        <f t="shared" si="2"/>
        <v>0</v>
      </c>
      <c r="L22" s="23">
        <v>5000</v>
      </c>
      <c r="M22" s="23">
        <v>5000</v>
      </c>
      <c r="N22" s="73">
        <f t="shared" si="3"/>
        <v>0</v>
      </c>
      <c r="O22" s="23">
        <v>10000</v>
      </c>
      <c r="P22" s="23">
        <v>10000</v>
      </c>
      <c r="Q22" s="73">
        <f t="shared" si="4"/>
        <v>0</v>
      </c>
      <c r="R22" s="23">
        <f t="shared" si="5"/>
        <v>10000</v>
      </c>
      <c r="S22" s="23">
        <f t="shared" si="5"/>
        <v>10000</v>
      </c>
      <c r="T22" s="73">
        <f t="shared" si="6"/>
        <v>0</v>
      </c>
      <c r="U22" s="23">
        <f t="shared" si="7"/>
        <v>10000</v>
      </c>
      <c r="V22" s="23">
        <f t="shared" si="7"/>
        <v>10000</v>
      </c>
      <c r="W22" s="73">
        <f t="shared" si="8"/>
        <v>0</v>
      </c>
      <c r="X22" s="23">
        <f t="shared" si="9"/>
        <v>10000</v>
      </c>
      <c r="Y22" s="23">
        <f t="shared" si="9"/>
        <v>10000</v>
      </c>
      <c r="Z22" s="73">
        <f t="shared" si="10"/>
        <v>0</v>
      </c>
      <c r="AA22" s="23">
        <f t="shared" si="11"/>
        <v>10000</v>
      </c>
      <c r="AB22" s="23">
        <f t="shared" si="11"/>
        <v>10000</v>
      </c>
      <c r="AC22" s="73">
        <f t="shared" si="12"/>
        <v>0</v>
      </c>
      <c r="AD22" s="23">
        <f t="shared" si="13"/>
        <v>10000</v>
      </c>
      <c r="AE22" s="23">
        <f t="shared" si="13"/>
        <v>10000</v>
      </c>
      <c r="AF22" s="73">
        <f t="shared" si="14"/>
        <v>0</v>
      </c>
      <c r="AG22" s="75">
        <v>65000</v>
      </c>
      <c r="AH22" s="75">
        <v>65000</v>
      </c>
      <c r="AI22" s="120">
        <f t="shared" si="15"/>
        <v>0</v>
      </c>
      <c r="AJ22" s="23">
        <f t="shared" si="16"/>
        <v>10000</v>
      </c>
      <c r="AK22" s="23">
        <f t="shared" si="64"/>
        <v>10000</v>
      </c>
      <c r="AL22" s="73">
        <f t="shared" si="17"/>
        <v>0</v>
      </c>
      <c r="AM22" s="23"/>
      <c r="AN22" s="23"/>
      <c r="AO22" s="73">
        <f t="shared" si="18"/>
        <v>0</v>
      </c>
      <c r="AP22" s="23"/>
      <c r="AQ22" s="23"/>
      <c r="AR22" s="73">
        <f t="shared" si="19"/>
        <v>0</v>
      </c>
      <c r="AS22" s="23"/>
      <c r="AT22" s="23"/>
      <c r="AU22" s="73">
        <f t="shared" si="20"/>
        <v>0</v>
      </c>
      <c r="AV22" s="23"/>
      <c r="AW22" s="23"/>
      <c r="AX22" s="73">
        <f t="shared" si="21"/>
        <v>0</v>
      </c>
      <c r="AY22" s="23"/>
      <c r="AZ22" s="23"/>
      <c r="BA22" s="73">
        <f t="shared" si="22"/>
        <v>0</v>
      </c>
      <c r="BB22" s="23"/>
      <c r="BC22" s="23"/>
      <c r="BD22" s="73">
        <f t="shared" si="23"/>
        <v>0</v>
      </c>
      <c r="BE22" s="23"/>
      <c r="BF22" s="23"/>
      <c r="BG22" s="73">
        <f t="shared" si="24"/>
        <v>0</v>
      </c>
      <c r="BH22" s="23"/>
      <c r="BI22" s="23"/>
      <c r="BJ22" s="73">
        <f t="shared" si="25"/>
        <v>0</v>
      </c>
      <c r="BK22" s="23"/>
      <c r="BL22" s="23"/>
      <c r="BM22" s="73">
        <f t="shared" si="26"/>
        <v>0</v>
      </c>
      <c r="BN22" s="23"/>
      <c r="BO22" s="23"/>
      <c r="BP22" s="73">
        <f t="shared" si="27"/>
        <v>0</v>
      </c>
      <c r="BQ22" s="23"/>
      <c r="BR22" s="23"/>
      <c r="BS22" s="73">
        <f t="shared" si="28"/>
        <v>0</v>
      </c>
      <c r="BT22" s="23"/>
      <c r="BU22" s="23"/>
      <c r="BV22" s="73">
        <f t="shared" si="29"/>
        <v>0</v>
      </c>
      <c r="BW22" s="23"/>
      <c r="BX22" s="23"/>
      <c r="BY22" s="73">
        <f t="shared" si="30"/>
        <v>0</v>
      </c>
      <c r="BZ22" s="23"/>
      <c r="CA22" s="23"/>
      <c r="CB22" s="73">
        <f t="shared" si="31"/>
        <v>0</v>
      </c>
      <c r="CC22" s="23"/>
      <c r="CD22" s="23"/>
      <c r="CE22" s="73">
        <f t="shared" si="32"/>
        <v>0</v>
      </c>
      <c r="CF22" s="23"/>
      <c r="CG22" s="23"/>
      <c r="CH22" s="73">
        <f t="shared" si="33"/>
        <v>0</v>
      </c>
      <c r="CI22" s="23"/>
      <c r="CJ22" s="23"/>
      <c r="CK22" s="73">
        <f t="shared" si="34"/>
        <v>0</v>
      </c>
      <c r="CL22" s="23"/>
      <c r="CM22" s="23"/>
      <c r="CN22" s="73">
        <f t="shared" si="35"/>
        <v>0</v>
      </c>
      <c r="CO22" s="23"/>
      <c r="CP22" s="23"/>
      <c r="CQ22" s="73">
        <f t="shared" si="36"/>
        <v>0</v>
      </c>
      <c r="CR22" s="23"/>
      <c r="CS22" s="23"/>
      <c r="CT22" s="73">
        <f t="shared" si="37"/>
        <v>0</v>
      </c>
      <c r="CU22" s="23"/>
      <c r="CV22" s="23"/>
      <c r="CW22" s="73">
        <f t="shared" si="38"/>
        <v>0</v>
      </c>
      <c r="CX22" s="23"/>
      <c r="CY22" s="23"/>
      <c r="CZ22" s="73">
        <f t="shared" si="39"/>
        <v>0</v>
      </c>
      <c r="DA22" s="23"/>
      <c r="DB22" s="23"/>
      <c r="DC22" s="73">
        <f t="shared" si="40"/>
        <v>0</v>
      </c>
      <c r="DD22" s="23"/>
      <c r="DE22" s="23"/>
      <c r="DF22" s="73">
        <f t="shared" si="41"/>
        <v>0</v>
      </c>
      <c r="DG22" s="23"/>
      <c r="DH22" s="23"/>
      <c r="DI22" s="73">
        <f t="shared" si="42"/>
        <v>0</v>
      </c>
      <c r="DJ22" s="23"/>
      <c r="DK22" s="23"/>
      <c r="DL22" s="73">
        <f t="shared" si="43"/>
        <v>0</v>
      </c>
      <c r="DM22" s="23"/>
      <c r="DN22" s="23"/>
      <c r="DO22" s="73">
        <f t="shared" si="44"/>
        <v>0</v>
      </c>
      <c r="DP22" s="23"/>
      <c r="DQ22" s="23"/>
      <c r="DR22" s="73">
        <f t="shared" si="45"/>
        <v>0</v>
      </c>
      <c r="DS22" s="23"/>
      <c r="DT22" s="23"/>
      <c r="DU22" s="73">
        <f t="shared" si="46"/>
        <v>0</v>
      </c>
      <c r="DV22" s="23"/>
      <c r="DW22" s="23"/>
      <c r="DX22" s="73">
        <f t="shared" si="47"/>
        <v>0</v>
      </c>
      <c r="DY22" s="23"/>
      <c r="DZ22" s="23"/>
      <c r="EA22" s="73">
        <f t="shared" si="48"/>
        <v>0</v>
      </c>
      <c r="EB22" s="23"/>
      <c r="EC22" s="23"/>
      <c r="ED22" s="73">
        <f t="shared" si="49"/>
        <v>0</v>
      </c>
      <c r="EE22" s="23"/>
      <c r="EF22" s="23"/>
      <c r="EG22" s="73">
        <f t="shared" si="50"/>
        <v>0</v>
      </c>
      <c r="EH22" s="23"/>
      <c r="EI22" s="23"/>
      <c r="EJ22" s="73">
        <f t="shared" si="51"/>
        <v>0</v>
      </c>
      <c r="EK22" s="23"/>
      <c r="EL22" s="23"/>
      <c r="EM22" s="73">
        <f t="shared" si="52"/>
        <v>0</v>
      </c>
      <c r="EN22" s="23"/>
      <c r="EO22" s="23"/>
      <c r="EP22" s="73">
        <f t="shared" si="53"/>
        <v>0</v>
      </c>
      <c r="EQ22" s="73">
        <f t="shared" si="54"/>
        <v>170000</v>
      </c>
      <c r="ER22" s="73">
        <f t="shared" si="55"/>
        <v>170000</v>
      </c>
      <c r="ES22" s="73">
        <f t="shared" si="56"/>
        <v>0</v>
      </c>
      <c r="ET22" s="23">
        <f t="shared" si="61"/>
        <v>-184768</v>
      </c>
      <c r="EU22" s="79"/>
      <c r="EV22" s="73">
        <f t="shared" si="57"/>
        <v>105000</v>
      </c>
      <c r="EW22" s="73">
        <f t="shared" si="58"/>
        <v>105000</v>
      </c>
      <c r="EX22" s="23">
        <f t="shared" si="59"/>
        <v>0</v>
      </c>
      <c r="EY22" s="23">
        <f t="shared" si="62"/>
        <v>-62654</v>
      </c>
      <c r="EZ22" s="79"/>
      <c r="FA22" s="23">
        <f t="shared" si="60"/>
        <v>0</v>
      </c>
      <c r="FB22" s="23">
        <f t="shared" si="63"/>
        <v>-122114</v>
      </c>
      <c r="FC22" s="79"/>
      <c r="FD22" s="79"/>
      <c r="FE22" s="79"/>
      <c r="FF22" s="79"/>
      <c r="FG22" s="79"/>
      <c r="FH22" s="79"/>
      <c r="FI22" s="79"/>
    </row>
    <row r="23" spans="1:165" x14ac:dyDescent="0.2">
      <c r="A23" s="72">
        <f>+BaseloadMarkets!A23</f>
        <v>36725</v>
      </c>
      <c r="B23" s="72" t="str">
        <f>+BaseloadMarkets!B23</f>
        <v>Tues</v>
      </c>
      <c r="C23" s="23">
        <v>10000</v>
      </c>
      <c r="D23" s="23">
        <v>10000</v>
      </c>
      <c r="E23" s="73">
        <f t="shared" si="0"/>
        <v>0</v>
      </c>
      <c r="F23" s="23">
        <v>10000</v>
      </c>
      <c r="G23" s="23">
        <v>10000</v>
      </c>
      <c r="H23" s="73">
        <f t="shared" si="1"/>
        <v>0</v>
      </c>
      <c r="I23" s="23">
        <v>10000</v>
      </c>
      <c r="J23" s="23">
        <v>10000</v>
      </c>
      <c r="K23" s="73">
        <f t="shared" si="2"/>
        <v>0</v>
      </c>
      <c r="L23" s="23">
        <v>5000</v>
      </c>
      <c r="M23" s="23">
        <v>5000</v>
      </c>
      <c r="N23" s="73">
        <f t="shared" si="3"/>
        <v>0</v>
      </c>
      <c r="O23" s="23">
        <v>10000</v>
      </c>
      <c r="P23" s="23">
        <v>10000</v>
      </c>
      <c r="Q23" s="73">
        <f t="shared" si="4"/>
        <v>0</v>
      </c>
      <c r="R23" s="23">
        <f t="shared" si="5"/>
        <v>10000</v>
      </c>
      <c r="S23" s="23">
        <f t="shared" si="5"/>
        <v>10000</v>
      </c>
      <c r="T23" s="73">
        <f t="shared" si="6"/>
        <v>0</v>
      </c>
      <c r="U23" s="23">
        <f t="shared" si="7"/>
        <v>10000</v>
      </c>
      <c r="V23" s="23">
        <f t="shared" si="7"/>
        <v>10000</v>
      </c>
      <c r="W23" s="73">
        <f t="shared" si="8"/>
        <v>0</v>
      </c>
      <c r="X23" s="23">
        <f t="shared" si="9"/>
        <v>10000</v>
      </c>
      <c r="Y23" s="23">
        <f t="shared" si="9"/>
        <v>10000</v>
      </c>
      <c r="Z23" s="73">
        <f t="shared" si="10"/>
        <v>0</v>
      </c>
      <c r="AA23" s="23">
        <f t="shared" si="11"/>
        <v>10000</v>
      </c>
      <c r="AB23" s="23">
        <f t="shared" si="11"/>
        <v>10000</v>
      </c>
      <c r="AC23" s="73">
        <f t="shared" si="12"/>
        <v>0</v>
      </c>
      <c r="AD23" s="23">
        <f t="shared" si="13"/>
        <v>10000</v>
      </c>
      <c r="AE23" s="23">
        <f t="shared" si="13"/>
        <v>10000</v>
      </c>
      <c r="AF23" s="73">
        <f t="shared" si="14"/>
        <v>0</v>
      </c>
      <c r="AG23" s="75">
        <v>370000</v>
      </c>
      <c r="AH23" s="75">
        <f>370000-10000+3008+3008</f>
        <v>366016</v>
      </c>
      <c r="AI23" s="120">
        <f t="shared" si="15"/>
        <v>-3984</v>
      </c>
      <c r="AJ23" s="23">
        <f t="shared" si="16"/>
        <v>10000</v>
      </c>
      <c r="AK23" s="23">
        <f t="shared" si="64"/>
        <v>10000</v>
      </c>
      <c r="AL23" s="73">
        <f t="shared" si="17"/>
        <v>0</v>
      </c>
      <c r="AM23" s="23"/>
      <c r="AN23" s="23"/>
      <c r="AO23" s="73">
        <f t="shared" si="18"/>
        <v>0</v>
      </c>
      <c r="AP23" s="23"/>
      <c r="AQ23" s="23"/>
      <c r="AR23" s="73">
        <f t="shared" si="19"/>
        <v>0</v>
      </c>
      <c r="AS23" s="23"/>
      <c r="AT23" s="23"/>
      <c r="AU23" s="73">
        <f t="shared" si="20"/>
        <v>0</v>
      </c>
      <c r="AV23" s="23"/>
      <c r="AW23" s="23"/>
      <c r="AX23" s="73">
        <f t="shared" si="21"/>
        <v>0</v>
      </c>
      <c r="AY23" s="23"/>
      <c r="AZ23" s="23"/>
      <c r="BA23" s="73">
        <f t="shared" si="22"/>
        <v>0</v>
      </c>
      <c r="BB23" s="23"/>
      <c r="BC23" s="23"/>
      <c r="BD23" s="73">
        <f t="shared" si="23"/>
        <v>0</v>
      </c>
      <c r="BE23" s="23"/>
      <c r="BF23" s="23"/>
      <c r="BG23" s="73">
        <f t="shared" si="24"/>
        <v>0</v>
      </c>
      <c r="BH23" s="23"/>
      <c r="BI23" s="23"/>
      <c r="BJ23" s="73">
        <f t="shared" si="25"/>
        <v>0</v>
      </c>
      <c r="BK23" s="23"/>
      <c r="BL23" s="23"/>
      <c r="BM23" s="73">
        <f t="shared" si="26"/>
        <v>0</v>
      </c>
      <c r="BN23" s="23"/>
      <c r="BO23" s="23"/>
      <c r="BP23" s="73">
        <f t="shared" si="27"/>
        <v>0</v>
      </c>
      <c r="BQ23" s="23"/>
      <c r="BR23" s="23"/>
      <c r="BS23" s="73">
        <f t="shared" si="28"/>
        <v>0</v>
      </c>
      <c r="BT23" s="23"/>
      <c r="BU23" s="23"/>
      <c r="BV23" s="73">
        <f t="shared" si="29"/>
        <v>0</v>
      </c>
      <c r="BW23" s="23"/>
      <c r="BX23" s="23"/>
      <c r="BY23" s="73">
        <f t="shared" si="30"/>
        <v>0</v>
      </c>
      <c r="BZ23" s="23"/>
      <c r="CA23" s="23"/>
      <c r="CB23" s="73">
        <f t="shared" si="31"/>
        <v>0</v>
      </c>
      <c r="CC23" s="23"/>
      <c r="CD23" s="23"/>
      <c r="CE23" s="73">
        <f t="shared" si="32"/>
        <v>0</v>
      </c>
      <c r="CF23" s="23"/>
      <c r="CG23" s="23"/>
      <c r="CH23" s="73">
        <f t="shared" si="33"/>
        <v>0</v>
      </c>
      <c r="CI23" s="23"/>
      <c r="CJ23" s="23"/>
      <c r="CK23" s="73">
        <f t="shared" si="34"/>
        <v>0</v>
      </c>
      <c r="CL23" s="23"/>
      <c r="CM23" s="23"/>
      <c r="CN23" s="73">
        <f t="shared" si="35"/>
        <v>0</v>
      </c>
      <c r="CO23" s="23"/>
      <c r="CP23" s="23"/>
      <c r="CQ23" s="73">
        <f t="shared" si="36"/>
        <v>0</v>
      </c>
      <c r="CR23" s="23"/>
      <c r="CS23" s="23"/>
      <c r="CT23" s="73">
        <f t="shared" si="37"/>
        <v>0</v>
      </c>
      <c r="CU23" s="23"/>
      <c r="CV23" s="23"/>
      <c r="CW23" s="73">
        <f t="shared" si="38"/>
        <v>0</v>
      </c>
      <c r="CX23" s="23"/>
      <c r="CY23" s="23"/>
      <c r="CZ23" s="73">
        <f t="shared" si="39"/>
        <v>0</v>
      </c>
      <c r="DA23" s="23"/>
      <c r="DB23" s="23"/>
      <c r="DC23" s="73">
        <f t="shared" si="40"/>
        <v>0</v>
      </c>
      <c r="DD23" s="23"/>
      <c r="DE23" s="23"/>
      <c r="DF23" s="73">
        <f t="shared" si="41"/>
        <v>0</v>
      </c>
      <c r="DG23" s="23"/>
      <c r="DH23" s="23"/>
      <c r="DI23" s="73">
        <f t="shared" si="42"/>
        <v>0</v>
      </c>
      <c r="DJ23" s="23"/>
      <c r="DK23" s="23"/>
      <c r="DL23" s="73">
        <f t="shared" si="43"/>
        <v>0</v>
      </c>
      <c r="DM23" s="23"/>
      <c r="DN23" s="23"/>
      <c r="DO23" s="73">
        <f t="shared" si="44"/>
        <v>0</v>
      </c>
      <c r="DP23" s="23"/>
      <c r="DQ23" s="23"/>
      <c r="DR23" s="73">
        <f t="shared" si="45"/>
        <v>0</v>
      </c>
      <c r="DS23" s="23"/>
      <c r="DT23" s="23"/>
      <c r="DU23" s="73">
        <f t="shared" si="46"/>
        <v>0</v>
      </c>
      <c r="DV23" s="23"/>
      <c r="DW23" s="23"/>
      <c r="DX23" s="73">
        <f t="shared" si="47"/>
        <v>0</v>
      </c>
      <c r="DY23" s="23"/>
      <c r="DZ23" s="23"/>
      <c r="EA23" s="73">
        <f t="shared" si="48"/>
        <v>0</v>
      </c>
      <c r="EB23" s="23"/>
      <c r="EC23" s="23"/>
      <c r="ED23" s="73">
        <f t="shared" si="49"/>
        <v>0</v>
      </c>
      <c r="EE23" s="23"/>
      <c r="EF23" s="23"/>
      <c r="EG23" s="73">
        <f t="shared" si="50"/>
        <v>0</v>
      </c>
      <c r="EH23" s="23"/>
      <c r="EI23" s="23"/>
      <c r="EJ23" s="73">
        <f t="shared" si="51"/>
        <v>0</v>
      </c>
      <c r="EK23" s="23"/>
      <c r="EL23" s="23"/>
      <c r="EM23" s="73">
        <f t="shared" si="52"/>
        <v>0</v>
      </c>
      <c r="EN23" s="23"/>
      <c r="EO23" s="23"/>
      <c r="EP23" s="73">
        <f t="shared" si="53"/>
        <v>0</v>
      </c>
      <c r="EQ23" s="73">
        <f t="shared" si="54"/>
        <v>475000</v>
      </c>
      <c r="ER23" s="73">
        <f t="shared" si="55"/>
        <v>471016</v>
      </c>
      <c r="ES23" s="73">
        <f t="shared" si="56"/>
        <v>-3984</v>
      </c>
      <c r="ET23" s="23">
        <f t="shared" si="61"/>
        <v>-188752</v>
      </c>
      <c r="EU23" s="79"/>
      <c r="EV23" s="73">
        <f t="shared" si="57"/>
        <v>105000</v>
      </c>
      <c r="EW23" s="73">
        <f t="shared" si="58"/>
        <v>105000</v>
      </c>
      <c r="EX23" s="23">
        <f t="shared" si="59"/>
        <v>0</v>
      </c>
      <c r="EY23" s="23">
        <f t="shared" si="62"/>
        <v>-62654</v>
      </c>
      <c r="EZ23" s="79"/>
      <c r="FA23" s="23">
        <f t="shared" si="60"/>
        <v>-3984</v>
      </c>
      <c r="FB23" s="23">
        <f t="shared" si="63"/>
        <v>-126098</v>
      </c>
      <c r="FC23" s="79"/>
      <c r="FD23" s="79"/>
      <c r="FE23" s="79"/>
      <c r="FF23" s="79"/>
      <c r="FG23" s="79"/>
      <c r="FH23" s="79"/>
      <c r="FI23" s="79"/>
    </row>
    <row r="24" spans="1:165" x14ac:dyDescent="0.2">
      <c r="A24" s="72">
        <f>+BaseloadMarkets!A24</f>
        <v>36726</v>
      </c>
      <c r="B24" s="72" t="str">
        <f>+BaseloadMarkets!B24</f>
        <v>Wed</v>
      </c>
      <c r="C24" s="23">
        <v>10000</v>
      </c>
      <c r="D24" s="23">
        <v>10000</v>
      </c>
      <c r="E24" s="73">
        <f t="shared" si="0"/>
        <v>0</v>
      </c>
      <c r="F24" s="23">
        <v>10000</v>
      </c>
      <c r="G24" s="23">
        <v>10000</v>
      </c>
      <c r="H24" s="73">
        <f t="shared" si="1"/>
        <v>0</v>
      </c>
      <c r="I24" s="23">
        <v>10000</v>
      </c>
      <c r="J24" s="23">
        <v>10000</v>
      </c>
      <c r="K24" s="73">
        <f t="shared" si="2"/>
        <v>0</v>
      </c>
      <c r="L24" s="23">
        <v>5000</v>
      </c>
      <c r="M24" s="23">
        <v>5000</v>
      </c>
      <c r="N24" s="73">
        <f t="shared" si="3"/>
        <v>0</v>
      </c>
      <c r="O24" s="23">
        <v>10000</v>
      </c>
      <c r="P24" s="23">
        <v>10000</v>
      </c>
      <c r="Q24" s="73">
        <f t="shared" si="4"/>
        <v>0</v>
      </c>
      <c r="R24" s="23">
        <f t="shared" si="5"/>
        <v>10000</v>
      </c>
      <c r="S24" s="23">
        <f t="shared" si="5"/>
        <v>10000</v>
      </c>
      <c r="T24" s="73">
        <f t="shared" si="6"/>
        <v>0</v>
      </c>
      <c r="U24" s="23">
        <f t="shared" si="7"/>
        <v>10000</v>
      </c>
      <c r="V24" s="23">
        <f t="shared" si="7"/>
        <v>10000</v>
      </c>
      <c r="W24" s="73">
        <f t="shared" si="8"/>
        <v>0</v>
      </c>
      <c r="X24" s="23">
        <f t="shared" si="9"/>
        <v>10000</v>
      </c>
      <c r="Y24" s="23">
        <f t="shared" si="9"/>
        <v>10000</v>
      </c>
      <c r="Z24" s="73">
        <f t="shared" si="10"/>
        <v>0</v>
      </c>
      <c r="AA24" s="23">
        <f t="shared" si="11"/>
        <v>10000</v>
      </c>
      <c r="AB24" s="23">
        <f t="shared" si="11"/>
        <v>10000</v>
      </c>
      <c r="AC24" s="73">
        <f t="shared" si="12"/>
        <v>0</v>
      </c>
      <c r="AD24" s="23">
        <f t="shared" si="13"/>
        <v>10000</v>
      </c>
      <c r="AE24" s="23">
        <f t="shared" si="13"/>
        <v>10000</v>
      </c>
      <c r="AF24" s="73">
        <f t="shared" si="14"/>
        <v>0</v>
      </c>
      <c r="AG24" s="75">
        <v>395000</v>
      </c>
      <c r="AH24" s="75">
        <f>395000-10000+5829-5000+2914-10000+5829</f>
        <v>384572</v>
      </c>
      <c r="AI24" s="120">
        <f t="shared" si="15"/>
        <v>-10428</v>
      </c>
      <c r="AJ24" s="23">
        <f t="shared" si="16"/>
        <v>10000</v>
      </c>
      <c r="AK24" s="23">
        <f t="shared" si="64"/>
        <v>10000</v>
      </c>
      <c r="AL24" s="73">
        <f t="shared" si="17"/>
        <v>0</v>
      </c>
      <c r="AM24" s="23"/>
      <c r="AN24" s="23"/>
      <c r="AO24" s="73">
        <f t="shared" si="18"/>
        <v>0</v>
      </c>
      <c r="AP24" s="23"/>
      <c r="AQ24" s="23"/>
      <c r="AR24" s="73">
        <f t="shared" si="19"/>
        <v>0</v>
      </c>
      <c r="AS24" s="23"/>
      <c r="AT24" s="23"/>
      <c r="AU24" s="73">
        <f t="shared" si="20"/>
        <v>0</v>
      </c>
      <c r="AV24" s="23"/>
      <c r="AW24" s="23"/>
      <c r="AX24" s="73">
        <f t="shared" si="21"/>
        <v>0</v>
      </c>
      <c r="AY24" s="23"/>
      <c r="AZ24" s="23"/>
      <c r="BA24" s="73">
        <f t="shared" si="22"/>
        <v>0</v>
      </c>
      <c r="BB24" s="23"/>
      <c r="BC24" s="23"/>
      <c r="BD24" s="73">
        <f t="shared" si="23"/>
        <v>0</v>
      </c>
      <c r="BE24" s="23"/>
      <c r="BF24" s="23"/>
      <c r="BG24" s="73">
        <f t="shared" si="24"/>
        <v>0</v>
      </c>
      <c r="BH24" s="23"/>
      <c r="BI24" s="23"/>
      <c r="BJ24" s="73">
        <f t="shared" si="25"/>
        <v>0</v>
      </c>
      <c r="BK24" s="23"/>
      <c r="BL24" s="23"/>
      <c r="BM24" s="73">
        <f t="shared" si="26"/>
        <v>0</v>
      </c>
      <c r="BN24" s="23"/>
      <c r="BO24" s="23"/>
      <c r="BP24" s="73">
        <f t="shared" si="27"/>
        <v>0</v>
      </c>
      <c r="BQ24" s="23"/>
      <c r="BR24" s="23"/>
      <c r="BS24" s="73">
        <f t="shared" si="28"/>
        <v>0</v>
      </c>
      <c r="BT24" s="23"/>
      <c r="BU24" s="23"/>
      <c r="BV24" s="73">
        <f t="shared" si="29"/>
        <v>0</v>
      </c>
      <c r="BW24" s="23"/>
      <c r="BX24" s="23"/>
      <c r="BY24" s="73">
        <f t="shared" si="30"/>
        <v>0</v>
      </c>
      <c r="BZ24" s="23"/>
      <c r="CA24" s="23"/>
      <c r="CB24" s="73">
        <f t="shared" si="31"/>
        <v>0</v>
      </c>
      <c r="CC24" s="23"/>
      <c r="CD24" s="23"/>
      <c r="CE24" s="73">
        <f t="shared" si="32"/>
        <v>0</v>
      </c>
      <c r="CF24" s="23"/>
      <c r="CG24" s="23"/>
      <c r="CH24" s="73">
        <f t="shared" si="33"/>
        <v>0</v>
      </c>
      <c r="CI24" s="23"/>
      <c r="CJ24" s="23"/>
      <c r="CK24" s="73">
        <f t="shared" si="34"/>
        <v>0</v>
      </c>
      <c r="CL24" s="23"/>
      <c r="CM24" s="23"/>
      <c r="CN24" s="73">
        <f t="shared" si="35"/>
        <v>0</v>
      </c>
      <c r="CO24" s="23"/>
      <c r="CP24" s="23"/>
      <c r="CQ24" s="73">
        <f t="shared" si="36"/>
        <v>0</v>
      </c>
      <c r="CR24" s="23"/>
      <c r="CS24" s="23"/>
      <c r="CT24" s="73">
        <f t="shared" si="37"/>
        <v>0</v>
      </c>
      <c r="CU24" s="23"/>
      <c r="CV24" s="23"/>
      <c r="CW24" s="73">
        <f t="shared" si="38"/>
        <v>0</v>
      </c>
      <c r="CX24" s="23"/>
      <c r="CY24" s="23"/>
      <c r="CZ24" s="73">
        <f t="shared" si="39"/>
        <v>0</v>
      </c>
      <c r="DA24" s="23"/>
      <c r="DB24" s="23"/>
      <c r="DC24" s="73">
        <f t="shared" si="40"/>
        <v>0</v>
      </c>
      <c r="DD24" s="23"/>
      <c r="DE24" s="23"/>
      <c r="DF24" s="73">
        <f t="shared" si="41"/>
        <v>0</v>
      </c>
      <c r="DG24" s="23"/>
      <c r="DH24" s="23"/>
      <c r="DI24" s="73">
        <f t="shared" si="42"/>
        <v>0</v>
      </c>
      <c r="DJ24" s="23"/>
      <c r="DK24" s="23"/>
      <c r="DL24" s="73">
        <f t="shared" si="43"/>
        <v>0</v>
      </c>
      <c r="DM24" s="23"/>
      <c r="DN24" s="23"/>
      <c r="DO24" s="73">
        <f t="shared" si="44"/>
        <v>0</v>
      </c>
      <c r="DP24" s="23"/>
      <c r="DQ24" s="23"/>
      <c r="DR24" s="73">
        <f t="shared" si="45"/>
        <v>0</v>
      </c>
      <c r="DS24" s="23"/>
      <c r="DT24" s="23"/>
      <c r="DU24" s="73">
        <f t="shared" si="46"/>
        <v>0</v>
      </c>
      <c r="DV24" s="23"/>
      <c r="DW24" s="23"/>
      <c r="DX24" s="73">
        <f t="shared" si="47"/>
        <v>0</v>
      </c>
      <c r="DY24" s="23"/>
      <c r="DZ24" s="23"/>
      <c r="EA24" s="73">
        <f t="shared" si="48"/>
        <v>0</v>
      </c>
      <c r="EB24" s="23"/>
      <c r="EC24" s="23"/>
      <c r="ED24" s="73">
        <f t="shared" si="49"/>
        <v>0</v>
      </c>
      <c r="EE24" s="23"/>
      <c r="EF24" s="23"/>
      <c r="EG24" s="73">
        <f t="shared" si="50"/>
        <v>0</v>
      </c>
      <c r="EH24" s="23"/>
      <c r="EI24" s="23"/>
      <c r="EJ24" s="73">
        <f t="shared" si="51"/>
        <v>0</v>
      </c>
      <c r="EK24" s="23"/>
      <c r="EL24" s="23"/>
      <c r="EM24" s="73">
        <f t="shared" si="52"/>
        <v>0</v>
      </c>
      <c r="EN24" s="23"/>
      <c r="EO24" s="23"/>
      <c r="EP24" s="73">
        <f t="shared" si="53"/>
        <v>0</v>
      </c>
      <c r="EQ24" s="73">
        <f t="shared" si="54"/>
        <v>500000</v>
      </c>
      <c r="ER24" s="73">
        <f t="shared" si="55"/>
        <v>489572</v>
      </c>
      <c r="ES24" s="73">
        <f t="shared" si="56"/>
        <v>-10428</v>
      </c>
      <c r="ET24" s="23">
        <f t="shared" si="61"/>
        <v>-199180</v>
      </c>
      <c r="EU24" s="79"/>
      <c r="EV24" s="73">
        <f t="shared" si="57"/>
        <v>105000</v>
      </c>
      <c r="EW24" s="73">
        <f t="shared" si="58"/>
        <v>105000</v>
      </c>
      <c r="EX24" s="23">
        <f t="shared" si="59"/>
        <v>0</v>
      </c>
      <c r="EY24" s="23">
        <f t="shared" si="62"/>
        <v>-62654</v>
      </c>
      <c r="EZ24" s="79"/>
      <c r="FA24" s="23">
        <f t="shared" si="60"/>
        <v>-10428</v>
      </c>
      <c r="FB24" s="23">
        <f t="shared" si="63"/>
        <v>-136526</v>
      </c>
      <c r="FC24" s="79"/>
      <c r="FD24" s="79"/>
      <c r="FE24" s="79"/>
      <c r="FF24" s="79"/>
      <c r="FG24" s="79"/>
      <c r="FH24" s="79"/>
      <c r="FI24" s="79"/>
    </row>
    <row r="25" spans="1:165" x14ac:dyDescent="0.2">
      <c r="A25" s="72">
        <f>+BaseloadMarkets!A25</f>
        <v>36727</v>
      </c>
      <c r="B25" s="72" t="str">
        <f>+BaseloadMarkets!B25</f>
        <v>Thu</v>
      </c>
      <c r="C25" s="23">
        <v>10000</v>
      </c>
      <c r="D25" s="23">
        <v>10000</v>
      </c>
      <c r="E25" s="73">
        <f t="shared" si="0"/>
        <v>0</v>
      </c>
      <c r="F25" s="23">
        <v>10000</v>
      </c>
      <c r="G25" s="23">
        <v>10000</v>
      </c>
      <c r="H25" s="73">
        <f t="shared" si="1"/>
        <v>0</v>
      </c>
      <c r="I25" s="23">
        <v>10000</v>
      </c>
      <c r="J25" s="23">
        <v>10000</v>
      </c>
      <c r="K25" s="73">
        <f t="shared" si="2"/>
        <v>0</v>
      </c>
      <c r="L25" s="23">
        <v>5000</v>
      </c>
      <c r="M25" s="23">
        <v>5000</v>
      </c>
      <c r="N25" s="73">
        <f t="shared" si="3"/>
        <v>0</v>
      </c>
      <c r="O25" s="23">
        <v>10000</v>
      </c>
      <c r="P25" s="23">
        <v>10000</v>
      </c>
      <c r="Q25" s="73">
        <f t="shared" si="4"/>
        <v>0</v>
      </c>
      <c r="R25" s="23">
        <f t="shared" si="5"/>
        <v>10000</v>
      </c>
      <c r="S25" s="23">
        <f t="shared" si="5"/>
        <v>10000</v>
      </c>
      <c r="T25" s="73">
        <f t="shared" si="6"/>
        <v>0</v>
      </c>
      <c r="U25" s="23">
        <f t="shared" si="7"/>
        <v>10000</v>
      </c>
      <c r="V25" s="23">
        <f t="shared" si="7"/>
        <v>10000</v>
      </c>
      <c r="W25" s="73">
        <f t="shared" si="8"/>
        <v>0</v>
      </c>
      <c r="X25" s="23">
        <f t="shared" si="9"/>
        <v>10000</v>
      </c>
      <c r="Y25" s="23">
        <f t="shared" si="9"/>
        <v>10000</v>
      </c>
      <c r="Z25" s="73">
        <f t="shared" si="10"/>
        <v>0</v>
      </c>
      <c r="AA25" s="23">
        <f t="shared" si="11"/>
        <v>10000</v>
      </c>
      <c r="AB25" s="23">
        <f t="shared" si="11"/>
        <v>10000</v>
      </c>
      <c r="AC25" s="73">
        <f t="shared" si="12"/>
        <v>0</v>
      </c>
      <c r="AD25" s="23">
        <f t="shared" si="13"/>
        <v>10000</v>
      </c>
      <c r="AE25" s="23">
        <f t="shared" si="13"/>
        <v>10000</v>
      </c>
      <c r="AF25" s="73">
        <f t="shared" si="14"/>
        <v>0</v>
      </c>
      <c r="AG25" s="75">
        <v>375000</v>
      </c>
      <c r="AH25" s="75">
        <f>375000-10000+6388</f>
        <v>371388</v>
      </c>
      <c r="AI25" s="120">
        <f t="shared" si="15"/>
        <v>-3612</v>
      </c>
      <c r="AJ25" s="23">
        <f t="shared" si="16"/>
        <v>10000</v>
      </c>
      <c r="AK25" s="23">
        <f t="shared" si="64"/>
        <v>10000</v>
      </c>
      <c r="AL25" s="73">
        <f t="shared" si="17"/>
        <v>0</v>
      </c>
      <c r="AM25" s="23"/>
      <c r="AN25" s="23"/>
      <c r="AO25" s="73">
        <f t="shared" si="18"/>
        <v>0</v>
      </c>
      <c r="AP25" s="23"/>
      <c r="AQ25" s="23"/>
      <c r="AR25" s="73">
        <f t="shared" si="19"/>
        <v>0</v>
      </c>
      <c r="AS25" s="23"/>
      <c r="AT25" s="23"/>
      <c r="AU25" s="73">
        <f t="shared" si="20"/>
        <v>0</v>
      </c>
      <c r="AV25" s="23"/>
      <c r="AW25" s="23"/>
      <c r="AX25" s="73">
        <f t="shared" si="21"/>
        <v>0</v>
      </c>
      <c r="AY25" s="23"/>
      <c r="AZ25" s="23"/>
      <c r="BA25" s="73">
        <f t="shared" si="22"/>
        <v>0</v>
      </c>
      <c r="BB25" s="23"/>
      <c r="BC25" s="23"/>
      <c r="BD25" s="73">
        <f t="shared" si="23"/>
        <v>0</v>
      </c>
      <c r="BE25" s="23"/>
      <c r="BF25" s="23"/>
      <c r="BG25" s="73">
        <f t="shared" si="24"/>
        <v>0</v>
      </c>
      <c r="BH25" s="23"/>
      <c r="BI25" s="23"/>
      <c r="BJ25" s="73">
        <f t="shared" si="25"/>
        <v>0</v>
      </c>
      <c r="BK25" s="23"/>
      <c r="BL25" s="23"/>
      <c r="BM25" s="73">
        <f t="shared" si="26"/>
        <v>0</v>
      </c>
      <c r="BN25" s="23"/>
      <c r="BO25" s="23"/>
      <c r="BP25" s="73">
        <f t="shared" si="27"/>
        <v>0</v>
      </c>
      <c r="BQ25" s="23"/>
      <c r="BR25" s="23"/>
      <c r="BS25" s="73">
        <f t="shared" si="28"/>
        <v>0</v>
      </c>
      <c r="BT25" s="23"/>
      <c r="BU25" s="23"/>
      <c r="BV25" s="73">
        <f t="shared" si="29"/>
        <v>0</v>
      </c>
      <c r="BW25" s="23"/>
      <c r="BX25" s="23"/>
      <c r="BY25" s="73">
        <f t="shared" si="30"/>
        <v>0</v>
      </c>
      <c r="BZ25" s="23"/>
      <c r="CA25" s="23"/>
      <c r="CB25" s="73">
        <f t="shared" si="31"/>
        <v>0</v>
      </c>
      <c r="CC25" s="23"/>
      <c r="CD25" s="23"/>
      <c r="CE25" s="73">
        <f t="shared" si="32"/>
        <v>0</v>
      </c>
      <c r="CF25" s="23"/>
      <c r="CG25" s="23"/>
      <c r="CH25" s="73">
        <f t="shared" si="33"/>
        <v>0</v>
      </c>
      <c r="CI25" s="23"/>
      <c r="CJ25" s="23"/>
      <c r="CK25" s="73">
        <f t="shared" si="34"/>
        <v>0</v>
      </c>
      <c r="CL25" s="23"/>
      <c r="CM25" s="23"/>
      <c r="CN25" s="73">
        <f t="shared" si="35"/>
        <v>0</v>
      </c>
      <c r="CO25" s="23"/>
      <c r="CP25" s="23"/>
      <c r="CQ25" s="73">
        <f t="shared" si="36"/>
        <v>0</v>
      </c>
      <c r="CR25" s="23"/>
      <c r="CS25" s="23"/>
      <c r="CT25" s="73">
        <f t="shared" si="37"/>
        <v>0</v>
      </c>
      <c r="CU25" s="23"/>
      <c r="CV25" s="23"/>
      <c r="CW25" s="73">
        <f t="shared" si="38"/>
        <v>0</v>
      </c>
      <c r="CX25" s="23"/>
      <c r="CY25" s="23"/>
      <c r="CZ25" s="73">
        <f t="shared" si="39"/>
        <v>0</v>
      </c>
      <c r="DA25" s="23"/>
      <c r="DB25" s="23"/>
      <c r="DC25" s="73">
        <f t="shared" si="40"/>
        <v>0</v>
      </c>
      <c r="DD25" s="23"/>
      <c r="DE25" s="23"/>
      <c r="DF25" s="73">
        <f t="shared" si="41"/>
        <v>0</v>
      </c>
      <c r="DG25" s="23"/>
      <c r="DH25" s="23"/>
      <c r="DI25" s="73">
        <f t="shared" si="42"/>
        <v>0</v>
      </c>
      <c r="DJ25" s="23"/>
      <c r="DK25" s="23"/>
      <c r="DL25" s="73">
        <f t="shared" si="43"/>
        <v>0</v>
      </c>
      <c r="DM25" s="23"/>
      <c r="DN25" s="23"/>
      <c r="DO25" s="73">
        <f t="shared" si="44"/>
        <v>0</v>
      </c>
      <c r="DP25" s="23"/>
      <c r="DQ25" s="23"/>
      <c r="DR25" s="73">
        <f t="shared" si="45"/>
        <v>0</v>
      </c>
      <c r="DS25" s="23"/>
      <c r="DT25" s="23"/>
      <c r="DU25" s="73">
        <f t="shared" si="46"/>
        <v>0</v>
      </c>
      <c r="DV25" s="23"/>
      <c r="DW25" s="23"/>
      <c r="DX25" s="73">
        <f t="shared" si="47"/>
        <v>0</v>
      </c>
      <c r="DY25" s="23"/>
      <c r="DZ25" s="23"/>
      <c r="EA25" s="73">
        <f t="shared" si="48"/>
        <v>0</v>
      </c>
      <c r="EB25" s="23"/>
      <c r="EC25" s="23"/>
      <c r="ED25" s="73">
        <f t="shared" si="49"/>
        <v>0</v>
      </c>
      <c r="EE25" s="23"/>
      <c r="EF25" s="23"/>
      <c r="EG25" s="73">
        <f t="shared" si="50"/>
        <v>0</v>
      </c>
      <c r="EH25" s="23"/>
      <c r="EI25" s="23"/>
      <c r="EJ25" s="73">
        <f t="shared" si="51"/>
        <v>0</v>
      </c>
      <c r="EK25" s="23"/>
      <c r="EL25" s="23"/>
      <c r="EM25" s="73">
        <f t="shared" si="52"/>
        <v>0</v>
      </c>
      <c r="EN25" s="23"/>
      <c r="EO25" s="23"/>
      <c r="EP25" s="73">
        <f t="shared" si="53"/>
        <v>0</v>
      </c>
      <c r="EQ25" s="73">
        <f t="shared" si="54"/>
        <v>480000</v>
      </c>
      <c r="ER25" s="73">
        <f t="shared" si="55"/>
        <v>476388</v>
      </c>
      <c r="ES25" s="73">
        <f t="shared" si="56"/>
        <v>-3612</v>
      </c>
      <c r="ET25" s="23">
        <f t="shared" si="61"/>
        <v>-202792</v>
      </c>
      <c r="EU25" s="79"/>
      <c r="EV25" s="73">
        <f t="shared" si="57"/>
        <v>105000</v>
      </c>
      <c r="EW25" s="73">
        <f t="shared" si="58"/>
        <v>105000</v>
      </c>
      <c r="EX25" s="23">
        <f t="shared" si="59"/>
        <v>0</v>
      </c>
      <c r="EY25" s="23">
        <f t="shared" si="62"/>
        <v>-62654</v>
      </c>
      <c r="EZ25" s="79"/>
      <c r="FA25" s="23">
        <f t="shared" si="60"/>
        <v>-3612</v>
      </c>
      <c r="FB25" s="23">
        <f t="shared" si="63"/>
        <v>-140138</v>
      </c>
      <c r="FC25" s="79"/>
      <c r="FD25" s="79"/>
      <c r="FE25" s="79"/>
      <c r="FF25" s="79"/>
      <c r="FG25" s="79"/>
      <c r="FH25" s="79"/>
      <c r="FI25" s="79"/>
    </row>
    <row r="26" spans="1:165" x14ac:dyDescent="0.2">
      <c r="A26" s="72">
        <f>+BaseloadMarkets!A26</f>
        <v>36728</v>
      </c>
      <c r="B26" s="72" t="str">
        <f>+BaseloadMarkets!B26</f>
        <v>Fri</v>
      </c>
      <c r="C26" s="23">
        <v>10000</v>
      </c>
      <c r="D26" s="23">
        <v>10000</v>
      </c>
      <c r="E26" s="73">
        <f t="shared" si="0"/>
        <v>0</v>
      </c>
      <c r="F26" s="23">
        <v>10000</v>
      </c>
      <c r="G26" s="23">
        <v>10000</v>
      </c>
      <c r="H26" s="73">
        <f t="shared" si="1"/>
        <v>0</v>
      </c>
      <c r="I26" s="23">
        <v>10000</v>
      </c>
      <c r="J26" s="23">
        <v>10000</v>
      </c>
      <c r="K26" s="73">
        <f t="shared" si="2"/>
        <v>0</v>
      </c>
      <c r="L26" s="23">
        <v>5000</v>
      </c>
      <c r="M26" s="23">
        <v>5000</v>
      </c>
      <c r="N26" s="73">
        <f t="shared" si="3"/>
        <v>0</v>
      </c>
      <c r="O26" s="23">
        <v>10000</v>
      </c>
      <c r="P26" s="23">
        <v>10000</v>
      </c>
      <c r="Q26" s="73">
        <f t="shared" si="4"/>
        <v>0</v>
      </c>
      <c r="R26" s="23">
        <f t="shared" si="5"/>
        <v>10000</v>
      </c>
      <c r="S26" s="23">
        <f t="shared" si="5"/>
        <v>10000</v>
      </c>
      <c r="T26" s="73">
        <f t="shared" si="6"/>
        <v>0</v>
      </c>
      <c r="U26" s="23">
        <f t="shared" si="7"/>
        <v>10000</v>
      </c>
      <c r="V26" s="23">
        <f t="shared" si="7"/>
        <v>10000</v>
      </c>
      <c r="W26" s="73">
        <f t="shared" si="8"/>
        <v>0</v>
      </c>
      <c r="X26" s="23">
        <f t="shared" si="9"/>
        <v>10000</v>
      </c>
      <c r="Y26" s="23">
        <f t="shared" si="9"/>
        <v>10000</v>
      </c>
      <c r="Z26" s="73">
        <f t="shared" si="10"/>
        <v>0</v>
      </c>
      <c r="AA26" s="23">
        <f t="shared" si="11"/>
        <v>10000</v>
      </c>
      <c r="AB26" s="23">
        <f t="shared" si="11"/>
        <v>10000</v>
      </c>
      <c r="AC26" s="73">
        <f t="shared" si="12"/>
        <v>0</v>
      </c>
      <c r="AD26" s="23">
        <f t="shared" si="13"/>
        <v>10000</v>
      </c>
      <c r="AE26" s="23">
        <f t="shared" si="13"/>
        <v>10000</v>
      </c>
      <c r="AF26" s="73">
        <f t="shared" si="14"/>
        <v>0</v>
      </c>
      <c r="AG26" s="75">
        <v>420000</v>
      </c>
      <c r="AH26" s="75">
        <f>420000-25000+16119</f>
        <v>411119</v>
      </c>
      <c r="AI26" s="120">
        <f t="shared" si="15"/>
        <v>-8881</v>
      </c>
      <c r="AJ26" s="23">
        <f t="shared" si="16"/>
        <v>10000</v>
      </c>
      <c r="AK26" s="23">
        <f t="shared" si="64"/>
        <v>10000</v>
      </c>
      <c r="AL26" s="73">
        <f t="shared" si="17"/>
        <v>0</v>
      </c>
      <c r="AM26" s="23"/>
      <c r="AN26" s="23"/>
      <c r="AO26" s="73">
        <f t="shared" si="18"/>
        <v>0</v>
      </c>
      <c r="AP26" s="23"/>
      <c r="AQ26" s="23"/>
      <c r="AR26" s="73">
        <f t="shared" si="19"/>
        <v>0</v>
      </c>
      <c r="AS26" s="23"/>
      <c r="AT26" s="23"/>
      <c r="AU26" s="73">
        <f t="shared" si="20"/>
        <v>0</v>
      </c>
      <c r="AV26" s="23"/>
      <c r="AW26" s="23"/>
      <c r="AX26" s="73">
        <f t="shared" si="21"/>
        <v>0</v>
      </c>
      <c r="AY26" s="23"/>
      <c r="AZ26" s="23"/>
      <c r="BA26" s="73">
        <f t="shared" si="22"/>
        <v>0</v>
      </c>
      <c r="BB26" s="23"/>
      <c r="BC26" s="23"/>
      <c r="BD26" s="73">
        <f t="shared" si="23"/>
        <v>0</v>
      </c>
      <c r="BE26" s="23"/>
      <c r="BF26" s="23"/>
      <c r="BG26" s="73">
        <f t="shared" si="24"/>
        <v>0</v>
      </c>
      <c r="BH26" s="23"/>
      <c r="BI26" s="23"/>
      <c r="BJ26" s="73">
        <f t="shared" si="25"/>
        <v>0</v>
      </c>
      <c r="BK26" s="23"/>
      <c r="BL26" s="23"/>
      <c r="BM26" s="73">
        <f t="shared" si="26"/>
        <v>0</v>
      </c>
      <c r="BN26" s="23"/>
      <c r="BO26" s="23"/>
      <c r="BP26" s="73">
        <f t="shared" si="27"/>
        <v>0</v>
      </c>
      <c r="BQ26" s="23"/>
      <c r="BR26" s="23"/>
      <c r="BS26" s="73">
        <f t="shared" si="28"/>
        <v>0</v>
      </c>
      <c r="BT26" s="23"/>
      <c r="BU26" s="23"/>
      <c r="BV26" s="73">
        <f t="shared" si="29"/>
        <v>0</v>
      </c>
      <c r="BW26" s="23"/>
      <c r="BX26" s="23"/>
      <c r="BY26" s="73">
        <f t="shared" si="30"/>
        <v>0</v>
      </c>
      <c r="BZ26" s="23"/>
      <c r="CA26" s="23"/>
      <c r="CB26" s="73">
        <f t="shared" si="31"/>
        <v>0</v>
      </c>
      <c r="CC26" s="23"/>
      <c r="CD26" s="23"/>
      <c r="CE26" s="73">
        <f t="shared" si="32"/>
        <v>0</v>
      </c>
      <c r="CF26" s="23"/>
      <c r="CG26" s="23"/>
      <c r="CH26" s="73">
        <f t="shared" si="33"/>
        <v>0</v>
      </c>
      <c r="CI26" s="23"/>
      <c r="CJ26" s="23"/>
      <c r="CK26" s="73">
        <f t="shared" si="34"/>
        <v>0</v>
      </c>
      <c r="CL26" s="23"/>
      <c r="CM26" s="23"/>
      <c r="CN26" s="73">
        <f t="shared" si="35"/>
        <v>0</v>
      </c>
      <c r="CO26" s="23"/>
      <c r="CP26" s="23"/>
      <c r="CQ26" s="73">
        <f t="shared" si="36"/>
        <v>0</v>
      </c>
      <c r="CR26" s="23"/>
      <c r="CS26" s="23"/>
      <c r="CT26" s="73">
        <f t="shared" si="37"/>
        <v>0</v>
      </c>
      <c r="CU26" s="23"/>
      <c r="CV26" s="23"/>
      <c r="CW26" s="73">
        <f t="shared" si="38"/>
        <v>0</v>
      </c>
      <c r="CX26" s="23"/>
      <c r="CY26" s="23"/>
      <c r="CZ26" s="73">
        <f t="shared" si="39"/>
        <v>0</v>
      </c>
      <c r="DA26" s="23"/>
      <c r="DB26" s="23"/>
      <c r="DC26" s="73">
        <f t="shared" si="40"/>
        <v>0</v>
      </c>
      <c r="DD26" s="23"/>
      <c r="DE26" s="23"/>
      <c r="DF26" s="73">
        <f t="shared" si="41"/>
        <v>0</v>
      </c>
      <c r="DG26" s="23"/>
      <c r="DH26" s="23"/>
      <c r="DI26" s="73">
        <f t="shared" si="42"/>
        <v>0</v>
      </c>
      <c r="DJ26" s="23"/>
      <c r="DK26" s="23"/>
      <c r="DL26" s="73">
        <f t="shared" si="43"/>
        <v>0</v>
      </c>
      <c r="DM26" s="23"/>
      <c r="DN26" s="23"/>
      <c r="DO26" s="73">
        <f t="shared" si="44"/>
        <v>0</v>
      </c>
      <c r="DP26" s="23"/>
      <c r="DQ26" s="23"/>
      <c r="DR26" s="73">
        <f t="shared" si="45"/>
        <v>0</v>
      </c>
      <c r="DS26" s="23"/>
      <c r="DT26" s="23"/>
      <c r="DU26" s="73">
        <f t="shared" si="46"/>
        <v>0</v>
      </c>
      <c r="DV26" s="23"/>
      <c r="DW26" s="23"/>
      <c r="DX26" s="73">
        <f t="shared" si="47"/>
        <v>0</v>
      </c>
      <c r="DY26" s="23"/>
      <c r="DZ26" s="23"/>
      <c r="EA26" s="73">
        <f t="shared" si="48"/>
        <v>0</v>
      </c>
      <c r="EB26" s="23"/>
      <c r="EC26" s="23"/>
      <c r="ED26" s="73">
        <f t="shared" si="49"/>
        <v>0</v>
      </c>
      <c r="EE26" s="23"/>
      <c r="EF26" s="23"/>
      <c r="EG26" s="73">
        <f t="shared" si="50"/>
        <v>0</v>
      </c>
      <c r="EH26" s="23"/>
      <c r="EI26" s="23"/>
      <c r="EJ26" s="73">
        <f t="shared" si="51"/>
        <v>0</v>
      </c>
      <c r="EK26" s="23"/>
      <c r="EL26" s="23"/>
      <c r="EM26" s="73">
        <f t="shared" si="52"/>
        <v>0</v>
      </c>
      <c r="EN26" s="23"/>
      <c r="EO26" s="23"/>
      <c r="EP26" s="73">
        <f t="shared" si="53"/>
        <v>0</v>
      </c>
      <c r="EQ26" s="73">
        <f t="shared" si="54"/>
        <v>525000</v>
      </c>
      <c r="ER26" s="73">
        <f t="shared" si="55"/>
        <v>516119</v>
      </c>
      <c r="ES26" s="73">
        <f t="shared" si="56"/>
        <v>-8881</v>
      </c>
      <c r="ET26" s="23">
        <f t="shared" si="61"/>
        <v>-211673</v>
      </c>
      <c r="EU26" s="79"/>
      <c r="EV26" s="73">
        <f t="shared" si="57"/>
        <v>105000</v>
      </c>
      <c r="EW26" s="73">
        <f t="shared" si="58"/>
        <v>105000</v>
      </c>
      <c r="EX26" s="23">
        <f t="shared" si="59"/>
        <v>0</v>
      </c>
      <c r="EY26" s="23">
        <f t="shared" si="62"/>
        <v>-62654</v>
      </c>
      <c r="EZ26" s="79"/>
      <c r="FA26" s="23">
        <f t="shared" si="60"/>
        <v>-8881</v>
      </c>
      <c r="FB26" s="23">
        <f t="shared" si="63"/>
        <v>-149019</v>
      </c>
      <c r="FC26" s="79"/>
      <c r="FD26" s="79"/>
      <c r="FE26" s="79"/>
      <c r="FF26" s="79"/>
      <c r="FG26" s="79"/>
      <c r="FH26" s="79"/>
      <c r="FI26" s="79"/>
    </row>
    <row r="27" spans="1:165" x14ac:dyDescent="0.2">
      <c r="A27" s="72">
        <f>+BaseloadMarkets!A27</f>
        <v>36729</v>
      </c>
      <c r="B27" s="72" t="str">
        <f>+BaseloadMarkets!B27</f>
        <v>Sat</v>
      </c>
      <c r="C27" s="23">
        <v>10000</v>
      </c>
      <c r="D27" s="23">
        <v>10000</v>
      </c>
      <c r="E27" s="73">
        <f t="shared" si="0"/>
        <v>0</v>
      </c>
      <c r="F27" s="23">
        <v>10000</v>
      </c>
      <c r="G27" s="23">
        <v>10000</v>
      </c>
      <c r="H27" s="73">
        <f t="shared" si="1"/>
        <v>0</v>
      </c>
      <c r="I27" s="23">
        <v>10000</v>
      </c>
      <c r="J27" s="23">
        <v>10000</v>
      </c>
      <c r="K27" s="73">
        <f t="shared" si="2"/>
        <v>0</v>
      </c>
      <c r="L27" s="23">
        <v>5000</v>
      </c>
      <c r="M27" s="23">
        <v>5000</v>
      </c>
      <c r="N27" s="73">
        <f t="shared" si="3"/>
        <v>0</v>
      </c>
      <c r="O27" s="23">
        <v>10000</v>
      </c>
      <c r="P27" s="23">
        <v>10000</v>
      </c>
      <c r="Q27" s="73">
        <f t="shared" si="4"/>
        <v>0</v>
      </c>
      <c r="R27" s="23">
        <f t="shared" si="5"/>
        <v>10000</v>
      </c>
      <c r="S27" s="23">
        <f t="shared" si="5"/>
        <v>10000</v>
      </c>
      <c r="T27" s="73">
        <f t="shared" si="6"/>
        <v>0</v>
      </c>
      <c r="U27" s="23">
        <f t="shared" si="7"/>
        <v>10000</v>
      </c>
      <c r="V27" s="23">
        <f t="shared" si="7"/>
        <v>10000</v>
      </c>
      <c r="W27" s="73">
        <f t="shared" si="8"/>
        <v>0</v>
      </c>
      <c r="X27" s="23">
        <f t="shared" si="9"/>
        <v>10000</v>
      </c>
      <c r="Y27" s="23">
        <f t="shared" si="9"/>
        <v>10000</v>
      </c>
      <c r="Z27" s="73">
        <f t="shared" si="10"/>
        <v>0</v>
      </c>
      <c r="AA27" s="23">
        <f t="shared" si="11"/>
        <v>10000</v>
      </c>
      <c r="AB27" s="23">
        <f t="shared" si="11"/>
        <v>10000</v>
      </c>
      <c r="AC27" s="73">
        <f t="shared" si="12"/>
        <v>0</v>
      </c>
      <c r="AD27" s="23">
        <f t="shared" si="13"/>
        <v>10000</v>
      </c>
      <c r="AE27" s="23">
        <f t="shared" si="13"/>
        <v>10000</v>
      </c>
      <c r="AF27" s="73">
        <f t="shared" si="14"/>
        <v>0</v>
      </c>
      <c r="AG27" s="75">
        <v>315000</v>
      </c>
      <c r="AH27" s="75">
        <f>315000-29540+22287-10000+6256</f>
        <v>304003</v>
      </c>
      <c r="AI27" s="120">
        <f t="shared" si="15"/>
        <v>-10997</v>
      </c>
      <c r="AJ27" s="23">
        <f t="shared" si="16"/>
        <v>10000</v>
      </c>
      <c r="AK27" s="23">
        <f t="shared" si="64"/>
        <v>10000</v>
      </c>
      <c r="AL27" s="73">
        <f t="shared" si="17"/>
        <v>0</v>
      </c>
      <c r="AM27" s="23"/>
      <c r="AN27" s="23"/>
      <c r="AO27" s="73">
        <f t="shared" si="18"/>
        <v>0</v>
      </c>
      <c r="AP27" s="23"/>
      <c r="AQ27" s="23"/>
      <c r="AR27" s="73">
        <f t="shared" si="19"/>
        <v>0</v>
      </c>
      <c r="AS27" s="23"/>
      <c r="AT27" s="23"/>
      <c r="AU27" s="73">
        <f t="shared" si="20"/>
        <v>0</v>
      </c>
      <c r="AV27" s="23"/>
      <c r="AW27" s="23"/>
      <c r="AX27" s="73">
        <f t="shared" si="21"/>
        <v>0</v>
      </c>
      <c r="AY27" s="23"/>
      <c r="AZ27" s="23"/>
      <c r="BA27" s="73">
        <f t="shared" si="22"/>
        <v>0</v>
      </c>
      <c r="BB27" s="23"/>
      <c r="BC27" s="23"/>
      <c r="BD27" s="73">
        <f t="shared" si="23"/>
        <v>0</v>
      </c>
      <c r="BE27" s="23"/>
      <c r="BF27" s="23"/>
      <c r="BG27" s="73">
        <f t="shared" si="24"/>
        <v>0</v>
      </c>
      <c r="BH27" s="23"/>
      <c r="BI27" s="23"/>
      <c r="BJ27" s="73">
        <f t="shared" si="25"/>
        <v>0</v>
      </c>
      <c r="BK27" s="23"/>
      <c r="BL27" s="23"/>
      <c r="BM27" s="73">
        <f t="shared" si="26"/>
        <v>0</v>
      </c>
      <c r="BN27" s="23"/>
      <c r="BO27" s="23"/>
      <c r="BP27" s="73">
        <f t="shared" si="27"/>
        <v>0</v>
      </c>
      <c r="BQ27" s="23"/>
      <c r="BR27" s="23"/>
      <c r="BS27" s="73">
        <f t="shared" si="28"/>
        <v>0</v>
      </c>
      <c r="BT27" s="23"/>
      <c r="BU27" s="23"/>
      <c r="BV27" s="73">
        <f t="shared" si="29"/>
        <v>0</v>
      </c>
      <c r="BW27" s="23"/>
      <c r="BX27" s="23"/>
      <c r="BY27" s="73">
        <f t="shared" si="30"/>
        <v>0</v>
      </c>
      <c r="BZ27" s="23"/>
      <c r="CA27" s="23"/>
      <c r="CB27" s="73">
        <f t="shared" si="31"/>
        <v>0</v>
      </c>
      <c r="CC27" s="23"/>
      <c r="CD27" s="23"/>
      <c r="CE27" s="73">
        <f t="shared" si="32"/>
        <v>0</v>
      </c>
      <c r="CF27" s="23"/>
      <c r="CG27" s="23"/>
      <c r="CH27" s="73">
        <f t="shared" si="33"/>
        <v>0</v>
      </c>
      <c r="CI27" s="23"/>
      <c r="CJ27" s="23"/>
      <c r="CK27" s="73">
        <f t="shared" si="34"/>
        <v>0</v>
      </c>
      <c r="CL27" s="23"/>
      <c r="CM27" s="23"/>
      <c r="CN27" s="73">
        <f t="shared" si="35"/>
        <v>0</v>
      </c>
      <c r="CO27" s="23"/>
      <c r="CP27" s="23"/>
      <c r="CQ27" s="73">
        <f t="shared" si="36"/>
        <v>0</v>
      </c>
      <c r="CR27" s="23"/>
      <c r="CS27" s="23"/>
      <c r="CT27" s="73">
        <f t="shared" si="37"/>
        <v>0</v>
      </c>
      <c r="CU27" s="23"/>
      <c r="CV27" s="23"/>
      <c r="CW27" s="73">
        <f t="shared" si="38"/>
        <v>0</v>
      </c>
      <c r="CX27" s="23"/>
      <c r="CY27" s="23"/>
      <c r="CZ27" s="73">
        <f t="shared" si="39"/>
        <v>0</v>
      </c>
      <c r="DA27" s="23"/>
      <c r="DB27" s="23"/>
      <c r="DC27" s="73">
        <f t="shared" si="40"/>
        <v>0</v>
      </c>
      <c r="DD27" s="23"/>
      <c r="DE27" s="23"/>
      <c r="DF27" s="73">
        <f t="shared" si="41"/>
        <v>0</v>
      </c>
      <c r="DG27" s="23"/>
      <c r="DH27" s="23"/>
      <c r="DI27" s="73">
        <f t="shared" si="42"/>
        <v>0</v>
      </c>
      <c r="DJ27" s="23"/>
      <c r="DK27" s="23"/>
      <c r="DL27" s="73">
        <f t="shared" si="43"/>
        <v>0</v>
      </c>
      <c r="DM27" s="23"/>
      <c r="DN27" s="23"/>
      <c r="DO27" s="73">
        <f t="shared" si="44"/>
        <v>0</v>
      </c>
      <c r="DP27" s="23"/>
      <c r="DQ27" s="23"/>
      <c r="DR27" s="73">
        <f t="shared" si="45"/>
        <v>0</v>
      </c>
      <c r="DS27" s="23"/>
      <c r="DT27" s="23"/>
      <c r="DU27" s="73">
        <f t="shared" si="46"/>
        <v>0</v>
      </c>
      <c r="DV27" s="23"/>
      <c r="DW27" s="23"/>
      <c r="DX27" s="73">
        <f t="shared" si="47"/>
        <v>0</v>
      </c>
      <c r="DY27" s="23"/>
      <c r="DZ27" s="23"/>
      <c r="EA27" s="73">
        <f t="shared" si="48"/>
        <v>0</v>
      </c>
      <c r="EB27" s="23"/>
      <c r="EC27" s="23"/>
      <c r="ED27" s="73">
        <f t="shared" si="49"/>
        <v>0</v>
      </c>
      <c r="EE27" s="23"/>
      <c r="EF27" s="23"/>
      <c r="EG27" s="73">
        <f t="shared" si="50"/>
        <v>0</v>
      </c>
      <c r="EH27" s="23"/>
      <c r="EI27" s="23"/>
      <c r="EJ27" s="73">
        <f t="shared" si="51"/>
        <v>0</v>
      </c>
      <c r="EK27" s="23"/>
      <c r="EL27" s="23"/>
      <c r="EM27" s="73">
        <f t="shared" si="52"/>
        <v>0</v>
      </c>
      <c r="EN27" s="23"/>
      <c r="EO27" s="23"/>
      <c r="EP27" s="73">
        <f t="shared" si="53"/>
        <v>0</v>
      </c>
      <c r="EQ27" s="73">
        <f t="shared" si="54"/>
        <v>420000</v>
      </c>
      <c r="ER27" s="73">
        <f t="shared" si="55"/>
        <v>409003</v>
      </c>
      <c r="ES27" s="73">
        <f t="shared" si="56"/>
        <v>-10997</v>
      </c>
      <c r="ET27" s="23">
        <f t="shared" si="61"/>
        <v>-222670</v>
      </c>
      <c r="EU27" s="79"/>
      <c r="EV27" s="73">
        <f t="shared" si="57"/>
        <v>105000</v>
      </c>
      <c r="EW27" s="73">
        <f t="shared" si="58"/>
        <v>105000</v>
      </c>
      <c r="EX27" s="23">
        <f t="shared" si="59"/>
        <v>0</v>
      </c>
      <c r="EY27" s="23">
        <f t="shared" si="62"/>
        <v>-62654</v>
      </c>
      <c r="EZ27" s="79"/>
      <c r="FA27" s="23">
        <f t="shared" si="60"/>
        <v>-10997</v>
      </c>
      <c r="FB27" s="23">
        <f t="shared" si="63"/>
        <v>-160016</v>
      </c>
      <c r="FC27" s="79"/>
      <c r="FD27" s="79"/>
      <c r="FE27" s="79"/>
      <c r="FF27" s="79"/>
      <c r="FG27" s="79"/>
      <c r="FH27" s="79"/>
      <c r="FI27" s="79"/>
    </row>
    <row r="28" spans="1:165" x14ac:dyDescent="0.2">
      <c r="A28" s="72">
        <f>+BaseloadMarkets!A28</f>
        <v>36730</v>
      </c>
      <c r="B28" s="72" t="str">
        <f>+BaseloadMarkets!B28</f>
        <v>Sun</v>
      </c>
      <c r="C28" s="23">
        <v>10000</v>
      </c>
      <c r="D28" s="23">
        <v>10000</v>
      </c>
      <c r="E28" s="73">
        <f t="shared" si="0"/>
        <v>0</v>
      </c>
      <c r="F28" s="23">
        <v>10000</v>
      </c>
      <c r="G28" s="23">
        <v>10000</v>
      </c>
      <c r="H28" s="73">
        <f t="shared" si="1"/>
        <v>0</v>
      </c>
      <c r="I28" s="23">
        <v>10000</v>
      </c>
      <c r="J28" s="23">
        <v>10000</v>
      </c>
      <c r="K28" s="73">
        <f t="shared" si="2"/>
        <v>0</v>
      </c>
      <c r="L28" s="23">
        <v>5000</v>
      </c>
      <c r="M28" s="23">
        <v>5000</v>
      </c>
      <c r="N28" s="73">
        <f t="shared" si="3"/>
        <v>0</v>
      </c>
      <c r="O28" s="23">
        <v>10000</v>
      </c>
      <c r="P28" s="23">
        <v>10000</v>
      </c>
      <c r="Q28" s="73">
        <f t="shared" si="4"/>
        <v>0</v>
      </c>
      <c r="R28" s="23">
        <f t="shared" si="5"/>
        <v>10000</v>
      </c>
      <c r="S28" s="23">
        <f t="shared" si="5"/>
        <v>10000</v>
      </c>
      <c r="T28" s="73">
        <f t="shared" si="6"/>
        <v>0</v>
      </c>
      <c r="U28" s="23">
        <f t="shared" si="7"/>
        <v>10000</v>
      </c>
      <c r="V28" s="23">
        <f t="shared" si="7"/>
        <v>10000</v>
      </c>
      <c r="W28" s="73">
        <f t="shared" si="8"/>
        <v>0</v>
      </c>
      <c r="X28" s="23">
        <f t="shared" si="9"/>
        <v>10000</v>
      </c>
      <c r="Y28" s="23">
        <f t="shared" si="9"/>
        <v>10000</v>
      </c>
      <c r="Z28" s="73">
        <f t="shared" si="10"/>
        <v>0</v>
      </c>
      <c r="AA28" s="23">
        <f t="shared" si="11"/>
        <v>10000</v>
      </c>
      <c r="AB28" s="23">
        <f t="shared" si="11"/>
        <v>10000</v>
      </c>
      <c r="AC28" s="73">
        <f t="shared" si="12"/>
        <v>0</v>
      </c>
      <c r="AD28" s="23">
        <f t="shared" si="13"/>
        <v>10000</v>
      </c>
      <c r="AE28" s="23">
        <f t="shared" si="13"/>
        <v>10000</v>
      </c>
      <c r="AF28" s="73">
        <f t="shared" si="14"/>
        <v>0</v>
      </c>
      <c r="AG28" s="75">
        <v>315000</v>
      </c>
      <c r="AH28" s="75">
        <f>315000-29540+24901-10000+6158</f>
        <v>306519</v>
      </c>
      <c r="AI28" s="120">
        <f t="shared" si="15"/>
        <v>-8481</v>
      </c>
      <c r="AJ28" s="23">
        <f t="shared" si="16"/>
        <v>10000</v>
      </c>
      <c r="AK28" s="23">
        <f t="shared" si="64"/>
        <v>10000</v>
      </c>
      <c r="AL28" s="73">
        <f t="shared" si="17"/>
        <v>0</v>
      </c>
      <c r="AM28" s="23"/>
      <c r="AN28" s="23"/>
      <c r="AO28" s="73">
        <f t="shared" si="18"/>
        <v>0</v>
      </c>
      <c r="AP28" s="23"/>
      <c r="AQ28" s="23"/>
      <c r="AR28" s="73">
        <f t="shared" si="19"/>
        <v>0</v>
      </c>
      <c r="AS28" s="23"/>
      <c r="AT28" s="23"/>
      <c r="AU28" s="73">
        <f t="shared" si="20"/>
        <v>0</v>
      </c>
      <c r="AV28" s="23"/>
      <c r="AW28" s="23"/>
      <c r="AX28" s="73">
        <f t="shared" si="21"/>
        <v>0</v>
      </c>
      <c r="AY28" s="23"/>
      <c r="AZ28" s="23"/>
      <c r="BA28" s="73">
        <f t="shared" si="22"/>
        <v>0</v>
      </c>
      <c r="BB28" s="23"/>
      <c r="BC28" s="23"/>
      <c r="BD28" s="73">
        <f t="shared" si="23"/>
        <v>0</v>
      </c>
      <c r="BE28" s="23"/>
      <c r="BF28" s="23"/>
      <c r="BG28" s="73">
        <f t="shared" si="24"/>
        <v>0</v>
      </c>
      <c r="BH28" s="23"/>
      <c r="BI28" s="23"/>
      <c r="BJ28" s="73">
        <f t="shared" si="25"/>
        <v>0</v>
      </c>
      <c r="BK28" s="23"/>
      <c r="BL28" s="23"/>
      <c r="BM28" s="73">
        <f t="shared" si="26"/>
        <v>0</v>
      </c>
      <c r="BN28" s="23"/>
      <c r="BO28" s="23"/>
      <c r="BP28" s="73">
        <f t="shared" si="27"/>
        <v>0</v>
      </c>
      <c r="BQ28" s="23"/>
      <c r="BR28" s="23"/>
      <c r="BS28" s="73">
        <f t="shared" si="28"/>
        <v>0</v>
      </c>
      <c r="BT28" s="23"/>
      <c r="BU28" s="23"/>
      <c r="BV28" s="73">
        <f t="shared" si="29"/>
        <v>0</v>
      </c>
      <c r="BW28" s="23"/>
      <c r="BX28" s="23"/>
      <c r="BY28" s="73">
        <f t="shared" si="30"/>
        <v>0</v>
      </c>
      <c r="BZ28" s="23"/>
      <c r="CA28" s="23"/>
      <c r="CB28" s="73">
        <f t="shared" si="31"/>
        <v>0</v>
      </c>
      <c r="CC28" s="23"/>
      <c r="CD28" s="23"/>
      <c r="CE28" s="73">
        <f t="shared" si="32"/>
        <v>0</v>
      </c>
      <c r="CF28" s="23"/>
      <c r="CG28" s="23"/>
      <c r="CH28" s="73">
        <f t="shared" si="33"/>
        <v>0</v>
      </c>
      <c r="CI28" s="23"/>
      <c r="CJ28" s="23"/>
      <c r="CK28" s="73">
        <f t="shared" si="34"/>
        <v>0</v>
      </c>
      <c r="CL28" s="23"/>
      <c r="CM28" s="23"/>
      <c r="CN28" s="73">
        <f t="shared" si="35"/>
        <v>0</v>
      </c>
      <c r="CO28" s="23"/>
      <c r="CP28" s="23"/>
      <c r="CQ28" s="73">
        <f t="shared" si="36"/>
        <v>0</v>
      </c>
      <c r="CR28" s="23"/>
      <c r="CS28" s="23"/>
      <c r="CT28" s="73">
        <f t="shared" si="37"/>
        <v>0</v>
      </c>
      <c r="CU28" s="23"/>
      <c r="CV28" s="23"/>
      <c r="CW28" s="73">
        <f t="shared" si="38"/>
        <v>0</v>
      </c>
      <c r="CX28" s="23"/>
      <c r="CY28" s="23"/>
      <c r="CZ28" s="73">
        <f t="shared" si="39"/>
        <v>0</v>
      </c>
      <c r="DA28" s="23"/>
      <c r="DB28" s="23"/>
      <c r="DC28" s="73">
        <f t="shared" si="40"/>
        <v>0</v>
      </c>
      <c r="DD28" s="23"/>
      <c r="DE28" s="23"/>
      <c r="DF28" s="73">
        <f t="shared" si="41"/>
        <v>0</v>
      </c>
      <c r="DG28" s="23"/>
      <c r="DH28" s="23"/>
      <c r="DI28" s="73">
        <f t="shared" si="42"/>
        <v>0</v>
      </c>
      <c r="DJ28" s="23"/>
      <c r="DK28" s="23"/>
      <c r="DL28" s="73">
        <f t="shared" si="43"/>
        <v>0</v>
      </c>
      <c r="DM28" s="23"/>
      <c r="DN28" s="23"/>
      <c r="DO28" s="73">
        <f t="shared" si="44"/>
        <v>0</v>
      </c>
      <c r="DP28" s="23"/>
      <c r="DQ28" s="23"/>
      <c r="DR28" s="73">
        <f t="shared" si="45"/>
        <v>0</v>
      </c>
      <c r="DS28" s="23"/>
      <c r="DT28" s="23"/>
      <c r="DU28" s="73">
        <f t="shared" si="46"/>
        <v>0</v>
      </c>
      <c r="DV28" s="23"/>
      <c r="DW28" s="23"/>
      <c r="DX28" s="73">
        <f t="shared" si="47"/>
        <v>0</v>
      </c>
      <c r="DY28" s="23"/>
      <c r="DZ28" s="23"/>
      <c r="EA28" s="73">
        <f t="shared" si="48"/>
        <v>0</v>
      </c>
      <c r="EB28" s="23"/>
      <c r="EC28" s="23"/>
      <c r="ED28" s="73">
        <f t="shared" si="49"/>
        <v>0</v>
      </c>
      <c r="EE28" s="23"/>
      <c r="EF28" s="23"/>
      <c r="EG28" s="73">
        <f t="shared" si="50"/>
        <v>0</v>
      </c>
      <c r="EH28" s="23"/>
      <c r="EI28" s="23"/>
      <c r="EJ28" s="73">
        <f t="shared" si="51"/>
        <v>0</v>
      </c>
      <c r="EK28" s="23"/>
      <c r="EL28" s="23"/>
      <c r="EM28" s="73">
        <f t="shared" si="52"/>
        <v>0</v>
      </c>
      <c r="EN28" s="23"/>
      <c r="EO28" s="23"/>
      <c r="EP28" s="73">
        <f t="shared" si="53"/>
        <v>0</v>
      </c>
      <c r="EQ28" s="73">
        <f t="shared" si="54"/>
        <v>420000</v>
      </c>
      <c r="ER28" s="73">
        <f t="shared" si="55"/>
        <v>411519</v>
      </c>
      <c r="ES28" s="73">
        <f t="shared" si="56"/>
        <v>-8481</v>
      </c>
      <c r="ET28" s="23">
        <f t="shared" si="61"/>
        <v>-231151</v>
      </c>
      <c r="EU28" s="79"/>
      <c r="EV28" s="73">
        <f t="shared" si="57"/>
        <v>105000</v>
      </c>
      <c r="EW28" s="73">
        <f t="shared" si="58"/>
        <v>105000</v>
      </c>
      <c r="EX28" s="23">
        <f t="shared" si="59"/>
        <v>0</v>
      </c>
      <c r="EY28" s="23">
        <f t="shared" si="62"/>
        <v>-62654</v>
      </c>
      <c r="EZ28" s="79"/>
      <c r="FA28" s="23">
        <f t="shared" si="60"/>
        <v>-8481</v>
      </c>
      <c r="FB28" s="23">
        <f t="shared" si="63"/>
        <v>-168497</v>
      </c>
      <c r="FC28" s="79"/>
      <c r="FD28" s="79"/>
      <c r="FE28" s="79"/>
      <c r="FF28" s="79"/>
      <c r="FG28" s="79"/>
      <c r="FH28" s="79"/>
      <c r="FI28" s="79"/>
    </row>
    <row r="29" spans="1:165" x14ac:dyDescent="0.2">
      <c r="A29" s="72">
        <f>+BaseloadMarkets!A29</f>
        <v>36731</v>
      </c>
      <c r="B29" s="72" t="str">
        <f>+BaseloadMarkets!B29</f>
        <v>Mon</v>
      </c>
      <c r="C29" s="23">
        <v>10000</v>
      </c>
      <c r="D29" s="23">
        <v>10000</v>
      </c>
      <c r="E29" s="73">
        <f t="shared" si="0"/>
        <v>0</v>
      </c>
      <c r="F29" s="23">
        <v>10000</v>
      </c>
      <c r="G29" s="23">
        <v>10000</v>
      </c>
      <c r="H29" s="73">
        <f t="shared" si="1"/>
        <v>0</v>
      </c>
      <c r="I29" s="23">
        <v>10000</v>
      </c>
      <c r="J29" s="23">
        <v>10000</v>
      </c>
      <c r="K29" s="73">
        <f t="shared" si="2"/>
        <v>0</v>
      </c>
      <c r="L29" s="23">
        <v>5000</v>
      </c>
      <c r="M29" s="23">
        <v>5000</v>
      </c>
      <c r="N29" s="73">
        <f t="shared" si="3"/>
        <v>0</v>
      </c>
      <c r="O29" s="23">
        <v>10000</v>
      </c>
      <c r="P29" s="23">
        <v>10000</v>
      </c>
      <c r="Q29" s="73">
        <f t="shared" si="4"/>
        <v>0</v>
      </c>
      <c r="R29" s="23">
        <f t="shared" si="5"/>
        <v>10000</v>
      </c>
      <c r="S29" s="23">
        <f t="shared" si="5"/>
        <v>10000</v>
      </c>
      <c r="T29" s="73">
        <f t="shared" si="6"/>
        <v>0</v>
      </c>
      <c r="U29" s="23">
        <f t="shared" si="7"/>
        <v>10000</v>
      </c>
      <c r="V29" s="23">
        <f t="shared" si="7"/>
        <v>10000</v>
      </c>
      <c r="W29" s="73">
        <f t="shared" si="8"/>
        <v>0</v>
      </c>
      <c r="X29" s="23">
        <f t="shared" si="9"/>
        <v>10000</v>
      </c>
      <c r="Y29" s="23">
        <f t="shared" si="9"/>
        <v>10000</v>
      </c>
      <c r="Z29" s="73">
        <f t="shared" si="10"/>
        <v>0</v>
      </c>
      <c r="AA29" s="23">
        <f t="shared" si="11"/>
        <v>10000</v>
      </c>
      <c r="AB29" s="23">
        <f t="shared" si="11"/>
        <v>10000</v>
      </c>
      <c r="AC29" s="73">
        <f t="shared" si="12"/>
        <v>0</v>
      </c>
      <c r="AD29" s="23">
        <f t="shared" si="13"/>
        <v>10000</v>
      </c>
      <c r="AE29" s="23">
        <f t="shared" si="13"/>
        <v>10000</v>
      </c>
      <c r="AF29" s="73">
        <f t="shared" si="14"/>
        <v>0</v>
      </c>
      <c r="AG29" s="75">
        <v>315000</v>
      </c>
      <c r="AH29" s="75">
        <f>315000-29540+18221-10000+6168</f>
        <v>299849</v>
      </c>
      <c r="AI29" s="120">
        <f t="shared" si="15"/>
        <v>-15151</v>
      </c>
      <c r="AJ29" s="23">
        <f t="shared" si="16"/>
        <v>10000</v>
      </c>
      <c r="AK29" s="23">
        <f t="shared" si="64"/>
        <v>10000</v>
      </c>
      <c r="AL29" s="73">
        <f t="shared" si="17"/>
        <v>0</v>
      </c>
      <c r="AM29" s="23"/>
      <c r="AN29" s="23"/>
      <c r="AO29" s="73">
        <f t="shared" si="18"/>
        <v>0</v>
      </c>
      <c r="AP29" s="23"/>
      <c r="AQ29" s="23"/>
      <c r="AR29" s="73">
        <f t="shared" si="19"/>
        <v>0</v>
      </c>
      <c r="AS29" s="23"/>
      <c r="AT29" s="23"/>
      <c r="AU29" s="73">
        <f t="shared" si="20"/>
        <v>0</v>
      </c>
      <c r="AV29" s="23"/>
      <c r="AW29" s="23"/>
      <c r="AX29" s="73">
        <f t="shared" si="21"/>
        <v>0</v>
      </c>
      <c r="AY29" s="23"/>
      <c r="AZ29" s="23"/>
      <c r="BA29" s="73">
        <f t="shared" si="22"/>
        <v>0</v>
      </c>
      <c r="BB29" s="23"/>
      <c r="BC29" s="23"/>
      <c r="BD29" s="73">
        <f t="shared" si="23"/>
        <v>0</v>
      </c>
      <c r="BE29" s="23"/>
      <c r="BF29" s="23"/>
      <c r="BG29" s="73">
        <f t="shared" si="24"/>
        <v>0</v>
      </c>
      <c r="BH29" s="23"/>
      <c r="BI29" s="23"/>
      <c r="BJ29" s="73">
        <f t="shared" si="25"/>
        <v>0</v>
      </c>
      <c r="BK29" s="23"/>
      <c r="BL29" s="23"/>
      <c r="BM29" s="73">
        <f t="shared" si="26"/>
        <v>0</v>
      </c>
      <c r="BN29" s="23"/>
      <c r="BO29" s="23"/>
      <c r="BP29" s="73">
        <f t="shared" si="27"/>
        <v>0</v>
      </c>
      <c r="BQ29" s="23"/>
      <c r="BR29" s="23"/>
      <c r="BS29" s="73">
        <f t="shared" si="28"/>
        <v>0</v>
      </c>
      <c r="BT29" s="23"/>
      <c r="BU29" s="23"/>
      <c r="BV29" s="73">
        <f t="shared" si="29"/>
        <v>0</v>
      </c>
      <c r="BW29" s="23"/>
      <c r="BX29" s="23"/>
      <c r="BY29" s="73">
        <f t="shared" si="30"/>
        <v>0</v>
      </c>
      <c r="BZ29" s="23"/>
      <c r="CA29" s="23"/>
      <c r="CB29" s="73">
        <f t="shared" si="31"/>
        <v>0</v>
      </c>
      <c r="CC29" s="23"/>
      <c r="CD29" s="23"/>
      <c r="CE29" s="73">
        <f t="shared" si="32"/>
        <v>0</v>
      </c>
      <c r="CF29" s="23"/>
      <c r="CG29" s="23"/>
      <c r="CH29" s="73">
        <f t="shared" si="33"/>
        <v>0</v>
      </c>
      <c r="CI29" s="23"/>
      <c r="CJ29" s="23"/>
      <c r="CK29" s="73">
        <f t="shared" si="34"/>
        <v>0</v>
      </c>
      <c r="CL29" s="23"/>
      <c r="CM29" s="23"/>
      <c r="CN29" s="73">
        <f t="shared" si="35"/>
        <v>0</v>
      </c>
      <c r="CO29" s="23"/>
      <c r="CP29" s="23"/>
      <c r="CQ29" s="73">
        <f t="shared" si="36"/>
        <v>0</v>
      </c>
      <c r="CR29" s="23"/>
      <c r="CS29" s="23"/>
      <c r="CT29" s="73">
        <f t="shared" si="37"/>
        <v>0</v>
      </c>
      <c r="CU29" s="23"/>
      <c r="CV29" s="23"/>
      <c r="CW29" s="73">
        <f t="shared" si="38"/>
        <v>0</v>
      </c>
      <c r="CX29" s="23"/>
      <c r="CY29" s="23"/>
      <c r="CZ29" s="73">
        <f t="shared" si="39"/>
        <v>0</v>
      </c>
      <c r="DA29" s="23"/>
      <c r="DB29" s="23"/>
      <c r="DC29" s="73">
        <f t="shared" si="40"/>
        <v>0</v>
      </c>
      <c r="DD29" s="23"/>
      <c r="DE29" s="23"/>
      <c r="DF29" s="73">
        <f t="shared" si="41"/>
        <v>0</v>
      </c>
      <c r="DG29" s="23"/>
      <c r="DH29" s="23"/>
      <c r="DI29" s="73">
        <f t="shared" si="42"/>
        <v>0</v>
      </c>
      <c r="DJ29" s="23"/>
      <c r="DK29" s="23"/>
      <c r="DL29" s="73">
        <f t="shared" si="43"/>
        <v>0</v>
      </c>
      <c r="DM29" s="23"/>
      <c r="DN29" s="23"/>
      <c r="DO29" s="73">
        <f t="shared" si="44"/>
        <v>0</v>
      </c>
      <c r="DP29" s="23"/>
      <c r="DQ29" s="23"/>
      <c r="DR29" s="73">
        <f t="shared" si="45"/>
        <v>0</v>
      </c>
      <c r="DS29" s="23"/>
      <c r="DT29" s="23"/>
      <c r="DU29" s="73">
        <f t="shared" si="46"/>
        <v>0</v>
      </c>
      <c r="DV29" s="23"/>
      <c r="DW29" s="23"/>
      <c r="DX29" s="73">
        <f t="shared" si="47"/>
        <v>0</v>
      </c>
      <c r="DY29" s="23"/>
      <c r="DZ29" s="23"/>
      <c r="EA29" s="73">
        <f t="shared" si="48"/>
        <v>0</v>
      </c>
      <c r="EB29" s="23"/>
      <c r="EC29" s="23"/>
      <c r="ED29" s="73">
        <f t="shared" si="49"/>
        <v>0</v>
      </c>
      <c r="EE29" s="23"/>
      <c r="EF29" s="23"/>
      <c r="EG29" s="73">
        <f t="shared" si="50"/>
        <v>0</v>
      </c>
      <c r="EH29" s="23"/>
      <c r="EI29" s="23"/>
      <c r="EJ29" s="73">
        <f t="shared" si="51"/>
        <v>0</v>
      </c>
      <c r="EK29" s="23"/>
      <c r="EL29" s="23"/>
      <c r="EM29" s="73">
        <f t="shared" si="52"/>
        <v>0</v>
      </c>
      <c r="EN29" s="23"/>
      <c r="EO29" s="23"/>
      <c r="EP29" s="73">
        <f t="shared" si="53"/>
        <v>0</v>
      </c>
      <c r="EQ29" s="73">
        <f t="shared" si="54"/>
        <v>420000</v>
      </c>
      <c r="ER29" s="73">
        <f t="shared" si="55"/>
        <v>404849</v>
      </c>
      <c r="ES29" s="73">
        <f t="shared" si="56"/>
        <v>-15151</v>
      </c>
      <c r="ET29" s="23">
        <f t="shared" si="61"/>
        <v>-246302</v>
      </c>
      <c r="EU29" s="79"/>
      <c r="EV29" s="73">
        <f t="shared" si="57"/>
        <v>105000</v>
      </c>
      <c r="EW29" s="73">
        <f t="shared" si="58"/>
        <v>105000</v>
      </c>
      <c r="EX29" s="23">
        <f t="shared" si="59"/>
        <v>0</v>
      </c>
      <c r="EY29" s="23">
        <f t="shared" si="62"/>
        <v>-62654</v>
      </c>
      <c r="EZ29" s="79"/>
      <c r="FA29" s="23">
        <f t="shared" si="60"/>
        <v>-15151</v>
      </c>
      <c r="FB29" s="23">
        <f t="shared" si="63"/>
        <v>-183648</v>
      </c>
      <c r="FC29" s="79"/>
      <c r="FD29" s="79"/>
      <c r="FE29" s="79"/>
      <c r="FF29" s="79"/>
      <c r="FG29" s="79"/>
      <c r="FH29" s="79"/>
      <c r="FI29" s="79"/>
    </row>
    <row r="30" spans="1:165" x14ac:dyDescent="0.2">
      <c r="A30" s="72">
        <f>+BaseloadMarkets!A30</f>
        <v>36732</v>
      </c>
      <c r="B30" s="72" t="str">
        <f>+BaseloadMarkets!B30</f>
        <v>Tues</v>
      </c>
      <c r="C30" s="23">
        <v>10000</v>
      </c>
      <c r="D30" s="23">
        <v>10000</v>
      </c>
      <c r="E30" s="73">
        <f t="shared" si="0"/>
        <v>0</v>
      </c>
      <c r="F30" s="23">
        <v>10000</v>
      </c>
      <c r="G30" s="23">
        <v>10000</v>
      </c>
      <c r="H30" s="73">
        <f t="shared" si="1"/>
        <v>0</v>
      </c>
      <c r="I30" s="23">
        <v>10000</v>
      </c>
      <c r="J30" s="23">
        <v>10000</v>
      </c>
      <c r="K30" s="73">
        <f t="shared" si="2"/>
        <v>0</v>
      </c>
      <c r="L30" s="23">
        <v>5000</v>
      </c>
      <c r="M30" s="23">
        <v>5000</v>
      </c>
      <c r="N30" s="73">
        <f t="shared" si="3"/>
        <v>0</v>
      </c>
      <c r="O30" s="23">
        <v>10000</v>
      </c>
      <c r="P30" s="23">
        <v>10000</v>
      </c>
      <c r="Q30" s="73">
        <f t="shared" si="4"/>
        <v>0</v>
      </c>
      <c r="R30" s="23">
        <f t="shared" si="5"/>
        <v>10000</v>
      </c>
      <c r="S30" s="23">
        <f t="shared" si="5"/>
        <v>10000</v>
      </c>
      <c r="T30" s="73">
        <f t="shared" si="6"/>
        <v>0</v>
      </c>
      <c r="U30" s="23">
        <f t="shared" si="7"/>
        <v>10000</v>
      </c>
      <c r="V30" s="23">
        <f t="shared" si="7"/>
        <v>10000</v>
      </c>
      <c r="W30" s="73">
        <f t="shared" si="8"/>
        <v>0</v>
      </c>
      <c r="X30" s="23">
        <f t="shared" si="9"/>
        <v>10000</v>
      </c>
      <c r="Y30" s="23">
        <f t="shared" si="9"/>
        <v>10000</v>
      </c>
      <c r="Z30" s="73">
        <f t="shared" si="10"/>
        <v>0</v>
      </c>
      <c r="AA30" s="23">
        <f t="shared" si="11"/>
        <v>10000</v>
      </c>
      <c r="AB30" s="23">
        <f t="shared" si="11"/>
        <v>10000</v>
      </c>
      <c r="AC30" s="73">
        <f t="shared" si="12"/>
        <v>0</v>
      </c>
      <c r="AD30" s="23">
        <f t="shared" si="13"/>
        <v>10000</v>
      </c>
      <c r="AE30" s="23">
        <f t="shared" si="13"/>
        <v>10000</v>
      </c>
      <c r="AF30" s="73">
        <f t="shared" si="14"/>
        <v>0</v>
      </c>
      <c r="AG30" s="75">
        <v>250000</v>
      </c>
      <c r="AH30" s="75">
        <f>250000-9000+6572-20000+14604</f>
        <v>242176</v>
      </c>
      <c r="AI30" s="120">
        <f t="shared" si="15"/>
        <v>-7824</v>
      </c>
      <c r="AJ30" s="23">
        <f t="shared" si="16"/>
        <v>10000</v>
      </c>
      <c r="AK30" s="23">
        <f t="shared" si="64"/>
        <v>10000</v>
      </c>
      <c r="AL30" s="73">
        <f t="shared" si="17"/>
        <v>0</v>
      </c>
      <c r="AM30" s="23"/>
      <c r="AN30" s="23"/>
      <c r="AO30" s="73">
        <f t="shared" si="18"/>
        <v>0</v>
      </c>
      <c r="AP30" s="23"/>
      <c r="AQ30" s="23"/>
      <c r="AR30" s="73">
        <f t="shared" si="19"/>
        <v>0</v>
      </c>
      <c r="AS30" s="23"/>
      <c r="AT30" s="23"/>
      <c r="AU30" s="73">
        <f t="shared" si="20"/>
        <v>0</v>
      </c>
      <c r="AV30" s="23"/>
      <c r="AW30" s="23"/>
      <c r="AX30" s="73">
        <f t="shared" si="21"/>
        <v>0</v>
      </c>
      <c r="AY30" s="23"/>
      <c r="AZ30" s="23"/>
      <c r="BA30" s="73">
        <f t="shared" si="22"/>
        <v>0</v>
      </c>
      <c r="BB30" s="23"/>
      <c r="BC30" s="23"/>
      <c r="BD30" s="73">
        <f t="shared" si="23"/>
        <v>0</v>
      </c>
      <c r="BE30" s="23"/>
      <c r="BF30" s="23"/>
      <c r="BG30" s="73">
        <f t="shared" si="24"/>
        <v>0</v>
      </c>
      <c r="BH30" s="23"/>
      <c r="BI30" s="23"/>
      <c r="BJ30" s="73">
        <f t="shared" si="25"/>
        <v>0</v>
      </c>
      <c r="BK30" s="23"/>
      <c r="BL30" s="23"/>
      <c r="BM30" s="73">
        <f t="shared" si="26"/>
        <v>0</v>
      </c>
      <c r="BN30" s="23"/>
      <c r="BO30" s="23"/>
      <c r="BP30" s="73">
        <f t="shared" si="27"/>
        <v>0</v>
      </c>
      <c r="BQ30" s="23"/>
      <c r="BR30" s="23"/>
      <c r="BS30" s="73">
        <f t="shared" si="28"/>
        <v>0</v>
      </c>
      <c r="BT30" s="23"/>
      <c r="BU30" s="23"/>
      <c r="BV30" s="73">
        <f t="shared" si="29"/>
        <v>0</v>
      </c>
      <c r="BW30" s="23"/>
      <c r="BX30" s="23"/>
      <c r="BY30" s="73">
        <f t="shared" si="30"/>
        <v>0</v>
      </c>
      <c r="BZ30" s="23"/>
      <c r="CA30" s="23"/>
      <c r="CB30" s="73">
        <f t="shared" si="31"/>
        <v>0</v>
      </c>
      <c r="CC30" s="23"/>
      <c r="CD30" s="23"/>
      <c r="CE30" s="73">
        <f t="shared" si="32"/>
        <v>0</v>
      </c>
      <c r="CF30" s="23"/>
      <c r="CG30" s="23"/>
      <c r="CH30" s="73">
        <f t="shared" si="33"/>
        <v>0</v>
      </c>
      <c r="CI30" s="23"/>
      <c r="CJ30" s="23"/>
      <c r="CK30" s="73">
        <f t="shared" si="34"/>
        <v>0</v>
      </c>
      <c r="CL30" s="23"/>
      <c r="CM30" s="23"/>
      <c r="CN30" s="73">
        <f t="shared" si="35"/>
        <v>0</v>
      </c>
      <c r="CO30" s="23"/>
      <c r="CP30" s="23"/>
      <c r="CQ30" s="73">
        <f t="shared" si="36"/>
        <v>0</v>
      </c>
      <c r="CR30" s="23"/>
      <c r="CS30" s="23"/>
      <c r="CT30" s="73">
        <f t="shared" si="37"/>
        <v>0</v>
      </c>
      <c r="CU30" s="23"/>
      <c r="CV30" s="23"/>
      <c r="CW30" s="73">
        <f t="shared" si="38"/>
        <v>0</v>
      </c>
      <c r="CX30" s="23"/>
      <c r="CY30" s="23"/>
      <c r="CZ30" s="73">
        <f t="shared" si="39"/>
        <v>0</v>
      </c>
      <c r="DA30" s="23"/>
      <c r="DB30" s="23"/>
      <c r="DC30" s="73">
        <f t="shared" si="40"/>
        <v>0</v>
      </c>
      <c r="DD30" s="23"/>
      <c r="DE30" s="23"/>
      <c r="DF30" s="73">
        <f t="shared" si="41"/>
        <v>0</v>
      </c>
      <c r="DG30" s="23"/>
      <c r="DH30" s="23"/>
      <c r="DI30" s="73">
        <f t="shared" si="42"/>
        <v>0</v>
      </c>
      <c r="DJ30" s="23"/>
      <c r="DK30" s="23"/>
      <c r="DL30" s="73">
        <f t="shared" si="43"/>
        <v>0</v>
      </c>
      <c r="DM30" s="23"/>
      <c r="DN30" s="23"/>
      <c r="DO30" s="73">
        <f t="shared" si="44"/>
        <v>0</v>
      </c>
      <c r="DP30" s="23"/>
      <c r="DQ30" s="23"/>
      <c r="DR30" s="73">
        <f t="shared" si="45"/>
        <v>0</v>
      </c>
      <c r="DS30" s="23"/>
      <c r="DT30" s="23"/>
      <c r="DU30" s="73">
        <f t="shared" si="46"/>
        <v>0</v>
      </c>
      <c r="DV30" s="23"/>
      <c r="DW30" s="23"/>
      <c r="DX30" s="73">
        <f t="shared" si="47"/>
        <v>0</v>
      </c>
      <c r="DY30" s="23"/>
      <c r="DZ30" s="23"/>
      <c r="EA30" s="73">
        <f t="shared" si="48"/>
        <v>0</v>
      </c>
      <c r="EB30" s="23"/>
      <c r="EC30" s="23"/>
      <c r="ED30" s="73">
        <f t="shared" si="49"/>
        <v>0</v>
      </c>
      <c r="EE30" s="23"/>
      <c r="EF30" s="23"/>
      <c r="EG30" s="73">
        <f t="shared" si="50"/>
        <v>0</v>
      </c>
      <c r="EH30" s="23"/>
      <c r="EI30" s="23"/>
      <c r="EJ30" s="73">
        <f t="shared" si="51"/>
        <v>0</v>
      </c>
      <c r="EK30" s="23"/>
      <c r="EL30" s="23"/>
      <c r="EM30" s="73">
        <f t="shared" si="52"/>
        <v>0</v>
      </c>
      <c r="EN30" s="23"/>
      <c r="EO30" s="23"/>
      <c r="EP30" s="73">
        <f t="shared" si="53"/>
        <v>0</v>
      </c>
      <c r="EQ30" s="73">
        <f t="shared" si="54"/>
        <v>355000</v>
      </c>
      <c r="ER30" s="73">
        <f t="shared" si="55"/>
        <v>347176</v>
      </c>
      <c r="ES30" s="73">
        <f t="shared" si="56"/>
        <v>-7824</v>
      </c>
      <c r="ET30" s="23">
        <f t="shared" si="61"/>
        <v>-254126</v>
      </c>
      <c r="EU30" s="79"/>
      <c r="EV30" s="73">
        <f t="shared" si="57"/>
        <v>105000</v>
      </c>
      <c r="EW30" s="73">
        <f t="shared" si="58"/>
        <v>105000</v>
      </c>
      <c r="EX30" s="23">
        <f t="shared" si="59"/>
        <v>0</v>
      </c>
      <c r="EY30" s="23">
        <f t="shared" si="62"/>
        <v>-62654</v>
      </c>
      <c r="EZ30" s="79"/>
      <c r="FA30" s="23">
        <f t="shared" si="60"/>
        <v>-7824</v>
      </c>
      <c r="FB30" s="23">
        <f t="shared" si="63"/>
        <v>-191472</v>
      </c>
      <c r="FC30" s="79"/>
      <c r="FD30" s="79"/>
      <c r="FE30" s="79"/>
      <c r="FF30" s="79"/>
      <c r="FG30" s="79"/>
      <c r="FH30" s="79"/>
      <c r="FI30" s="79"/>
    </row>
    <row r="31" spans="1:165" x14ac:dyDescent="0.2">
      <c r="A31" s="72">
        <f>+BaseloadMarkets!A31</f>
        <v>36733</v>
      </c>
      <c r="B31" s="72" t="str">
        <f>+BaseloadMarkets!B31</f>
        <v>Wed</v>
      </c>
      <c r="C31" s="23">
        <v>10000</v>
      </c>
      <c r="D31" s="23">
        <v>10000</v>
      </c>
      <c r="E31" s="73">
        <f t="shared" si="0"/>
        <v>0</v>
      </c>
      <c r="F31" s="23">
        <v>10000</v>
      </c>
      <c r="G31" s="23">
        <v>10000</v>
      </c>
      <c r="H31" s="73">
        <f t="shared" si="1"/>
        <v>0</v>
      </c>
      <c r="I31" s="23">
        <v>10000</v>
      </c>
      <c r="J31" s="23">
        <v>10000</v>
      </c>
      <c r="K31" s="73">
        <f t="shared" si="2"/>
        <v>0</v>
      </c>
      <c r="L31" s="23">
        <v>5000</v>
      </c>
      <c r="M31" s="23">
        <v>5000</v>
      </c>
      <c r="N31" s="73">
        <f t="shared" si="3"/>
        <v>0</v>
      </c>
      <c r="O31" s="23">
        <v>10000</v>
      </c>
      <c r="P31" s="23">
        <v>10000</v>
      </c>
      <c r="Q31" s="73">
        <f t="shared" si="4"/>
        <v>0</v>
      </c>
      <c r="R31" s="23">
        <f t="shared" si="5"/>
        <v>10000</v>
      </c>
      <c r="S31" s="23">
        <f t="shared" si="5"/>
        <v>10000</v>
      </c>
      <c r="T31" s="73">
        <f t="shared" si="6"/>
        <v>0</v>
      </c>
      <c r="U31" s="23">
        <f t="shared" si="7"/>
        <v>10000</v>
      </c>
      <c r="V31" s="23">
        <f t="shared" si="7"/>
        <v>10000</v>
      </c>
      <c r="W31" s="73">
        <f t="shared" si="8"/>
        <v>0</v>
      </c>
      <c r="X31" s="23">
        <f t="shared" si="9"/>
        <v>10000</v>
      </c>
      <c r="Y31" s="23">
        <f t="shared" si="9"/>
        <v>10000</v>
      </c>
      <c r="Z31" s="73">
        <f t="shared" si="10"/>
        <v>0</v>
      </c>
      <c r="AA31" s="23">
        <f t="shared" si="11"/>
        <v>10000</v>
      </c>
      <c r="AB31" s="23">
        <f t="shared" si="11"/>
        <v>10000</v>
      </c>
      <c r="AC31" s="73">
        <f t="shared" si="12"/>
        <v>0</v>
      </c>
      <c r="AD31" s="23">
        <f t="shared" si="13"/>
        <v>10000</v>
      </c>
      <c r="AE31" s="23">
        <f t="shared" si="13"/>
        <v>10000</v>
      </c>
      <c r="AF31" s="73">
        <f t="shared" si="14"/>
        <v>0</v>
      </c>
      <c r="AG31" s="75">
        <v>80000</v>
      </c>
      <c r="AH31" s="75">
        <f>80000-20000+17790</f>
        <v>77790</v>
      </c>
      <c r="AI31" s="120">
        <f t="shared" si="15"/>
        <v>-2210</v>
      </c>
      <c r="AJ31" s="23">
        <f t="shared" si="16"/>
        <v>10000</v>
      </c>
      <c r="AK31" s="23">
        <f t="shared" si="64"/>
        <v>10000</v>
      </c>
      <c r="AL31" s="73">
        <f t="shared" si="17"/>
        <v>0</v>
      </c>
      <c r="AM31" s="23"/>
      <c r="AN31" s="23"/>
      <c r="AO31" s="73">
        <f t="shared" si="18"/>
        <v>0</v>
      </c>
      <c r="AP31" s="23"/>
      <c r="AQ31" s="23"/>
      <c r="AR31" s="73">
        <f t="shared" si="19"/>
        <v>0</v>
      </c>
      <c r="AS31" s="23"/>
      <c r="AT31" s="23"/>
      <c r="AU31" s="73">
        <f t="shared" si="20"/>
        <v>0</v>
      </c>
      <c r="AV31" s="23"/>
      <c r="AW31" s="23"/>
      <c r="AX31" s="73">
        <f t="shared" si="21"/>
        <v>0</v>
      </c>
      <c r="AY31" s="23"/>
      <c r="AZ31" s="23"/>
      <c r="BA31" s="73">
        <f t="shared" si="22"/>
        <v>0</v>
      </c>
      <c r="BB31" s="23"/>
      <c r="BC31" s="23"/>
      <c r="BD31" s="73">
        <f t="shared" si="23"/>
        <v>0</v>
      </c>
      <c r="BE31" s="23"/>
      <c r="BF31" s="23"/>
      <c r="BG31" s="73">
        <f t="shared" si="24"/>
        <v>0</v>
      </c>
      <c r="BH31" s="23"/>
      <c r="BI31" s="23"/>
      <c r="BJ31" s="73">
        <f t="shared" si="25"/>
        <v>0</v>
      </c>
      <c r="BK31" s="23"/>
      <c r="BL31" s="23"/>
      <c r="BM31" s="73">
        <f t="shared" si="26"/>
        <v>0</v>
      </c>
      <c r="BN31" s="23"/>
      <c r="BO31" s="23"/>
      <c r="BP31" s="73">
        <f t="shared" si="27"/>
        <v>0</v>
      </c>
      <c r="BQ31" s="23"/>
      <c r="BR31" s="23"/>
      <c r="BS31" s="73">
        <f t="shared" si="28"/>
        <v>0</v>
      </c>
      <c r="BT31" s="23"/>
      <c r="BU31" s="23"/>
      <c r="BV31" s="73">
        <f t="shared" si="29"/>
        <v>0</v>
      </c>
      <c r="BW31" s="23"/>
      <c r="BX31" s="23"/>
      <c r="BY31" s="73">
        <f t="shared" si="30"/>
        <v>0</v>
      </c>
      <c r="BZ31" s="23"/>
      <c r="CA31" s="23"/>
      <c r="CB31" s="73">
        <f t="shared" si="31"/>
        <v>0</v>
      </c>
      <c r="CC31" s="23"/>
      <c r="CD31" s="23"/>
      <c r="CE31" s="73">
        <f t="shared" si="32"/>
        <v>0</v>
      </c>
      <c r="CF31" s="23"/>
      <c r="CG31" s="23"/>
      <c r="CH31" s="73">
        <f t="shared" si="33"/>
        <v>0</v>
      </c>
      <c r="CI31" s="23"/>
      <c r="CJ31" s="23"/>
      <c r="CK31" s="73">
        <f t="shared" si="34"/>
        <v>0</v>
      </c>
      <c r="CL31" s="23"/>
      <c r="CM31" s="23"/>
      <c r="CN31" s="73">
        <f t="shared" si="35"/>
        <v>0</v>
      </c>
      <c r="CO31" s="23"/>
      <c r="CP31" s="23"/>
      <c r="CQ31" s="73">
        <f t="shared" si="36"/>
        <v>0</v>
      </c>
      <c r="CR31" s="23"/>
      <c r="CS31" s="23"/>
      <c r="CT31" s="73">
        <f t="shared" si="37"/>
        <v>0</v>
      </c>
      <c r="CU31" s="23"/>
      <c r="CV31" s="23"/>
      <c r="CW31" s="73">
        <f t="shared" si="38"/>
        <v>0</v>
      </c>
      <c r="CX31" s="23"/>
      <c r="CY31" s="23"/>
      <c r="CZ31" s="73">
        <f t="shared" si="39"/>
        <v>0</v>
      </c>
      <c r="DA31" s="23"/>
      <c r="DB31" s="23"/>
      <c r="DC31" s="73">
        <f t="shared" si="40"/>
        <v>0</v>
      </c>
      <c r="DD31" s="23"/>
      <c r="DE31" s="23"/>
      <c r="DF31" s="73">
        <f t="shared" si="41"/>
        <v>0</v>
      </c>
      <c r="DG31" s="23"/>
      <c r="DH31" s="23"/>
      <c r="DI31" s="73">
        <f t="shared" si="42"/>
        <v>0</v>
      </c>
      <c r="DJ31" s="23"/>
      <c r="DK31" s="23"/>
      <c r="DL31" s="73">
        <f t="shared" si="43"/>
        <v>0</v>
      </c>
      <c r="DM31" s="23"/>
      <c r="DN31" s="23"/>
      <c r="DO31" s="73">
        <f t="shared" si="44"/>
        <v>0</v>
      </c>
      <c r="DP31" s="23"/>
      <c r="DQ31" s="23"/>
      <c r="DR31" s="73">
        <f t="shared" si="45"/>
        <v>0</v>
      </c>
      <c r="DS31" s="23"/>
      <c r="DT31" s="23"/>
      <c r="DU31" s="73">
        <f t="shared" si="46"/>
        <v>0</v>
      </c>
      <c r="DV31" s="23"/>
      <c r="DW31" s="23"/>
      <c r="DX31" s="73">
        <f t="shared" si="47"/>
        <v>0</v>
      </c>
      <c r="DY31" s="23"/>
      <c r="DZ31" s="23"/>
      <c r="EA31" s="73">
        <f t="shared" si="48"/>
        <v>0</v>
      </c>
      <c r="EB31" s="23"/>
      <c r="EC31" s="23"/>
      <c r="ED31" s="73">
        <f t="shared" si="49"/>
        <v>0</v>
      </c>
      <c r="EE31" s="23"/>
      <c r="EF31" s="23"/>
      <c r="EG31" s="73">
        <f t="shared" si="50"/>
        <v>0</v>
      </c>
      <c r="EH31" s="23"/>
      <c r="EI31" s="23"/>
      <c r="EJ31" s="73">
        <f t="shared" si="51"/>
        <v>0</v>
      </c>
      <c r="EK31" s="23"/>
      <c r="EL31" s="23"/>
      <c r="EM31" s="73">
        <f t="shared" si="52"/>
        <v>0</v>
      </c>
      <c r="EN31" s="23"/>
      <c r="EO31" s="23"/>
      <c r="EP31" s="73">
        <f t="shared" si="53"/>
        <v>0</v>
      </c>
      <c r="EQ31" s="73">
        <f t="shared" si="54"/>
        <v>185000</v>
      </c>
      <c r="ER31" s="73">
        <f t="shared" si="55"/>
        <v>182790</v>
      </c>
      <c r="ES31" s="73">
        <f t="shared" si="56"/>
        <v>-2210</v>
      </c>
      <c r="ET31" s="23">
        <f t="shared" si="61"/>
        <v>-256336</v>
      </c>
      <c r="EU31" s="79"/>
      <c r="EV31" s="73">
        <f t="shared" si="57"/>
        <v>105000</v>
      </c>
      <c r="EW31" s="73">
        <f t="shared" si="58"/>
        <v>105000</v>
      </c>
      <c r="EX31" s="23">
        <f t="shared" si="59"/>
        <v>0</v>
      </c>
      <c r="EY31" s="23">
        <f t="shared" si="62"/>
        <v>-62654</v>
      </c>
      <c r="EZ31" s="79"/>
      <c r="FA31" s="23">
        <f t="shared" si="60"/>
        <v>-2210</v>
      </c>
      <c r="FB31" s="23">
        <f t="shared" si="63"/>
        <v>-193682</v>
      </c>
      <c r="FC31" s="79"/>
      <c r="FD31" s="79"/>
      <c r="FE31" s="79"/>
      <c r="FF31" s="79"/>
      <c r="FG31" s="79"/>
      <c r="FH31" s="79"/>
      <c r="FI31" s="79"/>
    </row>
    <row r="32" spans="1:165" x14ac:dyDescent="0.2">
      <c r="A32" s="72">
        <f>+BaseloadMarkets!A32</f>
        <v>36734</v>
      </c>
      <c r="B32" s="72" t="str">
        <f>+BaseloadMarkets!B32</f>
        <v>Thu</v>
      </c>
      <c r="C32" s="23">
        <v>10000</v>
      </c>
      <c r="D32" s="23">
        <v>10000</v>
      </c>
      <c r="E32" s="73">
        <f t="shared" si="0"/>
        <v>0</v>
      </c>
      <c r="F32" s="23">
        <v>10000</v>
      </c>
      <c r="G32" s="23">
        <v>10000</v>
      </c>
      <c r="H32" s="73">
        <f t="shared" si="1"/>
        <v>0</v>
      </c>
      <c r="I32" s="23">
        <v>10000</v>
      </c>
      <c r="J32" s="23">
        <v>10000</v>
      </c>
      <c r="K32" s="73">
        <f t="shared" si="2"/>
        <v>0</v>
      </c>
      <c r="L32" s="23">
        <v>5000</v>
      </c>
      <c r="M32" s="23">
        <v>5000</v>
      </c>
      <c r="N32" s="73">
        <f t="shared" si="3"/>
        <v>0</v>
      </c>
      <c r="O32" s="23">
        <v>10000</v>
      </c>
      <c r="P32" s="23">
        <v>10000</v>
      </c>
      <c r="Q32" s="73">
        <f t="shared" si="4"/>
        <v>0</v>
      </c>
      <c r="R32" s="23">
        <f t="shared" si="5"/>
        <v>10000</v>
      </c>
      <c r="S32" s="23">
        <f t="shared" si="5"/>
        <v>10000</v>
      </c>
      <c r="T32" s="73">
        <f t="shared" si="6"/>
        <v>0</v>
      </c>
      <c r="U32" s="23">
        <f t="shared" si="7"/>
        <v>10000</v>
      </c>
      <c r="V32" s="23">
        <f t="shared" si="7"/>
        <v>10000</v>
      </c>
      <c r="W32" s="73">
        <f t="shared" si="8"/>
        <v>0</v>
      </c>
      <c r="X32" s="23">
        <f t="shared" si="9"/>
        <v>10000</v>
      </c>
      <c r="Y32" s="23">
        <f t="shared" si="9"/>
        <v>10000</v>
      </c>
      <c r="Z32" s="73">
        <f t="shared" si="10"/>
        <v>0</v>
      </c>
      <c r="AA32" s="23">
        <f t="shared" si="11"/>
        <v>10000</v>
      </c>
      <c r="AB32" s="23">
        <f t="shared" si="11"/>
        <v>10000</v>
      </c>
      <c r="AC32" s="73">
        <f t="shared" si="12"/>
        <v>0</v>
      </c>
      <c r="AD32" s="23">
        <f t="shared" si="13"/>
        <v>10000</v>
      </c>
      <c r="AE32" s="23">
        <f t="shared" si="13"/>
        <v>10000</v>
      </c>
      <c r="AF32" s="73">
        <f t="shared" si="14"/>
        <v>0</v>
      </c>
      <c r="AG32" s="75">
        <v>235000</v>
      </c>
      <c r="AH32" s="75">
        <v>224672</v>
      </c>
      <c r="AI32" s="120">
        <f t="shared" si="15"/>
        <v>-10328</v>
      </c>
      <c r="AJ32" s="23">
        <f t="shared" si="16"/>
        <v>10000</v>
      </c>
      <c r="AK32" s="23">
        <f t="shared" si="64"/>
        <v>10000</v>
      </c>
      <c r="AL32" s="73">
        <f t="shared" si="17"/>
        <v>0</v>
      </c>
      <c r="AM32" s="23"/>
      <c r="AN32" s="23"/>
      <c r="AO32" s="73">
        <f t="shared" si="18"/>
        <v>0</v>
      </c>
      <c r="AP32" s="23"/>
      <c r="AQ32" s="23"/>
      <c r="AR32" s="73">
        <f t="shared" si="19"/>
        <v>0</v>
      </c>
      <c r="AS32" s="23"/>
      <c r="AT32" s="23"/>
      <c r="AU32" s="73">
        <f t="shared" si="20"/>
        <v>0</v>
      </c>
      <c r="AV32" s="23"/>
      <c r="AW32" s="23"/>
      <c r="AX32" s="73">
        <f t="shared" si="21"/>
        <v>0</v>
      </c>
      <c r="AY32" s="23"/>
      <c r="AZ32" s="23"/>
      <c r="BA32" s="73">
        <f t="shared" si="22"/>
        <v>0</v>
      </c>
      <c r="BB32" s="23"/>
      <c r="BC32" s="23"/>
      <c r="BD32" s="73">
        <f t="shared" si="23"/>
        <v>0</v>
      </c>
      <c r="BE32" s="23"/>
      <c r="BF32" s="23"/>
      <c r="BG32" s="73">
        <f t="shared" si="24"/>
        <v>0</v>
      </c>
      <c r="BH32" s="23"/>
      <c r="BI32" s="23"/>
      <c r="BJ32" s="73">
        <f t="shared" si="25"/>
        <v>0</v>
      </c>
      <c r="BK32" s="23"/>
      <c r="BL32" s="23"/>
      <c r="BM32" s="73">
        <f t="shared" si="26"/>
        <v>0</v>
      </c>
      <c r="BN32" s="23"/>
      <c r="BO32" s="23"/>
      <c r="BP32" s="73">
        <f t="shared" si="27"/>
        <v>0</v>
      </c>
      <c r="BQ32" s="23"/>
      <c r="BR32" s="23"/>
      <c r="BS32" s="73">
        <f t="shared" si="28"/>
        <v>0</v>
      </c>
      <c r="BT32" s="23"/>
      <c r="BU32" s="23"/>
      <c r="BV32" s="73">
        <f t="shared" si="29"/>
        <v>0</v>
      </c>
      <c r="BW32" s="23"/>
      <c r="BX32" s="23"/>
      <c r="BY32" s="73">
        <f t="shared" si="30"/>
        <v>0</v>
      </c>
      <c r="BZ32" s="23"/>
      <c r="CA32" s="23"/>
      <c r="CB32" s="73">
        <f t="shared" si="31"/>
        <v>0</v>
      </c>
      <c r="CC32" s="23"/>
      <c r="CD32" s="23"/>
      <c r="CE32" s="73">
        <f t="shared" si="32"/>
        <v>0</v>
      </c>
      <c r="CF32" s="23"/>
      <c r="CG32" s="23"/>
      <c r="CH32" s="73">
        <f t="shared" si="33"/>
        <v>0</v>
      </c>
      <c r="CI32" s="23"/>
      <c r="CJ32" s="23"/>
      <c r="CK32" s="73">
        <f t="shared" si="34"/>
        <v>0</v>
      </c>
      <c r="CL32" s="23"/>
      <c r="CM32" s="23"/>
      <c r="CN32" s="73">
        <f t="shared" si="35"/>
        <v>0</v>
      </c>
      <c r="CO32" s="23"/>
      <c r="CP32" s="23"/>
      <c r="CQ32" s="73">
        <f t="shared" si="36"/>
        <v>0</v>
      </c>
      <c r="CR32" s="23"/>
      <c r="CS32" s="23"/>
      <c r="CT32" s="73">
        <f t="shared" si="37"/>
        <v>0</v>
      </c>
      <c r="CU32" s="23"/>
      <c r="CV32" s="23"/>
      <c r="CW32" s="73">
        <f t="shared" si="38"/>
        <v>0</v>
      </c>
      <c r="CX32" s="23"/>
      <c r="CY32" s="23"/>
      <c r="CZ32" s="73">
        <f t="shared" si="39"/>
        <v>0</v>
      </c>
      <c r="DA32" s="23"/>
      <c r="DB32" s="23"/>
      <c r="DC32" s="73">
        <f t="shared" si="40"/>
        <v>0</v>
      </c>
      <c r="DD32" s="23"/>
      <c r="DE32" s="23"/>
      <c r="DF32" s="73">
        <f t="shared" si="41"/>
        <v>0</v>
      </c>
      <c r="DG32" s="23"/>
      <c r="DH32" s="23"/>
      <c r="DI32" s="73">
        <f t="shared" si="42"/>
        <v>0</v>
      </c>
      <c r="DJ32" s="23"/>
      <c r="DK32" s="23"/>
      <c r="DL32" s="73">
        <f t="shared" si="43"/>
        <v>0</v>
      </c>
      <c r="DM32" s="23"/>
      <c r="DN32" s="23"/>
      <c r="DO32" s="73">
        <f t="shared" si="44"/>
        <v>0</v>
      </c>
      <c r="DP32" s="23"/>
      <c r="DQ32" s="23"/>
      <c r="DR32" s="73">
        <f t="shared" si="45"/>
        <v>0</v>
      </c>
      <c r="DS32" s="23"/>
      <c r="DT32" s="23"/>
      <c r="DU32" s="73">
        <f t="shared" si="46"/>
        <v>0</v>
      </c>
      <c r="DV32" s="23"/>
      <c r="DW32" s="23"/>
      <c r="DX32" s="73">
        <f t="shared" si="47"/>
        <v>0</v>
      </c>
      <c r="DY32" s="23"/>
      <c r="DZ32" s="23"/>
      <c r="EA32" s="73">
        <f t="shared" si="48"/>
        <v>0</v>
      </c>
      <c r="EB32" s="23"/>
      <c r="EC32" s="23"/>
      <c r="ED32" s="73">
        <f t="shared" si="49"/>
        <v>0</v>
      </c>
      <c r="EE32" s="23"/>
      <c r="EF32" s="23"/>
      <c r="EG32" s="73">
        <f t="shared" si="50"/>
        <v>0</v>
      </c>
      <c r="EH32" s="23"/>
      <c r="EI32" s="23"/>
      <c r="EJ32" s="73">
        <f t="shared" si="51"/>
        <v>0</v>
      </c>
      <c r="EK32" s="23"/>
      <c r="EL32" s="23"/>
      <c r="EM32" s="73">
        <f t="shared" si="52"/>
        <v>0</v>
      </c>
      <c r="EN32" s="23"/>
      <c r="EO32" s="23"/>
      <c r="EP32" s="73">
        <f t="shared" si="53"/>
        <v>0</v>
      </c>
      <c r="EQ32" s="73">
        <f t="shared" si="54"/>
        <v>340000</v>
      </c>
      <c r="ER32" s="73">
        <f t="shared" si="55"/>
        <v>329672</v>
      </c>
      <c r="ES32" s="73">
        <f t="shared" si="56"/>
        <v>-10328</v>
      </c>
      <c r="ET32" s="23">
        <f t="shared" si="61"/>
        <v>-266664</v>
      </c>
      <c r="EU32" s="79"/>
      <c r="EV32" s="73">
        <f t="shared" si="57"/>
        <v>105000</v>
      </c>
      <c r="EW32" s="73">
        <f t="shared" si="58"/>
        <v>105000</v>
      </c>
      <c r="EX32" s="23">
        <f t="shared" si="59"/>
        <v>0</v>
      </c>
      <c r="EY32" s="23">
        <f t="shared" si="62"/>
        <v>-62654</v>
      </c>
      <c r="EZ32" s="79"/>
      <c r="FA32" s="23">
        <f t="shared" si="60"/>
        <v>-10328</v>
      </c>
      <c r="FB32" s="23">
        <f t="shared" si="63"/>
        <v>-204010</v>
      </c>
      <c r="FC32" s="79"/>
      <c r="FD32" s="79"/>
      <c r="FE32" s="79"/>
      <c r="FF32" s="79"/>
      <c r="FG32" s="79"/>
      <c r="FH32" s="79"/>
      <c r="FI32" s="79"/>
    </row>
    <row r="33" spans="1:245" x14ac:dyDescent="0.2">
      <c r="A33" s="72">
        <f>+BaseloadMarkets!A33</f>
        <v>36735</v>
      </c>
      <c r="B33" s="72" t="str">
        <f>+BaseloadMarkets!B33</f>
        <v>Fri</v>
      </c>
      <c r="C33" s="23">
        <v>10000</v>
      </c>
      <c r="D33" s="23">
        <v>10000</v>
      </c>
      <c r="E33" s="73">
        <f t="shared" si="0"/>
        <v>0</v>
      </c>
      <c r="F33" s="23">
        <v>10000</v>
      </c>
      <c r="G33" s="23">
        <v>10000</v>
      </c>
      <c r="H33" s="73">
        <f t="shared" si="1"/>
        <v>0</v>
      </c>
      <c r="I33" s="23">
        <v>10000</v>
      </c>
      <c r="J33" s="23">
        <v>10000</v>
      </c>
      <c r="K33" s="73">
        <f t="shared" si="2"/>
        <v>0</v>
      </c>
      <c r="L33" s="23">
        <v>5000</v>
      </c>
      <c r="M33" s="23">
        <v>5000</v>
      </c>
      <c r="N33" s="73">
        <f t="shared" si="3"/>
        <v>0</v>
      </c>
      <c r="O33" s="23">
        <v>10000</v>
      </c>
      <c r="P33" s="23">
        <v>10000</v>
      </c>
      <c r="Q33" s="73">
        <f t="shared" si="4"/>
        <v>0</v>
      </c>
      <c r="R33" s="23">
        <f t="shared" si="5"/>
        <v>10000</v>
      </c>
      <c r="S33" s="23">
        <f t="shared" si="5"/>
        <v>10000</v>
      </c>
      <c r="T33" s="73">
        <f t="shared" si="6"/>
        <v>0</v>
      </c>
      <c r="U33" s="23">
        <f t="shared" si="7"/>
        <v>10000</v>
      </c>
      <c r="V33" s="23">
        <f t="shared" si="7"/>
        <v>10000</v>
      </c>
      <c r="W33" s="73">
        <f t="shared" si="8"/>
        <v>0</v>
      </c>
      <c r="X33" s="23">
        <f t="shared" si="9"/>
        <v>10000</v>
      </c>
      <c r="Y33" s="23">
        <f t="shared" si="9"/>
        <v>10000</v>
      </c>
      <c r="Z33" s="73">
        <f t="shared" si="10"/>
        <v>0</v>
      </c>
      <c r="AA33" s="23">
        <f t="shared" si="11"/>
        <v>10000</v>
      </c>
      <c r="AB33" s="23">
        <f t="shared" si="11"/>
        <v>10000</v>
      </c>
      <c r="AC33" s="73">
        <f t="shared" si="12"/>
        <v>0</v>
      </c>
      <c r="AD33" s="23">
        <f t="shared" si="13"/>
        <v>10000</v>
      </c>
      <c r="AE33" s="23">
        <f t="shared" si="13"/>
        <v>10000</v>
      </c>
      <c r="AF33" s="73">
        <f t="shared" si="14"/>
        <v>0</v>
      </c>
      <c r="AG33" s="75">
        <v>185000</v>
      </c>
      <c r="AH33" s="75">
        <v>170669</v>
      </c>
      <c r="AI33" s="120">
        <f t="shared" si="15"/>
        <v>-14331</v>
      </c>
      <c r="AJ33" s="23">
        <f t="shared" si="16"/>
        <v>10000</v>
      </c>
      <c r="AK33" s="23">
        <f t="shared" si="64"/>
        <v>10000</v>
      </c>
      <c r="AL33" s="73">
        <f t="shared" si="17"/>
        <v>0</v>
      </c>
      <c r="AM33" s="23"/>
      <c r="AN33" s="23"/>
      <c r="AO33" s="73">
        <f t="shared" si="18"/>
        <v>0</v>
      </c>
      <c r="AP33" s="23"/>
      <c r="AQ33" s="23"/>
      <c r="AR33" s="73">
        <f t="shared" si="19"/>
        <v>0</v>
      </c>
      <c r="AS33" s="23"/>
      <c r="AT33" s="23"/>
      <c r="AU33" s="73">
        <f t="shared" si="20"/>
        <v>0</v>
      </c>
      <c r="AV33" s="23"/>
      <c r="AW33" s="23"/>
      <c r="AX33" s="73">
        <f t="shared" si="21"/>
        <v>0</v>
      </c>
      <c r="AY33" s="23"/>
      <c r="AZ33" s="23"/>
      <c r="BA33" s="73">
        <f t="shared" si="22"/>
        <v>0</v>
      </c>
      <c r="BB33" s="23"/>
      <c r="BC33" s="23"/>
      <c r="BD33" s="73">
        <f t="shared" si="23"/>
        <v>0</v>
      </c>
      <c r="BE33" s="23"/>
      <c r="BF33" s="23"/>
      <c r="BG33" s="73">
        <f t="shared" si="24"/>
        <v>0</v>
      </c>
      <c r="BH33" s="23"/>
      <c r="BI33" s="23"/>
      <c r="BJ33" s="73">
        <f t="shared" si="25"/>
        <v>0</v>
      </c>
      <c r="BK33" s="23"/>
      <c r="BL33" s="23"/>
      <c r="BM33" s="73">
        <f t="shared" si="26"/>
        <v>0</v>
      </c>
      <c r="BN33" s="23"/>
      <c r="BO33" s="23"/>
      <c r="BP33" s="73">
        <f t="shared" si="27"/>
        <v>0</v>
      </c>
      <c r="BQ33" s="23"/>
      <c r="BR33" s="23"/>
      <c r="BS33" s="73">
        <f t="shared" si="28"/>
        <v>0</v>
      </c>
      <c r="BT33" s="23"/>
      <c r="BU33" s="23"/>
      <c r="BV33" s="73">
        <f t="shared" si="29"/>
        <v>0</v>
      </c>
      <c r="BW33" s="23"/>
      <c r="BX33" s="23"/>
      <c r="BY33" s="73">
        <f t="shared" si="30"/>
        <v>0</v>
      </c>
      <c r="BZ33" s="23"/>
      <c r="CA33" s="23"/>
      <c r="CB33" s="73">
        <f t="shared" si="31"/>
        <v>0</v>
      </c>
      <c r="CC33" s="23"/>
      <c r="CD33" s="23"/>
      <c r="CE33" s="73">
        <f t="shared" si="32"/>
        <v>0</v>
      </c>
      <c r="CF33" s="23"/>
      <c r="CG33" s="23"/>
      <c r="CH33" s="73">
        <f t="shared" si="33"/>
        <v>0</v>
      </c>
      <c r="CI33" s="23"/>
      <c r="CJ33" s="23"/>
      <c r="CK33" s="73">
        <f t="shared" si="34"/>
        <v>0</v>
      </c>
      <c r="CL33" s="23"/>
      <c r="CM33" s="23"/>
      <c r="CN33" s="73">
        <f t="shared" si="35"/>
        <v>0</v>
      </c>
      <c r="CO33" s="23"/>
      <c r="CP33" s="23"/>
      <c r="CQ33" s="73">
        <f t="shared" si="36"/>
        <v>0</v>
      </c>
      <c r="CR33" s="23"/>
      <c r="CS33" s="23"/>
      <c r="CT33" s="73">
        <f t="shared" si="37"/>
        <v>0</v>
      </c>
      <c r="CU33" s="23"/>
      <c r="CV33" s="23"/>
      <c r="CW33" s="73">
        <f t="shared" si="38"/>
        <v>0</v>
      </c>
      <c r="CX33" s="23"/>
      <c r="CY33" s="23"/>
      <c r="CZ33" s="73">
        <f t="shared" si="39"/>
        <v>0</v>
      </c>
      <c r="DA33" s="23"/>
      <c r="DB33" s="23"/>
      <c r="DC33" s="73">
        <f t="shared" si="40"/>
        <v>0</v>
      </c>
      <c r="DD33" s="23"/>
      <c r="DE33" s="23"/>
      <c r="DF33" s="73">
        <f t="shared" si="41"/>
        <v>0</v>
      </c>
      <c r="DG33" s="23"/>
      <c r="DH33" s="23"/>
      <c r="DI33" s="73">
        <f t="shared" si="42"/>
        <v>0</v>
      </c>
      <c r="DJ33" s="23"/>
      <c r="DK33" s="23"/>
      <c r="DL33" s="73">
        <f t="shared" si="43"/>
        <v>0</v>
      </c>
      <c r="DM33" s="23"/>
      <c r="DN33" s="23"/>
      <c r="DO33" s="73">
        <f t="shared" si="44"/>
        <v>0</v>
      </c>
      <c r="DP33" s="23"/>
      <c r="DQ33" s="23"/>
      <c r="DR33" s="73">
        <f t="shared" si="45"/>
        <v>0</v>
      </c>
      <c r="DS33" s="23"/>
      <c r="DT33" s="23"/>
      <c r="DU33" s="73">
        <f t="shared" si="46"/>
        <v>0</v>
      </c>
      <c r="DV33" s="23"/>
      <c r="DW33" s="23"/>
      <c r="DX33" s="73">
        <f t="shared" si="47"/>
        <v>0</v>
      </c>
      <c r="DY33" s="23"/>
      <c r="DZ33" s="23"/>
      <c r="EA33" s="73">
        <f t="shared" si="48"/>
        <v>0</v>
      </c>
      <c r="EB33" s="23"/>
      <c r="EC33" s="23"/>
      <c r="ED33" s="73">
        <f t="shared" si="49"/>
        <v>0</v>
      </c>
      <c r="EE33" s="23"/>
      <c r="EF33" s="23"/>
      <c r="EG33" s="73">
        <f t="shared" si="50"/>
        <v>0</v>
      </c>
      <c r="EH33" s="23"/>
      <c r="EI33" s="23"/>
      <c r="EJ33" s="73">
        <f t="shared" si="51"/>
        <v>0</v>
      </c>
      <c r="EK33" s="23"/>
      <c r="EL33" s="23"/>
      <c r="EM33" s="73">
        <f t="shared" si="52"/>
        <v>0</v>
      </c>
      <c r="EN33" s="23"/>
      <c r="EO33" s="23"/>
      <c r="EP33" s="73">
        <f t="shared" si="53"/>
        <v>0</v>
      </c>
      <c r="EQ33" s="73">
        <f t="shared" si="54"/>
        <v>290000</v>
      </c>
      <c r="ER33" s="73">
        <f t="shared" si="55"/>
        <v>275669</v>
      </c>
      <c r="ES33" s="73">
        <f t="shared" si="56"/>
        <v>-14331</v>
      </c>
      <c r="ET33" s="23">
        <f t="shared" si="61"/>
        <v>-280995</v>
      </c>
      <c r="EU33" s="79"/>
      <c r="EV33" s="73">
        <f t="shared" si="57"/>
        <v>105000</v>
      </c>
      <c r="EW33" s="73">
        <f t="shared" si="58"/>
        <v>105000</v>
      </c>
      <c r="EX33" s="23">
        <f t="shared" si="59"/>
        <v>0</v>
      </c>
      <c r="EY33" s="23">
        <f t="shared" si="62"/>
        <v>-62654</v>
      </c>
      <c r="EZ33" s="79"/>
      <c r="FA33" s="23">
        <f t="shared" si="60"/>
        <v>-14331</v>
      </c>
      <c r="FB33" s="23">
        <f t="shared" si="63"/>
        <v>-218341</v>
      </c>
      <c r="FC33" s="79"/>
      <c r="FD33" s="79"/>
      <c r="FE33" s="79"/>
      <c r="FF33" s="79"/>
      <c r="FG33" s="79"/>
      <c r="FH33" s="79"/>
      <c r="FI33" s="79"/>
    </row>
    <row r="34" spans="1:245" x14ac:dyDescent="0.2">
      <c r="A34" s="72">
        <f>+BaseloadMarkets!A34</f>
        <v>36736</v>
      </c>
      <c r="B34" s="72" t="str">
        <f>+BaseloadMarkets!B34</f>
        <v>Sat</v>
      </c>
      <c r="C34" s="23">
        <v>10000</v>
      </c>
      <c r="D34" s="23">
        <v>10000</v>
      </c>
      <c r="E34" s="73">
        <f t="shared" si="0"/>
        <v>0</v>
      </c>
      <c r="F34" s="23">
        <v>10000</v>
      </c>
      <c r="G34" s="23">
        <v>10000</v>
      </c>
      <c r="H34" s="73">
        <f t="shared" si="1"/>
        <v>0</v>
      </c>
      <c r="I34" s="23">
        <v>10000</v>
      </c>
      <c r="J34" s="23">
        <v>10000</v>
      </c>
      <c r="K34" s="73">
        <f t="shared" si="2"/>
        <v>0</v>
      </c>
      <c r="L34" s="23">
        <v>5000</v>
      </c>
      <c r="M34" s="23">
        <v>5000</v>
      </c>
      <c r="N34" s="73">
        <f t="shared" si="3"/>
        <v>0</v>
      </c>
      <c r="O34" s="23">
        <v>10000</v>
      </c>
      <c r="P34" s="23">
        <v>10000</v>
      </c>
      <c r="Q34" s="73">
        <f t="shared" si="4"/>
        <v>0</v>
      </c>
      <c r="R34" s="23">
        <f t="shared" si="5"/>
        <v>10000</v>
      </c>
      <c r="S34" s="23">
        <f t="shared" si="5"/>
        <v>10000</v>
      </c>
      <c r="T34" s="73">
        <f t="shared" si="6"/>
        <v>0</v>
      </c>
      <c r="U34" s="23">
        <f t="shared" si="7"/>
        <v>10000</v>
      </c>
      <c r="V34" s="23">
        <f t="shared" si="7"/>
        <v>10000</v>
      </c>
      <c r="W34" s="73">
        <f t="shared" si="8"/>
        <v>0</v>
      </c>
      <c r="X34" s="23">
        <f t="shared" si="9"/>
        <v>10000</v>
      </c>
      <c r="Y34" s="23">
        <f t="shared" si="9"/>
        <v>10000</v>
      </c>
      <c r="Z34" s="73">
        <f t="shared" si="10"/>
        <v>0</v>
      </c>
      <c r="AA34" s="23">
        <f t="shared" si="11"/>
        <v>10000</v>
      </c>
      <c r="AB34" s="23">
        <f t="shared" si="11"/>
        <v>10000</v>
      </c>
      <c r="AC34" s="73">
        <f t="shared" si="12"/>
        <v>0</v>
      </c>
      <c r="AD34" s="23">
        <f t="shared" si="13"/>
        <v>10000</v>
      </c>
      <c r="AE34" s="23">
        <f t="shared" si="13"/>
        <v>10000</v>
      </c>
      <c r="AF34" s="73">
        <f t="shared" si="14"/>
        <v>0</v>
      </c>
      <c r="AG34" s="75">
        <v>280000</v>
      </c>
      <c r="AH34" s="75">
        <v>276386</v>
      </c>
      <c r="AI34" s="120">
        <f t="shared" si="15"/>
        <v>-3614</v>
      </c>
      <c r="AJ34" s="23">
        <f t="shared" si="16"/>
        <v>10000</v>
      </c>
      <c r="AK34" s="23">
        <f t="shared" si="64"/>
        <v>10000</v>
      </c>
      <c r="AL34" s="73">
        <f t="shared" si="17"/>
        <v>0</v>
      </c>
      <c r="AM34" s="23"/>
      <c r="AN34" s="23"/>
      <c r="AO34" s="73">
        <f t="shared" si="18"/>
        <v>0</v>
      </c>
      <c r="AP34" s="23"/>
      <c r="AQ34" s="23"/>
      <c r="AR34" s="73">
        <f t="shared" si="19"/>
        <v>0</v>
      </c>
      <c r="AS34" s="23"/>
      <c r="AT34" s="23"/>
      <c r="AU34" s="73">
        <f t="shared" si="20"/>
        <v>0</v>
      </c>
      <c r="AV34" s="23"/>
      <c r="AW34" s="23"/>
      <c r="AX34" s="73">
        <f t="shared" si="21"/>
        <v>0</v>
      </c>
      <c r="AY34" s="23"/>
      <c r="AZ34" s="23"/>
      <c r="BA34" s="73">
        <f t="shared" si="22"/>
        <v>0</v>
      </c>
      <c r="BB34" s="23"/>
      <c r="BC34" s="23"/>
      <c r="BD34" s="73">
        <f t="shared" si="23"/>
        <v>0</v>
      </c>
      <c r="BE34" s="23"/>
      <c r="BF34" s="23"/>
      <c r="BG34" s="73">
        <f t="shared" si="24"/>
        <v>0</v>
      </c>
      <c r="BH34" s="23"/>
      <c r="BI34" s="23"/>
      <c r="BJ34" s="73">
        <f t="shared" si="25"/>
        <v>0</v>
      </c>
      <c r="BK34" s="23"/>
      <c r="BL34" s="23"/>
      <c r="BM34" s="73">
        <f t="shared" si="26"/>
        <v>0</v>
      </c>
      <c r="BN34" s="23"/>
      <c r="BO34" s="23"/>
      <c r="BP34" s="73">
        <f t="shared" si="27"/>
        <v>0</v>
      </c>
      <c r="BQ34" s="23"/>
      <c r="BR34" s="23"/>
      <c r="BS34" s="73">
        <f t="shared" si="28"/>
        <v>0</v>
      </c>
      <c r="BT34" s="23"/>
      <c r="BU34" s="23"/>
      <c r="BV34" s="73">
        <f t="shared" si="29"/>
        <v>0</v>
      </c>
      <c r="BW34" s="23"/>
      <c r="BX34" s="23"/>
      <c r="BY34" s="73">
        <f t="shared" si="30"/>
        <v>0</v>
      </c>
      <c r="BZ34" s="23"/>
      <c r="CA34" s="23"/>
      <c r="CB34" s="73">
        <f t="shared" si="31"/>
        <v>0</v>
      </c>
      <c r="CC34" s="23"/>
      <c r="CD34" s="23"/>
      <c r="CE34" s="73">
        <f t="shared" si="32"/>
        <v>0</v>
      </c>
      <c r="CF34" s="23"/>
      <c r="CG34" s="23"/>
      <c r="CH34" s="73">
        <f t="shared" si="33"/>
        <v>0</v>
      </c>
      <c r="CI34" s="23"/>
      <c r="CJ34" s="23"/>
      <c r="CK34" s="73">
        <f t="shared" si="34"/>
        <v>0</v>
      </c>
      <c r="CL34" s="23"/>
      <c r="CM34" s="23"/>
      <c r="CN34" s="73">
        <f t="shared" si="35"/>
        <v>0</v>
      </c>
      <c r="CO34" s="23"/>
      <c r="CP34" s="23"/>
      <c r="CQ34" s="73">
        <f t="shared" si="36"/>
        <v>0</v>
      </c>
      <c r="CR34" s="23"/>
      <c r="CS34" s="23"/>
      <c r="CT34" s="73">
        <f t="shared" si="37"/>
        <v>0</v>
      </c>
      <c r="CU34" s="23"/>
      <c r="CV34" s="23"/>
      <c r="CW34" s="73">
        <f t="shared" si="38"/>
        <v>0</v>
      </c>
      <c r="CX34" s="23"/>
      <c r="CY34" s="23"/>
      <c r="CZ34" s="73">
        <f t="shared" si="39"/>
        <v>0</v>
      </c>
      <c r="DA34" s="23"/>
      <c r="DB34" s="23"/>
      <c r="DC34" s="73">
        <f t="shared" si="40"/>
        <v>0</v>
      </c>
      <c r="DD34" s="23"/>
      <c r="DE34" s="23"/>
      <c r="DF34" s="73">
        <f t="shared" si="41"/>
        <v>0</v>
      </c>
      <c r="DG34" s="23"/>
      <c r="DH34" s="23"/>
      <c r="DI34" s="73">
        <f t="shared" si="42"/>
        <v>0</v>
      </c>
      <c r="DJ34" s="23"/>
      <c r="DK34" s="23"/>
      <c r="DL34" s="73">
        <f t="shared" si="43"/>
        <v>0</v>
      </c>
      <c r="DM34" s="23"/>
      <c r="DN34" s="23"/>
      <c r="DO34" s="73">
        <f t="shared" si="44"/>
        <v>0</v>
      </c>
      <c r="DP34" s="23"/>
      <c r="DQ34" s="23"/>
      <c r="DR34" s="73">
        <f t="shared" si="45"/>
        <v>0</v>
      </c>
      <c r="DS34" s="23"/>
      <c r="DT34" s="23"/>
      <c r="DU34" s="73">
        <f t="shared" si="46"/>
        <v>0</v>
      </c>
      <c r="DV34" s="23"/>
      <c r="DW34" s="23"/>
      <c r="DX34" s="73">
        <f t="shared" si="47"/>
        <v>0</v>
      </c>
      <c r="DY34" s="23"/>
      <c r="DZ34" s="23"/>
      <c r="EA34" s="73">
        <f t="shared" si="48"/>
        <v>0</v>
      </c>
      <c r="EB34" s="23"/>
      <c r="EC34" s="23"/>
      <c r="ED34" s="73">
        <f t="shared" si="49"/>
        <v>0</v>
      </c>
      <c r="EE34" s="23"/>
      <c r="EF34" s="23"/>
      <c r="EG34" s="73">
        <f t="shared" si="50"/>
        <v>0</v>
      </c>
      <c r="EH34" s="23"/>
      <c r="EI34" s="23"/>
      <c r="EJ34" s="73">
        <f t="shared" si="51"/>
        <v>0</v>
      </c>
      <c r="EK34" s="23"/>
      <c r="EL34" s="23"/>
      <c r="EM34" s="73">
        <f t="shared" si="52"/>
        <v>0</v>
      </c>
      <c r="EN34" s="23"/>
      <c r="EO34" s="23"/>
      <c r="EP34" s="73">
        <f t="shared" si="53"/>
        <v>0</v>
      </c>
      <c r="EQ34" s="73">
        <f t="shared" si="54"/>
        <v>385000</v>
      </c>
      <c r="ER34" s="73">
        <f t="shared" si="55"/>
        <v>381386</v>
      </c>
      <c r="ES34" s="73">
        <f t="shared" si="56"/>
        <v>-3614</v>
      </c>
      <c r="ET34" s="23">
        <f t="shared" si="61"/>
        <v>-284609</v>
      </c>
      <c r="EU34" s="79"/>
      <c r="EV34" s="73">
        <f t="shared" si="57"/>
        <v>105000</v>
      </c>
      <c r="EW34" s="73">
        <f t="shared" si="58"/>
        <v>105000</v>
      </c>
      <c r="EX34" s="23">
        <f t="shared" si="59"/>
        <v>0</v>
      </c>
      <c r="EY34" s="23">
        <f t="shared" si="62"/>
        <v>-62654</v>
      </c>
      <c r="EZ34" s="79"/>
      <c r="FA34" s="23">
        <f t="shared" si="60"/>
        <v>-3614</v>
      </c>
      <c r="FB34" s="23">
        <f t="shared" si="63"/>
        <v>-221955</v>
      </c>
      <c r="FC34" s="79"/>
      <c r="FD34" s="79"/>
      <c r="FE34" s="79"/>
      <c r="FF34" s="79"/>
      <c r="FG34" s="79"/>
      <c r="FH34" s="79"/>
      <c r="FI34" s="79"/>
    </row>
    <row r="35" spans="1:245" ht="12" customHeight="1" x14ac:dyDescent="0.2">
      <c r="A35" s="72">
        <f>+BaseloadMarkets!A35</f>
        <v>36737</v>
      </c>
      <c r="B35" s="72" t="str">
        <f>+BaseloadMarkets!B35</f>
        <v>Sun</v>
      </c>
      <c r="C35" s="23">
        <v>10000</v>
      </c>
      <c r="D35" s="23">
        <v>10000</v>
      </c>
      <c r="E35" s="73">
        <f t="shared" si="0"/>
        <v>0</v>
      </c>
      <c r="F35" s="23">
        <v>10000</v>
      </c>
      <c r="G35" s="23">
        <v>10000</v>
      </c>
      <c r="H35" s="73">
        <f t="shared" si="1"/>
        <v>0</v>
      </c>
      <c r="I35" s="23">
        <v>10000</v>
      </c>
      <c r="J35" s="23">
        <v>10000</v>
      </c>
      <c r="K35" s="73">
        <f t="shared" si="2"/>
        <v>0</v>
      </c>
      <c r="L35" s="23">
        <v>5000</v>
      </c>
      <c r="M35" s="23">
        <v>5000</v>
      </c>
      <c r="N35" s="73">
        <f t="shared" si="3"/>
        <v>0</v>
      </c>
      <c r="O35" s="23">
        <v>10000</v>
      </c>
      <c r="P35" s="23">
        <v>10000</v>
      </c>
      <c r="Q35" s="73">
        <f t="shared" si="4"/>
        <v>0</v>
      </c>
      <c r="R35" s="23">
        <f t="shared" si="5"/>
        <v>10000</v>
      </c>
      <c r="S35" s="23">
        <f t="shared" si="5"/>
        <v>10000</v>
      </c>
      <c r="T35" s="73">
        <f t="shared" si="6"/>
        <v>0</v>
      </c>
      <c r="U35" s="23">
        <f t="shared" si="7"/>
        <v>10000</v>
      </c>
      <c r="V35" s="23">
        <f t="shared" si="7"/>
        <v>10000</v>
      </c>
      <c r="W35" s="73">
        <f t="shared" si="8"/>
        <v>0</v>
      </c>
      <c r="X35" s="23">
        <f t="shared" si="9"/>
        <v>10000</v>
      </c>
      <c r="Y35" s="23">
        <f t="shared" si="9"/>
        <v>10000</v>
      </c>
      <c r="Z35" s="73">
        <f t="shared" si="10"/>
        <v>0</v>
      </c>
      <c r="AA35" s="23">
        <f t="shared" si="11"/>
        <v>10000</v>
      </c>
      <c r="AB35" s="23">
        <f t="shared" si="11"/>
        <v>10000</v>
      </c>
      <c r="AC35" s="73">
        <f t="shared" si="12"/>
        <v>0</v>
      </c>
      <c r="AD35" s="23">
        <f t="shared" si="13"/>
        <v>10000</v>
      </c>
      <c r="AE35" s="23">
        <f t="shared" si="13"/>
        <v>10000</v>
      </c>
      <c r="AF35" s="73">
        <f t="shared" si="14"/>
        <v>0</v>
      </c>
      <c r="AG35" s="75">
        <v>280000</v>
      </c>
      <c r="AH35" s="75">
        <v>268535</v>
      </c>
      <c r="AI35" s="120">
        <f t="shared" si="15"/>
        <v>-11465</v>
      </c>
      <c r="AJ35" s="23">
        <f t="shared" si="16"/>
        <v>10000</v>
      </c>
      <c r="AK35" s="23">
        <f t="shared" si="64"/>
        <v>10000</v>
      </c>
      <c r="AL35" s="73">
        <f t="shared" si="17"/>
        <v>0</v>
      </c>
      <c r="AM35" s="23"/>
      <c r="AN35" s="23"/>
      <c r="AO35" s="73">
        <f t="shared" si="18"/>
        <v>0</v>
      </c>
      <c r="AP35" s="23"/>
      <c r="AQ35" s="23"/>
      <c r="AR35" s="73">
        <f t="shared" si="19"/>
        <v>0</v>
      </c>
      <c r="AS35" s="23"/>
      <c r="AT35" s="23"/>
      <c r="AU35" s="73">
        <f t="shared" si="20"/>
        <v>0</v>
      </c>
      <c r="AV35" s="23"/>
      <c r="AW35" s="23"/>
      <c r="AX35" s="73">
        <f t="shared" si="21"/>
        <v>0</v>
      </c>
      <c r="AY35" s="23"/>
      <c r="AZ35" s="23"/>
      <c r="BA35" s="73">
        <f t="shared" si="22"/>
        <v>0</v>
      </c>
      <c r="BB35" s="23"/>
      <c r="BC35" s="23"/>
      <c r="BD35" s="73">
        <f t="shared" si="23"/>
        <v>0</v>
      </c>
      <c r="BE35" s="23"/>
      <c r="BF35" s="23"/>
      <c r="BG35" s="73">
        <f t="shared" si="24"/>
        <v>0</v>
      </c>
      <c r="BH35" s="23"/>
      <c r="BI35" s="23"/>
      <c r="BJ35" s="73">
        <f t="shared" si="25"/>
        <v>0</v>
      </c>
      <c r="BK35" s="23"/>
      <c r="BL35" s="23"/>
      <c r="BM35" s="73">
        <f t="shared" si="26"/>
        <v>0</v>
      </c>
      <c r="BN35" s="23"/>
      <c r="BO35" s="23"/>
      <c r="BP35" s="73">
        <f t="shared" si="27"/>
        <v>0</v>
      </c>
      <c r="BQ35" s="23"/>
      <c r="BR35" s="23"/>
      <c r="BS35" s="73">
        <f t="shared" si="28"/>
        <v>0</v>
      </c>
      <c r="BT35" s="23"/>
      <c r="BU35" s="23"/>
      <c r="BV35" s="73">
        <f t="shared" si="29"/>
        <v>0</v>
      </c>
      <c r="BW35" s="23"/>
      <c r="BX35" s="23"/>
      <c r="BY35" s="73">
        <f t="shared" si="30"/>
        <v>0</v>
      </c>
      <c r="BZ35" s="23"/>
      <c r="CA35" s="23"/>
      <c r="CB35" s="73">
        <f t="shared" si="31"/>
        <v>0</v>
      </c>
      <c r="CC35" s="23"/>
      <c r="CD35" s="23"/>
      <c r="CE35" s="73">
        <f t="shared" si="32"/>
        <v>0</v>
      </c>
      <c r="CF35" s="23"/>
      <c r="CG35" s="23"/>
      <c r="CH35" s="73">
        <f t="shared" si="33"/>
        <v>0</v>
      </c>
      <c r="CI35" s="23"/>
      <c r="CJ35" s="23"/>
      <c r="CK35" s="73">
        <f t="shared" si="34"/>
        <v>0</v>
      </c>
      <c r="CL35" s="23"/>
      <c r="CM35" s="23"/>
      <c r="CN35" s="73">
        <f t="shared" si="35"/>
        <v>0</v>
      </c>
      <c r="CO35" s="23"/>
      <c r="CP35" s="23"/>
      <c r="CQ35" s="73">
        <f t="shared" si="36"/>
        <v>0</v>
      </c>
      <c r="CR35" s="23"/>
      <c r="CS35" s="23"/>
      <c r="CT35" s="73">
        <f t="shared" si="37"/>
        <v>0</v>
      </c>
      <c r="CU35" s="23"/>
      <c r="CV35" s="23"/>
      <c r="CW35" s="73">
        <f t="shared" si="38"/>
        <v>0</v>
      </c>
      <c r="CX35" s="23"/>
      <c r="CY35" s="23"/>
      <c r="CZ35" s="73">
        <f t="shared" si="39"/>
        <v>0</v>
      </c>
      <c r="DA35" s="23"/>
      <c r="DB35" s="23"/>
      <c r="DC35" s="73">
        <f t="shared" si="40"/>
        <v>0</v>
      </c>
      <c r="DD35" s="23"/>
      <c r="DE35" s="23"/>
      <c r="DF35" s="73">
        <f t="shared" si="41"/>
        <v>0</v>
      </c>
      <c r="DG35" s="23"/>
      <c r="DH35" s="23"/>
      <c r="DI35" s="73">
        <f t="shared" si="42"/>
        <v>0</v>
      </c>
      <c r="DJ35" s="23"/>
      <c r="DK35" s="23"/>
      <c r="DL35" s="73">
        <f t="shared" si="43"/>
        <v>0</v>
      </c>
      <c r="DM35" s="23"/>
      <c r="DN35" s="23"/>
      <c r="DO35" s="73">
        <f t="shared" si="44"/>
        <v>0</v>
      </c>
      <c r="DP35" s="23"/>
      <c r="DQ35" s="23"/>
      <c r="DR35" s="73">
        <f t="shared" si="45"/>
        <v>0</v>
      </c>
      <c r="DS35" s="23"/>
      <c r="DT35" s="23"/>
      <c r="DU35" s="73">
        <f t="shared" si="46"/>
        <v>0</v>
      </c>
      <c r="DV35" s="23"/>
      <c r="DW35" s="23"/>
      <c r="DX35" s="73">
        <f t="shared" si="47"/>
        <v>0</v>
      </c>
      <c r="DY35" s="23"/>
      <c r="DZ35" s="23"/>
      <c r="EA35" s="73">
        <f t="shared" si="48"/>
        <v>0</v>
      </c>
      <c r="EB35" s="23"/>
      <c r="EC35" s="23"/>
      <c r="ED35" s="73">
        <f t="shared" si="49"/>
        <v>0</v>
      </c>
      <c r="EE35" s="23"/>
      <c r="EF35" s="23"/>
      <c r="EG35" s="73">
        <f t="shared" si="50"/>
        <v>0</v>
      </c>
      <c r="EH35" s="23"/>
      <c r="EI35" s="23"/>
      <c r="EJ35" s="73">
        <f t="shared" si="51"/>
        <v>0</v>
      </c>
      <c r="EK35" s="23"/>
      <c r="EL35" s="23"/>
      <c r="EM35" s="73">
        <f t="shared" si="52"/>
        <v>0</v>
      </c>
      <c r="EN35" s="23"/>
      <c r="EO35" s="23"/>
      <c r="EP35" s="73">
        <f t="shared" si="53"/>
        <v>0</v>
      </c>
      <c r="EQ35" s="73">
        <f t="shared" si="54"/>
        <v>385000</v>
      </c>
      <c r="ER35" s="73">
        <f t="shared" si="55"/>
        <v>373535</v>
      </c>
      <c r="ES35" s="73">
        <f t="shared" si="56"/>
        <v>-11465</v>
      </c>
      <c r="ET35" s="23">
        <f t="shared" si="61"/>
        <v>-296074</v>
      </c>
      <c r="EU35" s="79"/>
      <c r="EV35" s="73">
        <f t="shared" si="57"/>
        <v>105000</v>
      </c>
      <c r="EW35" s="73">
        <f t="shared" si="58"/>
        <v>105000</v>
      </c>
      <c r="EX35" s="23">
        <f t="shared" si="59"/>
        <v>0</v>
      </c>
      <c r="EY35" s="23">
        <f t="shared" si="62"/>
        <v>-62654</v>
      </c>
      <c r="EZ35" s="79"/>
      <c r="FA35" s="23">
        <f t="shared" si="60"/>
        <v>-11465</v>
      </c>
      <c r="FB35" s="23">
        <f t="shared" si="63"/>
        <v>-233420</v>
      </c>
      <c r="FC35" s="79"/>
      <c r="FD35" s="79"/>
      <c r="FE35" s="79"/>
      <c r="FF35" s="79"/>
      <c r="FG35" s="79"/>
      <c r="FH35" s="79"/>
      <c r="FI35" s="79"/>
    </row>
    <row r="36" spans="1:245" ht="12" customHeight="1" x14ac:dyDescent="0.2">
      <c r="A36" s="72">
        <f>+BaseloadMarkets!A36</f>
        <v>36738</v>
      </c>
      <c r="B36" s="72" t="str">
        <f>+BaseloadMarkets!B36</f>
        <v>Mon</v>
      </c>
      <c r="C36" s="23">
        <v>10000</v>
      </c>
      <c r="D36" s="23">
        <v>10000</v>
      </c>
      <c r="E36" s="73">
        <f t="shared" si="0"/>
        <v>0</v>
      </c>
      <c r="F36" s="23">
        <v>10000</v>
      </c>
      <c r="G36" s="23">
        <v>10000</v>
      </c>
      <c r="H36" s="73">
        <f t="shared" si="1"/>
        <v>0</v>
      </c>
      <c r="I36" s="23">
        <v>10000</v>
      </c>
      <c r="J36" s="23">
        <v>10000</v>
      </c>
      <c r="K36" s="73">
        <f t="shared" si="2"/>
        <v>0</v>
      </c>
      <c r="L36" s="23">
        <v>5000</v>
      </c>
      <c r="M36" s="23">
        <v>5000</v>
      </c>
      <c r="N36" s="73">
        <f t="shared" si="3"/>
        <v>0</v>
      </c>
      <c r="O36" s="23">
        <v>10000</v>
      </c>
      <c r="P36" s="23">
        <v>10000</v>
      </c>
      <c r="Q36" s="73">
        <f t="shared" si="4"/>
        <v>0</v>
      </c>
      <c r="R36" s="23">
        <f t="shared" si="5"/>
        <v>10000</v>
      </c>
      <c r="S36" s="23">
        <f t="shared" si="5"/>
        <v>10000</v>
      </c>
      <c r="T36" s="73">
        <f t="shared" si="6"/>
        <v>0</v>
      </c>
      <c r="U36" s="23">
        <f t="shared" si="7"/>
        <v>10000</v>
      </c>
      <c r="V36" s="23">
        <f t="shared" si="7"/>
        <v>10000</v>
      </c>
      <c r="W36" s="73">
        <f t="shared" si="8"/>
        <v>0</v>
      </c>
      <c r="X36" s="23">
        <f t="shared" si="9"/>
        <v>10000</v>
      </c>
      <c r="Y36" s="23">
        <f t="shared" si="9"/>
        <v>10000</v>
      </c>
      <c r="Z36" s="73">
        <f t="shared" si="10"/>
        <v>0</v>
      </c>
      <c r="AA36" s="23">
        <f t="shared" si="11"/>
        <v>10000</v>
      </c>
      <c r="AB36" s="23">
        <f t="shared" si="11"/>
        <v>10000</v>
      </c>
      <c r="AC36" s="73">
        <f t="shared" si="12"/>
        <v>0</v>
      </c>
      <c r="AD36" s="23">
        <f t="shared" si="13"/>
        <v>10000</v>
      </c>
      <c r="AE36" s="23">
        <f t="shared" si="13"/>
        <v>10000</v>
      </c>
      <c r="AF36" s="73">
        <f t="shared" si="14"/>
        <v>0</v>
      </c>
      <c r="AG36" s="75">
        <v>280000</v>
      </c>
      <c r="AH36" s="75">
        <v>276239</v>
      </c>
      <c r="AI36" s="120">
        <f t="shared" si="15"/>
        <v>-3761</v>
      </c>
      <c r="AJ36" s="23">
        <f t="shared" si="16"/>
        <v>10000</v>
      </c>
      <c r="AK36" s="23">
        <f t="shared" si="64"/>
        <v>10000</v>
      </c>
      <c r="AL36" s="73">
        <f t="shared" si="17"/>
        <v>0</v>
      </c>
      <c r="AM36" s="23"/>
      <c r="AN36" s="23"/>
      <c r="AO36" s="73">
        <f t="shared" si="18"/>
        <v>0</v>
      </c>
      <c r="AP36" s="23"/>
      <c r="AQ36" s="23"/>
      <c r="AR36" s="73">
        <f t="shared" si="19"/>
        <v>0</v>
      </c>
      <c r="AS36" s="23"/>
      <c r="AT36" s="23"/>
      <c r="AU36" s="73">
        <f t="shared" si="20"/>
        <v>0</v>
      </c>
      <c r="AV36" s="23"/>
      <c r="AW36" s="23"/>
      <c r="AX36" s="73">
        <f t="shared" si="21"/>
        <v>0</v>
      </c>
      <c r="AY36" s="23"/>
      <c r="AZ36" s="23"/>
      <c r="BA36" s="73">
        <f t="shared" si="22"/>
        <v>0</v>
      </c>
      <c r="BB36" s="23"/>
      <c r="BC36" s="23"/>
      <c r="BD36" s="73">
        <f t="shared" si="23"/>
        <v>0</v>
      </c>
      <c r="BE36" s="23"/>
      <c r="BF36" s="23"/>
      <c r="BG36" s="73">
        <f t="shared" si="24"/>
        <v>0</v>
      </c>
      <c r="BH36" s="23"/>
      <c r="BI36" s="23"/>
      <c r="BJ36" s="73">
        <f t="shared" si="25"/>
        <v>0</v>
      </c>
      <c r="BK36" s="23"/>
      <c r="BL36" s="23"/>
      <c r="BM36" s="73">
        <f t="shared" si="26"/>
        <v>0</v>
      </c>
      <c r="BN36" s="23"/>
      <c r="BO36" s="23"/>
      <c r="BP36" s="73">
        <f t="shared" si="27"/>
        <v>0</v>
      </c>
      <c r="BQ36" s="23"/>
      <c r="BR36" s="23"/>
      <c r="BS36" s="73">
        <f t="shared" si="28"/>
        <v>0</v>
      </c>
      <c r="BT36" s="23"/>
      <c r="BU36" s="23"/>
      <c r="BV36" s="73">
        <f t="shared" si="29"/>
        <v>0</v>
      </c>
      <c r="BW36" s="23"/>
      <c r="BX36" s="23"/>
      <c r="BY36" s="73">
        <f t="shared" si="30"/>
        <v>0</v>
      </c>
      <c r="BZ36" s="23"/>
      <c r="CA36" s="23"/>
      <c r="CB36" s="73">
        <f t="shared" si="31"/>
        <v>0</v>
      </c>
      <c r="CC36" s="23"/>
      <c r="CD36" s="23"/>
      <c r="CE36" s="73">
        <f t="shared" si="32"/>
        <v>0</v>
      </c>
      <c r="CF36" s="23"/>
      <c r="CG36" s="23"/>
      <c r="CH36" s="73">
        <f t="shared" si="33"/>
        <v>0</v>
      </c>
      <c r="CI36" s="23"/>
      <c r="CJ36" s="23"/>
      <c r="CK36" s="73">
        <f t="shared" si="34"/>
        <v>0</v>
      </c>
      <c r="CL36" s="23"/>
      <c r="CM36" s="23"/>
      <c r="CN36" s="73">
        <f t="shared" si="35"/>
        <v>0</v>
      </c>
      <c r="CO36" s="23"/>
      <c r="CP36" s="23"/>
      <c r="CQ36" s="73">
        <f t="shared" si="36"/>
        <v>0</v>
      </c>
      <c r="CR36" s="23"/>
      <c r="CS36" s="23"/>
      <c r="CT36" s="73">
        <f t="shared" si="37"/>
        <v>0</v>
      </c>
      <c r="CU36" s="23"/>
      <c r="CV36" s="23"/>
      <c r="CW36" s="73">
        <f t="shared" si="38"/>
        <v>0</v>
      </c>
      <c r="CX36" s="23"/>
      <c r="CY36" s="23"/>
      <c r="CZ36" s="73">
        <f t="shared" si="39"/>
        <v>0</v>
      </c>
      <c r="DA36" s="23"/>
      <c r="DB36" s="23"/>
      <c r="DC36" s="73">
        <f t="shared" si="40"/>
        <v>0</v>
      </c>
      <c r="DD36" s="23"/>
      <c r="DE36" s="23"/>
      <c r="DF36" s="73">
        <f t="shared" si="41"/>
        <v>0</v>
      </c>
      <c r="DG36" s="23"/>
      <c r="DH36" s="23"/>
      <c r="DI36" s="73">
        <f t="shared" si="42"/>
        <v>0</v>
      </c>
      <c r="DJ36" s="23"/>
      <c r="DK36" s="23"/>
      <c r="DL36" s="73">
        <f t="shared" si="43"/>
        <v>0</v>
      </c>
      <c r="DM36" s="23"/>
      <c r="DN36" s="23"/>
      <c r="DO36" s="73">
        <f t="shared" si="44"/>
        <v>0</v>
      </c>
      <c r="DP36" s="23"/>
      <c r="DQ36" s="23"/>
      <c r="DR36" s="73">
        <f t="shared" si="45"/>
        <v>0</v>
      </c>
      <c r="DS36" s="23"/>
      <c r="DT36" s="23"/>
      <c r="DU36" s="73">
        <f t="shared" si="46"/>
        <v>0</v>
      </c>
      <c r="DV36" s="23"/>
      <c r="DW36" s="23"/>
      <c r="DX36" s="73">
        <f t="shared" si="47"/>
        <v>0</v>
      </c>
      <c r="DY36" s="23"/>
      <c r="DZ36" s="23"/>
      <c r="EA36" s="73">
        <f t="shared" si="48"/>
        <v>0</v>
      </c>
      <c r="EB36" s="23"/>
      <c r="EC36" s="23"/>
      <c r="ED36" s="73">
        <f t="shared" si="49"/>
        <v>0</v>
      </c>
      <c r="EE36" s="23"/>
      <c r="EF36" s="23"/>
      <c r="EG36" s="73">
        <f t="shared" si="50"/>
        <v>0</v>
      </c>
      <c r="EH36" s="23"/>
      <c r="EI36" s="23"/>
      <c r="EJ36" s="73">
        <f t="shared" si="51"/>
        <v>0</v>
      </c>
      <c r="EK36" s="23"/>
      <c r="EL36" s="23"/>
      <c r="EM36" s="73">
        <f t="shared" si="52"/>
        <v>0</v>
      </c>
      <c r="EN36" s="23"/>
      <c r="EO36" s="23"/>
      <c r="EP36" s="73">
        <f t="shared" si="53"/>
        <v>0</v>
      </c>
      <c r="EQ36" s="73">
        <f t="shared" si="54"/>
        <v>385000</v>
      </c>
      <c r="ER36" s="73">
        <f t="shared" si="55"/>
        <v>381239</v>
      </c>
      <c r="ES36" s="73">
        <f t="shared" si="56"/>
        <v>-3761</v>
      </c>
      <c r="ET36" s="23">
        <f t="shared" si="61"/>
        <v>-299835</v>
      </c>
      <c r="EU36" s="79"/>
      <c r="EV36" s="73">
        <f t="shared" si="57"/>
        <v>105000</v>
      </c>
      <c r="EW36" s="73">
        <f t="shared" si="58"/>
        <v>105000</v>
      </c>
      <c r="EX36" s="23">
        <f t="shared" si="59"/>
        <v>0</v>
      </c>
      <c r="EY36" s="23">
        <f t="shared" si="62"/>
        <v>-62654</v>
      </c>
      <c r="EZ36" s="79"/>
      <c r="FA36" s="23">
        <f t="shared" si="60"/>
        <v>-3761</v>
      </c>
      <c r="FB36" s="23">
        <f t="shared" si="63"/>
        <v>-237181</v>
      </c>
      <c r="FC36" s="79"/>
      <c r="FD36" s="79"/>
      <c r="FE36" s="79"/>
      <c r="FF36" s="79"/>
      <c r="FG36" s="79"/>
      <c r="FH36" s="79"/>
      <c r="FI36" s="79"/>
    </row>
    <row r="37" spans="1:245" s="92" customFormat="1" x14ac:dyDescent="0.2">
      <c r="A37" s="83" t="s">
        <v>56</v>
      </c>
      <c r="B37" s="84"/>
      <c r="C37" s="30">
        <f t="shared" ref="C37:AH37" si="65">SUM(C6:C36)</f>
        <v>310000</v>
      </c>
      <c r="D37" s="30">
        <f t="shared" si="65"/>
        <v>297700</v>
      </c>
      <c r="E37" s="30">
        <f t="shared" si="65"/>
        <v>-12300</v>
      </c>
      <c r="F37" s="30">
        <f t="shared" si="65"/>
        <v>310000</v>
      </c>
      <c r="G37" s="30">
        <f t="shared" si="65"/>
        <v>288309</v>
      </c>
      <c r="H37" s="30">
        <f t="shared" si="65"/>
        <v>-21691</v>
      </c>
      <c r="I37" s="30">
        <f t="shared" si="65"/>
        <v>310000</v>
      </c>
      <c r="J37" s="30">
        <f t="shared" si="65"/>
        <v>310000</v>
      </c>
      <c r="K37" s="85">
        <f t="shared" si="65"/>
        <v>0</v>
      </c>
      <c r="L37" s="30">
        <f t="shared" si="65"/>
        <v>155000</v>
      </c>
      <c r="M37" s="30">
        <f t="shared" si="65"/>
        <v>155000</v>
      </c>
      <c r="N37" s="85">
        <f t="shared" si="65"/>
        <v>0</v>
      </c>
      <c r="O37" s="30">
        <f t="shared" si="65"/>
        <v>310000</v>
      </c>
      <c r="P37" s="30">
        <f t="shared" si="65"/>
        <v>310000</v>
      </c>
      <c r="Q37" s="85">
        <f t="shared" si="65"/>
        <v>0</v>
      </c>
      <c r="R37" s="30">
        <f t="shared" si="65"/>
        <v>310000</v>
      </c>
      <c r="S37" s="30">
        <f t="shared" si="65"/>
        <v>310000</v>
      </c>
      <c r="T37" s="85">
        <f t="shared" si="65"/>
        <v>0</v>
      </c>
      <c r="U37" s="30">
        <f t="shared" si="65"/>
        <v>310000</v>
      </c>
      <c r="V37" s="30">
        <f t="shared" si="65"/>
        <v>310000</v>
      </c>
      <c r="W37" s="85">
        <f t="shared" si="65"/>
        <v>0</v>
      </c>
      <c r="X37" s="30">
        <f t="shared" si="65"/>
        <v>310000</v>
      </c>
      <c r="Y37" s="30">
        <f t="shared" si="65"/>
        <v>310000</v>
      </c>
      <c r="Z37" s="85">
        <f t="shared" si="65"/>
        <v>0</v>
      </c>
      <c r="AA37" s="30">
        <f t="shared" si="65"/>
        <v>310000</v>
      </c>
      <c r="AB37" s="30">
        <f t="shared" si="65"/>
        <v>310000</v>
      </c>
      <c r="AC37" s="85">
        <f t="shared" si="65"/>
        <v>0</v>
      </c>
      <c r="AD37" s="30">
        <f t="shared" si="65"/>
        <v>310000</v>
      </c>
      <c r="AE37" s="30">
        <f t="shared" si="65"/>
        <v>310000</v>
      </c>
      <c r="AF37" s="85">
        <f t="shared" si="65"/>
        <v>0</v>
      </c>
      <c r="AG37" s="86">
        <f t="shared" si="65"/>
        <v>6755000</v>
      </c>
      <c r="AH37" s="86">
        <f t="shared" si="65"/>
        <v>6517819</v>
      </c>
      <c r="AI37" s="121">
        <f t="shared" ref="AI37:BN37" si="66">SUM(AI6:AI36)</f>
        <v>-237181</v>
      </c>
      <c r="AJ37" s="30">
        <f t="shared" si="66"/>
        <v>310000</v>
      </c>
      <c r="AK37" s="30">
        <f t="shared" si="66"/>
        <v>281337</v>
      </c>
      <c r="AL37" s="85">
        <f t="shared" si="66"/>
        <v>-28663</v>
      </c>
      <c r="AM37" s="30">
        <f t="shared" si="66"/>
        <v>0</v>
      </c>
      <c r="AN37" s="30">
        <f t="shared" si="66"/>
        <v>0</v>
      </c>
      <c r="AO37" s="85">
        <f t="shared" si="66"/>
        <v>0</v>
      </c>
      <c r="AP37" s="30">
        <f t="shared" si="66"/>
        <v>0</v>
      </c>
      <c r="AQ37" s="30">
        <f t="shared" si="66"/>
        <v>0</v>
      </c>
      <c r="AR37" s="85">
        <f t="shared" si="66"/>
        <v>0</v>
      </c>
      <c r="AS37" s="30">
        <f t="shared" si="66"/>
        <v>0</v>
      </c>
      <c r="AT37" s="30">
        <f t="shared" si="66"/>
        <v>0</v>
      </c>
      <c r="AU37" s="85">
        <f t="shared" si="66"/>
        <v>0</v>
      </c>
      <c r="AV37" s="30">
        <f t="shared" si="66"/>
        <v>0</v>
      </c>
      <c r="AW37" s="30">
        <f t="shared" si="66"/>
        <v>0</v>
      </c>
      <c r="AX37" s="85">
        <f t="shared" si="66"/>
        <v>0</v>
      </c>
      <c r="AY37" s="30">
        <f t="shared" si="66"/>
        <v>0</v>
      </c>
      <c r="AZ37" s="30">
        <f t="shared" si="66"/>
        <v>0</v>
      </c>
      <c r="BA37" s="85">
        <f t="shared" si="66"/>
        <v>0</v>
      </c>
      <c r="BB37" s="30">
        <f t="shared" si="66"/>
        <v>0</v>
      </c>
      <c r="BC37" s="30">
        <f t="shared" si="66"/>
        <v>0</v>
      </c>
      <c r="BD37" s="85">
        <f t="shared" si="66"/>
        <v>0</v>
      </c>
      <c r="BE37" s="30">
        <f t="shared" si="66"/>
        <v>0</v>
      </c>
      <c r="BF37" s="30">
        <f t="shared" si="66"/>
        <v>0</v>
      </c>
      <c r="BG37" s="30">
        <f t="shared" si="66"/>
        <v>0</v>
      </c>
      <c r="BH37" s="30">
        <f t="shared" si="66"/>
        <v>0</v>
      </c>
      <c r="BI37" s="30">
        <f t="shared" si="66"/>
        <v>0</v>
      </c>
      <c r="BJ37" s="85">
        <f t="shared" si="66"/>
        <v>0</v>
      </c>
      <c r="BK37" s="30">
        <f t="shared" si="66"/>
        <v>0</v>
      </c>
      <c r="BL37" s="30">
        <f t="shared" si="66"/>
        <v>0</v>
      </c>
      <c r="BM37" s="85">
        <f t="shared" si="66"/>
        <v>0</v>
      </c>
      <c r="BN37" s="30">
        <f t="shared" si="66"/>
        <v>0</v>
      </c>
      <c r="BO37" s="30">
        <f t="shared" ref="BO37:CT37" si="67">SUM(BO6:BO36)</f>
        <v>0</v>
      </c>
      <c r="BP37" s="85">
        <f t="shared" si="67"/>
        <v>0</v>
      </c>
      <c r="BQ37" s="30">
        <f t="shared" si="67"/>
        <v>0</v>
      </c>
      <c r="BR37" s="30">
        <f t="shared" si="67"/>
        <v>0</v>
      </c>
      <c r="BS37" s="85">
        <f t="shared" si="67"/>
        <v>0</v>
      </c>
      <c r="BT37" s="30">
        <f t="shared" si="67"/>
        <v>0</v>
      </c>
      <c r="BU37" s="30">
        <f t="shared" si="67"/>
        <v>0</v>
      </c>
      <c r="BV37" s="85">
        <f t="shared" si="67"/>
        <v>0</v>
      </c>
      <c r="BW37" s="30">
        <f t="shared" si="67"/>
        <v>0</v>
      </c>
      <c r="BX37" s="30">
        <f t="shared" si="67"/>
        <v>0</v>
      </c>
      <c r="BY37" s="85">
        <f t="shared" si="67"/>
        <v>0</v>
      </c>
      <c r="BZ37" s="30">
        <f t="shared" si="67"/>
        <v>0</v>
      </c>
      <c r="CA37" s="30">
        <f t="shared" si="67"/>
        <v>0</v>
      </c>
      <c r="CB37" s="85">
        <f t="shared" si="67"/>
        <v>0</v>
      </c>
      <c r="CC37" s="30">
        <f t="shared" si="67"/>
        <v>0</v>
      </c>
      <c r="CD37" s="30">
        <f t="shared" si="67"/>
        <v>0</v>
      </c>
      <c r="CE37" s="85">
        <f t="shared" si="67"/>
        <v>0</v>
      </c>
      <c r="CF37" s="30">
        <f t="shared" si="67"/>
        <v>0</v>
      </c>
      <c r="CG37" s="30">
        <f t="shared" si="67"/>
        <v>0</v>
      </c>
      <c r="CH37" s="85">
        <f t="shared" si="67"/>
        <v>0</v>
      </c>
      <c r="CI37" s="30">
        <f t="shared" si="67"/>
        <v>0</v>
      </c>
      <c r="CJ37" s="30">
        <f t="shared" si="67"/>
        <v>0</v>
      </c>
      <c r="CK37" s="85">
        <f t="shared" si="67"/>
        <v>0</v>
      </c>
      <c r="CL37" s="30">
        <f t="shared" si="67"/>
        <v>0</v>
      </c>
      <c r="CM37" s="30">
        <f t="shared" si="67"/>
        <v>0</v>
      </c>
      <c r="CN37" s="85">
        <f t="shared" si="67"/>
        <v>0</v>
      </c>
      <c r="CO37" s="30">
        <f t="shared" si="67"/>
        <v>0</v>
      </c>
      <c r="CP37" s="30">
        <f t="shared" si="67"/>
        <v>0</v>
      </c>
      <c r="CQ37" s="85">
        <f t="shared" si="67"/>
        <v>0</v>
      </c>
      <c r="CR37" s="30">
        <f t="shared" si="67"/>
        <v>0</v>
      </c>
      <c r="CS37" s="30">
        <f t="shared" si="67"/>
        <v>0</v>
      </c>
      <c r="CT37" s="85">
        <f t="shared" si="67"/>
        <v>0</v>
      </c>
      <c r="CU37" s="30">
        <f t="shared" ref="CU37:DZ37" si="68">SUM(CU6:CU36)</f>
        <v>0</v>
      </c>
      <c r="CV37" s="30">
        <f t="shared" si="68"/>
        <v>0</v>
      </c>
      <c r="CW37" s="85">
        <f t="shared" si="68"/>
        <v>0</v>
      </c>
      <c r="CX37" s="30">
        <f t="shared" si="68"/>
        <v>0</v>
      </c>
      <c r="CY37" s="30">
        <f t="shared" si="68"/>
        <v>0</v>
      </c>
      <c r="CZ37" s="85">
        <f t="shared" si="68"/>
        <v>0</v>
      </c>
      <c r="DA37" s="30">
        <f t="shared" si="68"/>
        <v>0</v>
      </c>
      <c r="DB37" s="30">
        <f t="shared" si="68"/>
        <v>0</v>
      </c>
      <c r="DC37" s="85">
        <f t="shared" si="68"/>
        <v>0</v>
      </c>
      <c r="DD37" s="30">
        <f t="shared" si="68"/>
        <v>0</v>
      </c>
      <c r="DE37" s="30">
        <f t="shared" si="68"/>
        <v>0</v>
      </c>
      <c r="DF37" s="85">
        <f t="shared" si="68"/>
        <v>0</v>
      </c>
      <c r="DG37" s="30">
        <f t="shared" si="68"/>
        <v>0</v>
      </c>
      <c r="DH37" s="30">
        <f t="shared" si="68"/>
        <v>0</v>
      </c>
      <c r="DI37" s="85">
        <f t="shared" si="68"/>
        <v>0</v>
      </c>
      <c r="DJ37" s="30">
        <f t="shared" si="68"/>
        <v>0</v>
      </c>
      <c r="DK37" s="30">
        <f t="shared" si="68"/>
        <v>0</v>
      </c>
      <c r="DL37" s="85">
        <f t="shared" si="68"/>
        <v>0</v>
      </c>
      <c r="DM37" s="30">
        <f t="shared" si="68"/>
        <v>0</v>
      </c>
      <c r="DN37" s="30">
        <f t="shared" si="68"/>
        <v>0</v>
      </c>
      <c r="DO37" s="85">
        <f t="shared" si="68"/>
        <v>0</v>
      </c>
      <c r="DP37" s="30">
        <f t="shared" si="68"/>
        <v>0</v>
      </c>
      <c r="DQ37" s="30">
        <f t="shared" si="68"/>
        <v>0</v>
      </c>
      <c r="DR37" s="85">
        <f t="shared" si="68"/>
        <v>0</v>
      </c>
      <c r="DS37" s="30">
        <f t="shared" si="68"/>
        <v>0</v>
      </c>
      <c r="DT37" s="30">
        <f t="shared" si="68"/>
        <v>0</v>
      </c>
      <c r="DU37" s="85">
        <f t="shared" si="68"/>
        <v>0</v>
      </c>
      <c r="DV37" s="30">
        <f t="shared" si="68"/>
        <v>0</v>
      </c>
      <c r="DW37" s="30">
        <f t="shared" si="68"/>
        <v>0</v>
      </c>
      <c r="DX37" s="85">
        <f t="shared" si="68"/>
        <v>0</v>
      </c>
      <c r="DY37" s="30">
        <f t="shared" si="68"/>
        <v>0</v>
      </c>
      <c r="DZ37" s="30">
        <f t="shared" si="68"/>
        <v>0</v>
      </c>
      <c r="EA37" s="85">
        <f t="shared" ref="EA37:ES37" si="69">SUM(EA6:EA36)</f>
        <v>0</v>
      </c>
      <c r="EB37" s="30">
        <f t="shared" si="69"/>
        <v>0</v>
      </c>
      <c r="EC37" s="30">
        <f t="shared" si="69"/>
        <v>0</v>
      </c>
      <c r="ED37" s="85">
        <f t="shared" si="69"/>
        <v>0</v>
      </c>
      <c r="EE37" s="30">
        <f t="shared" si="69"/>
        <v>0</v>
      </c>
      <c r="EF37" s="30">
        <f t="shared" si="69"/>
        <v>0</v>
      </c>
      <c r="EG37" s="85">
        <f t="shared" si="69"/>
        <v>0</v>
      </c>
      <c r="EH37" s="30">
        <f t="shared" si="69"/>
        <v>0</v>
      </c>
      <c r="EI37" s="30">
        <f t="shared" si="69"/>
        <v>0</v>
      </c>
      <c r="EJ37" s="85">
        <f t="shared" si="69"/>
        <v>0</v>
      </c>
      <c r="EK37" s="30">
        <f t="shared" si="69"/>
        <v>0</v>
      </c>
      <c r="EL37" s="30">
        <f t="shared" si="69"/>
        <v>0</v>
      </c>
      <c r="EM37" s="85">
        <f t="shared" si="69"/>
        <v>0</v>
      </c>
      <c r="EN37" s="30">
        <f t="shared" si="69"/>
        <v>0</v>
      </c>
      <c r="EO37" s="30">
        <f t="shared" si="69"/>
        <v>0</v>
      </c>
      <c r="EP37" s="85">
        <f t="shared" si="69"/>
        <v>0</v>
      </c>
      <c r="EQ37" s="87">
        <f t="shared" si="69"/>
        <v>10010000</v>
      </c>
      <c r="ER37" s="85">
        <f t="shared" si="69"/>
        <v>9710165</v>
      </c>
      <c r="ES37" s="85">
        <f t="shared" si="69"/>
        <v>-299835</v>
      </c>
      <c r="ET37" s="30"/>
      <c r="EU37" s="30"/>
      <c r="EV37" s="30"/>
      <c r="EW37" s="88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89"/>
      <c r="FK37" s="89"/>
      <c r="FL37" s="89"/>
      <c r="FM37" s="89"/>
      <c r="FN37" s="89"/>
      <c r="FO37" s="89"/>
      <c r="FP37" s="89"/>
      <c r="FQ37" s="89"/>
      <c r="FR37" s="90"/>
      <c r="FS37" s="90"/>
      <c r="FT37" s="90"/>
      <c r="FU37" s="90"/>
      <c r="FV37" s="90"/>
      <c r="FW37" s="90"/>
      <c r="FX37" s="90"/>
      <c r="FY37" s="90"/>
      <c r="FZ37" s="90"/>
      <c r="GA37" s="90"/>
      <c r="GB37" s="90"/>
      <c r="GC37" s="90"/>
      <c r="GD37" s="90"/>
      <c r="GE37" s="90"/>
      <c r="GF37" s="90"/>
      <c r="GG37" s="90"/>
      <c r="GH37" s="90"/>
      <c r="GI37" s="90"/>
      <c r="GJ37" s="90"/>
      <c r="GK37" s="90"/>
      <c r="GL37" s="90"/>
      <c r="GM37" s="90"/>
      <c r="GN37" s="91"/>
      <c r="GO37" s="91"/>
      <c r="GP37" s="91"/>
      <c r="GQ37" s="91"/>
      <c r="GR37" s="91"/>
      <c r="GS37" s="91"/>
      <c r="GT37" s="91"/>
    </row>
    <row r="38" spans="1:245" s="100" customFormat="1" x14ac:dyDescent="0.2">
      <c r="A38" s="93"/>
      <c r="B38" s="8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42"/>
      <c r="AA38" s="33"/>
      <c r="AB38" s="33"/>
      <c r="AC38" s="42"/>
      <c r="AD38" s="33"/>
      <c r="AE38" s="33"/>
      <c r="AF38" s="42"/>
      <c r="AG38" s="95"/>
      <c r="AH38" s="95"/>
      <c r="AI38" s="122"/>
      <c r="AJ38" s="33"/>
      <c r="AK38" s="33"/>
      <c r="AL38" s="42"/>
      <c r="AM38" s="33"/>
      <c r="AN38" s="33"/>
      <c r="AO38" s="42"/>
      <c r="AP38" s="33"/>
      <c r="AQ38" s="33"/>
      <c r="AR38" s="42"/>
      <c r="AS38" s="33"/>
      <c r="AT38" s="33"/>
      <c r="AU38" s="42"/>
      <c r="AV38" s="33"/>
      <c r="AW38" s="33"/>
      <c r="AX38" s="33"/>
      <c r="AY38" s="33"/>
      <c r="AZ38" s="33"/>
      <c r="BA38" s="42"/>
      <c r="BB38" s="33"/>
      <c r="BC38" s="33"/>
      <c r="BD38" s="42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42"/>
      <c r="BZ38" s="33"/>
      <c r="CA38" s="33"/>
      <c r="CB38" s="42"/>
      <c r="CC38" s="33"/>
      <c r="CD38" s="33"/>
      <c r="CE38" s="42"/>
      <c r="CF38" s="33"/>
      <c r="CG38" s="33"/>
      <c r="CH38" s="42"/>
      <c r="CI38" s="33"/>
      <c r="CJ38" s="33"/>
      <c r="CK38" s="42"/>
      <c r="CL38" s="33"/>
      <c r="CM38" s="33"/>
      <c r="CN38" s="42"/>
      <c r="CO38" s="33"/>
      <c r="CP38" s="33"/>
      <c r="CQ38" s="42"/>
      <c r="CR38" s="33"/>
      <c r="CS38" s="33"/>
      <c r="CT38" s="42"/>
      <c r="CU38" s="33"/>
      <c r="CV38" s="33"/>
      <c r="CW38" s="42"/>
      <c r="CX38" s="33"/>
      <c r="CY38" s="33"/>
      <c r="CZ38" s="42"/>
      <c r="DA38" s="33"/>
      <c r="DB38" s="33"/>
      <c r="DC38" s="42"/>
      <c r="DD38" s="33"/>
      <c r="DE38" s="33"/>
      <c r="DF38" s="42"/>
      <c r="DG38" s="33"/>
      <c r="DH38" s="33"/>
      <c r="DI38" s="33"/>
      <c r="DJ38" s="33"/>
      <c r="DK38" s="33"/>
      <c r="DL38" s="42"/>
      <c r="DM38" s="33"/>
      <c r="DN38" s="33"/>
      <c r="DO38" s="42"/>
      <c r="DP38" s="33"/>
      <c r="DQ38" s="33"/>
      <c r="DR38" s="42"/>
      <c r="DS38" s="33"/>
      <c r="DT38" s="33"/>
      <c r="DU38" s="42"/>
      <c r="DV38" s="33"/>
      <c r="DW38" s="33"/>
      <c r="DX38" s="42"/>
      <c r="DY38" s="33"/>
      <c r="DZ38" s="33"/>
      <c r="EA38" s="42"/>
      <c r="EB38" s="33"/>
      <c r="EC38" s="33"/>
      <c r="ED38" s="42"/>
      <c r="EE38" s="33"/>
      <c r="EF38" s="33"/>
      <c r="EG38" s="42"/>
      <c r="EH38" s="33"/>
      <c r="EI38" s="33"/>
      <c r="EJ38" s="42"/>
      <c r="EK38" s="33"/>
      <c r="EL38" s="33"/>
      <c r="EM38" s="42"/>
      <c r="EN38" s="33"/>
      <c r="EO38" s="33"/>
      <c r="EP38" s="42"/>
      <c r="EQ38" s="42"/>
      <c r="ER38" s="33"/>
      <c r="ES38" s="33"/>
      <c r="ET38" s="33"/>
      <c r="EU38" s="33"/>
      <c r="EV38" s="33"/>
      <c r="EW38" s="96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97"/>
      <c r="FK38" s="97"/>
      <c r="FL38" s="97"/>
      <c r="FM38" s="97"/>
      <c r="FN38" s="97"/>
      <c r="FO38" s="97"/>
      <c r="FP38" s="97"/>
      <c r="FQ38" s="97"/>
      <c r="FR38" s="98"/>
      <c r="FS38" s="98"/>
      <c r="FT38" s="98"/>
      <c r="FU38" s="98"/>
      <c r="FV38" s="98"/>
      <c r="FW38" s="98"/>
      <c r="FX38" s="98"/>
      <c r="FY38" s="98"/>
      <c r="FZ38" s="98"/>
      <c r="GA38" s="98"/>
      <c r="GB38" s="98"/>
      <c r="GC38" s="98"/>
      <c r="GD38" s="98"/>
      <c r="GE38" s="98"/>
      <c r="GF38" s="98"/>
      <c r="GG38" s="98"/>
      <c r="GH38" s="98"/>
      <c r="GI38" s="98"/>
      <c r="GJ38" s="98"/>
      <c r="GK38" s="98"/>
      <c r="GL38" s="98"/>
      <c r="GM38" s="98"/>
      <c r="GN38" s="99"/>
      <c r="GO38" s="99"/>
      <c r="GP38" s="99"/>
      <c r="GQ38" s="99"/>
      <c r="GR38" s="99"/>
      <c r="GS38" s="99"/>
      <c r="GT38" s="99"/>
    </row>
    <row r="39" spans="1:245" s="80" customFormat="1" x14ac:dyDescent="0.2">
      <c r="A39" s="101">
        <v>1</v>
      </c>
      <c r="B39" s="40">
        <f t="shared" ref="B39:AG39" si="70">+A39+1</f>
        <v>2</v>
      </c>
      <c r="C39" s="40">
        <f t="shared" si="70"/>
        <v>3</v>
      </c>
      <c r="D39" s="40">
        <f t="shared" si="70"/>
        <v>4</v>
      </c>
      <c r="E39" s="40">
        <f t="shared" si="70"/>
        <v>5</v>
      </c>
      <c r="F39" s="40">
        <f t="shared" si="70"/>
        <v>6</v>
      </c>
      <c r="G39" s="40">
        <f t="shared" si="70"/>
        <v>7</v>
      </c>
      <c r="H39" s="40">
        <f t="shared" si="70"/>
        <v>8</v>
      </c>
      <c r="I39" s="40">
        <f t="shared" si="70"/>
        <v>9</v>
      </c>
      <c r="J39" s="40">
        <f t="shared" si="70"/>
        <v>10</v>
      </c>
      <c r="K39" s="40">
        <f t="shared" si="70"/>
        <v>11</v>
      </c>
      <c r="L39" s="40">
        <f t="shared" si="70"/>
        <v>12</v>
      </c>
      <c r="M39" s="40">
        <f t="shared" si="70"/>
        <v>13</v>
      </c>
      <c r="N39" s="40">
        <f t="shared" si="70"/>
        <v>14</v>
      </c>
      <c r="O39" s="40">
        <f t="shared" si="70"/>
        <v>15</v>
      </c>
      <c r="P39" s="40">
        <f t="shared" si="70"/>
        <v>16</v>
      </c>
      <c r="Q39" s="40">
        <f t="shared" si="70"/>
        <v>17</v>
      </c>
      <c r="R39" s="40">
        <f t="shared" si="70"/>
        <v>18</v>
      </c>
      <c r="S39" s="40">
        <f t="shared" si="70"/>
        <v>19</v>
      </c>
      <c r="T39" s="40">
        <f t="shared" si="70"/>
        <v>20</v>
      </c>
      <c r="U39" s="40">
        <f t="shared" si="70"/>
        <v>21</v>
      </c>
      <c r="V39" s="40">
        <f t="shared" si="70"/>
        <v>22</v>
      </c>
      <c r="W39" s="40">
        <f t="shared" si="70"/>
        <v>23</v>
      </c>
      <c r="X39" s="40">
        <f t="shared" si="70"/>
        <v>24</v>
      </c>
      <c r="Y39" s="40">
        <f t="shared" si="70"/>
        <v>25</v>
      </c>
      <c r="Z39" s="40">
        <f t="shared" si="70"/>
        <v>26</v>
      </c>
      <c r="AA39" s="40">
        <f t="shared" si="70"/>
        <v>27</v>
      </c>
      <c r="AB39" s="40">
        <f t="shared" si="70"/>
        <v>28</v>
      </c>
      <c r="AC39" s="40">
        <f t="shared" si="70"/>
        <v>29</v>
      </c>
      <c r="AD39" s="40">
        <f t="shared" si="70"/>
        <v>30</v>
      </c>
      <c r="AE39" s="40">
        <f t="shared" si="70"/>
        <v>31</v>
      </c>
      <c r="AF39" s="40">
        <f t="shared" si="70"/>
        <v>32</v>
      </c>
      <c r="AG39" s="102">
        <f t="shared" si="70"/>
        <v>33</v>
      </c>
      <c r="AH39" s="102">
        <f t="shared" ref="AH39:BM39" si="71">+AG39+1</f>
        <v>34</v>
      </c>
      <c r="AI39" s="102">
        <f t="shared" si="71"/>
        <v>35</v>
      </c>
      <c r="AJ39" s="40">
        <f t="shared" si="71"/>
        <v>36</v>
      </c>
      <c r="AK39" s="40">
        <f t="shared" si="71"/>
        <v>37</v>
      </c>
      <c r="AL39" s="40">
        <f t="shared" si="71"/>
        <v>38</v>
      </c>
      <c r="AM39" s="40">
        <f t="shared" si="71"/>
        <v>39</v>
      </c>
      <c r="AN39" s="40">
        <f t="shared" si="71"/>
        <v>40</v>
      </c>
      <c r="AO39" s="40">
        <f t="shared" si="71"/>
        <v>41</v>
      </c>
      <c r="AP39" s="40">
        <f t="shared" si="71"/>
        <v>42</v>
      </c>
      <c r="AQ39" s="40">
        <f t="shared" si="71"/>
        <v>43</v>
      </c>
      <c r="AR39" s="40">
        <f t="shared" si="71"/>
        <v>44</v>
      </c>
      <c r="AS39" s="40">
        <f t="shared" si="71"/>
        <v>45</v>
      </c>
      <c r="AT39" s="40">
        <f t="shared" si="71"/>
        <v>46</v>
      </c>
      <c r="AU39" s="40">
        <f t="shared" si="71"/>
        <v>47</v>
      </c>
      <c r="AV39" s="40">
        <f t="shared" si="71"/>
        <v>48</v>
      </c>
      <c r="AW39" s="40">
        <f t="shared" si="71"/>
        <v>49</v>
      </c>
      <c r="AX39" s="40">
        <f t="shared" si="71"/>
        <v>50</v>
      </c>
      <c r="AY39" s="40">
        <f t="shared" si="71"/>
        <v>51</v>
      </c>
      <c r="AZ39" s="40">
        <f t="shared" si="71"/>
        <v>52</v>
      </c>
      <c r="BA39" s="40">
        <f t="shared" si="71"/>
        <v>53</v>
      </c>
      <c r="BB39" s="40">
        <f t="shared" si="71"/>
        <v>54</v>
      </c>
      <c r="BC39" s="40">
        <f t="shared" si="71"/>
        <v>55</v>
      </c>
      <c r="BD39" s="40">
        <f t="shared" si="71"/>
        <v>56</v>
      </c>
      <c r="BE39" s="40">
        <f t="shared" si="71"/>
        <v>57</v>
      </c>
      <c r="BF39" s="40">
        <f t="shared" si="71"/>
        <v>58</v>
      </c>
      <c r="BG39" s="40">
        <f t="shared" si="71"/>
        <v>59</v>
      </c>
      <c r="BH39" s="40">
        <f t="shared" si="71"/>
        <v>60</v>
      </c>
      <c r="BI39" s="40">
        <f t="shared" si="71"/>
        <v>61</v>
      </c>
      <c r="BJ39" s="40">
        <f t="shared" si="71"/>
        <v>62</v>
      </c>
      <c r="BK39" s="40">
        <f t="shared" si="71"/>
        <v>63</v>
      </c>
      <c r="BL39" s="40">
        <f t="shared" si="71"/>
        <v>64</v>
      </c>
      <c r="BM39" s="40">
        <f t="shared" si="71"/>
        <v>65</v>
      </c>
      <c r="BN39" s="40">
        <f t="shared" ref="BN39:CS39" si="72">+BM39+1</f>
        <v>66</v>
      </c>
      <c r="BO39" s="40">
        <f t="shared" si="72"/>
        <v>67</v>
      </c>
      <c r="BP39" s="40">
        <f t="shared" si="72"/>
        <v>68</v>
      </c>
      <c r="BQ39" s="40">
        <f t="shared" si="72"/>
        <v>69</v>
      </c>
      <c r="BR39" s="40">
        <f t="shared" si="72"/>
        <v>70</v>
      </c>
      <c r="BS39" s="40">
        <f t="shared" si="72"/>
        <v>71</v>
      </c>
      <c r="BT39" s="40">
        <f t="shared" si="72"/>
        <v>72</v>
      </c>
      <c r="BU39" s="40">
        <f t="shared" si="72"/>
        <v>73</v>
      </c>
      <c r="BV39" s="40">
        <f t="shared" si="72"/>
        <v>74</v>
      </c>
      <c r="BW39" s="40">
        <f t="shared" si="72"/>
        <v>75</v>
      </c>
      <c r="BX39" s="40">
        <f t="shared" si="72"/>
        <v>76</v>
      </c>
      <c r="BY39" s="40">
        <f t="shared" si="72"/>
        <v>77</v>
      </c>
      <c r="BZ39" s="40">
        <f t="shared" si="72"/>
        <v>78</v>
      </c>
      <c r="CA39" s="40">
        <f t="shared" si="72"/>
        <v>79</v>
      </c>
      <c r="CB39" s="40">
        <f t="shared" si="72"/>
        <v>80</v>
      </c>
      <c r="CC39" s="40">
        <f t="shared" si="72"/>
        <v>81</v>
      </c>
      <c r="CD39" s="40">
        <f t="shared" si="72"/>
        <v>82</v>
      </c>
      <c r="CE39" s="40">
        <f t="shared" si="72"/>
        <v>83</v>
      </c>
      <c r="CF39" s="40">
        <f t="shared" si="72"/>
        <v>84</v>
      </c>
      <c r="CG39" s="40">
        <f t="shared" si="72"/>
        <v>85</v>
      </c>
      <c r="CH39" s="40">
        <f t="shared" si="72"/>
        <v>86</v>
      </c>
      <c r="CI39" s="40">
        <f t="shared" si="72"/>
        <v>87</v>
      </c>
      <c r="CJ39" s="40">
        <f t="shared" si="72"/>
        <v>88</v>
      </c>
      <c r="CK39" s="40">
        <f t="shared" si="72"/>
        <v>89</v>
      </c>
      <c r="CL39" s="40">
        <f t="shared" si="72"/>
        <v>90</v>
      </c>
      <c r="CM39" s="40">
        <f t="shared" si="72"/>
        <v>91</v>
      </c>
      <c r="CN39" s="40">
        <f t="shared" si="72"/>
        <v>92</v>
      </c>
      <c r="CO39" s="40">
        <f t="shared" si="72"/>
        <v>93</v>
      </c>
      <c r="CP39" s="40">
        <f t="shared" si="72"/>
        <v>94</v>
      </c>
      <c r="CQ39" s="40">
        <f t="shared" si="72"/>
        <v>95</v>
      </c>
      <c r="CR39" s="40">
        <f t="shared" si="72"/>
        <v>96</v>
      </c>
      <c r="CS39" s="40">
        <f t="shared" si="72"/>
        <v>97</v>
      </c>
      <c r="CT39" s="40">
        <f t="shared" ref="CT39:DY39" si="73">+CS39+1</f>
        <v>98</v>
      </c>
      <c r="CU39" s="40">
        <f t="shared" si="73"/>
        <v>99</v>
      </c>
      <c r="CV39" s="40">
        <f t="shared" si="73"/>
        <v>100</v>
      </c>
      <c r="CW39" s="40">
        <f t="shared" si="73"/>
        <v>101</v>
      </c>
      <c r="CX39" s="40">
        <f t="shared" si="73"/>
        <v>102</v>
      </c>
      <c r="CY39" s="40">
        <f t="shared" si="73"/>
        <v>103</v>
      </c>
      <c r="CZ39" s="40">
        <f t="shared" si="73"/>
        <v>104</v>
      </c>
      <c r="DA39" s="40">
        <f t="shared" si="73"/>
        <v>105</v>
      </c>
      <c r="DB39" s="40">
        <f t="shared" si="73"/>
        <v>106</v>
      </c>
      <c r="DC39" s="40">
        <f t="shared" si="73"/>
        <v>107</v>
      </c>
      <c r="DD39" s="40">
        <f t="shared" si="73"/>
        <v>108</v>
      </c>
      <c r="DE39" s="40">
        <f t="shared" si="73"/>
        <v>109</v>
      </c>
      <c r="DF39" s="40">
        <f t="shared" si="73"/>
        <v>110</v>
      </c>
      <c r="DG39" s="40">
        <f t="shared" si="73"/>
        <v>111</v>
      </c>
      <c r="DH39" s="40">
        <f t="shared" si="73"/>
        <v>112</v>
      </c>
      <c r="DI39" s="40">
        <f t="shared" si="73"/>
        <v>113</v>
      </c>
      <c r="DJ39" s="40">
        <f t="shared" si="73"/>
        <v>114</v>
      </c>
      <c r="DK39" s="40">
        <f t="shared" si="73"/>
        <v>115</v>
      </c>
      <c r="DL39" s="40">
        <f t="shared" si="73"/>
        <v>116</v>
      </c>
      <c r="DM39" s="40">
        <f t="shared" si="73"/>
        <v>117</v>
      </c>
      <c r="DN39" s="40">
        <f t="shared" si="73"/>
        <v>118</v>
      </c>
      <c r="DO39" s="40">
        <f t="shared" si="73"/>
        <v>119</v>
      </c>
      <c r="DP39" s="40">
        <f t="shared" si="73"/>
        <v>120</v>
      </c>
      <c r="DQ39" s="40">
        <f t="shared" si="73"/>
        <v>121</v>
      </c>
      <c r="DR39" s="40">
        <f t="shared" si="73"/>
        <v>122</v>
      </c>
      <c r="DS39" s="40">
        <f t="shared" si="73"/>
        <v>123</v>
      </c>
      <c r="DT39" s="40">
        <f t="shared" si="73"/>
        <v>124</v>
      </c>
      <c r="DU39" s="40">
        <f t="shared" si="73"/>
        <v>125</v>
      </c>
      <c r="DV39" s="40">
        <f t="shared" si="73"/>
        <v>126</v>
      </c>
      <c r="DW39" s="40">
        <f t="shared" si="73"/>
        <v>127</v>
      </c>
      <c r="DX39" s="40">
        <f t="shared" si="73"/>
        <v>128</v>
      </c>
      <c r="DY39" s="40">
        <f t="shared" si="73"/>
        <v>129</v>
      </c>
      <c r="DZ39" s="40">
        <f t="shared" ref="DZ39:FE39" si="74">+DY39+1</f>
        <v>130</v>
      </c>
      <c r="EA39" s="40">
        <f t="shared" si="74"/>
        <v>131</v>
      </c>
      <c r="EB39" s="40">
        <f t="shared" si="74"/>
        <v>132</v>
      </c>
      <c r="EC39" s="40">
        <f t="shared" si="74"/>
        <v>133</v>
      </c>
      <c r="ED39" s="40">
        <f t="shared" si="74"/>
        <v>134</v>
      </c>
      <c r="EE39" s="40">
        <f t="shared" si="74"/>
        <v>135</v>
      </c>
      <c r="EF39" s="40">
        <f t="shared" si="74"/>
        <v>136</v>
      </c>
      <c r="EG39" s="40">
        <f t="shared" si="74"/>
        <v>137</v>
      </c>
      <c r="EH39" s="40">
        <f t="shared" si="74"/>
        <v>138</v>
      </c>
      <c r="EI39" s="40">
        <f t="shared" si="74"/>
        <v>139</v>
      </c>
      <c r="EJ39" s="40">
        <f t="shared" si="74"/>
        <v>140</v>
      </c>
      <c r="EK39" s="40">
        <f t="shared" si="74"/>
        <v>141</v>
      </c>
      <c r="EL39" s="40">
        <f t="shared" si="74"/>
        <v>142</v>
      </c>
      <c r="EM39" s="40">
        <f t="shared" si="74"/>
        <v>143</v>
      </c>
      <c r="EN39" s="40">
        <f t="shared" si="74"/>
        <v>144</v>
      </c>
      <c r="EO39" s="40">
        <f t="shared" si="74"/>
        <v>145</v>
      </c>
      <c r="EP39" s="40">
        <f t="shared" si="74"/>
        <v>146</v>
      </c>
      <c r="EQ39" s="40">
        <f t="shared" si="74"/>
        <v>147</v>
      </c>
      <c r="ER39" s="40">
        <f t="shared" si="74"/>
        <v>148</v>
      </c>
      <c r="ES39" s="40">
        <f t="shared" si="74"/>
        <v>149</v>
      </c>
      <c r="ET39" s="40">
        <f t="shared" si="74"/>
        <v>150</v>
      </c>
      <c r="EU39" s="40">
        <f t="shared" si="74"/>
        <v>151</v>
      </c>
      <c r="EV39" s="40">
        <f t="shared" si="74"/>
        <v>152</v>
      </c>
      <c r="EW39" s="40">
        <f t="shared" si="74"/>
        <v>153</v>
      </c>
      <c r="EX39" s="40">
        <f t="shared" si="74"/>
        <v>154</v>
      </c>
      <c r="EY39" s="40">
        <f t="shared" si="74"/>
        <v>155</v>
      </c>
      <c r="EZ39" s="40">
        <f t="shared" si="74"/>
        <v>156</v>
      </c>
      <c r="FA39" s="40">
        <f t="shared" si="74"/>
        <v>157</v>
      </c>
      <c r="FB39" s="40">
        <f t="shared" si="74"/>
        <v>158</v>
      </c>
      <c r="FC39" s="40">
        <f t="shared" si="74"/>
        <v>159</v>
      </c>
      <c r="FD39" s="40">
        <f t="shared" si="74"/>
        <v>160</v>
      </c>
      <c r="FE39" s="40">
        <f t="shared" si="74"/>
        <v>161</v>
      </c>
      <c r="FF39" s="40">
        <f t="shared" ref="FF39:FM39" si="75">+FE39+1</f>
        <v>162</v>
      </c>
      <c r="FG39" s="40">
        <f t="shared" si="75"/>
        <v>163</v>
      </c>
      <c r="FH39" s="40">
        <f t="shared" si="75"/>
        <v>164</v>
      </c>
      <c r="FI39" s="40">
        <f t="shared" si="75"/>
        <v>165</v>
      </c>
      <c r="FJ39" s="40">
        <f t="shared" si="75"/>
        <v>166</v>
      </c>
      <c r="FK39" s="40">
        <f t="shared" si="75"/>
        <v>167</v>
      </c>
      <c r="FL39" s="40">
        <f t="shared" si="75"/>
        <v>168</v>
      </c>
      <c r="FM39" s="40">
        <f t="shared" si="75"/>
        <v>169</v>
      </c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</row>
    <row r="40" spans="1:245" x14ac:dyDescent="0.2">
      <c r="A40" s="84"/>
      <c r="C40" s="39"/>
      <c r="F40" s="39"/>
      <c r="I40" s="39"/>
      <c r="L40" s="39"/>
      <c r="O40" s="39"/>
      <c r="R40" s="39"/>
      <c r="U40" s="39"/>
      <c r="X40" s="39"/>
      <c r="AA40" s="39"/>
      <c r="AD40" s="39"/>
      <c r="AG40" s="123"/>
      <c r="AJ40" s="39"/>
      <c r="AM40" s="39"/>
      <c r="AP40" s="39"/>
      <c r="AS40" s="39"/>
      <c r="AV40" s="39"/>
      <c r="AY40" s="39"/>
      <c r="BB40" s="39"/>
      <c r="BE40" s="39"/>
      <c r="BH40" s="39"/>
      <c r="BK40" s="39"/>
      <c r="BN40" s="39"/>
      <c r="BQ40" s="39"/>
      <c r="BT40" s="39"/>
      <c r="BW40" s="39"/>
      <c r="BZ40" s="39"/>
      <c r="CC40" s="39"/>
      <c r="CF40" s="39"/>
      <c r="CI40" s="39"/>
      <c r="CL40" s="39"/>
      <c r="CO40" s="39"/>
      <c r="CR40" s="39"/>
      <c r="CU40" s="39"/>
      <c r="CX40" s="39"/>
      <c r="DA40" s="39"/>
      <c r="DD40" s="39"/>
      <c r="DG40" s="39"/>
      <c r="DJ40" s="39"/>
      <c r="DM40" s="39"/>
      <c r="DP40" s="39"/>
      <c r="DS40" s="39"/>
      <c r="DV40" s="39"/>
      <c r="DY40" s="39"/>
      <c r="EB40" s="39"/>
      <c r="EE40" s="39"/>
      <c r="EH40" s="39"/>
      <c r="EK40" s="39"/>
      <c r="EN40" s="39"/>
      <c r="EQ40" s="42"/>
    </row>
    <row r="41" spans="1:245" x14ac:dyDescent="0.2">
      <c r="A41" s="84"/>
      <c r="C41" s="39"/>
      <c r="F41" s="39"/>
      <c r="I41" s="39"/>
      <c r="L41" s="39"/>
      <c r="O41" s="39"/>
      <c r="R41" s="39"/>
      <c r="U41" s="39"/>
      <c r="X41" s="39"/>
      <c r="AA41" s="39"/>
      <c r="AD41" s="39"/>
      <c r="AG41" s="123"/>
      <c r="AJ41" s="39"/>
      <c r="AM41" s="39"/>
      <c r="AP41" s="39"/>
      <c r="AS41" s="39"/>
      <c r="AV41" s="39"/>
      <c r="AY41" s="39"/>
      <c r="BB41" s="39"/>
      <c r="BE41" s="39"/>
      <c r="BH41" s="39"/>
      <c r="BK41" s="39"/>
      <c r="BN41" s="39"/>
      <c r="BQ41" s="39"/>
      <c r="BT41" s="39"/>
      <c r="BW41" s="39"/>
      <c r="BZ41" s="39"/>
      <c r="CC41" s="39"/>
      <c r="CF41" s="39"/>
      <c r="CI41" s="39"/>
      <c r="CL41" s="39"/>
      <c r="CO41" s="39"/>
      <c r="CR41" s="39"/>
      <c r="CU41" s="39"/>
      <c r="CX41" s="39"/>
      <c r="DA41" s="39"/>
      <c r="DD41" s="39"/>
      <c r="DG41" s="39"/>
      <c r="DJ41" s="39"/>
      <c r="DM41" s="39"/>
      <c r="DP41" s="39"/>
      <c r="DS41" s="39"/>
      <c r="DV41" s="39"/>
      <c r="DY41" s="39"/>
      <c r="EB41" s="39"/>
      <c r="EE41" s="39"/>
      <c r="EH41" s="39"/>
      <c r="EK41" s="39"/>
      <c r="EN41" s="39"/>
    </row>
    <row r="42" spans="1:245" x14ac:dyDescent="0.2">
      <c r="A42" s="84"/>
      <c r="C42" s="39"/>
      <c r="F42" s="39"/>
      <c r="I42" s="39"/>
      <c r="L42" s="39"/>
      <c r="O42" s="39"/>
      <c r="R42" s="39"/>
      <c r="U42" s="39"/>
      <c r="X42" s="39"/>
      <c r="AA42" s="39"/>
      <c r="AD42" s="39"/>
      <c r="AG42" s="123"/>
      <c r="AJ42" s="39"/>
      <c r="AM42" s="39"/>
      <c r="AP42" s="39"/>
      <c r="AS42" s="39"/>
      <c r="AV42" s="39"/>
      <c r="AY42" s="39"/>
      <c r="BB42" s="39"/>
      <c r="BE42" s="39"/>
      <c r="BH42" s="39"/>
      <c r="BK42" s="39"/>
      <c r="BN42" s="39"/>
      <c r="BQ42" s="39"/>
      <c r="BT42" s="39"/>
      <c r="BW42" s="39"/>
      <c r="BZ42" s="39"/>
      <c r="CC42" s="39"/>
      <c r="CF42" s="39"/>
      <c r="CI42" s="39"/>
      <c r="CL42" s="39"/>
      <c r="CO42" s="39"/>
      <c r="CR42" s="39"/>
      <c r="CU42" s="39"/>
      <c r="CX42" s="39"/>
      <c r="DA42" s="39"/>
      <c r="DD42" s="39"/>
      <c r="DG42" s="39"/>
      <c r="DJ42" s="39"/>
      <c r="DM42" s="39"/>
      <c r="DP42" s="39"/>
      <c r="DS42" s="39"/>
      <c r="DV42" s="39"/>
      <c r="DY42" s="39"/>
      <c r="EB42" s="39"/>
      <c r="EE42" s="39"/>
      <c r="EH42" s="39"/>
      <c r="EK42" s="39"/>
      <c r="EN42" s="39"/>
    </row>
    <row r="43" spans="1:245" x14ac:dyDescent="0.2">
      <c r="A43" s="84"/>
      <c r="C43" s="39"/>
      <c r="F43" s="39"/>
      <c r="I43" s="39"/>
      <c r="L43" s="39"/>
      <c r="O43" s="39"/>
      <c r="R43" s="39"/>
      <c r="U43" s="39"/>
      <c r="X43" s="39"/>
      <c r="AA43" s="39"/>
      <c r="AD43" s="39"/>
      <c r="AG43" s="123"/>
      <c r="AJ43" s="39"/>
      <c r="AM43" s="39"/>
      <c r="AP43" s="39"/>
      <c r="AS43" s="39"/>
      <c r="AV43" s="39"/>
      <c r="AY43" s="39"/>
      <c r="BB43" s="39"/>
      <c r="BE43" s="39"/>
      <c r="BH43" s="39"/>
      <c r="BK43" s="39"/>
      <c r="BN43" s="39"/>
      <c r="BQ43" s="39"/>
      <c r="BT43" s="39"/>
      <c r="BW43" s="39"/>
      <c r="BZ43" s="39"/>
      <c r="CC43" s="39"/>
      <c r="CF43" s="39"/>
      <c r="CI43" s="39"/>
      <c r="CL43" s="39"/>
      <c r="CO43" s="39"/>
      <c r="CR43" s="39"/>
      <c r="CU43" s="39"/>
      <c r="CX43" s="39"/>
      <c r="DA43" s="39"/>
      <c r="DD43" s="39"/>
      <c r="DG43" s="39"/>
      <c r="DJ43" s="39"/>
      <c r="DM43" s="39"/>
      <c r="DP43" s="39"/>
      <c r="DS43" s="39"/>
      <c r="DV43" s="39"/>
      <c r="DY43" s="39"/>
      <c r="EB43" s="39"/>
      <c r="EE43" s="39"/>
      <c r="EH43" s="39"/>
      <c r="EK43" s="39"/>
      <c r="EN43" s="39"/>
    </row>
    <row r="44" spans="1:245" customFormat="1" x14ac:dyDescent="0.2">
      <c r="C44" s="43"/>
      <c r="D44" s="43"/>
      <c r="F44" s="43"/>
      <c r="G44" s="43"/>
      <c r="I44" s="43"/>
      <c r="J44" s="43"/>
      <c r="L44" s="43"/>
      <c r="M44" s="43"/>
      <c r="O44" s="43"/>
      <c r="P44" s="43"/>
      <c r="R44" s="43"/>
      <c r="S44" s="43"/>
      <c r="U44" s="43"/>
      <c r="V44" s="43"/>
      <c r="X44" s="43"/>
      <c r="Y44" s="43"/>
      <c r="AA44" s="43"/>
      <c r="AB44" s="43"/>
      <c r="AD44" s="43"/>
      <c r="AE44" s="43"/>
      <c r="AG44" s="103"/>
      <c r="AH44" s="103"/>
      <c r="AI44" s="105"/>
      <c r="AJ44" s="43"/>
      <c r="AK44" s="43"/>
      <c r="AM44" s="43"/>
      <c r="AN44" s="43"/>
      <c r="AP44" s="43"/>
      <c r="AQ44" s="43"/>
      <c r="AS44" s="43"/>
      <c r="AT44" s="43"/>
      <c r="AV44" s="43"/>
      <c r="AW44" s="43"/>
      <c r="AY44" s="43"/>
      <c r="AZ44" s="43"/>
      <c r="BB44" s="43"/>
      <c r="BC44" s="43"/>
      <c r="BE44" s="43"/>
      <c r="BF44" s="43"/>
      <c r="BH44" s="43"/>
      <c r="BI44" s="43"/>
      <c r="BK44" s="43"/>
      <c r="BL44" s="43"/>
      <c r="BN44" s="43"/>
      <c r="BO44" s="43"/>
      <c r="BQ44" s="43"/>
      <c r="BR44" s="43"/>
      <c r="BT44" s="43"/>
      <c r="BU44" s="43"/>
      <c r="BW44" s="43"/>
      <c r="BX44" s="43"/>
      <c r="BZ44" s="43"/>
      <c r="CA44" s="43"/>
      <c r="CC44" s="43"/>
      <c r="CD44" s="43"/>
      <c r="CF44" s="43"/>
      <c r="CG44" s="43"/>
      <c r="CI44" s="43"/>
      <c r="CJ44" s="43"/>
      <c r="CL44" s="43"/>
      <c r="CM44" s="43"/>
      <c r="CO44" s="43"/>
      <c r="CP44" s="43"/>
      <c r="CR44" s="43"/>
      <c r="CS44" s="43"/>
      <c r="CU44" s="43"/>
      <c r="CV44" s="43"/>
      <c r="CX44" s="43"/>
      <c r="CY44" s="43"/>
      <c r="DA44" s="43"/>
      <c r="DB44" s="43"/>
      <c r="DD44" s="43"/>
      <c r="DE44" s="43"/>
      <c r="DG44" s="43"/>
      <c r="DH44" s="43"/>
      <c r="DJ44" s="43"/>
      <c r="DK44" s="43"/>
      <c r="DM44" s="43"/>
      <c r="DN44" s="43"/>
      <c r="DP44" s="43"/>
      <c r="DQ44" s="43"/>
      <c r="DS44" s="43"/>
      <c r="DT44" s="43"/>
      <c r="DV44" s="43"/>
      <c r="DW44" s="43"/>
      <c r="DY44" s="43"/>
      <c r="DZ44" s="43"/>
      <c r="EB44" s="43"/>
      <c r="EC44" s="43"/>
      <c r="EE44" s="43"/>
      <c r="EF44" s="43"/>
      <c r="EH44" s="43"/>
      <c r="EI44" s="43"/>
      <c r="EK44" s="43"/>
      <c r="EL44" s="43"/>
      <c r="EN44" s="43"/>
      <c r="EO44" s="43"/>
    </row>
    <row r="45" spans="1:245" x14ac:dyDescent="0.2">
      <c r="A45" s="84"/>
    </row>
    <row r="46" spans="1:245" x14ac:dyDescent="0.2">
      <c r="A46" s="84"/>
    </row>
    <row r="47" spans="1:245" x14ac:dyDescent="0.2">
      <c r="A47" s="84"/>
    </row>
    <row r="48" spans="1:245" x14ac:dyDescent="0.2">
      <c r="A48" s="84"/>
    </row>
    <row r="49" spans="1:1" x14ac:dyDescent="0.2">
      <c r="A49" s="84"/>
    </row>
    <row r="50" spans="1:1" x14ac:dyDescent="0.2">
      <c r="A50" s="84"/>
    </row>
    <row r="51" spans="1:1" x14ac:dyDescent="0.2">
      <c r="A51" s="84"/>
    </row>
    <row r="52" spans="1:1" x14ac:dyDescent="0.2">
      <c r="A52" s="84"/>
    </row>
    <row r="53" spans="1:1" x14ac:dyDescent="0.2">
      <c r="A53" s="84"/>
    </row>
    <row r="54" spans="1:1" x14ac:dyDescent="0.2">
      <c r="A54" s="84"/>
    </row>
    <row r="55" spans="1:1" x14ac:dyDescent="0.2">
      <c r="A55" s="84"/>
    </row>
    <row r="56" spans="1:1" x14ac:dyDescent="0.2">
      <c r="A56" s="84"/>
    </row>
    <row r="57" spans="1:1" x14ac:dyDescent="0.2">
      <c r="A57" s="84"/>
    </row>
    <row r="58" spans="1:1" x14ac:dyDescent="0.2">
      <c r="A58" s="84"/>
    </row>
    <row r="59" spans="1:1" x14ac:dyDescent="0.2">
      <c r="A59" s="84"/>
    </row>
    <row r="60" spans="1:1" x14ac:dyDescent="0.2">
      <c r="A60" s="84"/>
    </row>
    <row r="61" spans="1:1" x14ac:dyDescent="0.2">
      <c r="A61" s="84"/>
    </row>
    <row r="62" spans="1:1" x14ac:dyDescent="0.2">
      <c r="A62" s="84"/>
    </row>
    <row r="63" spans="1:1" x14ac:dyDescent="0.2">
      <c r="A63" s="84"/>
    </row>
    <row r="64" spans="1:1" x14ac:dyDescent="0.2">
      <c r="A64" s="84"/>
    </row>
    <row r="65" spans="1:1" x14ac:dyDescent="0.2">
      <c r="A65" s="84"/>
    </row>
    <row r="66" spans="1:1" x14ac:dyDescent="0.2">
      <c r="A66" s="84"/>
    </row>
    <row r="67" spans="1:1" x14ac:dyDescent="0.2">
      <c r="A67" s="84"/>
    </row>
    <row r="68" spans="1:1" x14ac:dyDescent="0.2">
      <c r="A68" s="84"/>
    </row>
    <row r="69" spans="1:1" x14ac:dyDescent="0.2">
      <c r="A69" s="84"/>
    </row>
    <row r="70" spans="1:1" x14ac:dyDescent="0.2">
      <c r="A70" s="84"/>
    </row>
    <row r="71" spans="1:1" x14ac:dyDescent="0.2">
      <c r="A71" s="84"/>
    </row>
    <row r="72" spans="1:1" x14ac:dyDescent="0.2">
      <c r="A72" s="84"/>
    </row>
    <row r="73" spans="1:1" x14ac:dyDescent="0.2">
      <c r="A73" s="84"/>
    </row>
    <row r="74" spans="1:1" x14ac:dyDescent="0.2">
      <c r="A74" s="84"/>
    </row>
    <row r="75" spans="1:1" x14ac:dyDescent="0.2">
      <c r="A75" s="84"/>
    </row>
    <row r="76" spans="1:1" x14ac:dyDescent="0.2">
      <c r="A76" s="84"/>
    </row>
    <row r="77" spans="1:1" x14ac:dyDescent="0.2">
      <c r="A77" s="84"/>
    </row>
    <row r="78" spans="1:1" x14ac:dyDescent="0.2">
      <c r="A78" s="84"/>
    </row>
    <row r="79" spans="1:1" x14ac:dyDescent="0.2">
      <c r="A79" s="84"/>
    </row>
    <row r="80" spans="1:1" x14ac:dyDescent="0.2">
      <c r="A80" s="84"/>
    </row>
    <row r="81" spans="1:1" x14ac:dyDescent="0.2">
      <c r="A81" s="84"/>
    </row>
    <row r="82" spans="1:1" x14ac:dyDescent="0.2">
      <c r="A82" s="84"/>
    </row>
    <row r="83" spans="1:1" x14ac:dyDescent="0.2">
      <c r="A83" s="84"/>
    </row>
    <row r="84" spans="1:1" x14ac:dyDescent="0.2">
      <c r="A84" s="84"/>
    </row>
    <row r="85" spans="1:1" x14ac:dyDescent="0.2">
      <c r="A85" s="84"/>
    </row>
    <row r="86" spans="1:1" x14ac:dyDescent="0.2">
      <c r="A86" s="84"/>
    </row>
    <row r="87" spans="1:1" x14ac:dyDescent="0.2">
      <c r="A87" s="84"/>
    </row>
    <row r="88" spans="1:1" x14ac:dyDescent="0.2">
      <c r="A88" s="84"/>
    </row>
    <row r="89" spans="1:1" x14ac:dyDescent="0.2">
      <c r="A89" s="84"/>
    </row>
    <row r="90" spans="1:1" x14ac:dyDescent="0.2">
      <c r="A90" s="84"/>
    </row>
    <row r="91" spans="1:1" x14ac:dyDescent="0.2">
      <c r="A91" s="84"/>
    </row>
    <row r="92" spans="1:1" x14ac:dyDescent="0.2">
      <c r="A92" s="84"/>
    </row>
    <row r="93" spans="1:1" x14ac:dyDescent="0.2">
      <c r="A93" s="84"/>
    </row>
    <row r="94" spans="1:1" x14ac:dyDescent="0.2">
      <c r="A94" s="84"/>
    </row>
    <row r="95" spans="1:1" x14ac:dyDescent="0.2">
      <c r="A95" s="84"/>
    </row>
    <row r="96" spans="1:1" x14ac:dyDescent="0.2">
      <c r="A96" s="84"/>
    </row>
    <row r="97" spans="1:1" x14ac:dyDescent="0.2">
      <c r="A97" s="84"/>
    </row>
    <row r="98" spans="1:1" x14ac:dyDescent="0.2">
      <c r="A98" s="84"/>
    </row>
    <row r="99" spans="1:1" x14ac:dyDescent="0.2">
      <c r="A99" s="84"/>
    </row>
    <row r="100" spans="1:1" x14ac:dyDescent="0.2">
      <c r="A100" s="84"/>
    </row>
    <row r="101" spans="1:1" x14ac:dyDescent="0.2">
      <c r="A101" s="84"/>
    </row>
    <row r="102" spans="1:1" x14ac:dyDescent="0.2">
      <c r="A102" s="84"/>
    </row>
    <row r="103" spans="1:1" x14ac:dyDescent="0.2">
      <c r="A103" s="84"/>
    </row>
    <row r="104" spans="1:1" x14ac:dyDescent="0.2">
      <c r="A104" s="84"/>
    </row>
    <row r="105" spans="1:1" x14ac:dyDescent="0.2">
      <c r="A105" s="84"/>
    </row>
    <row r="106" spans="1:1" x14ac:dyDescent="0.2">
      <c r="A106" s="84"/>
    </row>
    <row r="107" spans="1:1" x14ac:dyDescent="0.2">
      <c r="A107" s="84"/>
    </row>
    <row r="108" spans="1:1" x14ac:dyDescent="0.2">
      <c r="A108" s="84"/>
    </row>
    <row r="109" spans="1:1" x14ac:dyDescent="0.2">
      <c r="A109" s="84"/>
    </row>
    <row r="110" spans="1:1" x14ac:dyDescent="0.2">
      <c r="A110" s="84"/>
    </row>
    <row r="111" spans="1:1" x14ac:dyDescent="0.2">
      <c r="A111" s="84"/>
    </row>
    <row r="112" spans="1:1" x14ac:dyDescent="0.2">
      <c r="A112" s="84"/>
    </row>
    <row r="113" spans="1:1" x14ac:dyDescent="0.2">
      <c r="A113" s="84"/>
    </row>
    <row r="114" spans="1:1" x14ac:dyDescent="0.2">
      <c r="A114" s="84"/>
    </row>
    <row r="115" spans="1:1" x14ac:dyDescent="0.2">
      <c r="A115" s="84"/>
    </row>
    <row r="116" spans="1:1" x14ac:dyDescent="0.2">
      <c r="A116" s="84"/>
    </row>
    <row r="117" spans="1:1" x14ac:dyDescent="0.2">
      <c r="A117" s="84"/>
    </row>
    <row r="118" spans="1:1" x14ac:dyDescent="0.2">
      <c r="A118" s="84"/>
    </row>
    <row r="119" spans="1:1" x14ac:dyDescent="0.2">
      <c r="A119" s="84"/>
    </row>
    <row r="120" spans="1:1" x14ac:dyDescent="0.2">
      <c r="A120" s="84"/>
    </row>
    <row r="121" spans="1:1" x14ac:dyDescent="0.2">
      <c r="A121" s="84"/>
    </row>
    <row r="122" spans="1:1" x14ac:dyDescent="0.2">
      <c r="A122" s="84"/>
    </row>
    <row r="123" spans="1:1" x14ac:dyDescent="0.2">
      <c r="A123" s="84"/>
    </row>
    <row r="124" spans="1:1" x14ac:dyDescent="0.2">
      <c r="A124" s="84"/>
    </row>
    <row r="125" spans="1:1" x14ac:dyDescent="0.2">
      <c r="A125" s="84"/>
    </row>
    <row r="126" spans="1:1" x14ac:dyDescent="0.2">
      <c r="A126" s="84"/>
    </row>
    <row r="127" spans="1:1" x14ac:dyDescent="0.2">
      <c r="A127" s="84"/>
    </row>
    <row r="128" spans="1:1" x14ac:dyDescent="0.2">
      <c r="A128" s="84"/>
    </row>
    <row r="129" spans="1:1" x14ac:dyDescent="0.2">
      <c r="A129" s="84"/>
    </row>
    <row r="130" spans="1:1" x14ac:dyDescent="0.2">
      <c r="A130" s="84"/>
    </row>
    <row r="131" spans="1:1" x14ac:dyDescent="0.2">
      <c r="A131" s="84"/>
    </row>
    <row r="132" spans="1:1" x14ac:dyDescent="0.2">
      <c r="A132" s="84"/>
    </row>
    <row r="133" spans="1:1" x14ac:dyDescent="0.2">
      <c r="A133" s="84"/>
    </row>
    <row r="134" spans="1:1" x14ac:dyDescent="0.2">
      <c r="A134" s="84"/>
    </row>
    <row r="135" spans="1:1" x14ac:dyDescent="0.2">
      <c r="A135" s="84"/>
    </row>
    <row r="136" spans="1:1" x14ac:dyDescent="0.2">
      <c r="A136" s="84"/>
    </row>
    <row r="137" spans="1:1" x14ac:dyDescent="0.2">
      <c r="A137" s="84"/>
    </row>
    <row r="138" spans="1:1" x14ac:dyDescent="0.2">
      <c r="A138" s="84"/>
    </row>
    <row r="139" spans="1:1" x14ac:dyDescent="0.2">
      <c r="A139" s="84"/>
    </row>
    <row r="140" spans="1:1" x14ac:dyDescent="0.2">
      <c r="A140" s="84"/>
    </row>
    <row r="141" spans="1:1" x14ac:dyDescent="0.2">
      <c r="A141" s="84"/>
    </row>
    <row r="142" spans="1:1" x14ac:dyDescent="0.2">
      <c r="A142" s="84"/>
    </row>
    <row r="143" spans="1:1" x14ac:dyDescent="0.2">
      <c r="A143" s="84"/>
    </row>
    <row r="144" spans="1:1" x14ac:dyDescent="0.2">
      <c r="A144" s="84"/>
    </row>
    <row r="145" spans="1:1" x14ac:dyDescent="0.2">
      <c r="A145" s="84"/>
    </row>
    <row r="146" spans="1:1" x14ac:dyDescent="0.2">
      <c r="A146" s="84"/>
    </row>
    <row r="147" spans="1:1" x14ac:dyDescent="0.2">
      <c r="A147" s="84"/>
    </row>
    <row r="148" spans="1:1" x14ac:dyDescent="0.2">
      <c r="A148" s="84"/>
    </row>
    <row r="149" spans="1:1" x14ac:dyDescent="0.2">
      <c r="A149" s="84"/>
    </row>
    <row r="150" spans="1:1" x14ac:dyDescent="0.2">
      <c r="A150" s="84"/>
    </row>
    <row r="151" spans="1:1" x14ac:dyDescent="0.2">
      <c r="A151" s="84"/>
    </row>
    <row r="152" spans="1:1" x14ac:dyDescent="0.2">
      <c r="A152" s="84"/>
    </row>
    <row r="153" spans="1:1" x14ac:dyDescent="0.2">
      <c r="A153" s="84"/>
    </row>
    <row r="154" spans="1:1" x14ac:dyDescent="0.2">
      <c r="A154" s="84"/>
    </row>
    <row r="155" spans="1:1" x14ac:dyDescent="0.2">
      <c r="A155" s="84"/>
    </row>
    <row r="156" spans="1:1" x14ac:dyDescent="0.2">
      <c r="A156" s="84"/>
    </row>
    <row r="157" spans="1:1" x14ac:dyDescent="0.2">
      <c r="A157" s="84"/>
    </row>
    <row r="158" spans="1:1" x14ac:dyDescent="0.2">
      <c r="A158" s="84"/>
    </row>
    <row r="159" spans="1:1" x14ac:dyDescent="0.2">
      <c r="A159" s="84"/>
    </row>
    <row r="160" spans="1:1" x14ac:dyDescent="0.2">
      <c r="A160" s="84"/>
    </row>
    <row r="161" spans="1:1" x14ac:dyDescent="0.2">
      <c r="A161" s="84"/>
    </row>
    <row r="162" spans="1:1" x14ac:dyDescent="0.2">
      <c r="A162" s="84"/>
    </row>
    <row r="163" spans="1:1" x14ac:dyDescent="0.2">
      <c r="A163" s="84"/>
    </row>
    <row r="164" spans="1:1" x14ac:dyDescent="0.2">
      <c r="A164" s="84"/>
    </row>
    <row r="165" spans="1:1" x14ac:dyDescent="0.2">
      <c r="A165" s="84"/>
    </row>
    <row r="166" spans="1:1" x14ac:dyDescent="0.2">
      <c r="A166" s="84"/>
    </row>
    <row r="167" spans="1:1" x14ac:dyDescent="0.2">
      <c r="A167" s="84"/>
    </row>
    <row r="168" spans="1:1" x14ac:dyDescent="0.2">
      <c r="A168" s="84"/>
    </row>
    <row r="169" spans="1:1" x14ac:dyDescent="0.2">
      <c r="A169" s="84"/>
    </row>
    <row r="170" spans="1:1" x14ac:dyDescent="0.2">
      <c r="A170" s="84"/>
    </row>
    <row r="171" spans="1:1" x14ac:dyDescent="0.2">
      <c r="A171" s="84"/>
    </row>
    <row r="172" spans="1:1" x14ac:dyDescent="0.2">
      <c r="A172" s="84"/>
    </row>
    <row r="173" spans="1:1" x14ac:dyDescent="0.2">
      <c r="A173" s="84"/>
    </row>
    <row r="174" spans="1:1" x14ac:dyDescent="0.2">
      <c r="A174" s="84"/>
    </row>
    <row r="175" spans="1:1" x14ac:dyDescent="0.2">
      <c r="A175" s="84"/>
    </row>
    <row r="176" spans="1:1" x14ac:dyDescent="0.2">
      <c r="A176" s="84"/>
    </row>
    <row r="177" spans="1:1" x14ac:dyDescent="0.2">
      <c r="A177" s="84"/>
    </row>
    <row r="178" spans="1:1" x14ac:dyDescent="0.2">
      <c r="A178" s="84"/>
    </row>
    <row r="179" spans="1:1" x14ac:dyDescent="0.2">
      <c r="A179" s="84"/>
    </row>
    <row r="180" spans="1:1" x14ac:dyDescent="0.2">
      <c r="A180" s="84"/>
    </row>
    <row r="181" spans="1:1" x14ac:dyDescent="0.2">
      <c r="A181" s="84"/>
    </row>
    <row r="182" spans="1:1" x14ac:dyDescent="0.2">
      <c r="A182" s="84"/>
    </row>
    <row r="183" spans="1:1" x14ac:dyDescent="0.2">
      <c r="A183" s="84"/>
    </row>
    <row r="184" spans="1:1" x14ac:dyDescent="0.2">
      <c r="A184" s="84"/>
    </row>
    <row r="185" spans="1:1" x14ac:dyDescent="0.2">
      <c r="A185" s="84"/>
    </row>
    <row r="186" spans="1:1" x14ac:dyDescent="0.2">
      <c r="A186" s="84"/>
    </row>
    <row r="187" spans="1:1" x14ac:dyDescent="0.2">
      <c r="A187" s="84"/>
    </row>
    <row r="188" spans="1:1" x14ac:dyDescent="0.2">
      <c r="A188" s="84"/>
    </row>
    <row r="189" spans="1:1" x14ac:dyDescent="0.2">
      <c r="A189" s="84"/>
    </row>
    <row r="190" spans="1:1" x14ac:dyDescent="0.2">
      <c r="A190" s="84"/>
    </row>
    <row r="191" spans="1:1" x14ac:dyDescent="0.2">
      <c r="A191" s="84"/>
    </row>
    <row r="192" spans="1:1" x14ac:dyDescent="0.2">
      <c r="A192" s="84"/>
    </row>
    <row r="193" spans="1:1" x14ac:dyDescent="0.2">
      <c r="A193" s="84"/>
    </row>
    <row r="194" spans="1:1" x14ac:dyDescent="0.2">
      <c r="A194" s="84"/>
    </row>
    <row r="195" spans="1:1" x14ac:dyDescent="0.2">
      <c r="A195" s="84"/>
    </row>
    <row r="196" spans="1:1" x14ac:dyDescent="0.2">
      <c r="A196" s="84"/>
    </row>
    <row r="197" spans="1:1" x14ac:dyDescent="0.2">
      <c r="A197" s="84"/>
    </row>
    <row r="198" spans="1:1" x14ac:dyDescent="0.2">
      <c r="A198" s="84"/>
    </row>
    <row r="199" spans="1:1" x14ac:dyDescent="0.2">
      <c r="A199" s="84"/>
    </row>
    <row r="200" spans="1:1" x14ac:dyDescent="0.2">
      <c r="A200" s="84"/>
    </row>
    <row r="201" spans="1:1" x14ac:dyDescent="0.2">
      <c r="A201" s="84"/>
    </row>
    <row r="202" spans="1:1" x14ac:dyDescent="0.2">
      <c r="A202" s="84"/>
    </row>
    <row r="203" spans="1:1" x14ac:dyDescent="0.2">
      <c r="A203" s="84"/>
    </row>
    <row r="204" spans="1:1" x14ac:dyDescent="0.2">
      <c r="A204" s="84"/>
    </row>
    <row r="205" spans="1:1" x14ac:dyDescent="0.2">
      <c r="A205" s="84"/>
    </row>
    <row r="206" spans="1:1" x14ac:dyDescent="0.2">
      <c r="A206" s="84"/>
    </row>
    <row r="207" spans="1:1" x14ac:dyDescent="0.2">
      <c r="A207" s="84"/>
    </row>
    <row r="208" spans="1:1" x14ac:dyDescent="0.2">
      <c r="A208" s="84"/>
    </row>
    <row r="209" spans="1:1" x14ac:dyDescent="0.2">
      <c r="A209" s="84"/>
    </row>
    <row r="210" spans="1:1" x14ac:dyDescent="0.2">
      <c r="A210" s="84"/>
    </row>
    <row r="211" spans="1:1" x14ac:dyDescent="0.2">
      <c r="A211" s="84"/>
    </row>
    <row r="212" spans="1:1" x14ac:dyDescent="0.2">
      <c r="A212" s="84"/>
    </row>
    <row r="213" spans="1:1" x14ac:dyDescent="0.2">
      <c r="A213" s="84"/>
    </row>
    <row r="214" spans="1:1" x14ac:dyDescent="0.2">
      <c r="A214" s="84"/>
    </row>
    <row r="215" spans="1:1" x14ac:dyDescent="0.2">
      <c r="A215" s="84"/>
    </row>
    <row r="216" spans="1:1" x14ac:dyDescent="0.2">
      <c r="A216" s="84"/>
    </row>
    <row r="217" spans="1:1" x14ac:dyDescent="0.2">
      <c r="A217" s="84"/>
    </row>
    <row r="218" spans="1:1" x14ac:dyDescent="0.2">
      <c r="A218" s="84"/>
    </row>
    <row r="219" spans="1:1" x14ac:dyDescent="0.2">
      <c r="A219" s="84"/>
    </row>
    <row r="220" spans="1:1" x14ac:dyDescent="0.2">
      <c r="A220" s="84"/>
    </row>
    <row r="221" spans="1:1" x14ac:dyDescent="0.2">
      <c r="A221" s="84"/>
    </row>
    <row r="222" spans="1:1" x14ac:dyDescent="0.2">
      <c r="A222" s="84"/>
    </row>
    <row r="223" spans="1:1" x14ac:dyDescent="0.2">
      <c r="A223" s="84"/>
    </row>
    <row r="224" spans="1:1" x14ac:dyDescent="0.2">
      <c r="A224" s="84"/>
    </row>
    <row r="225" spans="1:1" x14ac:dyDescent="0.2">
      <c r="A225" s="84"/>
    </row>
    <row r="226" spans="1:1" x14ac:dyDescent="0.2">
      <c r="A226" s="84"/>
    </row>
    <row r="227" spans="1:1" x14ac:dyDescent="0.2">
      <c r="A227" s="84"/>
    </row>
    <row r="228" spans="1:1" x14ac:dyDescent="0.2">
      <c r="A228" s="84"/>
    </row>
    <row r="229" spans="1:1" x14ac:dyDescent="0.2">
      <c r="A229" s="84"/>
    </row>
    <row r="230" spans="1:1" x14ac:dyDescent="0.2">
      <c r="A230" s="84"/>
    </row>
    <row r="231" spans="1:1" x14ac:dyDescent="0.2">
      <c r="A231" s="84"/>
    </row>
    <row r="232" spans="1:1" x14ac:dyDescent="0.2">
      <c r="A232" s="84"/>
    </row>
    <row r="233" spans="1:1" x14ac:dyDescent="0.2">
      <c r="A233" s="84"/>
    </row>
    <row r="234" spans="1:1" x14ac:dyDescent="0.2">
      <c r="A234" s="84"/>
    </row>
    <row r="235" spans="1:1" x14ac:dyDescent="0.2">
      <c r="A235" s="84"/>
    </row>
    <row r="236" spans="1:1" x14ac:dyDescent="0.2">
      <c r="A236" s="84"/>
    </row>
    <row r="237" spans="1:1" x14ac:dyDescent="0.2">
      <c r="A237" s="84"/>
    </row>
    <row r="238" spans="1:1" x14ac:dyDescent="0.2">
      <c r="A238" s="84"/>
    </row>
    <row r="239" spans="1:1" x14ac:dyDescent="0.2">
      <c r="A239" s="84"/>
    </row>
    <row r="240" spans="1:1" x14ac:dyDescent="0.2">
      <c r="A240" s="84"/>
    </row>
    <row r="241" spans="1:1" x14ac:dyDescent="0.2">
      <c r="A241" s="84"/>
    </row>
    <row r="242" spans="1:1" x14ac:dyDescent="0.2">
      <c r="A242" s="84"/>
    </row>
    <row r="243" spans="1:1" x14ac:dyDescent="0.2">
      <c r="A243" s="84"/>
    </row>
    <row r="244" spans="1:1" x14ac:dyDescent="0.2">
      <c r="A244" s="84"/>
    </row>
    <row r="245" spans="1:1" x14ac:dyDescent="0.2">
      <c r="A245" s="84"/>
    </row>
    <row r="246" spans="1:1" x14ac:dyDescent="0.2">
      <c r="A246" s="84"/>
    </row>
    <row r="247" spans="1:1" x14ac:dyDescent="0.2">
      <c r="A247" s="84"/>
    </row>
    <row r="248" spans="1:1" x14ac:dyDescent="0.2">
      <c r="A248" s="84"/>
    </row>
    <row r="249" spans="1:1" x14ac:dyDescent="0.2">
      <c r="A249" s="84"/>
    </row>
    <row r="250" spans="1:1" x14ac:dyDescent="0.2">
      <c r="A250" s="84"/>
    </row>
    <row r="251" spans="1:1" x14ac:dyDescent="0.2">
      <c r="A251" s="84"/>
    </row>
    <row r="252" spans="1:1" x14ac:dyDescent="0.2">
      <c r="A252" s="84"/>
    </row>
    <row r="253" spans="1:1" x14ac:dyDescent="0.2">
      <c r="A253" s="84"/>
    </row>
    <row r="254" spans="1:1" x14ac:dyDescent="0.2">
      <c r="A254" s="84"/>
    </row>
    <row r="255" spans="1:1" x14ac:dyDescent="0.2">
      <c r="A255" s="84"/>
    </row>
    <row r="256" spans="1:1" x14ac:dyDescent="0.2">
      <c r="A256" s="84"/>
    </row>
    <row r="257" spans="1:1" x14ac:dyDescent="0.2">
      <c r="A257" s="84"/>
    </row>
    <row r="258" spans="1:1" x14ac:dyDescent="0.2">
      <c r="A258" s="84"/>
    </row>
    <row r="259" spans="1:1" x14ac:dyDescent="0.2">
      <c r="A259" s="84"/>
    </row>
    <row r="260" spans="1:1" x14ac:dyDescent="0.2">
      <c r="A260" s="84"/>
    </row>
    <row r="261" spans="1:1" x14ac:dyDescent="0.2">
      <c r="A261" s="84"/>
    </row>
    <row r="262" spans="1:1" x14ac:dyDescent="0.2">
      <c r="A262" s="84"/>
    </row>
    <row r="263" spans="1:1" x14ac:dyDescent="0.2">
      <c r="A263" s="84"/>
    </row>
    <row r="264" spans="1:1" x14ac:dyDescent="0.2">
      <c r="A264" s="84"/>
    </row>
    <row r="265" spans="1:1" x14ac:dyDescent="0.2">
      <c r="A265" s="84"/>
    </row>
    <row r="266" spans="1:1" x14ac:dyDescent="0.2">
      <c r="A266" s="84"/>
    </row>
    <row r="267" spans="1:1" x14ac:dyDescent="0.2">
      <c r="A267" s="84"/>
    </row>
    <row r="268" spans="1:1" x14ac:dyDescent="0.2">
      <c r="A268" s="84"/>
    </row>
    <row r="269" spans="1:1" x14ac:dyDescent="0.2">
      <c r="A269" s="84"/>
    </row>
    <row r="270" spans="1:1" x14ac:dyDescent="0.2">
      <c r="A270" s="84"/>
    </row>
    <row r="271" spans="1:1" x14ac:dyDescent="0.2">
      <c r="A271" s="84"/>
    </row>
    <row r="272" spans="1:1" x14ac:dyDescent="0.2">
      <c r="A272" s="84"/>
    </row>
    <row r="273" spans="1:1" x14ac:dyDescent="0.2">
      <c r="A273" s="84"/>
    </row>
    <row r="274" spans="1:1" x14ac:dyDescent="0.2">
      <c r="A274" s="84"/>
    </row>
    <row r="275" spans="1:1" x14ac:dyDescent="0.2">
      <c r="A275" s="84"/>
    </row>
    <row r="276" spans="1:1" x14ac:dyDescent="0.2">
      <c r="A276" s="84"/>
    </row>
    <row r="277" spans="1:1" x14ac:dyDescent="0.2">
      <c r="A277" s="84"/>
    </row>
    <row r="278" spans="1:1" x14ac:dyDescent="0.2">
      <c r="A278" s="84"/>
    </row>
    <row r="279" spans="1:1" x14ac:dyDescent="0.2">
      <c r="A279" s="84"/>
    </row>
    <row r="280" spans="1:1" x14ac:dyDescent="0.2">
      <c r="A280" s="84"/>
    </row>
    <row r="281" spans="1:1" x14ac:dyDescent="0.2">
      <c r="A281" s="84"/>
    </row>
    <row r="282" spans="1:1" x14ac:dyDescent="0.2">
      <c r="A282" s="84"/>
    </row>
    <row r="283" spans="1:1" x14ac:dyDescent="0.2">
      <c r="A283" s="84"/>
    </row>
    <row r="284" spans="1:1" x14ac:dyDescent="0.2">
      <c r="A284" s="84"/>
    </row>
    <row r="285" spans="1:1" x14ac:dyDescent="0.2">
      <c r="A285" s="84"/>
    </row>
    <row r="286" spans="1:1" x14ac:dyDescent="0.2">
      <c r="A286" s="84"/>
    </row>
    <row r="287" spans="1:1" x14ac:dyDescent="0.2">
      <c r="A287" s="84"/>
    </row>
    <row r="288" spans="1:1" x14ac:dyDescent="0.2">
      <c r="A288" s="84"/>
    </row>
    <row r="289" spans="1:1" x14ac:dyDescent="0.2">
      <c r="A289" s="84"/>
    </row>
    <row r="290" spans="1:1" x14ac:dyDescent="0.2">
      <c r="A290" s="84"/>
    </row>
    <row r="291" spans="1:1" x14ac:dyDescent="0.2">
      <c r="A291" s="84"/>
    </row>
    <row r="292" spans="1:1" x14ac:dyDescent="0.2">
      <c r="A292" s="84"/>
    </row>
    <row r="293" spans="1:1" x14ac:dyDescent="0.2">
      <c r="A293" s="84"/>
    </row>
    <row r="294" spans="1:1" x14ac:dyDescent="0.2">
      <c r="A294" s="84"/>
    </row>
    <row r="295" spans="1:1" x14ac:dyDescent="0.2">
      <c r="A295" s="84"/>
    </row>
    <row r="296" spans="1:1" x14ac:dyDescent="0.2">
      <c r="A296" s="84"/>
    </row>
    <row r="297" spans="1:1" x14ac:dyDescent="0.2">
      <c r="A297" s="84"/>
    </row>
    <row r="298" spans="1:1" x14ac:dyDescent="0.2">
      <c r="A298" s="84"/>
    </row>
    <row r="299" spans="1:1" x14ac:dyDescent="0.2">
      <c r="A299" s="84"/>
    </row>
    <row r="300" spans="1:1" x14ac:dyDescent="0.2">
      <c r="A300" s="84"/>
    </row>
    <row r="301" spans="1:1" x14ac:dyDescent="0.2">
      <c r="A301" s="84"/>
    </row>
    <row r="302" spans="1:1" x14ac:dyDescent="0.2">
      <c r="A302" s="84"/>
    </row>
    <row r="303" spans="1:1" x14ac:dyDescent="0.2">
      <c r="A303" s="84"/>
    </row>
    <row r="304" spans="1:1" x14ac:dyDescent="0.2">
      <c r="A304" s="84"/>
    </row>
    <row r="305" spans="1:1" x14ac:dyDescent="0.2">
      <c r="A305" s="84"/>
    </row>
    <row r="306" spans="1:1" x14ac:dyDescent="0.2">
      <c r="A306" s="84"/>
    </row>
    <row r="307" spans="1:1" x14ac:dyDescent="0.2">
      <c r="A307" s="84"/>
    </row>
    <row r="308" spans="1:1" x14ac:dyDescent="0.2">
      <c r="A308" s="84"/>
    </row>
    <row r="309" spans="1:1" x14ac:dyDescent="0.2">
      <c r="A309" s="84"/>
    </row>
    <row r="310" spans="1:1" x14ac:dyDescent="0.2">
      <c r="A310" s="84"/>
    </row>
    <row r="311" spans="1:1" x14ac:dyDescent="0.2">
      <c r="A311" s="84"/>
    </row>
    <row r="312" spans="1:1" x14ac:dyDescent="0.2">
      <c r="A312" s="84"/>
    </row>
    <row r="313" spans="1:1" x14ac:dyDescent="0.2">
      <c r="A313" s="84"/>
    </row>
    <row r="314" spans="1:1" x14ac:dyDescent="0.2">
      <c r="A314" s="84"/>
    </row>
    <row r="315" spans="1:1" x14ac:dyDescent="0.2">
      <c r="A315" s="84"/>
    </row>
    <row r="316" spans="1:1" x14ac:dyDescent="0.2">
      <c r="A316" s="84"/>
    </row>
    <row r="317" spans="1:1" x14ac:dyDescent="0.2">
      <c r="A317" s="84"/>
    </row>
    <row r="318" spans="1:1" x14ac:dyDescent="0.2">
      <c r="A318" s="84"/>
    </row>
    <row r="319" spans="1:1" x14ac:dyDescent="0.2">
      <c r="A319" s="84"/>
    </row>
    <row r="320" spans="1:1" x14ac:dyDescent="0.2">
      <c r="A320" s="84"/>
    </row>
    <row r="321" spans="1:1" x14ac:dyDescent="0.2">
      <c r="A321" s="84"/>
    </row>
    <row r="322" spans="1:1" x14ac:dyDescent="0.2">
      <c r="A322" s="84"/>
    </row>
    <row r="323" spans="1:1" x14ac:dyDescent="0.2">
      <c r="A323" s="84"/>
    </row>
    <row r="324" spans="1:1" x14ac:dyDescent="0.2">
      <c r="A324" s="84"/>
    </row>
    <row r="325" spans="1:1" x14ac:dyDescent="0.2">
      <c r="A325" s="84"/>
    </row>
    <row r="326" spans="1:1" x14ac:dyDescent="0.2">
      <c r="A326" s="84"/>
    </row>
    <row r="327" spans="1:1" x14ac:dyDescent="0.2">
      <c r="A327" s="84"/>
    </row>
    <row r="328" spans="1:1" x14ac:dyDescent="0.2">
      <c r="A328" s="84"/>
    </row>
    <row r="329" spans="1:1" x14ac:dyDescent="0.2">
      <c r="A329" s="84"/>
    </row>
    <row r="330" spans="1:1" x14ac:dyDescent="0.2">
      <c r="A330" s="84"/>
    </row>
    <row r="331" spans="1:1" x14ac:dyDescent="0.2">
      <c r="A331" s="84"/>
    </row>
    <row r="332" spans="1:1" x14ac:dyDescent="0.2">
      <c r="A332" s="84"/>
    </row>
    <row r="333" spans="1:1" x14ac:dyDescent="0.2">
      <c r="A333" s="84"/>
    </row>
    <row r="334" spans="1:1" x14ac:dyDescent="0.2">
      <c r="A334" s="84"/>
    </row>
    <row r="335" spans="1:1" x14ac:dyDescent="0.2">
      <c r="A335" s="84"/>
    </row>
    <row r="336" spans="1:1" x14ac:dyDescent="0.2">
      <c r="A336" s="84"/>
    </row>
    <row r="337" spans="1:1" x14ac:dyDescent="0.2">
      <c r="A337" s="84"/>
    </row>
    <row r="338" spans="1:1" x14ac:dyDescent="0.2">
      <c r="A338" s="84"/>
    </row>
    <row r="339" spans="1:1" x14ac:dyDescent="0.2">
      <c r="A339" s="84"/>
    </row>
    <row r="340" spans="1:1" x14ac:dyDescent="0.2">
      <c r="A340" s="84"/>
    </row>
    <row r="341" spans="1:1" x14ac:dyDescent="0.2">
      <c r="A341" s="84"/>
    </row>
    <row r="342" spans="1:1" x14ac:dyDescent="0.2">
      <c r="A342" s="84"/>
    </row>
    <row r="343" spans="1:1" x14ac:dyDescent="0.2">
      <c r="A343" s="84"/>
    </row>
    <row r="344" spans="1:1" x14ac:dyDescent="0.2">
      <c r="A344" s="84"/>
    </row>
    <row r="345" spans="1:1" x14ac:dyDescent="0.2">
      <c r="A345" s="84"/>
    </row>
    <row r="346" spans="1:1" x14ac:dyDescent="0.2">
      <c r="A346" s="84"/>
    </row>
    <row r="347" spans="1:1" x14ac:dyDescent="0.2">
      <c r="A347" s="84"/>
    </row>
    <row r="348" spans="1:1" x14ac:dyDescent="0.2">
      <c r="A348" s="84"/>
    </row>
    <row r="349" spans="1:1" x14ac:dyDescent="0.2">
      <c r="A349" s="84"/>
    </row>
    <row r="350" spans="1:1" x14ac:dyDescent="0.2">
      <c r="A350" s="84"/>
    </row>
    <row r="351" spans="1:1" x14ac:dyDescent="0.2">
      <c r="A351" s="84"/>
    </row>
    <row r="352" spans="1:1" x14ac:dyDescent="0.2">
      <c r="A352" s="84"/>
    </row>
    <row r="353" spans="1:1" x14ac:dyDescent="0.2">
      <c r="A353" s="84"/>
    </row>
    <row r="354" spans="1:1" x14ac:dyDescent="0.2">
      <c r="A354" s="84"/>
    </row>
    <row r="355" spans="1:1" x14ac:dyDescent="0.2">
      <c r="A355" s="84"/>
    </row>
    <row r="356" spans="1:1" x14ac:dyDescent="0.2">
      <c r="A356" s="84"/>
    </row>
    <row r="357" spans="1:1" x14ac:dyDescent="0.2">
      <c r="A357" s="84"/>
    </row>
    <row r="358" spans="1:1" x14ac:dyDescent="0.2">
      <c r="A358" s="84"/>
    </row>
    <row r="359" spans="1:1" x14ac:dyDescent="0.2">
      <c r="A359" s="84"/>
    </row>
    <row r="360" spans="1:1" x14ac:dyDescent="0.2">
      <c r="A360" s="84"/>
    </row>
    <row r="361" spans="1:1" x14ac:dyDescent="0.2">
      <c r="A361" s="84"/>
    </row>
    <row r="362" spans="1:1" x14ac:dyDescent="0.2">
      <c r="A362" s="84"/>
    </row>
    <row r="363" spans="1:1" x14ac:dyDescent="0.2">
      <c r="A363" s="84"/>
    </row>
    <row r="364" spans="1:1" x14ac:dyDescent="0.2">
      <c r="A364" s="84"/>
    </row>
    <row r="365" spans="1:1" x14ac:dyDescent="0.2">
      <c r="A365" s="84"/>
    </row>
    <row r="366" spans="1:1" x14ac:dyDescent="0.2">
      <c r="A366" s="84"/>
    </row>
    <row r="367" spans="1:1" x14ac:dyDescent="0.2">
      <c r="A367" s="84"/>
    </row>
    <row r="368" spans="1:1" x14ac:dyDescent="0.2">
      <c r="A368" s="84"/>
    </row>
    <row r="369" spans="1:1" x14ac:dyDescent="0.2">
      <c r="A369" s="84"/>
    </row>
    <row r="370" spans="1:1" x14ac:dyDescent="0.2">
      <c r="A370" s="84"/>
    </row>
    <row r="371" spans="1:1" x14ac:dyDescent="0.2">
      <c r="A371" s="84"/>
    </row>
    <row r="372" spans="1:1" x14ac:dyDescent="0.2">
      <c r="A372" s="84"/>
    </row>
    <row r="373" spans="1:1" x14ac:dyDescent="0.2">
      <c r="A373" s="84"/>
    </row>
    <row r="374" spans="1:1" x14ac:dyDescent="0.2">
      <c r="A374" s="84"/>
    </row>
    <row r="375" spans="1:1" x14ac:dyDescent="0.2">
      <c r="A375" s="84"/>
    </row>
    <row r="376" spans="1:1" x14ac:dyDescent="0.2">
      <c r="A376" s="84"/>
    </row>
    <row r="377" spans="1:1" x14ac:dyDescent="0.2">
      <c r="A377" s="84"/>
    </row>
    <row r="378" spans="1:1" x14ac:dyDescent="0.2">
      <c r="A378" s="84"/>
    </row>
    <row r="379" spans="1:1" x14ac:dyDescent="0.2">
      <c r="A379" s="84"/>
    </row>
    <row r="380" spans="1:1" x14ac:dyDescent="0.2">
      <c r="A380" s="84"/>
    </row>
    <row r="381" spans="1:1" x14ac:dyDescent="0.2">
      <c r="A381" s="84"/>
    </row>
    <row r="382" spans="1:1" x14ac:dyDescent="0.2">
      <c r="A382" s="84"/>
    </row>
    <row r="383" spans="1:1" x14ac:dyDescent="0.2">
      <c r="A383" s="84"/>
    </row>
    <row r="384" spans="1:1" x14ac:dyDescent="0.2">
      <c r="A384" s="84"/>
    </row>
    <row r="385" spans="1:1" x14ac:dyDescent="0.2">
      <c r="A385" s="84"/>
    </row>
    <row r="386" spans="1:1" x14ac:dyDescent="0.2">
      <c r="A386" s="84"/>
    </row>
    <row r="387" spans="1:1" x14ac:dyDescent="0.2">
      <c r="A387" s="84"/>
    </row>
    <row r="388" spans="1:1" x14ac:dyDescent="0.2">
      <c r="A388" s="84"/>
    </row>
    <row r="389" spans="1:1" x14ac:dyDescent="0.2">
      <c r="A389" s="84"/>
    </row>
    <row r="390" spans="1:1" x14ac:dyDescent="0.2">
      <c r="A390" s="84"/>
    </row>
    <row r="391" spans="1:1" x14ac:dyDescent="0.2">
      <c r="A391" s="84"/>
    </row>
    <row r="392" spans="1:1" x14ac:dyDescent="0.2">
      <c r="A392" s="84"/>
    </row>
    <row r="393" spans="1:1" x14ac:dyDescent="0.2">
      <c r="A393" s="84"/>
    </row>
    <row r="394" spans="1:1" x14ac:dyDescent="0.2">
      <c r="A394" s="84"/>
    </row>
    <row r="395" spans="1:1" x14ac:dyDescent="0.2">
      <c r="A395" s="84"/>
    </row>
    <row r="396" spans="1:1" x14ac:dyDescent="0.2">
      <c r="A396" s="84"/>
    </row>
    <row r="397" spans="1:1" x14ac:dyDescent="0.2">
      <c r="A397" s="84"/>
    </row>
    <row r="398" spans="1:1" x14ac:dyDescent="0.2">
      <c r="A398" s="84"/>
    </row>
    <row r="399" spans="1:1" x14ac:dyDescent="0.2">
      <c r="A399" s="84"/>
    </row>
    <row r="400" spans="1:1" x14ac:dyDescent="0.2">
      <c r="A400" s="84"/>
    </row>
    <row r="401" spans="1:1" x14ac:dyDescent="0.2">
      <c r="A401" s="84"/>
    </row>
    <row r="402" spans="1:1" x14ac:dyDescent="0.2">
      <c r="A402" s="84"/>
    </row>
    <row r="403" spans="1:1" x14ac:dyDescent="0.2">
      <c r="A403" s="84"/>
    </row>
    <row r="404" spans="1:1" x14ac:dyDescent="0.2">
      <c r="A404" s="84"/>
    </row>
    <row r="405" spans="1:1" x14ac:dyDescent="0.2">
      <c r="A405" s="84"/>
    </row>
    <row r="406" spans="1:1" x14ac:dyDescent="0.2">
      <c r="A406" s="84"/>
    </row>
    <row r="407" spans="1:1" x14ac:dyDescent="0.2">
      <c r="A407" s="84"/>
    </row>
    <row r="408" spans="1:1" x14ac:dyDescent="0.2">
      <c r="A408" s="84"/>
    </row>
    <row r="409" spans="1:1" x14ac:dyDescent="0.2">
      <c r="A409" s="84"/>
    </row>
    <row r="410" spans="1:1" x14ac:dyDescent="0.2">
      <c r="A410" s="84"/>
    </row>
    <row r="411" spans="1:1" x14ac:dyDescent="0.2">
      <c r="A411" s="84"/>
    </row>
    <row r="412" spans="1:1" x14ac:dyDescent="0.2">
      <c r="A412" s="84"/>
    </row>
    <row r="413" spans="1:1" x14ac:dyDescent="0.2">
      <c r="A413" s="84"/>
    </row>
    <row r="414" spans="1:1" x14ac:dyDescent="0.2">
      <c r="A414" s="84"/>
    </row>
    <row r="415" spans="1:1" x14ac:dyDescent="0.2">
      <c r="A415" s="84"/>
    </row>
    <row r="416" spans="1:1" x14ac:dyDescent="0.2">
      <c r="A416" s="84"/>
    </row>
    <row r="417" spans="1:1" x14ac:dyDescent="0.2">
      <c r="A417" s="84"/>
    </row>
    <row r="418" spans="1:1" x14ac:dyDescent="0.2">
      <c r="A418" s="84"/>
    </row>
    <row r="419" spans="1:1" x14ac:dyDescent="0.2">
      <c r="A419" s="84"/>
    </row>
    <row r="420" spans="1:1" x14ac:dyDescent="0.2">
      <c r="A420" s="84"/>
    </row>
    <row r="421" spans="1:1" x14ac:dyDescent="0.2">
      <c r="A421" s="84"/>
    </row>
    <row r="422" spans="1:1" x14ac:dyDescent="0.2">
      <c r="A422" s="84"/>
    </row>
    <row r="423" spans="1:1" x14ac:dyDescent="0.2">
      <c r="A423" s="84"/>
    </row>
    <row r="424" spans="1:1" x14ac:dyDescent="0.2">
      <c r="A424" s="84"/>
    </row>
    <row r="425" spans="1:1" x14ac:dyDescent="0.2">
      <c r="A425" s="84"/>
    </row>
    <row r="426" spans="1:1" x14ac:dyDescent="0.2">
      <c r="A426" s="84"/>
    </row>
    <row r="427" spans="1:1" x14ac:dyDescent="0.2">
      <c r="A427" s="84"/>
    </row>
    <row r="428" spans="1:1" x14ac:dyDescent="0.2">
      <c r="A428" s="84"/>
    </row>
    <row r="429" spans="1:1" x14ac:dyDescent="0.2">
      <c r="A429" s="84"/>
    </row>
    <row r="430" spans="1:1" x14ac:dyDescent="0.2">
      <c r="A430" s="84"/>
    </row>
    <row r="431" spans="1:1" x14ac:dyDescent="0.2">
      <c r="A431" s="84"/>
    </row>
    <row r="432" spans="1:1" x14ac:dyDescent="0.2">
      <c r="A432" s="84"/>
    </row>
    <row r="433" spans="1:1" x14ac:dyDescent="0.2">
      <c r="A433" s="84"/>
    </row>
    <row r="434" spans="1:1" x14ac:dyDescent="0.2">
      <c r="A434" s="84"/>
    </row>
    <row r="435" spans="1:1" x14ac:dyDescent="0.2">
      <c r="A435" s="84"/>
    </row>
    <row r="436" spans="1:1" x14ac:dyDescent="0.2">
      <c r="A436" s="84"/>
    </row>
    <row r="437" spans="1:1" x14ac:dyDescent="0.2">
      <c r="A437" s="84"/>
    </row>
    <row r="438" spans="1:1" x14ac:dyDescent="0.2">
      <c r="A438" s="84"/>
    </row>
    <row r="439" spans="1:1" x14ac:dyDescent="0.2">
      <c r="A439" s="84"/>
    </row>
    <row r="440" spans="1:1" x14ac:dyDescent="0.2">
      <c r="A440" s="84"/>
    </row>
    <row r="441" spans="1:1" x14ac:dyDescent="0.2">
      <c r="A441" s="84"/>
    </row>
    <row r="442" spans="1:1" x14ac:dyDescent="0.2">
      <c r="A442" s="84"/>
    </row>
    <row r="443" spans="1:1" x14ac:dyDescent="0.2">
      <c r="A443" s="84"/>
    </row>
    <row r="444" spans="1:1" x14ac:dyDescent="0.2">
      <c r="A444" s="84"/>
    </row>
    <row r="445" spans="1:1" x14ac:dyDescent="0.2">
      <c r="A445" s="84"/>
    </row>
    <row r="446" spans="1:1" x14ac:dyDescent="0.2">
      <c r="A446" s="84"/>
    </row>
    <row r="447" spans="1:1" x14ac:dyDescent="0.2">
      <c r="A447" s="84"/>
    </row>
    <row r="448" spans="1:1" x14ac:dyDescent="0.2">
      <c r="A448" s="84"/>
    </row>
    <row r="449" spans="1:1" x14ac:dyDescent="0.2">
      <c r="A449" s="84"/>
    </row>
    <row r="450" spans="1:1" x14ac:dyDescent="0.2">
      <c r="A450" s="84"/>
    </row>
    <row r="451" spans="1:1" x14ac:dyDescent="0.2">
      <c r="A451" s="84"/>
    </row>
    <row r="452" spans="1:1" x14ac:dyDescent="0.2">
      <c r="A452" s="84"/>
    </row>
    <row r="453" spans="1:1" x14ac:dyDescent="0.2">
      <c r="A453" s="84"/>
    </row>
    <row r="454" spans="1:1" x14ac:dyDescent="0.2">
      <c r="A454" s="84"/>
    </row>
    <row r="455" spans="1:1" x14ac:dyDescent="0.2">
      <c r="A455" s="84"/>
    </row>
    <row r="456" spans="1:1" x14ac:dyDescent="0.2">
      <c r="A456" s="84"/>
    </row>
    <row r="457" spans="1:1" x14ac:dyDescent="0.2">
      <c r="A457" s="84"/>
    </row>
    <row r="458" spans="1:1" x14ac:dyDescent="0.2">
      <c r="A458" s="84"/>
    </row>
    <row r="459" spans="1:1" x14ac:dyDescent="0.2">
      <c r="A459" s="84"/>
    </row>
    <row r="460" spans="1:1" x14ac:dyDescent="0.2">
      <c r="A460" s="84"/>
    </row>
    <row r="461" spans="1:1" x14ac:dyDescent="0.2">
      <c r="A461" s="84"/>
    </row>
    <row r="462" spans="1:1" x14ac:dyDescent="0.2">
      <c r="A462" s="84"/>
    </row>
    <row r="463" spans="1:1" x14ac:dyDescent="0.2">
      <c r="A463" s="84"/>
    </row>
    <row r="464" spans="1:1" x14ac:dyDescent="0.2">
      <c r="A464" s="84"/>
    </row>
    <row r="465" spans="1:1" x14ac:dyDescent="0.2">
      <c r="A465" s="84"/>
    </row>
    <row r="466" spans="1:1" x14ac:dyDescent="0.2">
      <c r="A466" s="84"/>
    </row>
    <row r="467" spans="1:1" x14ac:dyDescent="0.2">
      <c r="A467" s="84"/>
    </row>
    <row r="468" spans="1:1" x14ac:dyDescent="0.2">
      <c r="A468" s="84"/>
    </row>
    <row r="469" spans="1:1" x14ac:dyDescent="0.2">
      <c r="A469" s="84"/>
    </row>
    <row r="470" spans="1:1" x14ac:dyDescent="0.2">
      <c r="A470" s="84"/>
    </row>
    <row r="471" spans="1:1" x14ac:dyDescent="0.2">
      <c r="A471" s="84"/>
    </row>
    <row r="472" spans="1:1" x14ac:dyDescent="0.2">
      <c r="A472" s="84"/>
    </row>
    <row r="473" spans="1:1" x14ac:dyDescent="0.2">
      <c r="A473" s="84"/>
    </row>
    <row r="474" spans="1:1" x14ac:dyDescent="0.2">
      <c r="A474" s="84"/>
    </row>
    <row r="475" spans="1:1" x14ac:dyDescent="0.2">
      <c r="A475" s="84"/>
    </row>
    <row r="476" spans="1:1" x14ac:dyDescent="0.2">
      <c r="A476" s="84"/>
    </row>
    <row r="477" spans="1:1" x14ac:dyDescent="0.2">
      <c r="A477" s="84"/>
    </row>
    <row r="478" spans="1:1" x14ac:dyDescent="0.2">
      <c r="A478" s="84"/>
    </row>
    <row r="479" spans="1:1" x14ac:dyDescent="0.2">
      <c r="A479" s="84"/>
    </row>
    <row r="480" spans="1:1" x14ac:dyDescent="0.2">
      <c r="A480" s="84"/>
    </row>
    <row r="481" spans="1:1" x14ac:dyDescent="0.2">
      <c r="A481" s="84"/>
    </row>
    <row r="482" spans="1:1" x14ac:dyDescent="0.2">
      <c r="A482" s="84"/>
    </row>
    <row r="483" spans="1:1" x14ac:dyDescent="0.2">
      <c r="A483" s="84"/>
    </row>
    <row r="484" spans="1:1" x14ac:dyDescent="0.2">
      <c r="A484" s="84"/>
    </row>
    <row r="485" spans="1:1" x14ac:dyDescent="0.2">
      <c r="A485" s="84"/>
    </row>
    <row r="486" spans="1:1" x14ac:dyDescent="0.2">
      <c r="A486" s="84"/>
    </row>
    <row r="487" spans="1:1" x14ac:dyDescent="0.2">
      <c r="A487" s="84"/>
    </row>
    <row r="488" spans="1:1" x14ac:dyDescent="0.2">
      <c r="A488" s="84"/>
    </row>
    <row r="489" spans="1:1" x14ac:dyDescent="0.2">
      <c r="A489" s="84"/>
    </row>
    <row r="490" spans="1:1" x14ac:dyDescent="0.2">
      <c r="A490" s="84"/>
    </row>
    <row r="491" spans="1:1" x14ac:dyDescent="0.2">
      <c r="A491" s="84"/>
    </row>
    <row r="492" spans="1:1" x14ac:dyDescent="0.2">
      <c r="A492" s="84"/>
    </row>
    <row r="493" spans="1:1" x14ac:dyDescent="0.2">
      <c r="A493" s="84"/>
    </row>
    <row r="494" spans="1:1" x14ac:dyDescent="0.2">
      <c r="A494" s="84"/>
    </row>
    <row r="495" spans="1:1" x14ac:dyDescent="0.2">
      <c r="A495" s="84"/>
    </row>
    <row r="496" spans="1:1" x14ac:dyDescent="0.2">
      <c r="A496" s="84"/>
    </row>
    <row r="497" spans="1:1" x14ac:dyDescent="0.2">
      <c r="A497" s="84"/>
    </row>
    <row r="498" spans="1:1" x14ac:dyDescent="0.2">
      <c r="A498" s="84"/>
    </row>
    <row r="499" spans="1:1" x14ac:dyDescent="0.2">
      <c r="A499" s="84"/>
    </row>
    <row r="500" spans="1:1" x14ac:dyDescent="0.2">
      <c r="A500" s="84"/>
    </row>
    <row r="501" spans="1:1" x14ac:dyDescent="0.2">
      <c r="A501" s="84"/>
    </row>
    <row r="502" spans="1:1" x14ac:dyDescent="0.2">
      <c r="A502" s="84"/>
    </row>
    <row r="503" spans="1:1" x14ac:dyDescent="0.2">
      <c r="A503" s="84"/>
    </row>
    <row r="504" spans="1:1" x14ac:dyDescent="0.2">
      <c r="A504" s="84"/>
    </row>
    <row r="505" spans="1:1" x14ac:dyDescent="0.2">
      <c r="A505" s="84"/>
    </row>
    <row r="506" spans="1:1" x14ac:dyDescent="0.2">
      <c r="A506" s="84"/>
    </row>
    <row r="507" spans="1:1" x14ac:dyDescent="0.2">
      <c r="A507" s="84"/>
    </row>
    <row r="508" spans="1:1" x14ac:dyDescent="0.2">
      <c r="A508" s="84"/>
    </row>
    <row r="509" spans="1:1" x14ac:dyDescent="0.2">
      <c r="A509" s="84"/>
    </row>
    <row r="510" spans="1:1" x14ac:dyDescent="0.2">
      <c r="A510" s="84"/>
    </row>
    <row r="511" spans="1:1" x14ac:dyDescent="0.2">
      <c r="A511" s="84"/>
    </row>
    <row r="512" spans="1:1" x14ac:dyDescent="0.2">
      <c r="A512" s="84"/>
    </row>
    <row r="513" spans="1:1" x14ac:dyDescent="0.2">
      <c r="A513" s="84"/>
    </row>
    <row r="514" spans="1:1" x14ac:dyDescent="0.2">
      <c r="A514" s="84"/>
    </row>
    <row r="515" spans="1:1" x14ac:dyDescent="0.2">
      <c r="A515" s="84"/>
    </row>
  </sheetData>
  <printOptions horizontalCentered="1" verticalCentered="1" gridLines="1" gridLinesSet="0"/>
  <pageMargins left="0" right="0" top="0" bottom="0" header="0" footer="0"/>
  <pageSetup paperSize="5" scale="95" orientation="landscape" horizontalDpi="4294967293" r:id="rId1"/>
  <headerFooter alignWithMargins="0">
    <oddHeader>&amp;A</oddHeader>
    <oddFooter>Page &amp;P</oddFooter>
  </headerFooter>
  <colBreaks count="11" manualBreakCount="11">
    <brk id="26" max="1048575" man="1"/>
    <brk id="38" max="1048575" man="1"/>
    <brk id="50" max="1048575" man="1"/>
    <brk id="62" max="1048575" man="1"/>
    <brk id="74" max="1048575" man="1"/>
    <brk id="86" max="1048575" man="1"/>
    <brk id="98" max="1048575" man="1"/>
    <brk id="110" max="1048575" man="1"/>
    <brk id="122" max="1048575" man="1"/>
    <brk id="134" max="1048575" man="1"/>
    <brk id="14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Q515"/>
  <sheetViews>
    <sheetView tabSelected="1" zoomScale="90" workbookViewId="0">
      <pane xSplit="2" ySplit="5" topLeftCell="C11" activePane="bottomRight" state="frozen"/>
      <selection activeCell="AT19" sqref="AT19"/>
      <selection pane="topRight" activeCell="AT19" sqref="AT19"/>
      <selection pane="bottomLeft" activeCell="AT19" sqref="AT19"/>
      <selection pane="bottomRight" activeCell="G35" sqref="G35"/>
    </sheetView>
  </sheetViews>
  <sheetFormatPr defaultColWidth="15.1640625" defaultRowHeight="12.75" x14ac:dyDescent="0.2"/>
  <cols>
    <col min="1" max="1" width="15.1640625" style="106" customWidth="1"/>
    <col min="2" max="2" width="15.1640625" style="84" customWidth="1"/>
    <col min="3" max="3" width="20.83203125" style="84" customWidth="1"/>
    <col min="4" max="4" width="18.83203125" style="84" customWidth="1"/>
    <col min="5" max="7" width="15.1640625" style="84" customWidth="1"/>
    <col min="8" max="8" width="15.1640625" style="125" customWidth="1"/>
    <col min="9" max="11" width="15.1640625" style="84" customWidth="1"/>
    <col min="12" max="12" width="15.1640625" style="126" customWidth="1"/>
    <col min="13" max="13" width="16.33203125" style="84" customWidth="1"/>
    <col min="14" max="14" width="15.1640625" style="84" customWidth="1"/>
    <col min="15" max="15" width="15.1640625" style="43" customWidth="1"/>
    <col min="16" max="18" width="15.1640625" style="84" customWidth="1"/>
    <col min="19" max="19" width="15.1640625" style="127" customWidth="1"/>
    <col min="20" max="22" width="15.1640625" style="43" customWidth="1"/>
    <col min="23" max="25" width="15.1640625" style="84" customWidth="1"/>
    <col min="26" max="26" width="15.1640625" style="127" customWidth="1"/>
    <col min="27" max="27" width="15.1640625" style="43" customWidth="1"/>
    <col min="28" max="28" width="15.1640625" style="31" customWidth="1"/>
    <col min="29" max="34" width="15.1640625" style="128" customWidth="1"/>
    <col min="35" max="35" width="15.1640625" style="129" customWidth="1"/>
    <col min="36" max="41" width="15.1640625" style="128" customWidth="1"/>
    <col min="42" max="42" width="15.1640625" style="129" customWidth="1"/>
    <col min="43" max="48" width="15.1640625" style="128" customWidth="1"/>
    <col min="49" max="49" width="15.1640625" style="129" customWidth="1"/>
    <col min="50" max="55" width="15.1640625" style="128" customWidth="1"/>
    <col min="56" max="56" width="15.1640625" style="129" customWidth="1"/>
    <col min="57" max="62" width="15.1640625" style="128" customWidth="1"/>
    <col min="63" max="63" width="15.1640625" style="129" customWidth="1"/>
    <col min="64" max="69" width="15.1640625" style="130" customWidth="1"/>
    <col min="70" max="70" width="15.1640625" style="129" customWidth="1"/>
    <col min="71" max="76" width="15.1640625" style="130" customWidth="1"/>
    <col min="77" max="77" width="15.1640625" style="129" customWidth="1"/>
    <col min="78" max="83" width="15.1640625" style="130" customWidth="1"/>
    <col min="84" max="84" width="15.1640625" style="129" customWidth="1"/>
    <col min="85" max="90" width="15.1640625" style="130" customWidth="1"/>
    <col min="91" max="91" width="15.1640625" style="129" customWidth="1"/>
    <col min="92" max="92" width="15.1640625" style="104" customWidth="1"/>
    <col min="93" max="95" width="15.1640625" style="42" customWidth="1"/>
    <col min="96" max="97" width="15.1640625" style="43" customWidth="1"/>
    <col min="98" max="98" width="15.1640625" style="104" customWidth="1"/>
    <col min="99" max="110" width="15.1640625" style="43" customWidth="1"/>
    <col min="111" max="118" width="15.1640625" style="80" customWidth="1"/>
    <col min="119" max="140" width="15.1640625" style="81" customWidth="1"/>
    <col min="141" max="147" width="15.1640625" style="82" customWidth="1"/>
    <col min="148" max="16384" width="15.1640625" style="28"/>
  </cols>
  <sheetData>
    <row r="1" spans="1:147" ht="15.75" x14ac:dyDescent="0.25">
      <c r="A1" s="6" t="s">
        <v>58</v>
      </c>
      <c r="B1" s="46">
        <f>+BaseloadMarkets!B1</f>
        <v>36708</v>
      </c>
      <c r="D1" s="124"/>
      <c r="E1" s="6"/>
      <c r="F1" s="6"/>
      <c r="G1" s="6"/>
      <c r="I1" s="6"/>
      <c r="J1" s="6"/>
      <c r="K1" s="6"/>
      <c r="P1" s="6"/>
      <c r="Q1" s="6"/>
      <c r="R1" s="6"/>
      <c r="W1" s="6"/>
      <c r="X1" s="6"/>
      <c r="Y1" s="6"/>
      <c r="CN1" s="42"/>
      <c r="CQ1" s="129"/>
    </row>
    <row r="2" spans="1:147" s="16" customFormat="1" ht="12.75" customHeight="1" x14ac:dyDescent="0.2">
      <c r="A2" s="6" t="s">
        <v>35</v>
      </c>
      <c r="B2" s="6"/>
      <c r="C2" s="131"/>
      <c r="D2" s="6">
        <v>303938</v>
      </c>
      <c r="E2" s="6" t="s">
        <v>104</v>
      </c>
      <c r="F2" s="6">
        <v>215113</v>
      </c>
      <c r="G2" s="6"/>
      <c r="H2" s="132"/>
      <c r="I2" s="6"/>
      <c r="J2" s="6"/>
      <c r="K2" s="6"/>
      <c r="L2" s="133"/>
      <c r="M2" s="6"/>
      <c r="N2" s="6"/>
      <c r="O2" s="113">
        <v>125681</v>
      </c>
      <c r="P2" s="6"/>
      <c r="Q2" s="6"/>
      <c r="R2" s="6"/>
      <c r="S2" s="134"/>
      <c r="T2" s="7"/>
      <c r="U2" s="7"/>
      <c r="V2" s="15">
        <v>309103</v>
      </c>
      <c r="W2" s="6"/>
      <c r="X2" s="6"/>
      <c r="Y2" s="6"/>
      <c r="Z2" s="134"/>
      <c r="AA2" s="9"/>
      <c r="AB2" s="7"/>
      <c r="AC2" s="135"/>
      <c r="AD2" s="136"/>
      <c r="AE2" s="136"/>
      <c r="AF2" s="136"/>
      <c r="AG2" s="136"/>
      <c r="AH2" s="136"/>
      <c r="AI2" s="137"/>
      <c r="AJ2" s="135"/>
      <c r="AK2" s="136"/>
      <c r="AL2" s="136"/>
      <c r="AM2" s="136"/>
      <c r="AN2" s="136"/>
      <c r="AO2" s="136"/>
      <c r="AP2" s="137"/>
      <c r="AQ2" s="135"/>
      <c r="AR2" s="136"/>
      <c r="AS2" s="136"/>
      <c r="AT2" s="136"/>
      <c r="AU2" s="136"/>
      <c r="AV2" s="136"/>
      <c r="AW2" s="137"/>
      <c r="AX2" s="135"/>
      <c r="AY2" s="136"/>
      <c r="AZ2" s="136"/>
      <c r="BA2" s="136"/>
      <c r="BB2" s="136"/>
      <c r="BC2" s="136"/>
      <c r="BD2" s="137"/>
      <c r="BE2" s="135"/>
      <c r="BF2" s="136"/>
      <c r="BG2" s="136"/>
      <c r="BH2" s="136"/>
      <c r="BI2" s="136"/>
      <c r="BJ2" s="136"/>
      <c r="BK2" s="137"/>
      <c r="BL2" s="138"/>
      <c r="BM2" s="139"/>
      <c r="BN2" s="139"/>
      <c r="BO2" s="139"/>
      <c r="BP2" s="139"/>
      <c r="BQ2" s="139"/>
      <c r="BR2" s="137"/>
      <c r="BS2" s="138"/>
      <c r="BT2" s="139"/>
      <c r="BU2" s="139"/>
      <c r="BV2" s="139"/>
      <c r="BW2" s="139"/>
      <c r="BX2" s="139"/>
      <c r="BY2" s="137"/>
      <c r="BZ2" s="138"/>
      <c r="CA2" s="139"/>
      <c r="CB2" s="139"/>
      <c r="CC2" s="139"/>
      <c r="CD2" s="139"/>
      <c r="CE2" s="139"/>
      <c r="CF2" s="137"/>
      <c r="CG2" s="138"/>
      <c r="CH2" s="139"/>
      <c r="CI2" s="139"/>
      <c r="CJ2" s="139"/>
      <c r="CK2" s="139"/>
      <c r="CL2" s="139"/>
      <c r="CM2" s="137"/>
      <c r="CN2" s="55"/>
      <c r="CQ2" s="137"/>
      <c r="CR2" s="9"/>
      <c r="CS2" s="9"/>
      <c r="CT2" s="108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57"/>
      <c r="DH2" s="57"/>
      <c r="DI2" s="57"/>
      <c r="DJ2" s="57"/>
      <c r="DK2" s="57"/>
      <c r="DL2" s="57"/>
      <c r="DM2" s="57"/>
      <c r="DN2" s="57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9"/>
      <c r="EL2" s="59"/>
      <c r="EM2" s="59"/>
      <c r="EN2" s="59"/>
      <c r="EO2" s="59"/>
      <c r="EP2" s="59"/>
      <c r="EQ2" s="59"/>
    </row>
    <row r="3" spans="1:147" s="16" customFormat="1" ht="12.75" customHeight="1" x14ac:dyDescent="0.2">
      <c r="A3" s="6" t="s">
        <v>77</v>
      </c>
      <c r="B3" s="6"/>
      <c r="C3" s="6" t="s">
        <v>105</v>
      </c>
      <c r="D3" s="6"/>
      <c r="E3" s="6"/>
      <c r="F3" s="6"/>
      <c r="G3" s="6" t="s">
        <v>106</v>
      </c>
      <c r="H3" s="132"/>
      <c r="I3" s="6"/>
      <c r="J3" s="6"/>
      <c r="K3" s="6"/>
      <c r="L3" s="133" t="s">
        <v>40</v>
      </c>
      <c r="M3" s="6"/>
      <c r="N3" s="6"/>
      <c r="O3" s="113" t="s">
        <v>107</v>
      </c>
      <c r="P3" s="6"/>
      <c r="Q3" s="6"/>
      <c r="R3" s="6" t="s">
        <v>108</v>
      </c>
      <c r="S3" s="134" t="s">
        <v>40</v>
      </c>
      <c r="T3" s="7"/>
      <c r="U3" s="7"/>
      <c r="V3" s="15" t="s">
        <v>109</v>
      </c>
      <c r="W3" s="6"/>
      <c r="X3" s="6"/>
      <c r="Y3" s="6"/>
      <c r="Z3" s="134"/>
      <c r="AA3" s="9"/>
      <c r="AB3" s="7"/>
      <c r="AC3" s="135" t="s">
        <v>110</v>
      </c>
      <c r="AD3" s="136"/>
      <c r="AE3" s="136"/>
      <c r="AF3" s="136"/>
      <c r="AG3" s="136" t="s">
        <v>40</v>
      </c>
      <c r="AH3" s="136"/>
      <c r="AI3" s="137"/>
      <c r="AJ3" s="135" t="s">
        <v>111</v>
      </c>
      <c r="AK3" s="136"/>
      <c r="AL3" s="136"/>
      <c r="AM3" s="136"/>
      <c r="AN3" s="136" t="s">
        <v>40</v>
      </c>
      <c r="AO3" s="136"/>
      <c r="AP3" s="137"/>
      <c r="AQ3" s="135" t="s">
        <v>112</v>
      </c>
      <c r="AR3" s="136"/>
      <c r="AS3" s="136"/>
      <c r="AT3" s="136"/>
      <c r="AU3" s="136" t="s">
        <v>40</v>
      </c>
      <c r="AV3" s="136"/>
      <c r="AW3" s="137"/>
      <c r="AX3" s="135" t="s">
        <v>113</v>
      </c>
      <c r="AY3" s="136"/>
      <c r="AZ3" s="136"/>
      <c r="BA3" s="136"/>
      <c r="BB3" s="136" t="s">
        <v>40</v>
      </c>
      <c r="BC3" s="136"/>
      <c r="BD3" s="137"/>
      <c r="BE3" s="135" t="s">
        <v>114</v>
      </c>
      <c r="BF3" s="136"/>
      <c r="BG3" s="136"/>
      <c r="BH3" s="136"/>
      <c r="BI3" s="136" t="s">
        <v>40</v>
      </c>
      <c r="BJ3" s="136"/>
      <c r="BK3" s="137"/>
      <c r="BL3" s="138" t="s">
        <v>115</v>
      </c>
      <c r="BM3" s="139"/>
      <c r="BN3" s="139"/>
      <c r="BO3" s="139"/>
      <c r="BP3" s="139"/>
      <c r="BQ3" s="139"/>
      <c r="BR3" s="137"/>
      <c r="BS3" s="138"/>
      <c r="BT3" s="139"/>
      <c r="BU3" s="139"/>
      <c r="BV3" s="139"/>
      <c r="BW3" s="139"/>
      <c r="BX3" s="139"/>
      <c r="BY3" s="137"/>
      <c r="BZ3" s="138"/>
      <c r="CA3" s="139"/>
      <c r="CB3" s="139"/>
      <c r="CC3" s="139"/>
      <c r="CD3" s="139"/>
      <c r="CE3" s="139"/>
      <c r="CF3" s="137"/>
      <c r="CG3" s="138"/>
      <c r="CH3" s="139"/>
      <c r="CI3" s="139"/>
      <c r="CJ3" s="139"/>
      <c r="CK3" s="139"/>
      <c r="CL3" s="139"/>
      <c r="CM3" s="137"/>
      <c r="CN3" s="55"/>
      <c r="CQ3" s="137" t="s">
        <v>116</v>
      </c>
      <c r="CR3" s="9"/>
      <c r="CS3" s="9"/>
      <c r="CT3" s="108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57"/>
      <c r="DH3" s="57"/>
      <c r="DI3" s="57"/>
      <c r="DJ3" s="57"/>
      <c r="DK3" s="57"/>
      <c r="DL3" s="57"/>
      <c r="DM3" s="57"/>
      <c r="DN3" s="57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9"/>
      <c r="EL3" s="59"/>
      <c r="EM3" s="59"/>
      <c r="EN3" s="59"/>
      <c r="EO3" s="59"/>
      <c r="EP3" s="59"/>
      <c r="EQ3" s="59"/>
    </row>
    <row r="4" spans="1:147" s="16" customFormat="1" ht="12.75" customHeight="1" x14ac:dyDescent="0.2">
      <c r="A4" s="6" t="s">
        <v>65</v>
      </c>
      <c r="B4" s="6" t="s">
        <v>66</v>
      </c>
      <c r="C4" s="6" t="s">
        <v>117</v>
      </c>
      <c r="D4" s="6" t="s">
        <v>118</v>
      </c>
      <c r="E4" s="6" t="s">
        <v>31</v>
      </c>
      <c r="F4" s="6" t="s">
        <v>118</v>
      </c>
      <c r="G4" s="6"/>
      <c r="H4" s="132"/>
      <c r="I4" s="6"/>
      <c r="J4" s="6"/>
      <c r="K4" s="6"/>
      <c r="L4" s="133" t="s">
        <v>117</v>
      </c>
      <c r="M4" s="6" t="s">
        <v>62</v>
      </c>
      <c r="N4" s="6" t="s">
        <v>63</v>
      </c>
      <c r="O4" s="113" t="s">
        <v>119</v>
      </c>
      <c r="P4" s="6" t="s">
        <v>118</v>
      </c>
      <c r="Q4" s="6" t="s">
        <v>31</v>
      </c>
      <c r="R4" s="6" t="s">
        <v>120</v>
      </c>
      <c r="S4" s="134" t="s">
        <v>121</v>
      </c>
      <c r="T4" s="7" t="s">
        <v>62</v>
      </c>
      <c r="U4" s="7" t="s">
        <v>63</v>
      </c>
      <c r="V4" s="15" t="s">
        <v>122</v>
      </c>
      <c r="W4" s="6" t="s">
        <v>118</v>
      </c>
      <c r="X4" s="6" t="s">
        <v>108</v>
      </c>
      <c r="Y4" s="6"/>
      <c r="Z4" s="134" t="s">
        <v>122</v>
      </c>
      <c r="AA4" s="9" t="s">
        <v>62</v>
      </c>
      <c r="AB4" s="7" t="s">
        <v>63</v>
      </c>
      <c r="AC4" s="136" t="s">
        <v>123</v>
      </c>
      <c r="AD4" s="136" t="s">
        <v>118</v>
      </c>
      <c r="AE4" s="132" t="s">
        <v>31</v>
      </c>
      <c r="AF4" s="136"/>
      <c r="AG4" s="136" t="s">
        <v>123</v>
      </c>
      <c r="AH4" s="136" t="s">
        <v>62</v>
      </c>
      <c r="AI4" s="137" t="s">
        <v>63</v>
      </c>
      <c r="AJ4" s="136" t="s">
        <v>123</v>
      </c>
      <c r="AK4" s="136" t="s">
        <v>118</v>
      </c>
      <c r="AL4" s="136"/>
      <c r="AM4" s="136" t="s">
        <v>106</v>
      </c>
      <c r="AN4" s="136" t="s">
        <v>123</v>
      </c>
      <c r="AO4" s="136" t="s">
        <v>62</v>
      </c>
      <c r="AP4" s="137" t="s">
        <v>63</v>
      </c>
      <c r="AQ4" s="136" t="s">
        <v>123</v>
      </c>
      <c r="AR4" s="136" t="s">
        <v>124</v>
      </c>
      <c r="AS4" s="136"/>
      <c r="AT4" s="136"/>
      <c r="AU4" s="136" t="s">
        <v>123</v>
      </c>
      <c r="AV4" s="136" t="s">
        <v>62</v>
      </c>
      <c r="AW4" s="137" t="s">
        <v>63</v>
      </c>
      <c r="AX4" s="136" t="s">
        <v>123</v>
      </c>
      <c r="AY4" s="136" t="s">
        <v>118</v>
      </c>
      <c r="AZ4" s="132" t="s">
        <v>31</v>
      </c>
      <c r="BA4" s="136"/>
      <c r="BB4" s="136" t="s">
        <v>123</v>
      </c>
      <c r="BC4" s="136" t="s">
        <v>62</v>
      </c>
      <c r="BD4" s="137" t="s">
        <v>63</v>
      </c>
      <c r="BE4" s="136" t="s">
        <v>123</v>
      </c>
      <c r="BF4" s="136" t="s">
        <v>118</v>
      </c>
      <c r="BG4" s="132" t="s">
        <v>31</v>
      </c>
      <c r="BH4" s="136"/>
      <c r="BI4" s="136" t="s">
        <v>123</v>
      </c>
      <c r="BJ4" s="136" t="s">
        <v>62</v>
      </c>
      <c r="BK4" s="137" t="s">
        <v>63</v>
      </c>
      <c r="BL4" s="139" t="s">
        <v>125</v>
      </c>
      <c r="BM4" s="139" t="s">
        <v>118</v>
      </c>
      <c r="BN4" s="139"/>
      <c r="BO4" s="139"/>
      <c r="BP4" s="139"/>
      <c r="BQ4" s="139" t="s">
        <v>62</v>
      </c>
      <c r="BR4" s="137" t="s">
        <v>63</v>
      </c>
      <c r="BS4" s="139"/>
      <c r="BT4" s="139"/>
      <c r="BU4" s="139"/>
      <c r="BV4" s="139"/>
      <c r="BW4" s="139"/>
      <c r="BX4" s="139" t="s">
        <v>62</v>
      </c>
      <c r="BY4" s="137" t="s">
        <v>63</v>
      </c>
      <c r="BZ4" s="139"/>
      <c r="CA4" s="139"/>
      <c r="CB4" s="139"/>
      <c r="CC4" s="139"/>
      <c r="CD4" s="139"/>
      <c r="CE4" s="139" t="s">
        <v>62</v>
      </c>
      <c r="CF4" s="137" t="s">
        <v>63</v>
      </c>
      <c r="CG4" s="139"/>
      <c r="CH4" s="139"/>
      <c r="CI4" s="139"/>
      <c r="CJ4" s="139"/>
      <c r="CK4" s="139"/>
      <c r="CL4" s="139" t="s">
        <v>62</v>
      </c>
      <c r="CM4" s="137" t="s">
        <v>63</v>
      </c>
      <c r="CN4" s="6" t="s">
        <v>40</v>
      </c>
      <c r="CO4" s="7" t="s">
        <v>40</v>
      </c>
      <c r="CQ4" s="137" t="s">
        <v>63</v>
      </c>
      <c r="CR4" s="9"/>
      <c r="CS4" s="9"/>
      <c r="CT4" s="108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57"/>
      <c r="DH4" s="57"/>
      <c r="DI4" s="57"/>
      <c r="DJ4" s="57"/>
      <c r="DK4" s="57"/>
      <c r="DL4" s="57"/>
      <c r="DM4" s="57"/>
      <c r="DN4" s="57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9"/>
      <c r="EL4" s="59"/>
      <c r="EM4" s="59"/>
      <c r="EN4" s="59"/>
      <c r="EO4" s="59"/>
      <c r="EP4" s="59"/>
      <c r="EQ4" s="59"/>
    </row>
    <row r="5" spans="1:147" s="71" customFormat="1" ht="12.75" customHeight="1" x14ac:dyDescent="0.2">
      <c r="A5" s="6" t="s">
        <v>41</v>
      </c>
      <c r="B5" s="6" t="s">
        <v>68</v>
      </c>
      <c r="C5" s="18" t="s">
        <v>126</v>
      </c>
      <c r="D5" s="18" t="s">
        <v>127</v>
      </c>
      <c r="E5" s="18" t="s">
        <v>42</v>
      </c>
      <c r="F5" s="18"/>
      <c r="G5" s="18"/>
      <c r="H5" s="140" t="s">
        <v>128</v>
      </c>
      <c r="I5" s="18"/>
      <c r="J5" s="18"/>
      <c r="K5" s="18"/>
      <c r="L5" s="141" t="s">
        <v>129</v>
      </c>
      <c r="M5" s="20" t="s">
        <v>69</v>
      </c>
      <c r="N5" s="20" t="s">
        <v>130</v>
      </c>
      <c r="O5" s="20" t="s">
        <v>126</v>
      </c>
      <c r="P5" s="18" t="s">
        <v>127</v>
      </c>
      <c r="Q5" s="18" t="s">
        <v>42</v>
      </c>
      <c r="R5" s="18" t="s">
        <v>52</v>
      </c>
      <c r="S5" s="142" t="s">
        <v>129</v>
      </c>
      <c r="T5" s="20" t="s">
        <v>69</v>
      </c>
      <c r="U5" s="20" t="s">
        <v>130</v>
      </c>
      <c r="V5" s="20" t="s">
        <v>126</v>
      </c>
      <c r="W5" s="18" t="s">
        <v>127</v>
      </c>
      <c r="X5" s="18"/>
      <c r="Y5" s="18"/>
      <c r="Z5" s="142" t="s">
        <v>129</v>
      </c>
      <c r="AA5" s="20" t="s">
        <v>69</v>
      </c>
      <c r="AB5" s="20" t="s">
        <v>130</v>
      </c>
      <c r="AC5" s="143" t="s">
        <v>126</v>
      </c>
      <c r="AD5" s="143" t="s">
        <v>127</v>
      </c>
      <c r="AE5" s="140" t="s">
        <v>42</v>
      </c>
      <c r="AF5" s="143"/>
      <c r="AG5" s="143" t="s">
        <v>129</v>
      </c>
      <c r="AH5" s="143" t="s">
        <v>69</v>
      </c>
      <c r="AI5" s="144" t="s">
        <v>130</v>
      </c>
      <c r="AJ5" s="143" t="s">
        <v>126</v>
      </c>
      <c r="AK5" s="143" t="s">
        <v>127</v>
      </c>
      <c r="AL5" s="143" t="s">
        <v>31</v>
      </c>
      <c r="AM5" s="143" t="s">
        <v>33</v>
      </c>
      <c r="AN5" s="143" t="s">
        <v>129</v>
      </c>
      <c r="AO5" s="143" t="s">
        <v>69</v>
      </c>
      <c r="AP5" s="144" t="s">
        <v>130</v>
      </c>
      <c r="AQ5" s="143" t="s">
        <v>126</v>
      </c>
      <c r="AR5" s="143" t="s">
        <v>131</v>
      </c>
      <c r="AS5" s="143"/>
      <c r="AT5" s="143"/>
      <c r="AU5" s="143" t="s">
        <v>129</v>
      </c>
      <c r="AV5" s="143" t="s">
        <v>69</v>
      </c>
      <c r="AW5" s="144" t="s">
        <v>130</v>
      </c>
      <c r="AX5" s="143" t="s">
        <v>126</v>
      </c>
      <c r="AY5" s="143" t="s">
        <v>127</v>
      </c>
      <c r="AZ5" s="140" t="s">
        <v>42</v>
      </c>
      <c r="BA5" s="143"/>
      <c r="BB5" s="143" t="s">
        <v>129</v>
      </c>
      <c r="BC5" s="143" t="s">
        <v>69</v>
      </c>
      <c r="BD5" s="144" t="s">
        <v>130</v>
      </c>
      <c r="BE5" s="143" t="s">
        <v>126</v>
      </c>
      <c r="BF5" s="143" t="s">
        <v>127</v>
      </c>
      <c r="BG5" s="140" t="s">
        <v>42</v>
      </c>
      <c r="BH5" s="143"/>
      <c r="BI5" s="143" t="s">
        <v>129</v>
      </c>
      <c r="BJ5" s="143" t="s">
        <v>69</v>
      </c>
      <c r="BK5" s="144" t="s">
        <v>130</v>
      </c>
      <c r="BL5" s="145" t="s">
        <v>126</v>
      </c>
      <c r="BM5" s="145" t="s">
        <v>127</v>
      </c>
      <c r="BN5" s="145" t="s">
        <v>31</v>
      </c>
      <c r="BO5" s="145" t="s">
        <v>132</v>
      </c>
      <c r="BP5" s="145" t="s">
        <v>129</v>
      </c>
      <c r="BQ5" s="145" t="s">
        <v>69</v>
      </c>
      <c r="BR5" s="144" t="s">
        <v>130</v>
      </c>
      <c r="BS5" s="145"/>
      <c r="BT5" s="145"/>
      <c r="BU5" s="145"/>
      <c r="BV5" s="145"/>
      <c r="BW5" s="145" t="s">
        <v>129</v>
      </c>
      <c r="BX5" s="145" t="s">
        <v>69</v>
      </c>
      <c r="BY5" s="144" t="s">
        <v>130</v>
      </c>
      <c r="BZ5" s="145"/>
      <c r="CA5" s="145"/>
      <c r="CB5" s="145"/>
      <c r="CC5" s="145"/>
      <c r="CD5" s="145" t="s">
        <v>129</v>
      </c>
      <c r="CE5" s="145" t="s">
        <v>69</v>
      </c>
      <c r="CF5" s="144" t="s">
        <v>130</v>
      </c>
      <c r="CG5" s="145"/>
      <c r="CH5" s="145"/>
      <c r="CI5" s="145"/>
      <c r="CJ5" s="145"/>
      <c r="CK5" s="145" t="s">
        <v>129</v>
      </c>
      <c r="CL5" s="145" t="s">
        <v>69</v>
      </c>
      <c r="CM5" s="144" t="s">
        <v>130</v>
      </c>
      <c r="CN5" s="56" t="s">
        <v>58</v>
      </c>
      <c r="CO5" s="56" t="s">
        <v>70</v>
      </c>
      <c r="CP5" s="56" t="s">
        <v>69</v>
      </c>
      <c r="CQ5" s="144" t="s">
        <v>130</v>
      </c>
      <c r="CR5" s="20"/>
      <c r="CS5" s="20"/>
      <c r="CT5" s="109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68"/>
      <c r="DH5" s="68"/>
      <c r="DI5" s="68"/>
      <c r="DJ5" s="68"/>
      <c r="DK5" s="68"/>
      <c r="DL5" s="68"/>
      <c r="DM5" s="68"/>
      <c r="DN5" s="68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70"/>
      <c r="EL5" s="70"/>
      <c r="EM5" s="70"/>
      <c r="EN5" s="70"/>
      <c r="EO5" s="70"/>
      <c r="EP5" s="70"/>
      <c r="EQ5" s="70"/>
    </row>
    <row r="6" spans="1:147" s="78" customFormat="1" x14ac:dyDescent="0.2">
      <c r="A6" s="72">
        <f>+BaseloadMarkets!A6</f>
        <v>36708</v>
      </c>
      <c r="B6" s="72" t="str">
        <f>+BaseloadMarkets!B6</f>
        <v>Sat</v>
      </c>
      <c r="C6" s="146">
        <v>12647</v>
      </c>
      <c r="D6" s="23">
        <f>3466+975</f>
        <v>4441</v>
      </c>
      <c r="E6" s="23">
        <f>3000+4907</f>
        <v>7907</v>
      </c>
      <c r="F6" s="23">
        <v>578</v>
      </c>
      <c r="G6" s="23"/>
      <c r="H6" s="147">
        <f>+Border!AD4</f>
        <v>0</v>
      </c>
      <c r="I6" s="23"/>
      <c r="J6" s="23"/>
      <c r="K6" s="23"/>
      <c r="L6" s="148">
        <f t="shared" ref="L6:L36" si="0">SUM(D6:K6)</f>
        <v>12926</v>
      </c>
      <c r="M6" s="73">
        <f t="shared" ref="M6:M36" si="1">+L6-C6</f>
        <v>279</v>
      </c>
      <c r="N6" s="73">
        <f>M6</f>
        <v>279</v>
      </c>
      <c r="O6" s="146">
        <v>1682</v>
      </c>
      <c r="P6" s="23">
        <v>866</v>
      </c>
      <c r="Q6" s="23"/>
      <c r="R6" s="23"/>
      <c r="S6" s="149">
        <f t="shared" ref="S6:S36" si="2">SUM(P6:R6)</f>
        <v>866</v>
      </c>
      <c r="T6" s="73">
        <f t="shared" ref="T6:T36" si="3">+S6-O6</f>
        <v>-816</v>
      </c>
      <c r="U6" s="73">
        <f>T6</f>
        <v>-816</v>
      </c>
      <c r="V6" s="146">
        <v>1497</v>
      </c>
      <c r="W6" s="23">
        <v>289</v>
      </c>
      <c r="X6" s="23"/>
      <c r="Y6" s="23"/>
      <c r="Z6" s="148">
        <f t="shared" ref="Z6:Z36" si="4">SUM(W6:Y6)</f>
        <v>289</v>
      </c>
      <c r="AA6" s="73">
        <f t="shared" ref="AA6:AA36" si="5">+Z6-V6</f>
        <v>-1208</v>
      </c>
      <c r="AB6" s="79">
        <f>+AA6</f>
        <v>-1208</v>
      </c>
      <c r="AC6" s="150">
        <v>181</v>
      </c>
      <c r="AD6" s="147"/>
      <c r="AE6" s="147"/>
      <c r="AF6" s="147"/>
      <c r="AG6" s="147">
        <f t="shared" ref="AG6:AG36" si="6">SUM(AD6:AF6)</f>
        <v>0</v>
      </c>
      <c r="AH6" s="151">
        <f t="shared" ref="AH6:AH36" si="7">+AG6-AC6</f>
        <v>-181</v>
      </c>
      <c r="AI6" s="152">
        <f>AH6</f>
        <v>-181</v>
      </c>
      <c r="AJ6" s="150">
        <v>2722</v>
      </c>
      <c r="AK6" s="147">
        <f>3188+549+700</f>
        <v>4437</v>
      </c>
      <c r="AL6" s="147">
        <v>7019</v>
      </c>
      <c r="AM6" s="147"/>
      <c r="AN6" s="147">
        <f t="shared" ref="AN6:AN36" si="8">SUM(AK6:AM6)</f>
        <v>11456</v>
      </c>
      <c r="AO6" s="151">
        <f t="shared" ref="AO6:AO36" si="9">+AN6-AJ6</f>
        <v>8734</v>
      </c>
      <c r="AP6" s="152">
        <f>AO6</f>
        <v>8734</v>
      </c>
      <c r="AQ6" s="147">
        <v>0</v>
      </c>
      <c r="AR6" s="147">
        <v>0</v>
      </c>
      <c r="AS6" s="147"/>
      <c r="AT6" s="147"/>
      <c r="AU6" s="147">
        <f t="shared" ref="AU6:AU36" si="10">SUM(AR6:AT6)</f>
        <v>0</v>
      </c>
      <c r="AV6" s="151">
        <f t="shared" ref="AV6:AV36" si="11">+AU6-AQ6</f>
        <v>0</v>
      </c>
      <c r="AW6" s="152">
        <f>AV6</f>
        <v>0</v>
      </c>
      <c r="AX6" s="150">
        <v>22</v>
      </c>
      <c r="AY6" s="147"/>
      <c r="AZ6" s="147"/>
      <c r="BA6" s="147"/>
      <c r="BB6" s="147">
        <f t="shared" ref="BB6:BB36" si="12">SUM(AY6:BA6)</f>
        <v>0</v>
      </c>
      <c r="BC6" s="151">
        <f t="shared" ref="BC6:BC36" si="13">+BB6-AX6</f>
        <v>-22</v>
      </c>
      <c r="BD6" s="152">
        <f>BC6</f>
        <v>-22</v>
      </c>
      <c r="BE6" s="150">
        <v>140</v>
      </c>
      <c r="BF6" s="147"/>
      <c r="BG6" s="147"/>
      <c r="BH6" s="147"/>
      <c r="BI6" s="147">
        <f t="shared" ref="BI6:BI36" si="14">SUM(BF6:BH6)</f>
        <v>0</v>
      </c>
      <c r="BJ6" s="151">
        <f t="shared" ref="BJ6:BJ36" si="15">+BI6-BE6</f>
        <v>-140</v>
      </c>
      <c r="BK6" s="152">
        <f>BJ6</f>
        <v>-140</v>
      </c>
      <c r="BL6" s="153">
        <v>0</v>
      </c>
      <c r="BM6" s="154"/>
      <c r="BN6" s="154"/>
      <c r="BO6" s="154"/>
      <c r="BP6" s="154">
        <f t="shared" ref="BP6:BP36" si="16">SUM(BM6:BO6)</f>
        <v>0</v>
      </c>
      <c r="BQ6" s="155">
        <f t="shared" ref="BQ6:BQ36" si="17">+BP6-BL6</f>
        <v>0</v>
      </c>
      <c r="BR6" s="152">
        <f>BQ6</f>
        <v>0</v>
      </c>
      <c r="BS6" s="154"/>
      <c r="BT6" s="154"/>
      <c r="BU6" s="154"/>
      <c r="BV6" s="154"/>
      <c r="BW6" s="154">
        <f t="shared" ref="BW6:BW36" si="18">SUM(BT6:BV6)</f>
        <v>0</v>
      </c>
      <c r="BX6" s="155">
        <f t="shared" ref="BX6:BX36" si="19">+BW6-BS6</f>
        <v>0</v>
      </c>
      <c r="BY6" s="152">
        <f>BX6</f>
        <v>0</v>
      </c>
      <c r="BZ6" s="154"/>
      <c r="CA6" s="154"/>
      <c r="CB6" s="154"/>
      <c r="CC6" s="154"/>
      <c r="CD6" s="154">
        <f t="shared" ref="CD6:CD36" si="20">SUM(CA6:CC6)</f>
        <v>0</v>
      </c>
      <c r="CE6" s="155">
        <f t="shared" ref="CE6:CE36" si="21">+CD6-BZ6</f>
        <v>0</v>
      </c>
      <c r="CF6" s="152">
        <f>CE6</f>
        <v>0</v>
      </c>
      <c r="CG6" s="154"/>
      <c r="CH6" s="154"/>
      <c r="CI6" s="154"/>
      <c r="CJ6" s="154"/>
      <c r="CK6" s="154">
        <f t="shared" ref="CK6:CK36" si="22">SUM(CH6:CJ6)</f>
        <v>0</v>
      </c>
      <c r="CL6" s="155">
        <f t="shared" ref="CL6:CL36" si="23">+CK6-CG6</f>
        <v>0</v>
      </c>
      <c r="CM6" s="152">
        <f>CL6</f>
        <v>0</v>
      </c>
      <c r="CN6" s="73">
        <f t="shared" ref="CN6:CN36" si="24">+C6+O6+V6+AC6+AJ6+AQ6+AX6+BE6+BL6+BS6+BZ6+CG6</f>
        <v>18891</v>
      </c>
      <c r="CO6" s="73">
        <f t="shared" ref="CO6:CO36" si="25">+L6+S6+Z6+AG6+AN6+AU6+BB6+BI6+BP6+BW6+CD6+CK6</f>
        <v>25537</v>
      </c>
      <c r="CP6" s="73">
        <f t="shared" ref="CP6:CP36" si="26">CO6-CN6</f>
        <v>6646</v>
      </c>
      <c r="CQ6" s="152">
        <f>CP6</f>
        <v>6646</v>
      </c>
      <c r="CR6" s="23"/>
      <c r="CS6" s="7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40"/>
      <c r="DH6" s="40"/>
      <c r="DI6" s="40"/>
      <c r="DJ6" s="40"/>
      <c r="DK6" s="40"/>
      <c r="DL6" s="40"/>
      <c r="DM6" s="40"/>
      <c r="DN6" s="40"/>
      <c r="DO6" s="76"/>
      <c r="DP6" s="76"/>
      <c r="DQ6" s="76"/>
      <c r="DR6" s="76"/>
      <c r="DS6" s="76"/>
      <c r="DT6" s="76"/>
      <c r="DU6" s="76"/>
      <c r="DV6" s="76"/>
      <c r="DW6" s="76"/>
      <c r="DX6" s="76"/>
      <c r="DY6" s="76"/>
      <c r="DZ6" s="76"/>
      <c r="EA6" s="76"/>
      <c r="EB6" s="76"/>
      <c r="EC6" s="76"/>
      <c r="ED6" s="76"/>
      <c r="EE6" s="76"/>
      <c r="EF6" s="76"/>
      <c r="EG6" s="76"/>
      <c r="EH6" s="76"/>
      <c r="EI6" s="76"/>
      <c r="EJ6" s="76"/>
      <c r="EK6" s="77"/>
      <c r="EL6" s="77"/>
      <c r="EM6" s="77"/>
      <c r="EN6" s="77"/>
      <c r="EO6" s="77"/>
      <c r="EP6" s="77"/>
      <c r="EQ6" s="77"/>
    </row>
    <row r="7" spans="1:147" s="78" customFormat="1" x14ac:dyDescent="0.2">
      <c r="A7" s="72">
        <f>+BaseloadMarkets!A7</f>
        <v>36709</v>
      </c>
      <c r="B7" s="72" t="str">
        <f>+BaseloadMarkets!B7</f>
        <v>Sun</v>
      </c>
      <c r="C7" s="146">
        <v>7922</v>
      </c>
      <c r="D7" s="23">
        <v>3629</v>
      </c>
      <c r="E7" s="23">
        <f>3000+6514</f>
        <v>9514</v>
      </c>
      <c r="F7" s="23">
        <v>605</v>
      </c>
      <c r="G7" s="23"/>
      <c r="H7" s="147">
        <f>+Border!AD5</f>
        <v>0</v>
      </c>
      <c r="I7" s="23"/>
      <c r="J7" s="23"/>
      <c r="K7" s="23"/>
      <c r="L7" s="148">
        <f t="shared" si="0"/>
        <v>13748</v>
      </c>
      <c r="M7" s="73">
        <f t="shared" si="1"/>
        <v>5826</v>
      </c>
      <c r="N7" s="73">
        <f t="shared" ref="N7:N36" si="27">N6+M7</f>
        <v>6105</v>
      </c>
      <c r="O7" s="146">
        <f>1872+1056</f>
        <v>2928</v>
      </c>
      <c r="P7" s="23">
        <v>871</v>
      </c>
      <c r="Q7" s="23"/>
      <c r="R7" s="23"/>
      <c r="S7" s="149">
        <f t="shared" si="2"/>
        <v>871</v>
      </c>
      <c r="T7" s="73">
        <f t="shared" si="3"/>
        <v>-2057</v>
      </c>
      <c r="U7" s="73">
        <f t="shared" ref="U7:U36" si="28">U6+T7</f>
        <v>-2873</v>
      </c>
      <c r="V7" s="146">
        <v>1376</v>
      </c>
      <c r="W7" s="23">
        <v>290</v>
      </c>
      <c r="X7" s="23"/>
      <c r="Y7" s="23"/>
      <c r="Z7" s="148">
        <f t="shared" si="4"/>
        <v>290</v>
      </c>
      <c r="AA7" s="73">
        <f t="shared" si="5"/>
        <v>-1086</v>
      </c>
      <c r="AB7" s="79">
        <f t="shared" ref="AB7:AB36" si="29">+AB6+AA7</f>
        <v>-2294</v>
      </c>
      <c r="AC7" s="150">
        <v>28</v>
      </c>
      <c r="AD7" s="147"/>
      <c r="AE7" s="147"/>
      <c r="AF7" s="147"/>
      <c r="AG7" s="147">
        <f t="shared" si="6"/>
        <v>0</v>
      </c>
      <c r="AH7" s="151">
        <f t="shared" si="7"/>
        <v>-28</v>
      </c>
      <c r="AI7" s="152">
        <f t="shared" ref="AI7:AI36" si="30">AI6+AH7</f>
        <v>-209</v>
      </c>
      <c r="AJ7" s="150">
        <v>7067</v>
      </c>
      <c r="AK7" s="147">
        <f>3206+554</f>
        <v>3760</v>
      </c>
      <c r="AL7" s="147">
        <v>8450</v>
      </c>
      <c r="AM7" s="147"/>
      <c r="AN7" s="147">
        <f t="shared" si="8"/>
        <v>12210</v>
      </c>
      <c r="AO7" s="151">
        <f t="shared" si="9"/>
        <v>5143</v>
      </c>
      <c r="AP7" s="152">
        <f t="shared" ref="AP7:AP36" si="31">AP6+AO7</f>
        <v>13877</v>
      </c>
      <c r="AQ7" s="147">
        <v>0</v>
      </c>
      <c r="AR7" s="147">
        <v>0</v>
      </c>
      <c r="AS7" s="147"/>
      <c r="AT7" s="147"/>
      <c r="AU7" s="147">
        <f t="shared" si="10"/>
        <v>0</v>
      </c>
      <c r="AV7" s="151">
        <f t="shared" si="11"/>
        <v>0</v>
      </c>
      <c r="AW7" s="152">
        <f t="shared" ref="AW7:AW36" si="32">AW6+AV7</f>
        <v>0</v>
      </c>
      <c r="AX7" s="150">
        <v>0</v>
      </c>
      <c r="AY7" s="147"/>
      <c r="AZ7" s="147"/>
      <c r="BA7" s="147"/>
      <c r="BB7" s="147">
        <f t="shared" si="12"/>
        <v>0</v>
      </c>
      <c r="BC7" s="151">
        <f t="shared" si="13"/>
        <v>0</v>
      </c>
      <c r="BD7" s="152">
        <f t="shared" ref="BD7:BD36" si="33">BD6+BC7</f>
        <v>-22</v>
      </c>
      <c r="BE7" s="150">
        <v>0</v>
      </c>
      <c r="BF7" s="147"/>
      <c r="BG7" s="147"/>
      <c r="BH7" s="147"/>
      <c r="BI7" s="147">
        <f t="shared" si="14"/>
        <v>0</v>
      </c>
      <c r="BJ7" s="151">
        <f t="shared" si="15"/>
        <v>0</v>
      </c>
      <c r="BK7" s="152">
        <f t="shared" ref="BK7:BK36" si="34">BK6+BJ7</f>
        <v>-140</v>
      </c>
      <c r="BL7" s="153">
        <v>2488</v>
      </c>
      <c r="BM7" s="154"/>
      <c r="BN7" s="154"/>
      <c r="BO7" s="154"/>
      <c r="BP7" s="154">
        <f t="shared" si="16"/>
        <v>0</v>
      </c>
      <c r="BQ7" s="155">
        <f t="shared" si="17"/>
        <v>-2488</v>
      </c>
      <c r="BR7" s="152">
        <f t="shared" ref="BR7:BR36" si="35">BR6+BQ7</f>
        <v>-2488</v>
      </c>
      <c r="BS7" s="154"/>
      <c r="BT7" s="154"/>
      <c r="BU7" s="154"/>
      <c r="BV7" s="154"/>
      <c r="BW7" s="154">
        <f t="shared" si="18"/>
        <v>0</v>
      </c>
      <c r="BX7" s="155">
        <f t="shared" si="19"/>
        <v>0</v>
      </c>
      <c r="BY7" s="152">
        <f t="shared" ref="BY7:BY36" si="36">BY6+BX7</f>
        <v>0</v>
      </c>
      <c r="BZ7" s="154"/>
      <c r="CA7" s="154"/>
      <c r="CB7" s="154"/>
      <c r="CC7" s="154"/>
      <c r="CD7" s="154">
        <f t="shared" si="20"/>
        <v>0</v>
      </c>
      <c r="CE7" s="155">
        <f t="shared" si="21"/>
        <v>0</v>
      </c>
      <c r="CF7" s="152">
        <f t="shared" ref="CF7:CF36" si="37">CF6+CE7</f>
        <v>0</v>
      </c>
      <c r="CG7" s="154"/>
      <c r="CH7" s="154"/>
      <c r="CI7" s="154"/>
      <c r="CJ7" s="154"/>
      <c r="CK7" s="154">
        <f t="shared" si="22"/>
        <v>0</v>
      </c>
      <c r="CL7" s="155">
        <f t="shared" si="23"/>
        <v>0</v>
      </c>
      <c r="CM7" s="152">
        <f t="shared" ref="CM7:CM36" si="38">CM6+CL7</f>
        <v>0</v>
      </c>
      <c r="CN7" s="73">
        <f t="shared" si="24"/>
        <v>21809</v>
      </c>
      <c r="CO7" s="73">
        <f t="shared" si="25"/>
        <v>27119</v>
      </c>
      <c r="CP7" s="73">
        <f t="shared" si="26"/>
        <v>5310</v>
      </c>
      <c r="CQ7" s="152">
        <f t="shared" ref="CQ7:CQ36" si="39">CQ6+CP7</f>
        <v>11956</v>
      </c>
      <c r="CR7" s="23"/>
      <c r="CS7" s="7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40"/>
      <c r="DH7" s="40"/>
      <c r="DI7" s="40"/>
      <c r="DJ7" s="40"/>
      <c r="DK7" s="40"/>
      <c r="DL7" s="40"/>
      <c r="DM7" s="40"/>
      <c r="DN7" s="40"/>
      <c r="DO7" s="76"/>
      <c r="DP7" s="76"/>
      <c r="DQ7" s="76"/>
      <c r="DR7" s="76"/>
      <c r="DS7" s="76"/>
      <c r="DT7" s="76"/>
      <c r="DU7" s="76"/>
      <c r="DV7" s="76"/>
      <c r="DW7" s="76"/>
      <c r="DX7" s="76"/>
      <c r="DY7" s="76"/>
      <c r="DZ7" s="76"/>
      <c r="EA7" s="76"/>
      <c r="EB7" s="76"/>
      <c r="EC7" s="76"/>
      <c r="ED7" s="76"/>
      <c r="EE7" s="76"/>
      <c r="EF7" s="76"/>
      <c r="EG7" s="76"/>
      <c r="EH7" s="76"/>
      <c r="EI7" s="76"/>
      <c r="EJ7" s="76"/>
      <c r="EK7" s="77"/>
      <c r="EL7" s="77"/>
      <c r="EM7" s="77"/>
      <c r="EN7" s="77"/>
      <c r="EO7" s="77"/>
      <c r="EP7" s="77"/>
      <c r="EQ7" s="77"/>
    </row>
    <row r="8" spans="1:147" x14ac:dyDescent="0.2">
      <c r="A8" s="72">
        <f>+BaseloadMarkets!A8</f>
        <v>36710</v>
      </c>
      <c r="B8" s="72" t="str">
        <f>+BaseloadMarkets!B8</f>
        <v>Mon</v>
      </c>
      <c r="C8" s="146">
        <v>6686</v>
      </c>
      <c r="D8" s="23">
        <v>3620</v>
      </c>
      <c r="E8" s="23">
        <f>3000+5797</f>
        <v>8797</v>
      </c>
      <c r="F8" s="23">
        <v>603</v>
      </c>
      <c r="G8" s="23"/>
      <c r="H8" s="147">
        <f>+Border!AD6</f>
        <v>0</v>
      </c>
      <c r="I8" s="23"/>
      <c r="J8" s="23"/>
      <c r="K8" s="23"/>
      <c r="L8" s="148">
        <f t="shared" si="0"/>
        <v>13020</v>
      </c>
      <c r="M8" s="73">
        <f t="shared" si="1"/>
        <v>6334</v>
      </c>
      <c r="N8" s="73">
        <f t="shared" si="27"/>
        <v>12439</v>
      </c>
      <c r="O8" s="146">
        <f>1583+896</f>
        <v>2479</v>
      </c>
      <c r="P8" s="23">
        <v>869</v>
      </c>
      <c r="Q8" s="23"/>
      <c r="R8" s="23"/>
      <c r="S8" s="149">
        <f t="shared" si="2"/>
        <v>869</v>
      </c>
      <c r="T8" s="73">
        <f t="shared" si="3"/>
        <v>-1610</v>
      </c>
      <c r="U8" s="73">
        <f t="shared" si="28"/>
        <v>-4483</v>
      </c>
      <c r="V8" s="146">
        <v>1220</v>
      </c>
      <c r="W8" s="23">
        <v>290</v>
      </c>
      <c r="X8" s="23"/>
      <c r="Y8" s="23"/>
      <c r="Z8" s="148">
        <f t="shared" si="4"/>
        <v>290</v>
      </c>
      <c r="AA8" s="73">
        <f t="shared" si="5"/>
        <v>-930</v>
      </c>
      <c r="AB8" s="79">
        <f t="shared" si="29"/>
        <v>-3224</v>
      </c>
      <c r="AC8" s="150">
        <v>98</v>
      </c>
      <c r="AD8" s="147"/>
      <c r="AE8" s="147"/>
      <c r="AF8" s="147"/>
      <c r="AG8" s="147">
        <f t="shared" si="6"/>
        <v>0</v>
      </c>
      <c r="AH8" s="151">
        <f t="shared" si="7"/>
        <v>-98</v>
      </c>
      <c r="AI8" s="152">
        <f t="shared" si="30"/>
        <v>-307</v>
      </c>
      <c r="AJ8" s="150">
        <v>9261</v>
      </c>
      <c r="AK8" s="147">
        <f>3199+540+1106</f>
        <v>4845</v>
      </c>
      <c r="AL8" s="147">
        <v>7810</v>
      </c>
      <c r="AM8" s="147"/>
      <c r="AN8" s="147">
        <f t="shared" si="8"/>
        <v>12655</v>
      </c>
      <c r="AO8" s="151">
        <f t="shared" si="9"/>
        <v>3394</v>
      </c>
      <c r="AP8" s="152">
        <f t="shared" si="31"/>
        <v>17271</v>
      </c>
      <c r="AQ8" s="147">
        <v>0</v>
      </c>
      <c r="AR8" s="147">
        <v>0</v>
      </c>
      <c r="AS8" s="147"/>
      <c r="AT8" s="147"/>
      <c r="AU8" s="147">
        <f t="shared" si="10"/>
        <v>0</v>
      </c>
      <c r="AV8" s="151">
        <f t="shared" si="11"/>
        <v>0</v>
      </c>
      <c r="AW8" s="152">
        <f t="shared" si="32"/>
        <v>0</v>
      </c>
      <c r="AX8" s="150">
        <v>0</v>
      </c>
      <c r="AY8" s="147"/>
      <c r="AZ8" s="147"/>
      <c r="BA8" s="147"/>
      <c r="BB8" s="147">
        <f t="shared" si="12"/>
        <v>0</v>
      </c>
      <c r="BC8" s="151">
        <f t="shared" si="13"/>
        <v>0</v>
      </c>
      <c r="BD8" s="152">
        <f t="shared" si="33"/>
        <v>-22</v>
      </c>
      <c r="BE8" s="150">
        <v>162</v>
      </c>
      <c r="BF8" s="147"/>
      <c r="BG8" s="147"/>
      <c r="BH8" s="147"/>
      <c r="BI8" s="147">
        <f t="shared" si="14"/>
        <v>0</v>
      </c>
      <c r="BJ8" s="151">
        <f t="shared" si="15"/>
        <v>-162</v>
      </c>
      <c r="BK8" s="152">
        <f t="shared" si="34"/>
        <v>-302</v>
      </c>
      <c r="BL8" s="153">
        <v>6024</v>
      </c>
      <c r="BM8" s="154"/>
      <c r="BN8" s="154"/>
      <c r="BO8" s="154"/>
      <c r="BP8" s="154">
        <f t="shared" si="16"/>
        <v>0</v>
      </c>
      <c r="BQ8" s="155">
        <f t="shared" si="17"/>
        <v>-6024</v>
      </c>
      <c r="BR8" s="152">
        <f t="shared" si="35"/>
        <v>-8512</v>
      </c>
      <c r="BS8" s="154"/>
      <c r="BT8" s="154"/>
      <c r="BU8" s="154"/>
      <c r="BV8" s="154"/>
      <c r="BW8" s="154">
        <f t="shared" si="18"/>
        <v>0</v>
      </c>
      <c r="BX8" s="155">
        <f t="shared" si="19"/>
        <v>0</v>
      </c>
      <c r="BY8" s="152">
        <f t="shared" si="36"/>
        <v>0</v>
      </c>
      <c r="BZ8" s="154"/>
      <c r="CA8" s="154"/>
      <c r="CB8" s="154"/>
      <c r="CC8" s="154"/>
      <c r="CD8" s="154">
        <f t="shared" si="20"/>
        <v>0</v>
      </c>
      <c r="CE8" s="155">
        <f t="shared" si="21"/>
        <v>0</v>
      </c>
      <c r="CF8" s="152">
        <f t="shared" si="37"/>
        <v>0</v>
      </c>
      <c r="CG8" s="154"/>
      <c r="CH8" s="154"/>
      <c r="CI8" s="154"/>
      <c r="CJ8" s="154"/>
      <c r="CK8" s="154">
        <f t="shared" si="22"/>
        <v>0</v>
      </c>
      <c r="CL8" s="155">
        <f t="shared" si="23"/>
        <v>0</v>
      </c>
      <c r="CM8" s="152">
        <f t="shared" si="38"/>
        <v>0</v>
      </c>
      <c r="CN8" s="73">
        <f t="shared" si="24"/>
        <v>25930</v>
      </c>
      <c r="CO8" s="73">
        <f t="shared" si="25"/>
        <v>26834</v>
      </c>
      <c r="CP8" s="73">
        <f t="shared" si="26"/>
        <v>904</v>
      </c>
      <c r="CQ8" s="152">
        <f t="shared" si="39"/>
        <v>12860</v>
      </c>
      <c r="CR8" s="79"/>
      <c r="CS8" s="79"/>
      <c r="CT8" s="111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</row>
    <row r="9" spans="1:147" x14ac:dyDescent="0.2">
      <c r="A9" s="72">
        <f>+BaseloadMarkets!A9</f>
        <v>36711</v>
      </c>
      <c r="B9" s="72" t="str">
        <f>+BaseloadMarkets!B9</f>
        <v>Tues</v>
      </c>
      <c r="C9" s="146">
        <v>8985</v>
      </c>
      <c r="D9" s="23">
        <f>3205+4709</f>
        <v>7914</v>
      </c>
      <c r="E9" s="23">
        <v>7245</v>
      </c>
      <c r="F9" s="23">
        <v>1000</v>
      </c>
      <c r="G9" s="23"/>
      <c r="H9" s="147">
        <f>+Border!AD7</f>
        <v>0</v>
      </c>
      <c r="I9" s="23"/>
      <c r="J9" s="23"/>
      <c r="K9" s="23"/>
      <c r="L9" s="148">
        <f t="shared" si="0"/>
        <v>16159</v>
      </c>
      <c r="M9" s="73">
        <f t="shared" si="1"/>
        <v>7174</v>
      </c>
      <c r="N9" s="73">
        <f t="shared" si="27"/>
        <v>19613</v>
      </c>
      <c r="O9" s="146">
        <f>1201+623</f>
        <v>1824</v>
      </c>
      <c r="P9" s="23">
        <v>866</v>
      </c>
      <c r="Q9" s="23"/>
      <c r="R9" s="23"/>
      <c r="S9" s="149">
        <f t="shared" si="2"/>
        <v>866</v>
      </c>
      <c r="T9" s="73">
        <f t="shared" si="3"/>
        <v>-958</v>
      </c>
      <c r="U9" s="73">
        <f t="shared" si="28"/>
        <v>-5441</v>
      </c>
      <c r="V9" s="146">
        <v>1233</v>
      </c>
      <c r="W9" s="23">
        <v>289</v>
      </c>
      <c r="X9" s="23"/>
      <c r="Y9" s="23"/>
      <c r="Z9" s="148">
        <f t="shared" si="4"/>
        <v>289</v>
      </c>
      <c r="AA9" s="73">
        <f t="shared" si="5"/>
        <v>-944</v>
      </c>
      <c r="AB9" s="79">
        <f t="shared" si="29"/>
        <v>-4168</v>
      </c>
      <c r="AC9" s="150">
        <v>34</v>
      </c>
      <c r="AD9" s="147"/>
      <c r="AE9" s="147"/>
      <c r="AF9" s="147"/>
      <c r="AG9" s="147">
        <f t="shared" si="6"/>
        <v>0</v>
      </c>
      <c r="AH9" s="151">
        <f t="shared" si="7"/>
        <v>-34</v>
      </c>
      <c r="AI9" s="152">
        <f t="shared" si="30"/>
        <v>-341</v>
      </c>
      <c r="AJ9" s="150">
        <v>9234</v>
      </c>
      <c r="AK9" s="147">
        <f>3185+833</f>
        <v>4018</v>
      </c>
      <c r="AL9" s="147">
        <v>6432</v>
      </c>
      <c r="AM9" s="147"/>
      <c r="AN9" s="147">
        <f t="shared" si="8"/>
        <v>10450</v>
      </c>
      <c r="AO9" s="151">
        <f t="shared" si="9"/>
        <v>1216</v>
      </c>
      <c r="AP9" s="152">
        <f t="shared" si="31"/>
        <v>18487</v>
      </c>
      <c r="AQ9" s="147">
        <v>0</v>
      </c>
      <c r="AR9" s="147">
        <v>0</v>
      </c>
      <c r="AS9" s="147"/>
      <c r="AT9" s="147"/>
      <c r="AU9" s="147">
        <f t="shared" si="10"/>
        <v>0</v>
      </c>
      <c r="AV9" s="151">
        <f t="shared" si="11"/>
        <v>0</v>
      </c>
      <c r="AW9" s="152">
        <f t="shared" si="32"/>
        <v>0</v>
      </c>
      <c r="AX9" s="150">
        <v>0</v>
      </c>
      <c r="AY9" s="147"/>
      <c r="AZ9" s="147"/>
      <c r="BA9" s="147"/>
      <c r="BB9" s="147">
        <f t="shared" si="12"/>
        <v>0</v>
      </c>
      <c r="BC9" s="151">
        <f t="shared" si="13"/>
        <v>0</v>
      </c>
      <c r="BD9" s="152">
        <f t="shared" si="33"/>
        <v>-22</v>
      </c>
      <c r="BE9" s="150">
        <v>22</v>
      </c>
      <c r="BF9" s="147"/>
      <c r="BG9" s="147"/>
      <c r="BH9" s="147"/>
      <c r="BI9" s="147">
        <f t="shared" si="14"/>
        <v>0</v>
      </c>
      <c r="BJ9" s="151">
        <f t="shared" si="15"/>
        <v>-22</v>
      </c>
      <c r="BK9" s="152">
        <f t="shared" si="34"/>
        <v>-324</v>
      </c>
      <c r="BL9" s="153">
        <v>0</v>
      </c>
      <c r="BM9" s="154"/>
      <c r="BN9" s="154"/>
      <c r="BO9" s="154"/>
      <c r="BP9" s="154">
        <f t="shared" si="16"/>
        <v>0</v>
      </c>
      <c r="BQ9" s="155">
        <f t="shared" si="17"/>
        <v>0</v>
      </c>
      <c r="BR9" s="152">
        <f t="shared" si="35"/>
        <v>-8512</v>
      </c>
      <c r="BS9" s="154"/>
      <c r="BT9" s="154"/>
      <c r="BU9" s="154"/>
      <c r="BV9" s="154"/>
      <c r="BW9" s="154">
        <f t="shared" si="18"/>
        <v>0</v>
      </c>
      <c r="BX9" s="155">
        <f t="shared" si="19"/>
        <v>0</v>
      </c>
      <c r="BY9" s="152">
        <f t="shared" si="36"/>
        <v>0</v>
      </c>
      <c r="BZ9" s="154"/>
      <c r="CA9" s="154"/>
      <c r="CB9" s="154"/>
      <c r="CC9" s="154"/>
      <c r="CD9" s="154">
        <f t="shared" si="20"/>
        <v>0</v>
      </c>
      <c r="CE9" s="155">
        <f t="shared" si="21"/>
        <v>0</v>
      </c>
      <c r="CF9" s="152">
        <f t="shared" si="37"/>
        <v>0</v>
      </c>
      <c r="CG9" s="154"/>
      <c r="CH9" s="154"/>
      <c r="CI9" s="154"/>
      <c r="CJ9" s="154"/>
      <c r="CK9" s="154">
        <f t="shared" si="22"/>
        <v>0</v>
      </c>
      <c r="CL9" s="155">
        <f t="shared" si="23"/>
        <v>0</v>
      </c>
      <c r="CM9" s="152">
        <f t="shared" si="38"/>
        <v>0</v>
      </c>
      <c r="CN9" s="73">
        <f t="shared" si="24"/>
        <v>21332</v>
      </c>
      <c r="CO9" s="73">
        <f t="shared" si="25"/>
        <v>27764</v>
      </c>
      <c r="CP9" s="73">
        <f t="shared" si="26"/>
        <v>6432</v>
      </c>
      <c r="CQ9" s="152">
        <f t="shared" si="39"/>
        <v>19292</v>
      </c>
      <c r="CR9" s="79"/>
      <c r="CS9" s="79"/>
      <c r="CT9" s="111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</row>
    <row r="10" spans="1:147" x14ac:dyDescent="0.2">
      <c r="A10" s="72">
        <f>+BaseloadMarkets!A10</f>
        <v>36712</v>
      </c>
      <c r="B10" s="72" t="str">
        <f>+BaseloadMarkets!B10</f>
        <v>Wed</v>
      </c>
      <c r="C10" s="156">
        <v>7676</v>
      </c>
      <c r="D10" s="23">
        <f>2286</f>
        <v>2286</v>
      </c>
      <c r="E10" s="23">
        <v>14502</v>
      </c>
      <c r="F10" s="23">
        <v>1000</v>
      </c>
      <c r="G10" s="23">
        <v>8575</v>
      </c>
      <c r="H10" s="147">
        <f>+Border!AD8</f>
        <v>0</v>
      </c>
      <c r="I10" s="23"/>
      <c r="J10" s="23"/>
      <c r="K10" s="23"/>
      <c r="L10" s="148">
        <f t="shared" si="0"/>
        <v>26363</v>
      </c>
      <c r="M10" s="73">
        <f t="shared" si="1"/>
        <v>18687</v>
      </c>
      <c r="N10" s="73">
        <f t="shared" si="27"/>
        <v>38300</v>
      </c>
      <c r="O10" s="146">
        <f>927+838</f>
        <v>1765</v>
      </c>
      <c r="P10" s="23">
        <v>677</v>
      </c>
      <c r="Q10" s="23"/>
      <c r="R10" s="23"/>
      <c r="S10" s="149">
        <f t="shared" si="2"/>
        <v>677</v>
      </c>
      <c r="T10" s="73">
        <f t="shared" si="3"/>
        <v>-1088</v>
      </c>
      <c r="U10" s="73">
        <f t="shared" si="28"/>
        <v>-6529</v>
      </c>
      <c r="V10" s="146">
        <v>1471</v>
      </c>
      <c r="W10" s="23">
        <v>226</v>
      </c>
      <c r="X10" s="23"/>
      <c r="Y10" s="23"/>
      <c r="Z10" s="148">
        <f t="shared" si="4"/>
        <v>226</v>
      </c>
      <c r="AA10" s="73">
        <f t="shared" si="5"/>
        <v>-1245</v>
      </c>
      <c r="AB10" s="79">
        <f t="shared" si="29"/>
        <v>-5413</v>
      </c>
      <c r="AC10" s="150">
        <v>159</v>
      </c>
      <c r="AD10" s="147"/>
      <c r="AE10" s="147"/>
      <c r="AF10" s="147"/>
      <c r="AG10" s="147">
        <f t="shared" si="6"/>
        <v>0</v>
      </c>
      <c r="AH10" s="151">
        <f t="shared" si="7"/>
        <v>-159</v>
      </c>
      <c r="AI10" s="152">
        <f t="shared" si="30"/>
        <v>-500</v>
      </c>
      <c r="AJ10" s="150">
        <v>9411</v>
      </c>
      <c r="AK10" s="147">
        <f>2490+544</f>
        <v>3034</v>
      </c>
      <c r="AL10" s="147">
        <v>12876</v>
      </c>
      <c r="AM10" s="147">
        <f>1092+7377</f>
        <v>8469</v>
      </c>
      <c r="AN10" s="147">
        <f t="shared" si="8"/>
        <v>24379</v>
      </c>
      <c r="AO10" s="151">
        <f t="shared" si="9"/>
        <v>14968</v>
      </c>
      <c r="AP10" s="152">
        <f t="shared" si="31"/>
        <v>33455</v>
      </c>
      <c r="AQ10" s="147">
        <v>0</v>
      </c>
      <c r="AR10" s="147">
        <v>0</v>
      </c>
      <c r="AS10" s="147"/>
      <c r="AT10" s="147"/>
      <c r="AU10" s="147">
        <f t="shared" si="10"/>
        <v>0</v>
      </c>
      <c r="AV10" s="151">
        <f t="shared" si="11"/>
        <v>0</v>
      </c>
      <c r="AW10" s="152">
        <f t="shared" si="32"/>
        <v>0</v>
      </c>
      <c r="AX10" s="150">
        <v>153</v>
      </c>
      <c r="AY10" s="147"/>
      <c r="AZ10" s="147"/>
      <c r="BA10" s="147"/>
      <c r="BB10" s="147">
        <f t="shared" si="12"/>
        <v>0</v>
      </c>
      <c r="BC10" s="151">
        <f t="shared" si="13"/>
        <v>-153</v>
      </c>
      <c r="BD10" s="152">
        <f t="shared" si="33"/>
        <v>-175</v>
      </c>
      <c r="BE10" s="150">
        <v>221</v>
      </c>
      <c r="BF10" s="147"/>
      <c r="BG10" s="147"/>
      <c r="BH10" s="147"/>
      <c r="BI10" s="147">
        <f t="shared" si="14"/>
        <v>0</v>
      </c>
      <c r="BJ10" s="151">
        <f t="shared" si="15"/>
        <v>-221</v>
      </c>
      <c r="BK10" s="152">
        <f t="shared" si="34"/>
        <v>-545</v>
      </c>
      <c r="BL10" s="153">
        <v>1898</v>
      </c>
      <c r="BM10" s="154"/>
      <c r="BN10" s="154"/>
      <c r="BO10" s="154"/>
      <c r="BP10" s="154">
        <f t="shared" si="16"/>
        <v>0</v>
      </c>
      <c r="BQ10" s="155">
        <f t="shared" si="17"/>
        <v>-1898</v>
      </c>
      <c r="BR10" s="152">
        <f t="shared" si="35"/>
        <v>-10410</v>
      </c>
      <c r="BS10" s="154"/>
      <c r="BT10" s="154"/>
      <c r="BU10" s="154"/>
      <c r="BV10" s="154"/>
      <c r="BW10" s="154">
        <f t="shared" si="18"/>
        <v>0</v>
      </c>
      <c r="BX10" s="155">
        <f t="shared" si="19"/>
        <v>0</v>
      </c>
      <c r="BY10" s="152">
        <f t="shared" si="36"/>
        <v>0</v>
      </c>
      <c r="BZ10" s="154"/>
      <c r="CA10" s="154"/>
      <c r="CB10" s="154"/>
      <c r="CC10" s="154"/>
      <c r="CD10" s="154">
        <f t="shared" si="20"/>
        <v>0</v>
      </c>
      <c r="CE10" s="155">
        <f t="shared" si="21"/>
        <v>0</v>
      </c>
      <c r="CF10" s="152">
        <f t="shared" si="37"/>
        <v>0</v>
      </c>
      <c r="CG10" s="154"/>
      <c r="CH10" s="154"/>
      <c r="CI10" s="154"/>
      <c r="CJ10" s="154"/>
      <c r="CK10" s="154">
        <f t="shared" si="22"/>
        <v>0</v>
      </c>
      <c r="CL10" s="155">
        <f t="shared" si="23"/>
        <v>0</v>
      </c>
      <c r="CM10" s="152">
        <f t="shared" si="38"/>
        <v>0</v>
      </c>
      <c r="CN10" s="73">
        <f t="shared" si="24"/>
        <v>22754</v>
      </c>
      <c r="CO10" s="73">
        <f t="shared" si="25"/>
        <v>51645</v>
      </c>
      <c r="CP10" s="73">
        <f t="shared" si="26"/>
        <v>28891</v>
      </c>
      <c r="CQ10" s="152">
        <f t="shared" si="39"/>
        <v>48183</v>
      </c>
      <c r="CR10" s="79"/>
      <c r="CS10" s="79"/>
      <c r="CT10" s="111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</row>
    <row r="11" spans="1:147" x14ac:dyDescent="0.2">
      <c r="A11" s="72">
        <f>+BaseloadMarkets!A11</f>
        <v>36713</v>
      </c>
      <c r="B11" s="72" t="str">
        <f>+BaseloadMarkets!B11</f>
        <v>Thu</v>
      </c>
      <c r="C11" s="156">
        <v>7625</v>
      </c>
      <c r="D11" s="23">
        <v>7928</v>
      </c>
      <c r="E11" s="23">
        <v>4907</v>
      </c>
      <c r="F11" s="23">
        <v>1000</v>
      </c>
      <c r="G11" s="23"/>
      <c r="H11" s="147">
        <f>+Border!AD9</f>
        <v>0</v>
      </c>
      <c r="I11" s="23"/>
      <c r="J11" s="23"/>
      <c r="K11" s="23"/>
      <c r="L11" s="148">
        <f t="shared" si="0"/>
        <v>13835</v>
      </c>
      <c r="M11" s="73">
        <f t="shared" si="1"/>
        <v>6210</v>
      </c>
      <c r="N11" s="73">
        <f t="shared" si="27"/>
        <v>44510</v>
      </c>
      <c r="O11" s="146">
        <v>1554</v>
      </c>
      <c r="P11" s="23">
        <v>4103</v>
      </c>
      <c r="Q11" s="23"/>
      <c r="R11" s="23">
        <v>20000</v>
      </c>
      <c r="S11" s="149">
        <f t="shared" si="2"/>
        <v>24103</v>
      </c>
      <c r="T11" s="73">
        <f t="shared" si="3"/>
        <v>22549</v>
      </c>
      <c r="U11" s="73">
        <f t="shared" si="28"/>
        <v>16020</v>
      </c>
      <c r="V11" s="146">
        <v>1381</v>
      </c>
      <c r="W11" s="23">
        <v>4400</v>
      </c>
      <c r="X11" s="23"/>
      <c r="Y11" s="23"/>
      <c r="Z11" s="148">
        <f t="shared" si="4"/>
        <v>4400</v>
      </c>
      <c r="AA11" s="73">
        <f t="shared" si="5"/>
        <v>3019</v>
      </c>
      <c r="AB11" s="79">
        <f t="shared" si="29"/>
        <v>-2394</v>
      </c>
      <c r="AC11" s="150">
        <v>157</v>
      </c>
      <c r="AD11" s="147">
        <v>595</v>
      </c>
      <c r="AE11" s="147"/>
      <c r="AF11" s="147"/>
      <c r="AG11" s="147">
        <f t="shared" si="6"/>
        <v>595</v>
      </c>
      <c r="AH11" s="151">
        <f t="shared" si="7"/>
        <v>438</v>
      </c>
      <c r="AI11" s="152">
        <f t="shared" si="30"/>
        <v>-62</v>
      </c>
      <c r="AJ11" s="150">
        <v>9620</v>
      </c>
      <c r="AK11" s="147">
        <f>4987+5941+6884</f>
        <v>17812</v>
      </c>
      <c r="AL11" s="147">
        <v>3963</v>
      </c>
      <c r="AM11" s="147"/>
      <c r="AN11" s="147">
        <f t="shared" si="8"/>
        <v>21775</v>
      </c>
      <c r="AO11" s="151">
        <f t="shared" si="9"/>
        <v>12155</v>
      </c>
      <c r="AP11" s="152">
        <f t="shared" si="31"/>
        <v>45610</v>
      </c>
      <c r="AQ11" s="147">
        <v>0</v>
      </c>
      <c r="AR11" s="147">
        <v>0</v>
      </c>
      <c r="AS11" s="147"/>
      <c r="AT11" s="147"/>
      <c r="AU11" s="147">
        <f t="shared" si="10"/>
        <v>0</v>
      </c>
      <c r="AV11" s="151">
        <f t="shared" si="11"/>
        <v>0</v>
      </c>
      <c r="AW11" s="152">
        <f t="shared" si="32"/>
        <v>0</v>
      </c>
      <c r="AX11" s="150">
        <v>162</v>
      </c>
      <c r="AY11" s="147">
        <v>595</v>
      </c>
      <c r="AZ11" s="147"/>
      <c r="BA11" s="147"/>
      <c r="BB11" s="147">
        <f t="shared" si="12"/>
        <v>595</v>
      </c>
      <c r="BC11" s="151">
        <f t="shared" si="13"/>
        <v>433</v>
      </c>
      <c r="BD11" s="152">
        <f t="shared" si="33"/>
        <v>258</v>
      </c>
      <c r="BE11" s="150">
        <v>315</v>
      </c>
      <c r="BF11" s="147">
        <v>1786</v>
      </c>
      <c r="BG11" s="147"/>
      <c r="BH11" s="147"/>
      <c r="BI11" s="147">
        <f t="shared" si="14"/>
        <v>1786</v>
      </c>
      <c r="BJ11" s="151">
        <f t="shared" si="15"/>
        <v>1471</v>
      </c>
      <c r="BK11" s="152">
        <f t="shared" si="34"/>
        <v>926</v>
      </c>
      <c r="BL11" s="153">
        <v>0</v>
      </c>
      <c r="BM11" s="154"/>
      <c r="BN11" s="154"/>
      <c r="BO11" s="154"/>
      <c r="BP11" s="154">
        <f t="shared" si="16"/>
        <v>0</v>
      </c>
      <c r="BQ11" s="155">
        <f t="shared" si="17"/>
        <v>0</v>
      </c>
      <c r="BR11" s="152">
        <f t="shared" si="35"/>
        <v>-10410</v>
      </c>
      <c r="BS11" s="154"/>
      <c r="BT11" s="154"/>
      <c r="BU11" s="154"/>
      <c r="BV11" s="154"/>
      <c r="BW11" s="154">
        <f t="shared" si="18"/>
        <v>0</v>
      </c>
      <c r="BX11" s="155">
        <f t="shared" si="19"/>
        <v>0</v>
      </c>
      <c r="BY11" s="152">
        <f t="shared" si="36"/>
        <v>0</v>
      </c>
      <c r="BZ11" s="154"/>
      <c r="CA11" s="154"/>
      <c r="CB11" s="154"/>
      <c r="CC11" s="154"/>
      <c r="CD11" s="154">
        <f t="shared" si="20"/>
        <v>0</v>
      </c>
      <c r="CE11" s="155">
        <f t="shared" si="21"/>
        <v>0</v>
      </c>
      <c r="CF11" s="152">
        <f t="shared" si="37"/>
        <v>0</v>
      </c>
      <c r="CG11" s="154"/>
      <c r="CH11" s="154"/>
      <c r="CI11" s="154"/>
      <c r="CJ11" s="154"/>
      <c r="CK11" s="154">
        <f t="shared" si="22"/>
        <v>0</v>
      </c>
      <c r="CL11" s="155">
        <f t="shared" si="23"/>
        <v>0</v>
      </c>
      <c r="CM11" s="152">
        <f t="shared" si="38"/>
        <v>0</v>
      </c>
      <c r="CN11" s="73">
        <f t="shared" si="24"/>
        <v>20814</v>
      </c>
      <c r="CO11" s="73">
        <f t="shared" si="25"/>
        <v>67089</v>
      </c>
      <c r="CP11" s="73">
        <f t="shared" si="26"/>
        <v>46275</v>
      </c>
      <c r="CQ11" s="152">
        <f t="shared" si="39"/>
        <v>94458</v>
      </c>
      <c r="CR11" s="79"/>
      <c r="CS11" s="79"/>
      <c r="CT11" s="111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</row>
    <row r="12" spans="1:147" x14ac:dyDescent="0.2">
      <c r="A12" s="72">
        <f>+BaseloadMarkets!A12</f>
        <v>36714</v>
      </c>
      <c r="B12" s="72" t="str">
        <f>+BaseloadMarkets!B12</f>
        <v>Fri</v>
      </c>
      <c r="C12" s="156">
        <v>7621</v>
      </c>
      <c r="D12" s="23">
        <v>0</v>
      </c>
      <c r="E12" s="23">
        <v>11999</v>
      </c>
      <c r="F12" s="23">
        <v>0</v>
      </c>
      <c r="G12" s="23"/>
      <c r="H12" s="147">
        <f>+Border!AD10</f>
        <v>0</v>
      </c>
      <c r="I12" s="23"/>
      <c r="J12" s="23"/>
      <c r="K12" s="23"/>
      <c r="L12" s="148">
        <f t="shared" si="0"/>
        <v>11999</v>
      </c>
      <c r="M12" s="73">
        <f t="shared" si="1"/>
        <v>4378</v>
      </c>
      <c r="N12" s="73">
        <f t="shared" si="27"/>
        <v>48888</v>
      </c>
      <c r="O12" s="146">
        <v>1711</v>
      </c>
      <c r="P12" s="23">
        <v>0</v>
      </c>
      <c r="Q12" s="23"/>
      <c r="R12" s="23"/>
      <c r="S12" s="149">
        <f t="shared" si="2"/>
        <v>0</v>
      </c>
      <c r="T12" s="73">
        <f t="shared" si="3"/>
        <v>-1711</v>
      </c>
      <c r="U12" s="73">
        <f t="shared" si="28"/>
        <v>14309</v>
      </c>
      <c r="V12" s="146">
        <v>1003</v>
      </c>
      <c r="W12" s="23">
        <v>0</v>
      </c>
      <c r="X12" s="23"/>
      <c r="Y12" s="23"/>
      <c r="Z12" s="148">
        <f t="shared" si="4"/>
        <v>0</v>
      </c>
      <c r="AA12" s="73">
        <f t="shared" si="5"/>
        <v>-1003</v>
      </c>
      <c r="AB12" s="79">
        <f t="shared" si="29"/>
        <v>-3397</v>
      </c>
      <c r="AC12" s="150">
        <v>167</v>
      </c>
      <c r="AD12" s="147">
        <v>0</v>
      </c>
      <c r="AE12" s="147"/>
      <c r="AF12" s="147"/>
      <c r="AG12" s="147">
        <f t="shared" si="6"/>
        <v>0</v>
      </c>
      <c r="AH12" s="151">
        <f t="shared" si="7"/>
        <v>-167</v>
      </c>
      <c r="AI12" s="152">
        <f t="shared" si="30"/>
        <v>-229</v>
      </c>
      <c r="AJ12" s="150">
        <v>9575</v>
      </c>
      <c r="AK12" s="147">
        <f>1839+314</f>
        <v>2153</v>
      </c>
      <c r="AL12" s="147">
        <v>9981</v>
      </c>
      <c r="AM12" s="147"/>
      <c r="AN12" s="147">
        <f t="shared" si="8"/>
        <v>12134</v>
      </c>
      <c r="AO12" s="151">
        <f t="shared" si="9"/>
        <v>2559</v>
      </c>
      <c r="AP12" s="152">
        <f t="shared" si="31"/>
        <v>48169</v>
      </c>
      <c r="AQ12" s="147">
        <v>0</v>
      </c>
      <c r="AR12" s="147">
        <v>0</v>
      </c>
      <c r="AS12" s="147"/>
      <c r="AT12" s="147"/>
      <c r="AU12" s="147">
        <f t="shared" si="10"/>
        <v>0</v>
      </c>
      <c r="AV12" s="151">
        <f t="shared" si="11"/>
        <v>0</v>
      </c>
      <c r="AW12" s="152">
        <f t="shared" si="32"/>
        <v>0</v>
      </c>
      <c r="AX12" s="150">
        <v>204</v>
      </c>
      <c r="AY12" s="147">
        <v>0</v>
      </c>
      <c r="AZ12" s="147"/>
      <c r="BA12" s="147"/>
      <c r="BB12" s="147">
        <f t="shared" si="12"/>
        <v>0</v>
      </c>
      <c r="BC12" s="151">
        <f t="shared" si="13"/>
        <v>-204</v>
      </c>
      <c r="BD12" s="152">
        <f t="shared" si="33"/>
        <v>54</v>
      </c>
      <c r="BE12" s="150">
        <v>303</v>
      </c>
      <c r="BF12" s="147">
        <v>0</v>
      </c>
      <c r="BG12" s="147"/>
      <c r="BH12" s="147"/>
      <c r="BI12" s="147">
        <f t="shared" si="14"/>
        <v>0</v>
      </c>
      <c r="BJ12" s="151">
        <f t="shared" si="15"/>
        <v>-303</v>
      </c>
      <c r="BK12" s="152">
        <f t="shared" si="34"/>
        <v>623</v>
      </c>
      <c r="BL12" s="153">
        <v>2922</v>
      </c>
      <c r="BM12" s="154"/>
      <c r="BN12" s="154"/>
      <c r="BO12" s="154"/>
      <c r="BP12" s="154">
        <f t="shared" si="16"/>
        <v>0</v>
      </c>
      <c r="BQ12" s="155">
        <f t="shared" si="17"/>
        <v>-2922</v>
      </c>
      <c r="BR12" s="152">
        <f t="shared" si="35"/>
        <v>-13332</v>
      </c>
      <c r="BS12" s="154"/>
      <c r="BT12" s="154"/>
      <c r="BU12" s="154"/>
      <c r="BV12" s="154"/>
      <c r="BW12" s="154">
        <f t="shared" si="18"/>
        <v>0</v>
      </c>
      <c r="BX12" s="155">
        <f t="shared" si="19"/>
        <v>0</v>
      </c>
      <c r="BY12" s="152">
        <f t="shared" si="36"/>
        <v>0</v>
      </c>
      <c r="BZ12" s="154"/>
      <c r="CA12" s="154"/>
      <c r="CB12" s="154"/>
      <c r="CC12" s="154"/>
      <c r="CD12" s="154">
        <f t="shared" si="20"/>
        <v>0</v>
      </c>
      <c r="CE12" s="155">
        <f t="shared" si="21"/>
        <v>0</v>
      </c>
      <c r="CF12" s="152">
        <f t="shared" si="37"/>
        <v>0</v>
      </c>
      <c r="CG12" s="154"/>
      <c r="CH12" s="154"/>
      <c r="CI12" s="154"/>
      <c r="CJ12" s="154"/>
      <c r="CK12" s="154">
        <f t="shared" si="22"/>
        <v>0</v>
      </c>
      <c r="CL12" s="155">
        <f t="shared" si="23"/>
        <v>0</v>
      </c>
      <c r="CM12" s="152">
        <f t="shared" si="38"/>
        <v>0</v>
      </c>
      <c r="CN12" s="73">
        <f t="shared" si="24"/>
        <v>23506</v>
      </c>
      <c r="CO12" s="73">
        <f t="shared" si="25"/>
        <v>24133</v>
      </c>
      <c r="CP12" s="73">
        <f t="shared" si="26"/>
        <v>627</v>
      </c>
      <c r="CQ12" s="152">
        <f t="shared" si="39"/>
        <v>95085</v>
      </c>
      <c r="CR12" s="79"/>
      <c r="CS12" s="79"/>
      <c r="CT12" s="111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</row>
    <row r="13" spans="1:147" x14ac:dyDescent="0.2">
      <c r="A13" s="72">
        <f>+BaseloadMarkets!A13</f>
        <v>36715</v>
      </c>
      <c r="B13" s="72" t="str">
        <f>+BaseloadMarkets!B13</f>
        <v>Sat</v>
      </c>
      <c r="C13" s="156">
        <v>2727</v>
      </c>
      <c r="D13" s="23">
        <f>1086+1184-1000</f>
        <v>1270</v>
      </c>
      <c r="E13" s="23">
        <v>3000</v>
      </c>
      <c r="F13" s="23">
        <v>1000</v>
      </c>
      <c r="G13" s="23"/>
      <c r="H13" s="147">
        <f>+Border!AD11</f>
        <v>0</v>
      </c>
      <c r="I13" s="23"/>
      <c r="J13" s="23"/>
      <c r="K13" s="23"/>
      <c r="L13" s="148">
        <f t="shared" si="0"/>
        <v>5270</v>
      </c>
      <c r="M13" s="73">
        <f t="shared" si="1"/>
        <v>2543</v>
      </c>
      <c r="N13" s="73">
        <f t="shared" si="27"/>
        <v>51431</v>
      </c>
      <c r="O13" s="146">
        <f>1717+574</f>
        <v>2291</v>
      </c>
      <c r="P13" s="23">
        <v>703</v>
      </c>
      <c r="Q13" s="23"/>
      <c r="R13" s="23"/>
      <c r="S13" s="149">
        <f t="shared" si="2"/>
        <v>703</v>
      </c>
      <c r="T13" s="73">
        <f t="shared" si="3"/>
        <v>-1588</v>
      </c>
      <c r="U13" s="73">
        <f t="shared" si="28"/>
        <v>12721</v>
      </c>
      <c r="V13" s="146">
        <v>1322</v>
      </c>
      <c r="W13" s="23">
        <v>469</v>
      </c>
      <c r="X13" s="23"/>
      <c r="Y13" s="23"/>
      <c r="Z13" s="148">
        <f t="shared" si="4"/>
        <v>469</v>
      </c>
      <c r="AA13" s="73">
        <f t="shared" si="5"/>
        <v>-853</v>
      </c>
      <c r="AB13" s="79">
        <f t="shared" si="29"/>
        <v>-4250</v>
      </c>
      <c r="AC13" s="150">
        <v>195</v>
      </c>
      <c r="AD13" s="147">
        <v>0</v>
      </c>
      <c r="AE13" s="147"/>
      <c r="AF13" s="147"/>
      <c r="AG13" s="147">
        <f t="shared" si="6"/>
        <v>0</v>
      </c>
      <c r="AH13" s="151">
        <f t="shared" si="7"/>
        <v>-195</v>
      </c>
      <c r="AI13" s="152">
        <f t="shared" si="30"/>
        <v>-424</v>
      </c>
      <c r="AJ13" s="150">
        <v>9254</v>
      </c>
      <c r="AK13" s="147">
        <f>2700</f>
        <v>2700</v>
      </c>
      <c r="AL13" s="147">
        <v>980</v>
      </c>
      <c r="AM13" s="147"/>
      <c r="AN13" s="147">
        <f t="shared" si="8"/>
        <v>3680</v>
      </c>
      <c r="AO13" s="151">
        <f t="shared" si="9"/>
        <v>-5574</v>
      </c>
      <c r="AP13" s="152">
        <f t="shared" si="31"/>
        <v>42595</v>
      </c>
      <c r="AQ13" s="147">
        <v>0</v>
      </c>
      <c r="AR13" s="147">
        <v>0</v>
      </c>
      <c r="AS13" s="147"/>
      <c r="AT13" s="147"/>
      <c r="AU13" s="147">
        <f t="shared" si="10"/>
        <v>0</v>
      </c>
      <c r="AV13" s="151">
        <f t="shared" si="11"/>
        <v>0</v>
      </c>
      <c r="AW13" s="152">
        <f t="shared" si="32"/>
        <v>0</v>
      </c>
      <c r="AX13" s="150">
        <v>100</v>
      </c>
      <c r="AY13" s="147">
        <v>0</v>
      </c>
      <c r="AZ13" s="147"/>
      <c r="BA13" s="147"/>
      <c r="BB13" s="147">
        <f t="shared" si="12"/>
        <v>0</v>
      </c>
      <c r="BC13" s="151">
        <f t="shared" si="13"/>
        <v>-100</v>
      </c>
      <c r="BD13" s="152">
        <f t="shared" si="33"/>
        <v>-46</v>
      </c>
      <c r="BE13" s="150">
        <v>150</v>
      </c>
      <c r="BF13" s="147">
        <v>0</v>
      </c>
      <c r="BG13" s="147"/>
      <c r="BH13" s="147"/>
      <c r="BI13" s="147">
        <f t="shared" si="14"/>
        <v>0</v>
      </c>
      <c r="BJ13" s="151">
        <f t="shared" si="15"/>
        <v>-150</v>
      </c>
      <c r="BK13" s="152">
        <f t="shared" si="34"/>
        <v>473</v>
      </c>
      <c r="BL13" s="153">
        <v>2316</v>
      </c>
      <c r="BM13" s="154"/>
      <c r="BN13" s="154"/>
      <c r="BO13" s="154"/>
      <c r="BP13" s="154">
        <f t="shared" si="16"/>
        <v>0</v>
      </c>
      <c r="BQ13" s="155">
        <f t="shared" si="17"/>
        <v>-2316</v>
      </c>
      <c r="BR13" s="152">
        <f t="shared" si="35"/>
        <v>-15648</v>
      </c>
      <c r="BS13" s="154"/>
      <c r="BT13" s="154"/>
      <c r="BU13" s="154"/>
      <c r="BV13" s="154"/>
      <c r="BW13" s="154">
        <f t="shared" si="18"/>
        <v>0</v>
      </c>
      <c r="BX13" s="155">
        <f t="shared" si="19"/>
        <v>0</v>
      </c>
      <c r="BY13" s="152">
        <f t="shared" si="36"/>
        <v>0</v>
      </c>
      <c r="BZ13" s="154"/>
      <c r="CA13" s="154"/>
      <c r="CB13" s="154"/>
      <c r="CC13" s="154"/>
      <c r="CD13" s="154">
        <f t="shared" si="20"/>
        <v>0</v>
      </c>
      <c r="CE13" s="155">
        <f t="shared" si="21"/>
        <v>0</v>
      </c>
      <c r="CF13" s="152">
        <f t="shared" si="37"/>
        <v>0</v>
      </c>
      <c r="CG13" s="154"/>
      <c r="CH13" s="154"/>
      <c r="CI13" s="154"/>
      <c r="CJ13" s="154"/>
      <c r="CK13" s="154">
        <f t="shared" si="22"/>
        <v>0</v>
      </c>
      <c r="CL13" s="155">
        <f t="shared" si="23"/>
        <v>0</v>
      </c>
      <c r="CM13" s="152">
        <f t="shared" si="38"/>
        <v>0</v>
      </c>
      <c r="CN13" s="73">
        <f t="shared" si="24"/>
        <v>18355</v>
      </c>
      <c r="CO13" s="73">
        <f t="shared" si="25"/>
        <v>10122</v>
      </c>
      <c r="CP13" s="73">
        <f t="shared" si="26"/>
        <v>-8233</v>
      </c>
      <c r="CQ13" s="152">
        <f t="shared" si="39"/>
        <v>86852</v>
      </c>
      <c r="CR13" s="79"/>
      <c r="CS13" s="79"/>
      <c r="CT13" s="111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</row>
    <row r="14" spans="1:147" x14ac:dyDescent="0.2">
      <c r="A14" s="72">
        <f>+BaseloadMarkets!A14</f>
        <v>36716</v>
      </c>
      <c r="B14" s="72" t="str">
        <f>+BaseloadMarkets!B14</f>
        <v>Sun</v>
      </c>
      <c r="C14" s="146">
        <v>2460</v>
      </c>
      <c r="D14" s="23">
        <v>0</v>
      </c>
      <c r="E14" s="23">
        <v>2999</v>
      </c>
      <c r="F14" s="23">
        <v>0</v>
      </c>
      <c r="G14" s="23"/>
      <c r="H14" s="147">
        <f>+Border!AD12</f>
        <v>0</v>
      </c>
      <c r="I14" s="23"/>
      <c r="J14" s="23"/>
      <c r="K14" s="23"/>
      <c r="L14" s="148">
        <f t="shared" si="0"/>
        <v>2999</v>
      </c>
      <c r="M14" s="73">
        <f t="shared" si="1"/>
        <v>539</v>
      </c>
      <c r="N14" s="73">
        <f t="shared" si="27"/>
        <v>51970</v>
      </c>
      <c r="O14" s="146">
        <v>2143</v>
      </c>
      <c r="P14" s="23">
        <v>0</v>
      </c>
      <c r="Q14" s="23"/>
      <c r="R14" s="23"/>
      <c r="S14" s="149">
        <f t="shared" si="2"/>
        <v>0</v>
      </c>
      <c r="T14" s="73">
        <f t="shared" si="3"/>
        <v>-2143</v>
      </c>
      <c r="U14" s="73">
        <f t="shared" si="28"/>
        <v>10578</v>
      </c>
      <c r="V14" s="146">
        <v>1431</v>
      </c>
      <c r="W14" s="23">
        <v>7</v>
      </c>
      <c r="X14" s="23"/>
      <c r="Y14" s="23"/>
      <c r="Z14" s="148">
        <f t="shared" si="4"/>
        <v>7</v>
      </c>
      <c r="AA14" s="73">
        <f t="shared" si="5"/>
        <v>-1424</v>
      </c>
      <c r="AB14" s="79">
        <f t="shared" si="29"/>
        <v>-5674</v>
      </c>
      <c r="AC14" s="150">
        <v>32</v>
      </c>
      <c r="AD14" s="147">
        <v>0</v>
      </c>
      <c r="AE14" s="147"/>
      <c r="AF14" s="147"/>
      <c r="AG14" s="147">
        <f t="shared" si="6"/>
        <v>0</v>
      </c>
      <c r="AH14" s="151">
        <f t="shared" si="7"/>
        <v>-32</v>
      </c>
      <c r="AI14" s="152">
        <f t="shared" si="30"/>
        <v>-456</v>
      </c>
      <c r="AJ14" s="150">
        <v>9190</v>
      </c>
      <c r="AK14" s="147">
        <v>0</v>
      </c>
      <c r="AL14" s="147">
        <v>981</v>
      </c>
      <c r="AM14" s="147"/>
      <c r="AN14" s="147">
        <f t="shared" si="8"/>
        <v>981</v>
      </c>
      <c r="AO14" s="151">
        <f t="shared" si="9"/>
        <v>-8209</v>
      </c>
      <c r="AP14" s="152">
        <f t="shared" si="31"/>
        <v>34386</v>
      </c>
      <c r="AQ14" s="147">
        <v>0</v>
      </c>
      <c r="AR14" s="147">
        <v>0</v>
      </c>
      <c r="AS14" s="147"/>
      <c r="AT14" s="147"/>
      <c r="AU14" s="147">
        <f t="shared" si="10"/>
        <v>0</v>
      </c>
      <c r="AV14" s="151">
        <f t="shared" si="11"/>
        <v>0</v>
      </c>
      <c r="AW14" s="152">
        <f t="shared" si="32"/>
        <v>0</v>
      </c>
      <c r="AX14" s="150">
        <v>37</v>
      </c>
      <c r="AY14" s="147">
        <v>0</v>
      </c>
      <c r="AZ14" s="147"/>
      <c r="BA14" s="147"/>
      <c r="BB14" s="147">
        <f t="shared" si="12"/>
        <v>0</v>
      </c>
      <c r="BC14" s="151">
        <f t="shared" si="13"/>
        <v>-37</v>
      </c>
      <c r="BD14" s="152">
        <f t="shared" si="33"/>
        <v>-83</v>
      </c>
      <c r="BE14" s="150">
        <v>26</v>
      </c>
      <c r="BF14" s="147">
        <v>0</v>
      </c>
      <c r="BG14" s="147"/>
      <c r="BH14" s="147"/>
      <c r="BI14" s="147">
        <f t="shared" si="14"/>
        <v>0</v>
      </c>
      <c r="BJ14" s="151">
        <f t="shared" si="15"/>
        <v>-26</v>
      </c>
      <c r="BK14" s="152">
        <f t="shared" si="34"/>
        <v>447</v>
      </c>
      <c r="BL14" s="153">
        <v>8221</v>
      </c>
      <c r="BM14" s="154">
        <f>22+3884</f>
        <v>3906</v>
      </c>
      <c r="BN14" s="154"/>
      <c r="BO14" s="154"/>
      <c r="BP14" s="154">
        <f t="shared" si="16"/>
        <v>3906</v>
      </c>
      <c r="BQ14" s="155">
        <f t="shared" si="17"/>
        <v>-4315</v>
      </c>
      <c r="BR14" s="152">
        <f t="shared" si="35"/>
        <v>-19963</v>
      </c>
      <c r="BS14" s="154"/>
      <c r="BT14" s="154"/>
      <c r="BU14" s="154"/>
      <c r="BV14" s="154"/>
      <c r="BW14" s="154">
        <f t="shared" si="18"/>
        <v>0</v>
      </c>
      <c r="BX14" s="155">
        <f t="shared" si="19"/>
        <v>0</v>
      </c>
      <c r="BY14" s="152">
        <f t="shared" si="36"/>
        <v>0</v>
      </c>
      <c r="BZ14" s="154"/>
      <c r="CA14" s="154"/>
      <c r="CB14" s="154"/>
      <c r="CC14" s="154"/>
      <c r="CD14" s="154">
        <f t="shared" si="20"/>
        <v>0</v>
      </c>
      <c r="CE14" s="155">
        <f t="shared" si="21"/>
        <v>0</v>
      </c>
      <c r="CF14" s="152">
        <f t="shared" si="37"/>
        <v>0</v>
      </c>
      <c r="CG14" s="154"/>
      <c r="CH14" s="154"/>
      <c r="CI14" s="154"/>
      <c r="CJ14" s="154"/>
      <c r="CK14" s="154">
        <f t="shared" si="22"/>
        <v>0</v>
      </c>
      <c r="CL14" s="155">
        <f t="shared" si="23"/>
        <v>0</v>
      </c>
      <c r="CM14" s="152">
        <f t="shared" si="38"/>
        <v>0</v>
      </c>
      <c r="CN14" s="73">
        <f t="shared" si="24"/>
        <v>23540</v>
      </c>
      <c r="CO14" s="73">
        <f t="shared" si="25"/>
        <v>7893</v>
      </c>
      <c r="CP14" s="73">
        <f t="shared" si="26"/>
        <v>-15647</v>
      </c>
      <c r="CQ14" s="152">
        <f t="shared" si="39"/>
        <v>71205</v>
      </c>
      <c r="CR14" s="79"/>
      <c r="CS14" s="79"/>
      <c r="CT14" s="111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</row>
    <row r="15" spans="1:147" ht="13.5" customHeight="1" x14ac:dyDescent="0.2">
      <c r="A15" s="72">
        <f>+BaseloadMarkets!A15</f>
        <v>36717</v>
      </c>
      <c r="B15" s="72" t="str">
        <f>+BaseloadMarkets!B15</f>
        <v>Mon</v>
      </c>
      <c r="C15" s="146">
        <v>3281</v>
      </c>
      <c r="D15" s="23">
        <v>0</v>
      </c>
      <c r="E15" s="23">
        <v>2999</v>
      </c>
      <c r="F15" s="23">
        <v>0</v>
      </c>
      <c r="G15" s="23"/>
      <c r="H15" s="147">
        <f>+Border!AD13</f>
        <v>0</v>
      </c>
      <c r="I15" s="23"/>
      <c r="J15" s="23"/>
      <c r="K15" s="23"/>
      <c r="L15" s="148">
        <f t="shared" si="0"/>
        <v>2999</v>
      </c>
      <c r="M15" s="73">
        <f t="shared" si="1"/>
        <v>-282</v>
      </c>
      <c r="N15" s="73">
        <f t="shared" si="27"/>
        <v>51688</v>
      </c>
      <c r="O15" s="146">
        <v>2122</v>
      </c>
      <c r="P15" s="23">
        <v>0</v>
      </c>
      <c r="Q15" s="23"/>
      <c r="R15" s="23"/>
      <c r="S15" s="149">
        <f t="shared" si="2"/>
        <v>0</v>
      </c>
      <c r="T15" s="73">
        <f t="shared" si="3"/>
        <v>-2122</v>
      </c>
      <c r="U15" s="73">
        <f t="shared" si="28"/>
        <v>8456</v>
      </c>
      <c r="V15" s="146">
        <v>1282</v>
      </c>
      <c r="W15" s="23">
        <v>0</v>
      </c>
      <c r="X15" s="23"/>
      <c r="Y15" s="23"/>
      <c r="Z15" s="148">
        <f t="shared" si="4"/>
        <v>0</v>
      </c>
      <c r="AA15" s="73">
        <f t="shared" si="5"/>
        <v>-1282</v>
      </c>
      <c r="AB15" s="79">
        <f t="shared" si="29"/>
        <v>-6956</v>
      </c>
      <c r="AC15" s="150">
        <v>167</v>
      </c>
      <c r="AD15" s="147">
        <v>0</v>
      </c>
      <c r="AE15" s="147"/>
      <c r="AF15" s="147"/>
      <c r="AG15" s="147">
        <f t="shared" si="6"/>
        <v>0</v>
      </c>
      <c r="AH15" s="151">
        <f t="shared" si="7"/>
        <v>-167</v>
      </c>
      <c r="AI15" s="157">
        <f t="shared" si="30"/>
        <v>-623</v>
      </c>
      <c r="AJ15" s="150">
        <v>9413</v>
      </c>
      <c r="AK15" s="147">
        <v>0</v>
      </c>
      <c r="AL15" s="147">
        <v>981</v>
      </c>
      <c r="AM15" s="147"/>
      <c r="AN15" s="147">
        <f t="shared" si="8"/>
        <v>981</v>
      </c>
      <c r="AO15" s="151">
        <f t="shared" si="9"/>
        <v>-8432</v>
      </c>
      <c r="AP15" s="157">
        <f t="shared" si="31"/>
        <v>25954</v>
      </c>
      <c r="AQ15" s="147">
        <v>0</v>
      </c>
      <c r="AR15" s="147">
        <v>0</v>
      </c>
      <c r="AS15" s="147"/>
      <c r="AT15" s="147"/>
      <c r="AU15" s="147">
        <f t="shared" si="10"/>
        <v>0</v>
      </c>
      <c r="AV15" s="151">
        <f t="shared" si="11"/>
        <v>0</v>
      </c>
      <c r="AW15" s="157">
        <f t="shared" si="32"/>
        <v>0</v>
      </c>
      <c r="AX15" s="150">
        <v>207</v>
      </c>
      <c r="AY15" s="147">
        <v>0</v>
      </c>
      <c r="AZ15" s="147"/>
      <c r="BA15" s="147"/>
      <c r="BB15" s="147">
        <f t="shared" si="12"/>
        <v>0</v>
      </c>
      <c r="BC15" s="151">
        <f t="shared" si="13"/>
        <v>-207</v>
      </c>
      <c r="BD15" s="157">
        <f t="shared" si="33"/>
        <v>-290</v>
      </c>
      <c r="BE15" s="150">
        <v>227</v>
      </c>
      <c r="BF15" s="147">
        <v>0</v>
      </c>
      <c r="BG15" s="147"/>
      <c r="BH15" s="147"/>
      <c r="BI15" s="147">
        <f t="shared" si="14"/>
        <v>0</v>
      </c>
      <c r="BJ15" s="151">
        <f t="shared" si="15"/>
        <v>-227</v>
      </c>
      <c r="BK15" s="157">
        <f t="shared" si="34"/>
        <v>220</v>
      </c>
      <c r="BL15" s="158">
        <v>9923</v>
      </c>
      <c r="BM15" s="154">
        <v>3884</v>
      </c>
      <c r="BN15" s="154"/>
      <c r="BO15" s="154"/>
      <c r="BP15" s="154">
        <f t="shared" si="16"/>
        <v>3884</v>
      </c>
      <c r="BQ15" s="155">
        <f t="shared" si="17"/>
        <v>-6039</v>
      </c>
      <c r="BR15" s="157">
        <f t="shared" si="35"/>
        <v>-26002</v>
      </c>
      <c r="BS15" s="154"/>
      <c r="BT15" s="154"/>
      <c r="BU15" s="154"/>
      <c r="BV15" s="154"/>
      <c r="BW15" s="154">
        <f t="shared" si="18"/>
        <v>0</v>
      </c>
      <c r="BX15" s="155">
        <f t="shared" si="19"/>
        <v>0</v>
      </c>
      <c r="BY15" s="157">
        <f t="shared" si="36"/>
        <v>0</v>
      </c>
      <c r="BZ15" s="154"/>
      <c r="CA15" s="154"/>
      <c r="CB15" s="154"/>
      <c r="CC15" s="154"/>
      <c r="CD15" s="154">
        <f t="shared" si="20"/>
        <v>0</v>
      </c>
      <c r="CE15" s="155">
        <f t="shared" si="21"/>
        <v>0</v>
      </c>
      <c r="CF15" s="157">
        <f t="shared" si="37"/>
        <v>0</v>
      </c>
      <c r="CG15" s="154"/>
      <c r="CH15" s="154"/>
      <c r="CI15" s="154"/>
      <c r="CJ15" s="154"/>
      <c r="CK15" s="154">
        <f t="shared" si="22"/>
        <v>0</v>
      </c>
      <c r="CL15" s="155">
        <f t="shared" si="23"/>
        <v>0</v>
      </c>
      <c r="CM15" s="157">
        <f t="shared" si="38"/>
        <v>0</v>
      </c>
      <c r="CN15" s="73">
        <f t="shared" si="24"/>
        <v>26622</v>
      </c>
      <c r="CO15" s="73">
        <f t="shared" si="25"/>
        <v>7864</v>
      </c>
      <c r="CP15" s="73">
        <f t="shared" si="26"/>
        <v>-18758</v>
      </c>
      <c r="CQ15" s="152">
        <f t="shared" si="39"/>
        <v>52447</v>
      </c>
      <c r="CR15" s="79"/>
      <c r="CS15" s="79"/>
      <c r="CT15" s="111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</row>
    <row r="16" spans="1:147" x14ac:dyDescent="0.2">
      <c r="A16" s="72">
        <f>+BaseloadMarkets!A16</f>
        <v>36718</v>
      </c>
      <c r="B16" s="72" t="str">
        <f>+BaseloadMarkets!B16</f>
        <v>Tues</v>
      </c>
      <c r="C16" s="146">
        <v>3001</v>
      </c>
      <c r="D16" s="23">
        <v>0</v>
      </c>
      <c r="E16" s="23">
        <v>2515</v>
      </c>
      <c r="F16" s="23">
        <v>0</v>
      </c>
      <c r="G16" s="23">
        <f>4976+4000</f>
        <v>8976</v>
      </c>
      <c r="H16" s="147">
        <f>+Border!AD14</f>
        <v>0</v>
      </c>
      <c r="I16" s="23"/>
      <c r="J16" s="23"/>
      <c r="K16" s="23"/>
      <c r="L16" s="148">
        <f t="shared" si="0"/>
        <v>11491</v>
      </c>
      <c r="M16" s="73">
        <f t="shared" si="1"/>
        <v>8490</v>
      </c>
      <c r="N16" s="73">
        <f t="shared" si="27"/>
        <v>60178</v>
      </c>
      <c r="O16" s="146">
        <v>2017</v>
      </c>
      <c r="P16" s="23">
        <v>0</v>
      </c>
      <c r="Q16" s="23"/>
      <c r="R16" s="23"/>
      <c r="S16" s="149">
        <f t="shared" si="2"/>
        <v>0</v>
      </c>
      <c r="T16" s="73">
        <f t="shared" si="3"/>
        <v>-2017</v>
      </c>
      <c r="U16" s="73">
        <f t="shared" si="28"/>
        <v>6439</v>
      </c>
      <c r="V16" s="146">
        <v>898</v>
      </c>
      <c r="W16" s="23">
        <v>0</v>
      </c>
      <c r="X16" s="23"/>
      <c r="Y16" s="23"/>
      <c r="Z16" s="148">
        <f t="shared" si="4"/>
        <v>0</v>
      </c>
      <c r="AA16" s="73">
        <f t="shared" si="5"/>
        <v>-898</v>
      </c>
      <c r="AB16" s="79">
        <f t="shared" si="29"/>
        <v>-7854</v>
      </c>
      <c r="AC16" s="150">
        <v>178</v>
      </c>
      <c r="AD16" s="147">
        <v>0</v>
      </c>
      <c r="AE16" s="147"/>
      <c r="AF16" s="147"/>
      <c r="AG16" s="147">
        <f t="shared" si="6"/>
        <v>0</v>
      </c>
      <c r="AH16" s="151">
        <f t="shared" si="7"/>
        <v>-178</v>
      </c>
      <c r="AI16" s="157">
        <f t="shared" si="30"/>
        <v>-801</v>
      </c>
      <c r="AJ16" s="150">
        <v>9551</v>
      </c>
      <c r="AK16" s="147">
        <f>1558+2259</f>
        <v>3817</v>
      </c>
      <c r="AL16" s="147">
        <v>1823</v>
      </c>
      <c r="AM16" s="147">
        <f>4000+4975</f>
        <v>8975</v>
      </c>
      <c r="AN16" s="147">
        <f t="shared" si="8"/>
        <v>14615</v>
      </c>
      <c r="AO16" s="151">
        <f t="shared" si="9"/>
        <v>5064</v>
      </c>
      <c r="AP16" s="157">
        <f t="shared" si="31"/>
        <v>31018</v>
      </c>
      <c r="AQ16" s="147">
        <v>0</v>
      </c>
      <c r="AR16" s="147">
        <v>0</v>
      </c>
      <c r="AS16" s="147"/>
      <c r="AT16" s="147"/>
      <c r="AU16" s="147">
        <f t="shared" si="10"/>
        <v>0</v>
      </c>
      <c r="AV16" s="151">
        <f t="shared" si="11"/>
        <v>0</v>
      </c>
      <c r="AW16" s="157">
        <f t="shared" si="32"/>
        <v>0</v>
      </c>
      <c r="AX16" s="150">
        <v>202</v>
      </c>
      <c r="AY16" s="147">
        <v>0</v>
      </c>
      <c r="AZ16" s="147"/>
      <c r="BA16" s="147"/>
      <c r="BB16" s="147">
        <f t="shared" si="12"/>
        <v>0</v>
      </c>
      <c r="BC16" s="151">
        <f t="shared" si="13"/>
        <v>-202</v>
      </c>
      <c r="BD16" s="157">
        <f t="shared" si="33"/>
        <v>-492</v>
      </c>
      <c r="BE16" s="150">
        <v>325</v>
      </c>
      <c r="BF16" s="147">
        <v>0</v>
      </c>
      <c r="BG16" s="147"/>
      <c r="BH16" s="147"/>
      <c r="BI16" s="147">
        <f t="shared" si="14"/>
        <v>0</v>
      </c>
      <c r="BJ16" s="151">
        <f t="shared" si="15"/>
        <v>-325</v>
      </c>
      <c r="BK16" s="157">
        <f t="shared" si="34"/>
        <v>-105</v>
      </c>
      <c r="BL16" s="158">
        <v>3524</v>
      </c>
      <c r="BM16" s="154">
        <v>0</v>
      </c>
      <c r="BN16" s="154"/>
      <c r="BO16" s="154">
        <v>20000</v>
      </c>
      <c r="BP16" s="154">
        <f t="shared" si="16"/>
        <v>20000</v>
      </c>
      <c r="BQ16" s="155">
        <f t="shared" si="17"/>
        <v>16476</v>
      </c>
      <c r="BR16" s="157">
        <f t="shared" si="35"/>
        <v>-9526</v>
      </c>
      <c r="BS16" s="154"/>
      <c r="BT16" s="154"/>
      <c r="BU16" s="154"/>
      <c r="BV16" s="154"/>
      <c r="BW16" s="154">
        <f t="shared" si="18"/>
        <v>0</v>
      </c>
      <c r="BX16" s="155">
        <f t="shared" si="19"/>
        <v>0</v>
      </c>
      <c r="BY16" s="157">
        <f t="shared" si="36"/>
        <v>0</v>
      </c>
      <c r="BZ16" s="154"/>
      <c r="CA16" s="154"/>
      <c r="CB16" s="154"/>
      <c r="CC16" s="154"/>
      <c r="CD16" s="154">
        <f t="shared" si="20"/>
        <v>0</v>
      </c>
      <c r="CE16" s="155">
        <f t="shared" si="21"/>
        <v>0</v>
      </c>
      <c r="CF16" s="157">
        <f t="shared" si="37"/>
        <v>0</v>
      </c>
      <c r="CG16" s="154"/>
      <c r="CH16" s="154"/>
      <c r="CI16" s="154"/>
      <c r="CJ16" s="154"/>
      <c r="CK16" s="154">
        <f t="shared" si="22"/>
        <v>0</v>
      </c>
      <c r="CL16" s="155">
        <f t="shared" si="23"/>
        <v>0</v>
      </c>
      <c r="CM16" s="157">
        <f t="shared" si="38"/>
        <v>0</v>
      </c>
      <c r="CN16" s="73">
        <f t="shared" si="24"/>
        <v>19696</v>
      </c>
      <c r="CO16" s="73">
        <f t="shared" si="25"/>
        <v>46106</v>
      </c>
      <c r="CP16" s="73">
        <f t="shared" si="26"/>
        <v>26410</v>
      </c>
      <c r="CQ16" s="152">
        <f t="shared" si="39"/>
        <v>78857</v>
      </c>
      <c r="CR16" s="79"/>
      <c r="CS16" s="79"/>
      <c r="CT16" s="111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</row>
    <row r="17" spans="1:110" x14ac:dyDescent="0.2">
      <c r="A17" s="72">
        <f>+BaseloadMarkets!A17</f>
        <v>36719</v>
      </c>
      <c r="B17" s="72" t="str">
        <f>+BaseloadMarkets!B17</f>
        <v>Wed</v>
      </c>
      <c r="C17" s="146">
        <v>4304</v>
      </c>
      <c r="D17" s="23">
        <v>380</v>
      </c>
      <c r="E17" s="23">
        <v>2000</v>
      </c>
      <c r="F17" s="23">
        <v>1000</v>
      </c>
      <c r="G17" s="23"/>
      <c r="H17" s="147">
        <f>+Border!AD15</f>
        <v>0</v>
      </c>
      <c r="I17" s="23"/>
      <c r="J17" s="23"/>
      <c r="K17" s="23"/>
      <c r="L17" s="148">
        <f t="shared" si="0"/>
        <v>3380</v>
      </c>
      <c r="M17" s="73">
        <f t="shared" si="1"/>
        <v>-924</v>
      </c>
      <c r="N17" s="73">
        <f t="shared" si="27"/>
        <v>59254</v>
      </c>
      <c r="O17" s="146">
        <v>1723</v>
      </c>
      <c r="P17" s="23">
        <v>0</v>
      </c>
      <c r="Q17" s="23"/>
      <c r="R17" s="23"/>
      <c r="S17" s="149">
        <f t="shared" si="2"/>
        <v>0</v>
      </c>
      <c r="T17" s="73">
        <f t="shared" si="3"/>
        <v>-1723</v>
      </c>
      <c r="U17" s="73">
        <f t="shared" si="28"/>
        <v>4716</v>
      </c>
      <c r="V17" s="146">
        <v>1382</v>
      </c>
      <c r="W17" s="23">
        <v>0</v>
      </c>
      <c r="X17" s="23"/>
      <c r="Y17" s="23"/>
      <c r="Z17" s="148">
        <f t="shared" si="4"/>
        <v>0</v>
      </c>
      <c r="AA17" s="73">
        <f t="shared" si="5"/>
        <v>-1382</v>
      </c>
      <c r="AB17" s="79">
        <f t="shared" si="29"/>
        <v>-9236</v>
      </c>
      <c r="AC17" s="150">
        <v>181</v>
      </c>
      <c r="AD17" s="147">
        <v>0</v>
      </c>
      <c r="AE17" s="147"/>
      <c r="AF17" s="147"/>
      <c r="AG17" s="147">
        <f t="shared" si="6"/>
        <v>0</v>
      </c>
      <c r="AH17" s="151">
        <f t="shared" si="7"/>
        <v>-181</v>
      </c>
      <c r="AI17" s="152">
        <f t="shared" si="30"/>
        <v>-982</v>
      </c>
      <c r="AJ17" s="150">
        <v>9646</v>
      </c>
      <c r="AK17" s="147">
        <v>5705</v>
      </c>
      <c r="AL17" s="147">
        <v>980</v>
      </c>
      <c r="AM17" s="147"/>
      <c r="AN17" s="147">
        <f t="shared" si="8"/>
        <v>6685</v>
      </c>
      <c r="AO17" s="151">
        <f t="shared" si="9"/>
        <v>-2961</v>
      </c>
      <c r="AP17" s="152">
        <f t="shared" si="31"/>
        <v>28057</v>
      </c>
      <c r="AQ17" s="147">
        <v>0</v>
      </c>
      <c r="AR17" s="147">
        <v>0</v>
      </c>
      <c r="AS17" s="147"/>
      <c r="AT17" s="147"/>
      <c r="AU17" s="147">
        <f t="shared" si="10"/>
        <v>0</v>
      </c>
      <c r="AV17" s="151">
        <f t="shared" si="11"/>
        <v>0</v>
      </c>
      <c r="AW17" s="152">
        <f t="shared" si="32"/>
        <v>0</v>
      </c>
      <c r="AX17" s="150">
        <v>200</v>
      </c>
      <c r="AY17" s="147">
        <v>0</v>
      </c>
      <c r="AZ17" s="147"/>
      <c r="BA17" s="147"/>
      <c r="BB17" s="147">
        <f t="shared" si="12"/>
        <v>0</v>
      </c>
      <c r="BC17" s="151">
        <f t="shared" si="13"/>
        <v>-200</v>
      </c>
      <c r="BD17" s="152">
        <f t="shared" si="33"/>
        <v>-692</v>
      </c>
      <c r="BE17" s="150">
        <v>288</v>
      </c>
      <c r="BF17" s="147">
        <v>0</v>
      </c>
      <c r="BG17" s="147"/>
      <c r="BH17" s="147"/>
      <c r="BI17" s="147">
        <f t="shared" si="14"/>
        <v>0</v>
      </c>
      <c r="BJ17" s="151">
        <f t="shared" si="15"/>
        <v>-288</v>
      </c>
      <c r="BK17" s="152">
        <f t="shared" si="34"/>
        <v>-393</v>
      </c>
      <c r="BL17" s="158">
        <v>2043</v>
      </c>
      <c r="BM17" s="154">
        <v>794</v>
      </c>
      <c r="BN17" s="154"/>
      <c r="BO17" s="154"/>
      <c r="BP17" s="154">
        <f t="shared" si="16"/>
        <v>794</v>
      </c>
      <c r="BQ17" s="155">
        <f t="shared" si="17"/>
        <v>-1249</v>
      </c>
      <c r="BR17" s="152">
        <f t="shared" si="35"/>
        <v>-10775</v>
      </c>
      <c r="BS17" s="154"/>
      <c r="BT17" s="154"/>
      <c r="BU17" s="154"/>
      <c r="BV17" s="154"/>
      <c r="BW17" s="154">
        <f t="shared" si="18"/>
        <v>0</v>
      </c>
      <c r="BX17" s="155">
        <f t="shared" si="19"/>
        <v>0</v>
      </c>
      <c r="BY17" s="152">
        <f t="shared" si="36"/>
        <v>0</v>
      </c>
      <c r="BZ17" s="154"/>
      <c r="CA17" s="154"/>
      <c r="CB17" s="154"/>
      <c r="CC17" s="154"/>
      <c r="CD17" s="154">
        <f t="shared" si="20"/>
        <v>0</v>
      </c>
      <c r="CE17" s="155">
        <f t="shared" si="21"/>
        <v>0</v>
      </c>
      <c r="CF17" s="152">
        <f t="shared" si="37"/>
        <v>0</v>
      </c>
      <c r="CG17" s="154"/>
      <c r="CH17" s="154"/>
      <c r="CI17" s="154"/>
      <c r="CJ17" s="154"/>
      <c r="CK17" s="154">
        <f t="shared" si="22"/>
        <v>0</v>
      </c>
      <c r="CL17" s="155">
        <f t="shared" si="23"/>
        <v>0</v>
      </c>
      <c r="CM17" s="152">
        <f t="shared" si="38"/>
        <v>0</v>
      </c>
      <c r="CN17" s="73">
        <f t="shared" si="24"/>
        <v>19767</v>
      </c>
      <c r="CO17" s="73">
        <f t="shared" si="25"/>
        <v>10859</v>
      </c>
      <c r="CP17" s="73">
        <f t="shared" si="26"/>
        <v>-8908</v>
      </c>
      <c r="CQ17" s="152">
        <f t="shared" si="39"/>
        <v>69949</v>
      </c>
      <c r="CR17" s="79"/>
      <c r="CS17" s="79"/>
      <c r="CT17" s="111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</row>
    <row r="18" spans="1:110" x14ac:dyDescent="0.2">
      <c r="A18" s="72">
        <f>+BaseloadMarkets!A18</f>
        <v>36720</v>
      </c>
      <c r="B18" s="72" t="str">
        <f>+BaseloadMarkets!B18</f>
        <v>Thu</v>
      </c>
      <c r="C18" s="146">
        <v>3540</v>
      </c>
      <c r="D18" s="23">
        <v>343</v>
      </c>
      <c r="E18" s="23">
        <v>6123</v>
      </c>
      <c r="F18" s="23">
        <v>1000</v>
      </c>
      <c r="G18" s="23">
        <v>10000</v>
      </c>
      <c r="H18" s="147">
        <f>+Border!AD16</f>
        <v>0</v>
      </c>
      <c r="I18" s="23"/>
      <c r="J18" s="23"/>
      <c r="K18" s="23"/>
      <c r="L18" s="148">
        <f t="shared" si="0"/>
        <v>17466</v>
      </c>
      <c r="M18" s="73">
        <f t="shared" si="1"/>
        <v>13926</v>
      </c>
      <c r="N18" s="73">
        <f t="shared" si="27"/>
        <v>73180</v>
      </c>
      <c r="O18" s="146">
        <v>1994</v>
      </c>
      <c r="P18" s="23">
        <v>1085</v>
      </c>
      <c r="Q18" s="23"/>
      <c r="R18" s="23"/>
      <c r="S18" s="149">
        <f t="shared" si="2"/>
        <v>1085</v>
      </c>
      <c r="T18" s="73">
        <f t="shared" si="3"/>
        <v>-909</v>
      </c>
      <c r="U18" s="73">
        <f t="shared" si="28"/>
        <v>3807</v>
      </c>
      <c r="V18" s="146">
        <v>1308</v>
      </c>
      <c r="W18" s="23">
        <v>542</v>
      </c>
      <c r="X18" s="23"/>
      <c r="Y18" s="23"/>
      <c r="Z18" s="148">
        <f t="shared" si="4"/>
        <v>542</v>
      </c>
      <c r="AA18" s="73">
        <f t="shared" si="5"/>
        <v>-766</v>
      </c>
      <c r="AB18" s="79">
        <f t="shared" si="29"/>
        <v>-10002</v>
      </c>
      <c r="AC18" s="150">
        <v>177</v>
      </c>
      <c r="AD18" s="147">
        <v>361</v>
      </c>
      <c r="AE18" s="147"/>
      <c r="AF18" s="147"/>
      <c r="AG18" s="147">
        <f t="shared" si="6"/>
        <v>361</v>
      </c>
      <c r="AH18" s="151">
        <f t="shared" si="7"/>
        <v>184</v>
      </c>
      <c r="AI18" s="152">
        <f t="shared" si="30"/>
        <v>-798</v>
      </c>
      <c r="AJ18" s="150">
        <v>9422</v>
      </c>
      <c r="AK18" s="147">
        <f>17255+3070+3285+3587</f>
        <v>27197</v>
      </c>
      <c r="AL18" s="147">
        <v>1503</v>
      </c>
      <c r="AM18" s="147">
        <v>10000</v>
      </c>
      <c r="AN18" s="147">
        <f t="shared" si="8"/>
        <v>38700</v>
      </c>
      <c r="AO18" s="151">
        <f t="shared" si="9"/>
        <v>29278</v>
      </c>
      <c r="AP18" s="152">
        <f t="shared" si="31"/>
        <v>57335</v>
      </c>
      <c r="AQ18" s="147">
        <v>0</v>
      </c>
      <c r="AR18" s="147">
        <v>0</v>
      </c>
      <c r="AS18" s="147"/>
      <c r="AT18" s="147"/>
      <c r="AU18" s="147">
        <f t="shared" si="10"/>
        <v>0</v>
      </c>
      <c r="AV18" s="151">
        <f t="shared" si="11"/>
        <v>0</v>
      </c>
      <c r="AW18" s="152">
        <f t="shared" si="32"/>
        <v>0</v>
      </c>
      <c r="AX18" s="150">
        <v>204</v>
      </c>
      <c r="AY18" s="147">
        <v>886</v>
      </c>
      <c r="AZ18" s="147"/>
      <c r="BA18" s="147"/>
      <c r="BB18" s="147">
        <f t="shared" si="12"/>
        <v>886</v>
      </c>
      <c r="BC18" s="151">
        <f t="shared" si="13"/>
        <v>682</v>
      </c>
      <c r="BD18" s="152">
        <f t="shared" si="33"/>
        <v>-10</v>
      </c>
      <c r="BE18" s="150">
        <v>308</v>
      </c>
      <c r="BF18" s="147">
        <v>904</v>
      </c>
      <c r="BG18" s="147"/>
      <c r="BH18" s="147"/>
      <c r="BI18" s="147">
        <f t="shared" si="14"/>
        <v>904</v>
      </c>
      <c r="BJ18" s="151">
        <f t="shared" si="15"/>
        <v>596</v>
      </c>
      <c r="BK18" s="152">
        <f t="shared" si="34"/>
        <v>203</v>
      </c>
      <c r="BL18" s="158">
        <v>10235</v>
      </c>
      <c r="BM18" s="154">
        <v>0</v>
      </c>
      <c r="BN18" s="154"/>
      <c r="BO18" s="154">
        <v>10000</v>
      </c>
      <c r="BP18" s="154">
        <f t="shared" si="16"/>
        <v>10000</v>
      </c>
      <c r="BQ18" s="155">
        <f t="shared" si="17"/>
        <v>-235</v>
      </c>
      <c r="BR18" s="152">
        <f t="shared" si="35"/>
        <v>-11010</v>
      </c>
      <c r="BS18" s="154"/>
      <c r="BT18" s="154"/>
      <c r="BU18" s="154"/>
      <c r="BV18" s="154"/>
      <c r="BW18" s="154">
        <f t="shared" si="18"/>
        <v>0</v>
      </c>
      <c r="BX18" s="155">
        <f t="shared" si="19"/>
        <v>0</v>
      </c>
      <c r="BY18" s="152">
        <f t="shared" si="36"/>
        <v>0</v>
      </c>
      <c r="BZ18" s="154"/>
      <c r="CA18" s="154"/>
      <c r="CB18" s="154"/>
      <c r="CC18" s="154"/>
      <c r="CD18" s="154">
        <f t="shared" si="20"/>
        <v>0</v>
      </c>
      <c r="CE18" s="155">
        <f t="shared" si="21"/>
        <v>0</v>
      </c>
      <c r="CF18" s="152">
        <f t="shared" si="37"/>
        <v>0</v>
      </c>
      <c r="CG18" s="154"/>
      <c r="CH18" s="154"/>
      <c r="CI18" s="154"/>
      <c r="CJ18" s="154"/>
      <c r="CK18" s="154">
        <f t="shared" si="22"/>
        <v>0</v>
      </c>
      <c r="CL18" s="155">
        <f t="shared" si="23"/>
        <v>0</v>
      </c>
      <c r="CM18" s="152">
        <f t="shared" si="38"/>
        <v>0</v>
      </c>
      <c r="CN18" s="73">
        <f t="shared" si="24"/>
        <v>27188</v>
      </c>
      <c r="CO18" s="73">
        <f t="shared" si="25"/>
        <v>69944</v>
      </c>
      <c r="CP18" s="73">
        <f t="shared" si="26"/>
        <v>42756</v>
      </c>
      <c r="CQ18" s="152">
        <f t="shared" si="39"/>
        <v>112705</v>
      </c>
      <c r="CR18" s="79"/>
      <c r="CS18" s="79"/>
      <c r="CT18" s="111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</row>
    <row r="19" spans="1:110" x14ac:dyDescent="0.2">
      <c r="A19" s="72">
        <f>+BaseloadMarkets!A19</f>
        <v>36721</v>
      </c>
      <c r="B19" s="72" t="str">
        <f>+BaseloadMarkets!B19</f>
        <v>Fri</v>
      </c>
      <c r="C19" s="146">
        <v>5803</v>
      </c>
      <c r="D19" s="23">
        <v>0</v>
      </c>
      <c r="E19" s="23">
        <v>10508</v>
      </c>
      <c r="F19" s="23">
        <v>1000</v>
      </c>
      <c r="G19" s="23"/>
      <c r="H19" s="147">
        <f>+Border!AD17</f>
        <v>0</v>
      </c>
      <c r="I19" s="23"/>
      <c r="J19" s="23"/>
      <c r="K19" s="23"/>
      <c r="L19" s="148">
        <f t="shared" si="0"/>
        <v>11508</v>
      </c>
      <c r="M19" s="73">
        <f t="shared" si="1"/>
        <v>5705</v>
      </c>
      <c r="N19" s="73">
        <f t="shared" si="27"/>
        <v>78885</v>
      </c>
      <c r="O19" s="146">
        <v>1632</v>
      </c>
      <c r="P19" s="23">
        <v>2327</v>
      </c>
      <c r="Q19" s="23"/>
      <c r="R19" s="23"/>
      <c r="S19" s="149">
        <f t="shared" si="2"/>
        <v>2327</v>
      </c>
      <c r="T19" s="73">
        <f t="shared" si="3"/>
        <v>695</v>
      </c>
      <c r="U19" s="73">
        <f t="shared" si="28"/>
        <v>4502</v>
      </c>
      <c r="V19" s="146">
        <v>1406</v>
      </c>
      <c r="W19" s="23">
        <v>6656</v>
      </c>
      <c r="X19" s="23"/>
      <c r="Y19" s="23"/>
      <c r="Z19" s="148">
        <f t="shared" si="4"/>
        <v>6656</v>
      </c>
      <c r="AA19" s="73">
        <f t="shared" si="5"/>
        <v>5250</v>
      </c>
      <c r="AB19" s="79">
        <f t="shared" si="29"/>
        <v>-4752</v>
      </c>
      <c r="AC19" s="150">
        <v>157</v>
      </c>
      <c r="AD19" s="147">
        <v>1397</v>
      </c>
      <c r="AE19" s="147"/>
      <c r="AF19" s="147"/>
      <c r="AG19" s="147">
        <f t="shared" si="6"/>
        <v>1397</v>
      </c>
      <c r="AH19" s="151">
        <f t="shared" si="7"/>
        <v>1240</v>
      </c>
      <c r="AI19" s="152">
        <f t="shared" si="30"/>
        <v>442</v>
      </c>
      <c r="AJ19" s="150">
        <v>8534</v>
      </c>
      <c r="AK19" s="147">
        <v>2259</v>
      </c>
      <c r="AL19" s="147">
        <v>10980</v>
      </c>
      <c r="AM19" s="147"/>
      <c r="AN19" s="147">
        <f t="shared" si="8"/>
        <v>13239</v>
      </c>
      <c r="AO19" s="151">
        <f t="shared" si="9"/>
        <v>4705</v>
      </c>
      <c r="AP19" s="152">
        <f t="shared" si="31"/>
        <v>62040</v>
      </c>
      <c r="AQ19" s="147">
        <v>0</v>
      </c>
      <c r="AR19" s="147">
        <v>0</v>
      </c>
      <c r="AS19" s="147"/>
      <c r="AT19" s="147"/>
      <c r="AU19" s="147">
        <f t="shared" si="10"/>
        <v>0</v>
      </c>
      <c r="AV19" s="151">
        <f t="shared" si="11"/>
        <v>0</v>
      </c>
      <c r="AW19" s="152">
        <f t="shared" si="32"/>
        <v>0</v>
      </c>
      <c r="AX19" s="150">
        <v>213</v>
      </c>
      <c r="AY19" s="147">
        <v>1397</v>
      </c>
      <c r="AZ19" s="147"/>
      <c r="BA19" s="147"/>
      <c r="BB19" s="147">
        <f t="shared" si="12"/>
        <v>1397</v>
      </c>
      <c r="BC19" s="151">
        <f t="shared" si="13"/>
        <v>1184</v>
      </c>
      <c r="BD19" s="152">
        <f t="shared" si="33"/>
        <v>1174</v>
      </c>
      <c r="BE19" s="150">
        <v>286</v>
      </c>
      <c r="BF19" s="147">
        <v>1862</v>
      </c>
      <c r="BG19" s="147"/>
      <c r="BH19" s="147"/>
      <c r="BI19" s="147">
        <f t="shared" si="14"/>
        <v>1862</v>
      </c>
      <c r="BJ19" s="151">
        <f t="shared" si="15"/>
        <v>1576</v>
      </c>
      <c r="BK19" s="152">
        <f t="shared" si="34"/>
        <v>1779</v>
      </c>
      <c r="BL19" s="158">
        <v>11983</v>
      </c>
      <c r="BM19" s="154">
        <v>27087</v>
      </c>
      <c r="BN19" s="154"/>
      <c r="BO19" s="154"/>
      <c r="BP19" s="154">
        <f t="shared" si="16"/>
        <v>27087</v>
      </c>
      <c r="BQ19" s="155">
        <f t="shared" si="17"/>
        <v>15104</v>
      </c>
      <c r="BR19" s="152">
        <f t="shared" si="35"/>
        <v>4094</v>
      </c>
      <c r="BS19" s="154"/>
      <c r="BT19" s="154"/>
      <c r="BU19" s="154"/>
      <c r="BV19" s="154"/>
      <c r="BW19" s="154">
        <f t="shared" si="18"/>
        <v>0</v>
      </c>
      <c r="BX19" s="155">
        <f t="shared" si="19"/>
        <v>0</v>
      </c>
      <c r="BY19" s="152">
        <f t="shared" si="36"/>
        <v>0</v>
      </c>
      <c r="BZ19" s="154"/>
      <c r="CA19" s="154"/>
      <c r="CB19" s="154"/>
      <c r="CC19" s="154"/>
      <c r="CD19" s="154">
        <f t="shared" si="20"/>
        <v>0</v>
      </c>
      <c r="CE19" s="155">
        <f t="shared" si="21"/>
        <v>0</v>
      </c>
      <c r="CF19" s="152">
        <f t="shared" si="37"/>
        <v>0</v>
      </c>
      <c r="CG19" s="154"/>
      <c r="CH19" s="154"/>
      <c r="CI19" s="154"/>
      <c r="CJ19" s="154"/>
      <c r="CK19" s="154">
        <f t="shared" si="22"/>
        <v>0</v>
      </c>
      <c r="CL19" s="155">
        <f t="shared" si="23"/>
        <v>0</v>
      </c>
      <c r="CM19" s="152">
        <f t="shared" si="38"/>
        <v>0</v>
      </c>
      <c r="CN19" s="73">
        <f t="shared" si="24"/>
        <v>30014</v>
      </c>
      <c r="CO19" s="73">
        <f t="shared" si="25"/>
        <v>65473</v>
      </c>
      <c r="CP19" s="73">
        <f t="shared" si="26"/>
        <v>35459</v>
      </c>
      <c r="CQ19" s="152">
        <f t="shared" si="39"/>
        <v>148164</v>
      </c>
      <c r="CR19" s="79"/>
      <c r="CS19" s="79"/>
      <c r="CT19" s="111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</row>
    <row r="20" spans="1:110" x14ac:dyDescent="0.2">
      <c r="A20" s="72">
        <f>+BaseloadMarkets!A20</f>
        <v>36722</v>
      </c>
      <c r="B20" s="72" t="str">
        <f>+BaseloadMarkets!B20</f>
        <v>Sat</v>
      </c>
      <c r="C20" s="146">
        <v>5350</v>
      </c>
      <c r="D20" s="23">
        <v>0</v>
      </c>
      <c r="E20" s="23">
        <v>2000</v>
      </c>
      <c r="F20" s="23">
        <v>1000</v>
      </c>
      <c r="G20" s="23"/>
      <c r="H20" s="147">
        <f>+Border!AD18</f>
        <v>0</v>
      </c>
      <c r="I20" s="23"/>
      <c r="J20" s="23"/>
      <c r="K20" s="23"/>
      <c r="L20" s="148">
        <f t="shared" si="0"/>
        <v>3000</v>
      </c>
      <c r="M20" s="73">
        <f t="shared" si="1"/>
        <v>-2350</v>
      </c>
      <c r="N20" s="73">
        <f t="shared" si="27"/>
        <v>76535</v>
      </c>
      <c r="O20" s="146">
        <v>752</v>
      </c>
      <c r="P20" s="23">
        <v>1298</v>
      </c>
      <c r="Q20" s="23"/>
      <c r="R20" s="23"/>
      <c r="S20" s="149">
        <f t="shared" si="2"/>
        <v>1298</v>
      </c>
      <c r="T20" s="73">
        <f t="shared" si="3"/>
        <v>546</v>
      </c>
      <c r="U20" s="73">
        <f t="shared" si="28"/>
        <v>5048</v>
      </c>
      <c r="V20" s="146">
        <v>1257</v>
      </c>
      <c r="W20" s="23">
        <v>843</v>
      </c>
      <c r="X20" s="23"/>
      <c r="Y20" s="23"/>
      <c r="Z20" s="148">
        <f t="shared" si="4"/>
        <v>843</v>
      </c>
      <c r="AA20" s="73">
        <f t="shared" si="5"/>
        <v>-414</v>
      </c>
      <c r="AB20" s="79">
        <f t="shared" si="29"/>
        <v>-5166</v>
      </c>
      <c r="AC20" s="150">
        <v>170</v>
      </c>
      <c r="AD20" s="147">
        <v>0</v>
      </c>
      <c r="AE20" s="147"/>
      <c r="AF20" s="147"/>
      <c r="AG20" s="147">
        <f t="shared" si="6"/>
        <v>0</v>
      </c>
      <c r="AH20" s="151">
        <f t="shared" si="7"/>
        <v>-170</v>
      </c>
      <c r="AI20" s="152">
        <f t="shared" si="30"/>
        <v>272</v>
      </c>
      <c r="AJ20" s="150">
        <v>6025</v>
      </c>
      <c r="AK20" s="147">
        <f>6210+2259</f>
        <v>8469</v>
      </c>
      <c r="AL20" s="147">
        <v>980</v>
      </c>
      <c r="AM20" s="147"/>
      <c r="AN20" s="147">
        <f t="shared" si="8"/>
        <v>9449</v>
      </c>
      <c r="AO20" s="151">
        <f t="shared" si="9"/>
        <v>3424</v>
      </c>
      <c r="AP20" s="152">
        <f t="shared" si="31"/>
        <v>65464</v>
      </c>
      <c r="AQ20" s="147">
        <v>0</v>
      </c>
      <c r="AR20" s="147">
        <v>0</v>
      </c>
      <c r="AS20" s="147"/>
      <c r="AT20" s="147"/>
      <c r="AU20" s="147">
        <f t="shared" si="10"/>
        <v>0</v>
      </c>
      <c r="AV20" s="151">
        <f t="shared" si="11"/>
        <v>0</v>
      </c>
      <c r="AW20" s="152">
        <f t="shared" si="32"/>
        <v>0</v>
      </c>
      <c r="AX20" s="150">
        <v>31</v>
      </c>
      <c r="AY20" s="147">
        <v>0</v>
      </c>
      <c r="AZ20" s="147"/>
      <c r="BA20" s="147"/>
      <c r="BB20" s="147">
        <f t="shared" si="12"/>
        <v>0</v>
      </c>
      <c r="BC20" s="151">
        <f t="shared" si="13"/>
        <v>-31</v>
      </c>
      <c r="BD20" s="152">
        <f t="shared" si="33"/>
        <v>1143</v>
      </c>
      <c r="BE20" s="150">
        <v>132</v>
      </c>
      <c r="BF20" s="147">
        <v>0</v>
      </c>
      <c r="BG20" s="147"/>
      <c r="BH20" s="147"/>
      <c r="BI20" s="147">
        <f t="shared" si="14"/>
        <v>0</v>
      </c>
      <c r="BJ20" s="151">
        <f t="shared" si="15"/>
        <v>-132</v>
      </c>
      <c r="BK20" s="152">
        <f t="shared" si="34"/>
        <v>1647</v>
      </c>
      <c r="BL20" s="158">
        <v>13034</v>
      </c>
      <c r="BM20" s="154">
        <v>0</v>
      </c>
      <c r="BN20" s="154"/>
      <c r="BO20" s="154"/>
      <c r="BP20" s="154">
        <f t="shared" si="16"/>
        <v>0</v>
      </c>
      <c r="BQ20" s="155">
        <f t="shared" si="17"/>
        <v>-13034</v>
      </c>
      <c r="BR20" s="152">
        <f t="shared" si="35"/>
        <v>-8940</v>
      </c>
      <c r="BS20" s="154"/>
      <c r="BT20" s="154"/>
      <c r="BU20" s="154"/>
      <c r="BV20" s="154"/>
      <c r="BW20" s="154">
        <f t="shared" si="18"/>
        <v>0</v>
      </c>
      <c r="BX20" s="155">
        <f t="shared" si="19"/>
        <v>0</v>
      </c>
      <c r="BY20" s="152">
        <f t="shared" si="36"/>
        <v>0</v>
      </c>
      <c r="BZ20" s="154"/>
      <c r="CA20" s="154"/>
      <c r="CB20" s="154"/>
      <c r="CC20" s="154"/>
      <c r="CD20" s="154">
        <f t="shared" si="20"/>
        <v>0</v>
      </c>
      <c r="CE20" s="155">
        <f t="shared" si="21"/>
        <v>0</v>
      </c>
      <c r="CF20" s="152">
        <f t="shared" si="37"/>
        <v>0</v>
      </c>
      <c r="CG20" s="154"/>
      <c r="CH20" s="154"/>
      <c r="CI20" s="154"/>
      <c r="CJ20" s="154"/>
      <c r="CK20" s="154">
        <f t="shared" si="22"/>
        <v>0</v>
      </c>
      <c r="CL20" s="155">
        <f t="shared" si="23"/>
        <v>0</v>
      </c>
      <c r="CM20" s="152">
        <f t="shared" si="38"/>
        <v>0</v>
      </c>
      <c r="CN20" s="73">
        <f t="shared" si="24"/>
        <v>26751</v>
      </c>
      <c r="CO20" s="73">
        <f t="shared" si="25"/>
        <v>14590</v>
      </c>
      <c r="CP20" s="73">
        <f t="shared" si="26"/>
        <v>-12161</v>
      </c>
      <c r="CQ20" s="152">
        <f t="shared" si="39"/>
        <v>136003</v>
      </c>
      <c r="CR20" s="79"/>
      <c r="CS20" s="79"/>
      <c r="CT20" s="111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</row>
    <row r="21" spans="1:110" x14ac:dyDescent="0.2">
      <c r="A21" s="72">
        <f>+BaseloadMarkets!A21</f>
        <v>36723</v>
      </c>
      <c r="B21" s="72" t="str">
        <f>+BaseloadMarkets!B21</f>
        <v>Sun</v>
      </c>
      <c r="C21" s="146">
        <v>3980</v>
      </c>
      <c r="D21" s="23">
        <v>0</v>
      </c>
      <c r="E21" s="23">
        <v>2000</v>
      </c>
      <c r="F21" s="23">
        <v>1000</v>
      </c>
      <c r="G21" s="23"/>
      <c r="H21" s="147">
        <f>+Border!AD19</f>
        <v>0</v>
      </c>
      <c r="I21" s="23"/>
      <c r="J21" s="23"/>
      <c r="K21" s="23"/>
      <c r="L21" s="148">
        <f t="shared" si="0"/>
        <v>3000</v>
      </c>
      <c r="M21" s="73">
        <f t="shared" si="1"/>
        <v>-980</v>
      </c>
      <c r="N21" s="73">
        <f t="shared" si="27"/>
        <v>75555</v>
      </c>
      <c r="O21" s="146">
        <v>1212</v>
      </c>
      <c r="P21" s="23">
        <v>1228</v>
      </c>
      <c r="Q21" s="23"/>
      <c r="R21" s="23"/>
      <c r="S21" s="149">
        <f t="shared" si="2"/>
        <v>1228</v>
      </c>
      <c r="T21" s="73">
        <f t="shared" si="3"/>
        <v>16</v>
      </c>
      <c r="U21" s="73">
        <f t="shared" si="28"/>
        <v>5064</v>
      </c>
      <c r="V21" s="146">
        <v>1259</v>
      </c>
      <c r="W21" s="23">
        <v>798</v>
      </c>
      <c r="X21" s="23"/>
      <c r="Y21" s="23"/>
      <c r="Z21" s="148">
        <f t="shared" si="4"/>
        <v>798</v>
      </c>
      <c r="AA21" s="73">
        <f t="shared" si="5"/>
        <v>-461</v>
      </c>
      <c r="AB21" s="79">
        <f t="shared" si="29"/>
        <v>-5627</v>
      </c>
      <c r="AC21" s="150">
        <v>28</v>
      </c>
      <c r="AD21" s="147">
        <v>0</v>
      </c>
      <c r="AE21" s="147"/>
      <c r="AF21" s="147"/>
      <c r="AG21" s="147">
        <f t="shared" si="6"/>
        <v>0</v>
      </c>
      <c r="AH21" s="151">
        <f t="shared" si="7"/>
        <v>-28</v>
      </c>
      <c r="AI21" s="152">
        <f t="shared" si="30"/>
        <v>244</v>
      </c>
      <c r="AJ21" s="150">
        <v>9078</v>
      </c>
      <c r="AK21" s="147">
        <f>2259+5880</f>
        <v>8139</v>
      </c>
      <c r="AL21" s="147">
        <v>980</v>
      </c>
      <c r="AM21" s="147"/>
      <c r="AN21" s="147">
        <f t="shared" si="8"/>
        <v>9119</v>
      </c>
      <c r="AO21" s="151">
        <f t="shared" si="9"/>
        <v>41</v>
      </c>
      <c r="AP21" s="152">
        <f t="shared" si="31"/>
        <v>65505</v>
      </c>
      <c r="AQ21" s="147">
        <v>0</v>
      </c>
      <c r="AR21" s="147">
        <v>0</v>
      </c>
      <c r="AS21" s="147"/>
      <c r="AT21" s="147"/>
      <c r="AU21" s="147">
        <f t="shared" si="10"/>
        <v>0</v>
      </c>
      <c r="AV21" s="151">
        <f t="shared" si="11"/>
        <v>0</v>
      </c>
      <c r="AW21" s="152">
        <f t="shared" si="32"/>
        <v>0</v>
      </c>
      <c r="AX21" s="150">
        <v>0</v>
      </c>
      <c r="AY21" s="147">
        <v>0</v>
      </c>
      <c r="AZ21" s="147"/>
      <c r="BA21" s="147"/>
      <c r="BB21" s="147">
        <f t="shared" si="12"/>
        <v>0</v>
      </c>
      <c r="BC21" s="151">
        <f t="shared" si="13"/>
        <v>0</v>
      </c>
      <c r="BD21" s="152">
        <f t="shared" si="33"/>
        <v>1143</v>
      </c>
      <c r="BE21" s="150">
        <v>25</v>
      </c>
      <c r="BF21" s="147">
        <v>0</v>
      </c>
      <c r="BG21" s="147"/>
      <c r="BH21" s="147"/>
      <c r="BI21" s="147">
        <f t="shared" si="14"/>
        <v>0</v>
      </c>
      <c r="BJ21" s="151">
        <f t="shared" si="15"/>
        <v>-25</v>
      </c>
      <c r="BK21" s="152">
        <f t="shared" si="34"/>
        <v>1622</v>
      </c>
      <c r="BL21" s="158">
        <v>4507</v>
      </c>
      <c r="BM21" s="154">
        <v>0</v>
      </c>
      <c r="BN21" s="154"/>
      <c r="BO21" s="154"/>
      <c r="BP21" s="154">
        <f t="shared" si="16"/>
        <v>0</v>
      </c>
      <c r="BQ21" s="155">
        <f t="shared" si="17"/>
        <v>-4507</v>
      </c>
      <c r="BR21" s="152">
        <f t="shared" si="35"/>
        <v>-13447</v>
      </c>
      <c r="BS21" s="154"/>
      <c r="BT21" s="154"/>
      <c r="BU21" s="154"/>
      <c r="BV21" s="154"/>
      <c r="BW21" s="154">
        <f t="shared" si="18"/>
        <v>0</v>
      </c>
      <c r="BX21" s="155">
        <f t="shared" si="19"/>
        <v>0</v>
      </c>
      <c r="BY21" s="152">
        <f t="shared" si="36"/>
        <v>0</v>
      </c>
      <c r="BZ21" s="154"/>
      <c r="CA21" s="154"/>
      <c r="CB21" s="154"/>
      <c r="CC21" s="154"/>
      <c r="CD21" s="154">
        <f t="shared" si="20"/>
        <v>0</v>
      </c>
      <c r="CE21" s="155">
        <f t="shared" si="21"/>
        <v>0</v>
      </c>
      <c r="CF21" s="152">
        <f t="shared" si="37"/>
        <v>0</v>
      </c>
      <c r="CG21" s="154"/>
      <c r="CH21" s="154"/>
      <c r="CI21" s="154"/>
      <c r="CJ21" s="154"/>
      <c r="CK21" s="154">
        <f t="shared" si="22"/>
        <v>0</v>
      </c>
      <c r="CL21" s="155">
        <f t="shared" si="23"/>
        <v>0</v>
      </c>
      <c r="CM21" s="152">
        <f t="shared" si="38"/>
        <v>0</v>
      </c>
      <c r="CN21" s="73">
        <f t="shared" si="24"/>
        <v>20089</v>
      </c>
      <c r="CO21" s="73">
        <f t="shared" si="25"/>
        <v>14145</v>
      </c>
      <c r="CP21" s="73">
        <f t="shared" si="26"/>
        <v>-5944</v>
      </c>
      <c r="CQ21" s="152">
        <f t="shared" si="39"/>
        <v>130059</v>
      </c>
      <c r="CR21" s="79"/>
      <c r="CS21" s="79"/>
      <c r="CT21" s="111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</row>
    <row r="22" spans="1:110" x14ac:dyDescent="0.2">
      <c r="A22" s="72">
        <f>+BaseloadMarkets!A22</f>
        <v>36724</v>
      </c>
      <c r="B22" s="72" t="str">
        <f>+BaseloadMarkets!B22</f>
        <v>Mon</v>
      </c>
      <c r="C22" s="146">
        <v>3590</v>
      </c>
      <c r="D22" s="23">
        <v>0</v>
      </c>
      <c r="E22" s="23">
        <v>2000</v>
      </c>
      <c r="F22" s="23">
        <v>1000</v>
      </c>
      <c r="G22" s="23"/>
      <c r="H22" s="147">
        <f>+Border!AD20</f>
        <v>0</v>
      </c>
      <c r="I22" s="23"/>
      <c r="J22" s="23"/>
      <c r="K22" s="23"/>
      <c r="L22" s="148">
        <f t="shared" si="0"/>
        <v>3000</v>
      </c>
      <c r="M22" s="73">
        <f t="shared" si="1"/>
        <v>-590</v>
      </c>
      <c r="N22" s="73">
        <f t="shared" si="27"/>
        <v>74965</v>
      </c>
      <c r="O22" s="146">
        <v>2044</v>
      </c>
      <c r="P22" s="23">
        <f>1197-48</f>
        <v>1149</v>
      </c>
      <c r="Q22" s="23"/>
      <c r="R22" s="23"/>
      <c r="S22" s="149">
        <f t="shared" si="2"/>
        <v>1149</v>
      </c>
      <c r="T22" s="73">
        <f t="shared" si="3"/>
        <v>-895</v>
      </c>
      <c r="U22" s="73">
        <f t="shared" si="28"/>
        <v>4169</v>
      </c>
      <c r="V22" s="146">
        <v>989</v>
      </c>
      <c r="W22" s="23">
        <v>778</v>
      </c>
      <c r="X22" s="23"/>
      <c r="Y22" s="23"/>
      <c r="Z22" s="148">
        <f t="shared" si="4"/>
        <v>778</v>
      </c>
      <c r="AA22" s="73">
        <f t="shared" si="5"/>
        <v>-211</v>
      </c>
      <c r="AB22" s="79">
        <f t="shared" si="29"/>
        <v>-5838</v>
      </c>
      <c r="AC22" s="150">
        <v>96</v>
      </c>
      <c r="AD22" s="147">
        <v>0</v>
      </c>
      <c r="AE22" s="147"/>
      <c r="AF22" s="147"/>
      <c r="AG22" s="147">
        <f t="shared" si="6"/>
        <v>0</v>
      </c>
      <c r="AH22" s="151">
        <f t="shared" si="7"/>
        <v>-96</v>
      </c>
      <c r="AI22" s="152">
        <f t="shared" si="30"/>
        <v>148</v>
      </c>
      <c r="AJ22" s="150">
        <v>9378</v>
      </c>
      <c r="AK22" s="147">
        <f>5730+2259</f>
        <v>7989</v>
      </c>
      <c r="AL22" s="147">
        <v>980</v>
      </c>
      <c r="AM22" s="147"/>
      <c r="AN22" s="147">
        <f t="shared" si="8"/>
        <v>8969</v>
      </c>
      <c r="AO22" s="151">
        <f t="shared" si="9"/>
        <v>-409</v>
      </c>
      <c r="AP22" s="152">
        <f t="shared" si="31"/>
        <v>65096</v>
      </c>
      <c r="AQ22" s="147">
        <v>0</v>
      </c>
      <c r="AR22" s="147">
        <v>0</v>
      </c>
      <c r="AS22" s="147"/>
      <c r="AT22" s="147"/>
      <c r="AU22" s="147">
        <f t="shared" si="10"/>
        <v>0</v>
      </c>
      <c r="AV22" s="151">
        <f t="shared" si="11"/>
        <v>0</v>
      </c>
      <c r="AW22" s="152">
        <f t="shared" si="32"/>
        <v>0</v>
      </c>
      <c r="AX22" s="150">
        <v>135</v>
      </c>
      <c r="AY22" s="147">
        <v>0</v>
      </c>
      <c r="AZ22" s="147"/>
      <c r="BA22" s="147"/>
      <c r="BB22" s="147">
        <f t="shared" si="12"/>
        <v>0</v>
      </c>
      <c r="BC22" s="151">
        <f t="shared" si="13"/>
        <v>-135</v>
      </c>
      <c r="BD22" s="152">
        <f t="shared" si="33"/>
        <v>1008</v>
      </c>
      <c r="BE22" s="150">
        <v>246</v>
      </c>
      <c r="BF22" s="147">
        <v>0</v>
      </c>
      <c r="BG22" s="147"/>
      <c r="BH22" s="147"/>
      <c r="BI22" s="147">
        <f t="shared" si="14"/>
        <v>0</v>
      </c>
      <c r="BJ22" s="151">
        <f t="shared" si="15"/>
        <v>-246</v>
      </c>
      <c r="BK22" s="152">
        <f t="shared" si="34"/>
        <v>1376</v>
      </c>
      <c r="BL22" s="158">
        <v>11383</v>
      </c>
      <c r="BM22" s="154">
        <v>0</v>
      </c>
      <c r="BN22" s="154"/>
      <c r="BO22" s="154"/>
      <c r="BP22" s="154">
        <f t="shared" si="16"/>
        <v>0</v>
      </c>
      <c r="BQ22" s="155">
        <f t="shared" si="17"/>
        <v>-11383</v>
      </c>
      <c r="BR22" s="152">
        <f t="shared" si="35"/>
        <v>-24830</v>
      </c>
      <c r="BS22" s="154"/>
      <c r="BT22" s="154"/>
      <c r="BU22" s="154"/>
      <c r="BV22" s="154"/>
      <c r="BW22" s="154">
        <f t="shared" si="18"/>
        <v>0</v>
      </c>
      <c r="BX22" s="155">
        <f t="shared" si="19"/>
        <v>0</v>
      </c>
      <c r="BY22" s="152">
        <f t="shared" si="36"/>
        <v>0</v>
      </c>
      <c r="BZ22" s="154"/>
      <c r="CA22" s="154"/>
      <c r="CB22" s="154"/>
      <c r="CC22" s="154"/>
      <c r="CD22" s="154">
        <f t="shared" si="20"/>
        <v>0</v>
      </c>
      <c r="CE22" s="155">
        <f t="shared" si="21"/>
        <v>0</v>
      </c>
      <c r="CF22" s="152">
        <f t="shared" si="37"/>
        <v>0</v>
      </c>
      <c r="CG22" s="154"/>
      <c r="CH22" s="154"/>
      <c r="CI22" s="154"/>
      <c r="CJ22" s="154"/>
      <c r="CK22" s="154">
        <f t="shared" si="22"/>
        <v>0</v>
      </c>
      <c r="CL22" s="155">
        <f t="shared" si="23"/>
        <v>0</v>
      </c>
      <c r="CM22" s="152">
        <f t="shared" si="38"/>
        <v>0</v>
      </c>
      <c r="CN22" s="73">
        <f t="shared" si="24"/>
        <v>27861</v>
      </c>
      <c r="CO22" s="73">
        <f t="shared" si="25"/>
        <v>13896</v>
      </c>
      <c r="CP22" s="73">
        <f t="shared" si="26"/>
        <v>-13965</v>
      </c>
      <c r="CQ22" s="152">
        <f t="shared" si="39"/>
        <v>116094</v>
      </c>
      <c r="CR22" s="79"/>
      <c r="CS22" s="79"/>
      <c r="CT22" s="111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</row>
    <row r="23" spans="1:110" x14ac:dyDescent="0.2">
      <c r="A23" s="72">
        <f>+BaseloadMarkets!A23</f>
        <v>36725</v>
      </c>
      <c r="B23" s="72" t="str">
        <f>+BaseloadMarkets!B23</f>
        <v>Tues</v>
      </c>
      <c r="C23" s="146">
        <v>15826</v>
      </c>
      <c r="D23" s="23">
        <v>1507</v>
      </c>
      <c r="E23" s="23">
        <v>10096</v>
      </c>
      <c r="F23" s="23">
        <v>1000</v>
      </c>
      <c r="G23" s="23"/>
      <c r="H23" s="147">
        <f>+Border!AD21</f>
        <v>0</v>
      </c>
      <c r="I23" s="23"/>
      <c r="J23" s="23"/>
      <c r="K23" s="23"/>
      <c r="L23" s="148">
        <f t="shared" si="0"/>
        <v>12603</v>
      </c>
      <c r="M23" s="73">
        <f t="shared" si="1"/>
        <v>-3223</v>
      </c>
      <c r="N23" s="73">
        <f t="shared" si="27"/>
        <v>71742</v>
      </c>
      <c r="O23" s="146">
        <v>2258</v>
      </c>
      <c r="P23" s="23">
        <v>0</v>
      </c>
      <c r="Q23" s="23"/>
      <c r="R23" s="23"/>
      <c r="S23" s="149">
        <f t="shared" si="2"/>
        <v>0</v>
      </c>
      <c r="T23" s="73">
        <f t="shared" si="3"/>
        <v>-2258</v>
      </c>
      <c r="U23" s="73">
        <f t="shared" si="28"/>
        <v>1911</v>
      </c>
      <c r="V23" s="146">
        <v>1458</v>
      </c>
      <c r="W23" s="23">
        <v>0</v>
      </c>
      <c r="X23" s="23"/>
      <c r="Y23" s="23"/>
      <c r="Z23" s="148">
        <f t="shared" si="4"/>
        <v>0</v>
      </c>
      <c r="AA23" s="73">
        <f t="shared" si="5"/>
        <v>-1458</v>
      </c>
      <c r="AB23" s="79">
        <f t="shared" si="29"/>
        <v>-7296</v>
      </c>
      <c r="AC23" s="150">
        <v>173</v>
      </c>
      <c r="AD23" s="147">
        <v>0</v>
      </c>
      <c r="AE23" s="147"/>
      <c r="AF23" s="147"/>
      <c r="AG23" s="147">
        <f t="shared" si="6"/>
        <v>0</v>
      </c>
      <c r="AH23" s="151">
        <f t="shared" si="7"/>
        <v>-173</v>
      </c>
      <c r="AI23" s="152">
        <f t="shared" si="30"/>
        <v>-25</v>
      </c>
      <c r="AJ23" s="150">
        <v>9444</v>
      </c>
      <c r="AK23" s="147">
        <v>2259</v>
      </c>
      <c r="AL23" s="147">
        <v>8528</v>
      </c>
      <c r="AM23" s="147"/>
      <c r="AN23" s="147">
        <f t="shared" si="8"/>
        <v>10787</v>
      </c>
      <c r="AO23" s="151">
        <f t="shared" si="9"/>
        <v>1343</v>
      </c>
      <c r="AP23" s="152">
        <f t="shared" si="31"/>
        <v>66439</v>
      </c>
      <c r="AQ23" s="147">
        <v>0</v>
      </c>
      <c r="AR23" s="147">
        <v>0</v>
      </c>
      <c r="AS23" s="147"/>
      <c r="AT23" s="147"/>
      <c r="AU23" s="147">
        <f t="shared" si="10"/>
        <v>0</v>
      </c>
      <c r="AV23" s="151">
        <f t="shared" si="11"/>
        <v>0</v>
      </c>
      <c r="AW23" s="152">
        <f t="shared" si="32"/>
        <v>0</v>
      </c>
      <c r="AX23" s="150">
        <v>197</v>
      </c>
      <c r="AY23" s="147">
        <v>0</v>
      </c>
      <c r="AZ23" s="147"/>
      <c r="BA23" s="147"/>
      <c r="BB23" s="147">
        <f t="shared" si="12"/>
        <v>0</v>
      </c>
      <c r="BC23" s="151">
        <f t="shared" si="13"/>
        <v>-197</v>
      </c>
      <c r="BD23" s="152">
        <f t="shared" si="33"/>
        <v>811</v>
      </c>
      <c r="BE23" s="150">
        <v>306</v>
      </c>
      <c r="BF23" s="147">
        <v>0</v>
      </c>
      <c r="BG23" s="147"/>
      <c r="BH23" s="147"/>
      <c r="BI23" s="147">
        <f t="shared" si="14"/>
        <v>0</v>
      </c>
      <c r="BJ23" s="151">
        <f t="shared" si="15"/>
        <v>-306</v>
      </c>
      <c r="BK23" s="152">
        <f t="shared" si="34"/>
        <v>1070</v>
      </c>
      <c r="BL23" s="158">
        <v>17215</v>
      </c>
      <c r="BM23" s="154">
        <v>16015</v>
      </c>
      <c r="BN23" s="154"/>
      <c r="BO23" s="154"/>
      <c r="BP23" s="154">
        <f t="shared" si="16"/>
        <v>16015</v>
      </c>
      <c r="BQ23" s="155">
        <f t="shared" si="17"/>
        <v>-1200</v>
      </c>
      <c r="BR23" s="152">
        <f t="shared" si="35"/>
        <v>-26030</v>
      </c>
      <c r="BS23" s="154"/>
      <c r="BT23" s="154"/>
      <c r="BU23" s="154"/>
      <c r="BV23" s="154"/>
      <c r="BW23" s="154">
        <f t="shared" si="18"/>
        <v>0</v>
      </c>
      <c r="BX23" s="155">
        <f t="shared" si="19"/>
        <v>0</v>
      </c>
      <c r="BY23" s="152">
        <f t="shared" si="36"/>
        <v>0</v>
      </c>
      <c r="BZ23" s="154"/>
      <c r="CA23" s="154"/>
      <c r="CB23" s="154"/>
      <c r="CC23" s="154"/>
      <c r="CD23" s="154">
        <f t="shared" si="20"/>
        <v>0</v>
      </c>
      <c r="CE23" s="155">
        <f t="shared" si="21"/>
        <v>0</v>
      </c>
      <c r="CF23" s="152">
        <f t="shared" si="37"/>
        <v>0</v>
      </c>
      <c r="CG23" s="154"/>
      <c r="CH23" s="154"/>
      <c r="CI23" s="154"/>
      <c r="CJ23" s="154"/>
      <c r="CK23" s="154">
        <f t="shared" si="22"/>
        <v>0</v>
      </c>
      <c r="CL23" s="155">
        <f t="shared" si="23"/>
        <v>0</v>
      </c>
      <c r="CM23" s="152">
        <f t="shared" si="38"/>
        <v>0</v>
      </c>
      <c r="CN23" s="73">
        <f t="shared" si="24"/>
        <v>46877</v>
      </c>
      <c r="CO23" s="73">
        <f t="shared" si="25"/>
        <v>39405</v>
      </c>
      <c r="CP23" s="73">
        <f t="shared" si="26"/>
        <v>-7472</v>
      </c>
      <c r="CQ23" s="152">
        <f t="shared" si="39"/>
        <v>108622</v>
      </c>
      <c r="CR23" s="79"/>
      <c r="CS23" s="79"/>
      <c r="CT23" s="111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</row>
    <row r="24" spans="1:110" x14ac:dyDescent="0.2">
      <c r="A24" s="72">
        <f>+BaseloadMarkets!A24</f>
        <v>36726</v>
      </c>
      <c r="B24" s="72" t="str">
        <f>+BaseloadMarkets!B24</f>
        <v>Wed</v>
      </c>
      <c r="C24" s="146">
        <v>16372</v>
      </c>
      <c r="D24" s="23">
        <v>0</v>
      </c>
      <c r="E24" s="23">
        <v>2000</v>
      </c>
      <c r="F24" s="23">
        <v>1000</v>
      </c>
      <c r="G24" s="23"/>
      <c r="H24" s="147">
        <f>+Border!AD22</f>
        <v>0</v>
      </c>
      <c r="I24" s="23"/>
      <c r="J24" s="23"/>
      <c r="K24" s="23"/>
      <c r="L24" s="148">
        <f t="shared" si="0"/>
        <v>3000</v>
      </c>
      <c r="M24" s="73">
        <f t="shared" si="1"/>
        <v>-13372</v>
      </c>
      <c r="N24" s="73">
        <f t="shared" si="27"/>
        <v>58370</v>
      </c>
      <c r="O24" s="146">
        <v>1773</v>
      </c>
      <c r="P24" s="23">
        <v>0</v>
      </c>
      <c r="Q24" s="23"/>
      <c r="R24" s="23"/>
      <c r="S24" s="149">
        <f t="shared" si="2"/>
        <v>0</v>
      </c>
      <c r="T24" s="73">
        <f t="shared" si="3"/>
        <v>-1773</v>
      </c>
      <c r="U24" s="73">
        <f t="shared" si="28"/>
        <v>138</v>
      </c>
      <c r="V24" s="146">
        <v>1285</v>
      </c>
      <c r="W24" s="23">
        <v>0</v>
      </c>
      <c r="X24" s="23"/>
      <c r="Y24" s="23"/>
      <c r="Z24" s="148">
        <f t="shared" si="4"/>
        <v>0</v>
      </c>
      <c r="AA24" s="73">
        <f t="shared" si="5"/>
        <v>-1285</v>
      </c>
      <c r="AB24" s="79">
        <f t="shared" si="29"/>
        <v>-8581</v>
      </c>
      <c r="AC24" s="150">
        <v>132</v>
      </c>
      <c r="AD24" s="147">
        <v>0</v>
      </c>
      <c r="AE24" s="147"/>
      <c r="AF24" s="147"/>
      <c r="AG24" s="147">
        <f t="shared" si="6"/>
        <v>0</v>
      </c>
      <c r="AH24" s="151">
        <f t="shared" si="7"/>
        <v>-132</v>
      </c>
      <c r="AI24" s="152">
        <f t="shared" si="30"/>
        <v>-157</v>
      </c>
      <c r="AJ24" s="150">
        <v>9446</v>
      </c>
      <c r="AK24" s="147">
        <v>0</v>
      </c>
      <c r="AL24" s="147">
        <v>980</v>
      </c>
      <c r="AM24" s="147"/>
      <c r="AN24" s="147">
        <f t="shared" si="8"/>
        <v>980</v>
      </c>
      <c r="AO24" s="151">
        <f t="shared" si="9"/>
        <v>-8466</v>
      </c>
      <c r="AP24" s="152">
        <f t="shared" si="31"/>
        <v>57973</v>
      </c>
      <c r="AQ24" s="147">
        <v>0</v>
      </c>
      <c r="AR24" s="147">
        <v>0</v>
      </c>
      <c r="AS24" s="147"/>
      <c r="AT24" s="147"/>
      <c r="AU24" s="147">
        <f t="shared" si="10"/>
        <v>0</v>
      </c>
      <c r="AV24" s="151">
        <f t="shared" si="11"/>
        <v>0</v>
      </c>
      <c r="AW24" s="152">
        <f t="shared" si="32"/>
        <v>0</v>
      </c>
      <c r="AX24" s="150">
        <v>186</v>
      </c>
      <c r="AY24" s="147">
        <v>0</v>
      </c>
      <c r="AZ24" s="147"/>
      <c r="BA24" s="147"/>
      <c r="BB24" s="147">
        <f t="shared" si="12"/>
        <v>0</v>
      </c>
      <c r="BC24" s="151">
        <f t="shared" si="13"/>
        <v>-186</v>
      </c>
      <c r="BD24" s="152">
        <f t="shared" si="33"/>
        <v>625</v>
      </c>
      <c r="BE24" s="150">
        <v>262</v>
      </c>
      <c r="BF24" s="147">
        <v>0</v>
      </c>
      <c r="BG24" s="147"/>
      <c r="BH24" s="147"/>
      <c r="BI24" s="147">
        <f t="shared" si="14"/>
        <v>0</v>
      </c>
      <c r="BJ24" s="151">
        <f t="shared" si="15"/>
        <v>-262</v>
      </c>
      <c r="BK24" s="152">
        <f t="shared" si="34"/>
        <v>808</v>
      </c>
      <c r="BL24" s="158">
        <v>15830</v>
      </c>
      <c r="BM24" s="154">
        <f>1734+3896+2560+2259</f>
        <v>10449</v>
      </c>
      <c r="BN24" s="154"/>
      <c r="BO24" s="154"/>
      <c r="BP24" s="154">
        <f t="shared" si="16"/>
        <v>10449</v>
      </c>
      <c r="BQ24" s="155">
        <f t="shared" si="17"/>
        <v>-5381</v>
      </c>
      <c r="BR24" s="152">
        <f t="shared" si="35"/>
        <v>-31411</v>
      </c>
      <c r="BS24" s="154"/>
      <c r="BT24" s="154"/>
      <c r="BU24" s="154"/>
      <c r="BV24" s="154"/>
      <c r="BW24" s="154">
        <f t="shared" si="18"/>
        <v>0</v>
      </c>
      <c r="BX24" s="155">
        <f t="shared" si="19"/>
        <v>0</v>
      </c>
      <c r="BY24" s="152">
        <f t="shared" si="36"/>
        <v>0</v>
      </c>
      <c r="BZ24" s="154"/>
      <c r="CA24" s="154"/>
      <c r="CB24" s="154"/>
      <c r="CC24" s="154"/>
      <c r="CD24" s="154">
        <f t="shared" si="20"/>
        <v>0</v>
      </c>
      <c r="CE24" s="155">
        <f t="shared" si="21"/>
        <v>0</v>
      </c>
      <c r="CF24" s="152">
        <f t="shared" si="37"/>
        <v>0</v>
      </c>
      <c r="CG24" s="154"/>
      <c r="CH24" s="154"/>
      <c r="CI24" s="154"/>
      <c r="CJ24" s="154"/>
      <c r="CK24" s="154">
        <f t="shared" si="22"/>
        <v>0</v>
      </c>
      <c r="CL24" s="155">
        <f t="shared" si="23"/>
        <v>0</v>
      </c>
      <c r="CM24" s="152">
        <f t="shared" si="38"/>
        <v>0</v>
      </c>
      <c r="CN24" s="73">
        <f t="shared" si="24"/>
        <v>45286</v>
      </c>
      <c r="CO24" s="73">
        <f t="shared" si="25"/>
        <v>14429</v>
      </c>
      <c r="CP24" s="73">
        <f t="shared" si="26"/>
        <v>-30857</v>
      </c>
      <c r="CQ24" s="152">
        <f t="shared" si="39"/>
        <v>77765</v>
      </c>
      <c r="CR24" s="79"/>
      <c r="CS24" s="79"/>
      <c r="CT24" s="111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</row>
    <row r="25" spans="1:110" x14ac:dyDescent="0.2">
      <c r="A25" s="72">
        <f>+BaseloadMarkets!A25</f>
        <v>36727</v>
      </c>
      <c r="B25" s="72" t="str">
        <f>+BaseloadMarkets!B25</f>
        <v>Thu</v>
      </c>
      <c r="C25" s="146">
        <v>14206</v>
      </c>
      <c r="D25" s="23">
        <v>0</v>
      </c>
      <c r="E25" s="23">
        <v>1466</v>
      </c>
      <c r="F25" s="23">
        <v>1000</v>
      </c>
      <c r="G25" s="23"/>
      <c r="H25" s="147">
        <f>+Border!AD23</f>
        <v>0</v>
      </c>
      <c r="I25" s="23"/>
      <c r="J25" s="23"/>
      <c r="K25" s="23"/>
      <c r="L25" s="148">
        <f t="shared" si="0"/>
        <v>2466</v>
      </c>
      <c r="M25" s="73">
        <f t="shared" si="1"/>
        <v>-11740</v>
      </c>
      <c r="N25" s="73">
        <f t="shared" si="27"/>
        <v>46630</v>
      </c>
      <c r="O25" s="146">
        <v>2234</v>
      </c>
      <c r="P25" s="23">
        <v>3098</v>
      </c>
      <c r="Q25" s="23"/>
      <c r="R25" s="23"/>
      <c r="S25" s="149">
        <f t="shared" si="2"/>
        <v>3098</v>
      </c>
      <c r="T25" s="73">
        <f t="shared" si="3"/>
        <v>864</v>
      </c>
      <c r="U25" s="73">
        <f t="shared" si="28"/>
        <v>1002</v>
      </c>
      <c r="V25" s="146">
        <v>1386</v>
      </c>
      <c r="W25" s="23">
        <v>964</v>
      </c>
      <c r="X25" s="23"/>
      <c r="Y25" s="23"/>
      <c r="Z25" s="148">
        <f t="shared" si="4"/>
        <v>964</v>
      </c>
      <c r="AA25" s="73">
        <f t="shared" si="5"/>
        <v>-422</v>
      </c>
      <c r="AB25" s="79">
        <f t="shared" si="29"/>
        <v>-9003</v>
      </c>
      <c r="AC25" s="150">
        <v>174</v>
      </c>
      <c r="AD25" s="147">
        <v>0</v>
      </c>
      <c r="AE25" s="147"/>
      <c r="AF25" s="147"/>
      <c r="AG25" s="147">
        <f t="shared" si="6"/>
        <v>0</v>
      </c>
      <c r="AH25" s="151">
        <f t="shared" si="7"/>
        <v>-174</v>
      </c>
      <c r="AI25" s="152">
        <f t="shared" si="30"/>
        <v>-331</v>
      </c>
      <c r="AJ25" s="150">
        <v>9798</v>
      </c>
      <c r="AK25" s="147">
        <v>0</v>
      </c>
      <c r="AL25" s="147">
        <v>1514</v>
      </c>
      <c r="AM25" s="147"/>
      <c r="AN25" s="147">
        <f t="shared" si="8"/>
        <v>1514</v>
      </c>
      <c r="AO25" s="151">
        <f t="shared" si="9"/>
        <v>-8284</v>
      </c>
      <c r="AP25" s="152">
        <f t="shared" si="31"/>
        <v>49689</v>
      </c>
      <c r="AQ25" s="147">
        <v>0</v>
      </c>
      <c r="AR25" s="147">
        <v>0</v>
      </c>
      <c r="AS25" s="147"/>
      <c r="AT25" s="147"/>
      <c r="AU25" s="147">
        <f t="shared" si="10"/>
        <v>0</v>
      </c>
      <c r="AV25" s="151">
        <f t="shared" si="11"/>
        <v>0</v>
      </c>
      <c r="AW25" s="152">
        <f t="shared" si="32"/>
        <v>0</v>
      </c>
      <c r="AX25" s="150">
        <v>202</v>
      </c>
      <c r="AY25" s="147">
        <v>0</v>
      </c>
      <c r="AZ25" s="147"/>
      <c r="BA25" s="147"/>
      <c r="BB25" s="147">
        <f t="shared" si="12"/>
        <v>0</v>
      </c>
      <c r="BC25" s="151">
        <f t="shared" si="13"/>
        <v>-202</v>
      </c>
      <c r="BD25" s="152">
        <f t="shared" si="33"/>
        <v>423</v>
      </c>
      <c r="BE25" s="150">
        <v>300</v>
      </c>
      <c r="BF25" s="147">
        <v>0</v>
      </c>
      <c r="BG25" s="147"/>
      <c r="BH25" s="147"/>
      <c r="BI25" s="147">
        <f t="shared" si="14"/>
        <v>0</v>
      </c>
      <c r="BJ25" s="151">
        <f t="shared" si="15"/>
        <v>-300</v>
      </c>
      <c r="BK25" s="152">
        <f t="shared" si="34"/>
        <v>508</v>
      </c>
      <c r="BL25" s="158">
        <v>11130</v>
      </c>
      <c r="BM25" s="154">
        <f>6210+1269+12259</f>
        <v>19738</v>
      </c>
      <c r="BN25" s="154"/>
      <c r="BO25" s="154"/>
      <c r="BP25" s="154">
        <f t="shared" si="16"/>
        <v>19738</v>
      </c>
      <c r="BQ25" s="155">
        <f t="shared" si="17"/>
        <v>8608</v>
      </c>
      <c r="BR25" s="152">
        <f t="shared" si="35"/>
        <v>-22803</v>
      </c>
      <c r="BS25" s="154"/>
      <c r="BT25" s="154"/>
      <c r="BU25" s="154"/>
      <c r="BV25" s="154"/>
      <c r="BW25" s="154">
        <f t="shared" si="18"/>
        <v>0</v>
      </c>
      <c r="BX25" s="155">
        <f t="shared" si="19"/>
        <v>0</v>
      </c>
      <c r="BY25" s="152">
        <f t="shared" si="36"/>
        <v>0</v>
      </c>
      <c r="BZ25" s="154"/>
      <c r="CA25" s="154"/>
      <c r="CB25" s="154"/>
      <c r="CC25" s="154"/>
      <c r="CD25" s="154">
        <f t="shared" si="20"/>
        <v>0</v>
      </c>
      <c r="CE25" s="155">
        <f t="shared" si="21"/>
        <v>0</v>
      </c>
      <c r="CF25" s="152">
        <f t="shared" si="37"/>
        <v>0</v>
      </c>
      <c r="CG25" s="154"/>
      <c r="CH25" s="154"/>
      <c r="CI25" s="154"/>
      <c r="CJ25" s="154"/>
      <c r="CK25" s="154">
        <f t="shared" si="22"/>
        <v>0</v>
      </c>
      <c r="CL25" s="155">
        <f t="shared" si="23"/>
        <v>0</v>
      </c>
      <c r="CM25" s="152">
        <f t="shared" si="38"/>
        <v>0</v>
      </c>
      <c r="CN25" s="73">
        <f t="shared" si="24"/>
        <v>39430</v>
      </c>
      <c r="CO25" s="73">
        <f t="shared" si="25"/>
        <v>27780</v>
      </c>
      <c r="CP25" s="73">
        <f t="shared" si="26"/>
        <v>-11650</v>
      </c>
      <c r="CQ25" s="152">
        <f t="shared" si="39"/>
        <v>66115</v>
      </c>
      <c r="CR25" s="79"/>
      <c r="CS25" s="79"/>
      <c r="CT25" s="111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</row>
    <row r="26" spans="1:110" x14ac:dyDescent="0.2">
      <c r="A26" s="72">
        <f>+BaseloadMarkets!A26</f>
        <v>36728</v>
      </c>
      <c r="B26" s="72" t="str">
        <f>+BaseloadMarkets!B26</f>
        <v>Fri</v>
      </c>
      <c r="C26" s="146">
        <v>12302</v>
      </c>
      <c r="D26" s="23">
        <v>339</v>
      </c>
      <c r="E26" s="23">
        <v>3000</v>
      </c>
      <c r="F26" s="23">
        <v>1000</v>
      </c>
      <c r="G26" s="23"/>
      <c r="H26" s="147">
        <f>+Border!AD24</f>
        <v>0</v>
      </c>
      <c r="I26" s="23"/>
      <c r="J26" s="23"/>
      <c r="K26" s="23"/>
      <c r="L26" s="148">
        <f t="shared" si="0"/>
        <v>4339</v>
      </c>
      <c r="M26" s="73">
        <f t="shared" si="1"/>
        <v>-7963</v>
      </c>
      <c r="N26" s="73">
        <f t="shared" si="27"/>
        <v>38667</v>
      </c>
      <c r="O26" s="146">
        <v>1896</v>
      </c>
      <c r="P26" s="23">
        <v>1160</v>
      </c>
      <c r="Q26" s="23"/>
      <c r="R26" s="23"/>
      <c r="S26" s="149">
        <f t="shared" si="2"/>
        <v>1160</v>
      </c>
      <c r="T26" s="73">
        <f t="shared" si="3"/>
        <v>-736</v>
      </c>
      <c r="U26" s="73">
        <f t="shared" si="28"/>
        <v>266</v>
      </c>
      <c r="V26" s="146">
        <v>1320</v>
      </c>
      <c r="W26" s="23">
        <v>645</v>
      </c>
      <c r="X26" s="23"/>
      <c r="Y26" s="23"/>
      <c r="Z26" s="148">
        <f t="shared" si="4"/>
        <v>645</v>
      </c>
      <c r="AA26" s="73">
        <f t="shared" si="5"/>
        <v>-675</v>
      </c>
      <c r="AB26" s="79">
        <f t="shared" si="29"/>
        <v>-9678</v>
      </c>
      <c r="AC26" s="150">
        <v>178</v>
      </c>
      <c r="AD26" s="147">
        <v>1289</v>
      </c>
      <c r="AE26" s="147"/>
      <c r="AF26" s="147"/>
      <c r="AG26" s="147">
        <f t="shared" si="6"/>
        <v>1289</v>
      </c>
      <c r="AH26" s="151">
        <f t="shared" si="7"/>
        <v>1111</v>
      </c>
      <c r="AI26" s="152">
        <f t="shared" si="30"/>
        <v>780</v>
      </c>
      <c r="AJ26" s="150">
        <v>9740</v>
      </c>
      <c r="AK26" s="147">
        <v>1289</v>
      </c>
      <c r="AL26" s="147">
        <v>980</v>
      </c>
      <c r="AM26" s="147"/>
      <c r="AN26" s="147">
        <f t="shared" si="8"/>
        <v>2269</v>
      </c>
      <c r="AO26" s="151">
        <f t="shared" si="9"/>
        <v>-7471</v>
      </c>
      <c r="AP26" s="152">
        <f t="shared" si="31"/>
        <v>42218</v>
      </c>
      <c r="AQ26" s="147">
        <v>0</v>
      </c>
      <c r="AR26" s="147">
        <v>0</v>
      </c>
      <c r="AS26" s="147"/>
      <c r="AT26" s="147"/>
      <c r="AU26" s="147">
        <f t="shared" si="10"/>
        <v>0</v>
      </c>
      <c r="AV26" s="151">
        <f t="shared" si="11"/>
        <v>0</v>
      </c>
      <c r="AW26" s="152">
        <f t="shared" si="32"/>
        <v>0</v>
      </c>
      <c r="AX26" s="150">
        <v>198</v>
      </c>
      <c r="AY26" s="147">
        <v>1289</v>
      </c>
      <c r="AZ26" s="147"/>
      <c r="BA26" s="147"/>
      <c r="BB26" s="147">
        <f t="shared" si="12"/>
        <v>1289</v>
      </c>
      <c r="BC26" s="151">
        <f t="shared" si="13"/>
        <v>1091</v>
      </c>
      <c r="BD26" s="152">
        <f t="shared" si="33"/>
        <v>1514</v>
      </c>
      <c r="BE26" s="150">
        <v>298</v>
      </c>
      <c r="BF26" s="147">
        <v>1289</v>
      </c>
      <c r="BG26" s="147"/>
      <c r="BH26" s="147"/>
      <c r="BI26" s="147">
        <f t="shared" si="14"/>
        <v>1289</v>
      </c>
      <c r="BJ26" s="151">
        <f t="shared" si="15"/>
        <v>991</v>
      </c>
      <c r="BK26" s="152">
        <f t="shared" si="34"/>
        <v>1499</v>
      </c>
      <c r="BL26" s="158">
        <v>12062</v>
      </c>
      <c r="BM26" s="154">
        <f>431+3401+6679</f>
        <v>10511</v>
      </c>
      <c r="BN26" s="154"/>
      <c r="BO26" s="154"/>
      <c r="BP26" s="154">
        <f t="shared" si="16"/>
        <v>10511</v>
      </c>
      <c r="BQ26" s="155">
        <f t="shared" si="17"/>
        <v>-1551</v>
      </c>
      <c r="BR26" s="152">
        <f t="shared" si="35"/>
        <v>-24354</v>
      </c>
      <c r="BS26" s="154"/>
      <c r="BT26" s="154"/>
      <c r="BU26" s="154"/>
      <c r="BV26" s="154"/>
      <c r="BW26" s="154">
        <f t="shared" si="18"/>
        <v>0</v>
      </c>
      <c r="BX26" s="155">
        <f t="shared" si="19"/>
        <v>0</v>
      </c>
      <c r="BY26" s="152">
        <f t="shared" si="36"/>
        <v>0</v>
      </c>
      <c r="BZ26" s="154"/>
      <c r="CA26" s="154"/>
      <c r="CB26" s="154"/>
      <c r="CC26" s="154"/>
      <c r="CD26" s="154">
        <f t="shared" si="20"/>
        <v>0</v>
      </c>
      <c r="CE26" s="155">
        <f t="shared" si="21"/>
        <v>0</v>
      </c>
      <c r="CF26" s="152">
        <f t="shared" si="37"/>
        <v>0</v>
      </c>
      <c r="CG26" s="154"/>
      <c r="CH26" s="154"/>
      <c r="CI26" s="154"/>
      <c r="CJ26" s="154"/>
      <c r="CK26" s="154">
        <f t="shared" si="22"/>
        <v>0</v>
      </c>
      <c r="CL26" s="155">
        <f t="shared" si="23"/>
        <v>0</v>
      </c>
      <c r="CM26" s="152">
        <f t="shared" si="38"/>
        <v>0</v>
      </c>
      <c r="CN26" s="73">
        <f t="shared" si="24"/>
        <v>37994</v>
      </c>
      <c r="CO26" s="73">
        <f t="shared" si="25"/>
        <v>22791</v>
      </c>
      <c r="CP26" s="73">
        <f t="shared" si="26"/>
        <v>-15203</v>
      </c>
      <c r="CQ26" s="152">
        <f t="shared" si="39"/>
        <v>50912</v>
      </c>
      <c r="CR26" s="79"/>
      <c r="CS26" s="79"/>
      <c r="CT26" s="111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</row>
    <row r="27" spans="1:110" x14ac:dyDescent="0.2">
      <c r="A27" s="72">
        <f>+BaseloadMarkets!A27</f>
        <v>36729</v>
      </c>
      <c r="B27" s="72" t="str">
        <f>+BaseloadMarkets!B27</f>
        <v>Sat</v>
      </c>
      <c r="C27" s="146">
        <v>13994</v>
      </c>
      <c r="D27" s="23">
        <v>0</v>
      </c>
      <c r="E27" s="23">
        <v>9423</v>
      </c>
      <c r="F27" s="23">
        <v>1000</v>
      </c>
      <c r="G27" s="23"/>
      <c r="H27" s="147">
        <f>+Border!AD25</f>
        <v>0</v>
      </c>
      <c r="I27" s="23"/>
      <c r="J27" s="23"/>
      <c r="K27" s="23"/>
      <c r="L27" s="148">
        <f t="shared" si="0"/>
        <v>10423</v>
      </c>
      <c r="M27" s="73">
        <f t="shared" si="1"/>
        <v>-3571</v>
      </c>
      <c r="N27" s="73">
        <f t="shared" si="27"/>
        <v>35096</v>
      </c>
      <c r="O27" s="146">
        <v>2615.1999999999998</v>
      </c>
      <c r="P27" s="23">
        <v>0</v>
      </c>
      <c r="Q27" s="23"/>
      <c r="R27" s="23"/>
      <c r="S27" s="149">
        <f t="shared" si="2"/>
        <v>0</v>
      </c>
      <c r="T27" s="73">
        <f t="shared" si="3"/>
        <v>-2615.1999999999998</v>
      </c>
      <c r="U27" s="73">
        <f t="shared" si="28"/>
        <v>-2349.1999999999998</v>
      </c>
      <c r="V27" s="146">
        <v>993</v>
      </c>
      <c r="W27" s="23">
        <v>0</v>
      </c>
      <c r="X27" s="23"/>
      <c r="Y27" s="23"/>
      <c r="Z27" s="148">
        <f t="shared" si="4"/>
        <v>0</v>
      </c>
      <c r="AA27" s="73">
        <f t="shared" si="5"/>
        <v>-993</v>
      </c>
      <c r="AB27" s="79">
        <f t="shared" si="29"/>
        <v>-10671</v>
      </c>
      <c r="AC27" s="150">
        <v>193.9</v>
      </c>
      <c r="AD27" s="147">
        <v>0</v>
      </c>
      <c r="AE27" s="147"/>
      <c r="AF27" s="147"/>
      <c r="AG27" s="147">
        <f t="shared" si="6"/>
        <v>0</v>
      </c>
      <c r="AH27" s="151">
        <f t="shared" si="7"/>
        <v>-193.9</v>
      </c>
      <c r="AI27" s="152">
        <f t="shared" si="30"/>
        <v>586.1</v>
      </c>
      <c r="AJ27" s="150">
        <v>9232.2999999999993</v>
      </c>
      <c r="AK27" s="147">
        <v>0</v>
      </c>
      <c r="AL27" s="147">
        <v>9253</v>
      </c>
      <c r="AM27" s="147"/>
      <c r="AN27" s="147">
        <f t="shared" si="8"/>
        <v>9253</v>
      </c>
      <c r="AO27" s="151">
        <f t="shared" si="9"/>
        <v>20.700000000000728</v>
      </c>
      <c r="AP27" s="152">
        <f t="shared" si="31"/>
        <v>42238.7</v>
      </c>
      <c r="AQ27" s="147">
        <v>0</v>
      </c>
      <c r="AR27" s="147">
        <v>0</v>
      </c>
      <c r="AS27" s="147"/>
      <c r="AT27" s="147"/>
      <c r="AU27" s="147">
        <f t="shared" si="10"/>
        <v>0</v>
      </c>
      <c r="AV27" s="151">
        <f t="shared" si="11"/>
        <v>0</v>
      </c>
      <c r="AW27" s="152">
        <f t="shared" si="32"/>
        <v>0</v>
      </c>
      <c r="AX27" s="150">
        <v>25.9</v>
      </c>
      <c r="AY27" s="147">
        <v>0</v>
      </c>
      <c r="AZ27" s="147"/>
      <c r="BA27" s="147"/>
      <c r="BB27" s="147">
        <f t="shared" si="12"/>
        <v>0</v>
      </c>
      <c r="BC27" s="151">
        <f t="shared" si="13"/>
        <v>-25.9</v>
      </c>
      <c r="BD27" s="152">
        <f t="shared" si="33"/>
        <v>1488.1</v>
      </c>
      <c r="BE27" s="150">
        <v>168</v>
      </c>
      <c r="BF27" s="147">
        <v>0</v>
      </c>
      <c r="BG27" s="147"/>
      <c r="BH27" s="147"/>
      <c r="BI27" s="147">
        <f t="shared" si="14"/>
        <v>0</v>
      </c>
      <c r="BJ27" s="151">
        <f t="shared" si="15"/>
        <v>-168</v>
      </c>
      <c r="BK27" s="152">
        <f t="shared" si="34"/>
        <v>1331</v>
      </c>
      <c r="BL27" s="158">
        <v>13470</v>
      </c>
      <c r="BM27" s="154">
        <v>2883</v>
      </c>
      <c r="BN27" s="154"/>
      <c r="BO27" s="154"/>
      <c r="BP27" s="154">
        <f t="shared" si="16"/>
        <v>2883</v>
      </c>
      <c r="BQ27" s="155">
        <f t="shared" si="17"/>
        <v>-10587</v>
      </c>
      <c r="BR27" s="152">
        <f t="shared" si="35"/>
        <v>-34941</v>
      </c>
      <c r="BS27" s="154"/>
      <c r="BT27" s="154"/>
      <c r="BU27" s="154"/>
      <c r="BV27" s="154"/>
      <c r="BW27" s="154">
        <f t="shared" si="18"/>
        <v>0</v>
      </c>
      <c r="BX27" s="155">
        <f t="shared" si="19"/>
        <v>0</v>
      </c>
      <c r="BY27" s="152">
        <f t="shared" si="36"/>
        <v>0</v>
      </c>
      <c r="BZ27" s="154"/>
      <c r="CA27" s="154"/>
      <c r="CB27" s="154"/>
      <c r="CC27" s="154"/>
      <c r="CD27" s="154">
        <f t="shared" si="20"/>
        <v>0</v>
      </c>
      <c r="CE27" s="155">
        <f t="shared" si="21"/>
        <v>0</v>
      </c>
      <c r="CF27" s="152">
        <f t="shared" si="37"/>
        <v>0</v>
      </c>
      <c r="CG27" s="154"/>
      <c r="CH27" s="154"/>
      <c r="CI27" s="154"/>
      <c r="CJ27" s="154"/>
      <c r="CK27" s="154">
        <f t="shared" si="22"/>
        <v>0</v>
      </c>
      <c r="CL27" s="155">
        <f t="shared" si="23"/>
        <v>0</v>
      </c>
      <c r="CM27" s="152">
        <f t="shared" si="38"/>
        <v>0</v>
      </c>
      <c r="CN27" s="73">
        <f t="shared" si="24"/>
        <v>40692.300000000003</v>
      </c>
      <c r="CO27" s="73">
        <f t="shared" si="25"/>
        <v>22559</v>
      </c>
      <c r="CP27" s="73">
        <f t="shared" si="26"/>
        <v>-18133.300000000003</v>
      </c>
      <c r="CQ27" s="152">
        <f t="shared" si="39"/>
        <v>32778.699999999997</v>
      </c>
      <c r="CR27" s="79"/>
      <c r="CS27" s="79"/>
      <c r="CT27" s="111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</row>
    <row r="28" spans="1:110" x14ac:dyDescent="0.2">
      <c r="A28" s="72">
        <f>+BaseloadMarkets!A28</f>
        <v>36730</v>
      </c>
      <c r="B28" s="72" t="str">
        <f>+BaseloadMarkets!B28</f>
        <v>Sun</v>
      </c>
      <c r="C28" s="146">
        <v>14950</v>
      </c>
      <c r="D28" s="23">
        <v>0</v>
      </c>
      <c r="E28" s="23">
        <v>13263</v>
      </c>
      <c r="F28" s="23">
        <v>1000</v>
      </c>
      <c r="G28" s="23"/>
      <c r="H28" s="147">
        <v>0</v>
      </c>
      <c r="I28" s="23"/>
      <c r="J28" s="23"/>
      <c r="K28" s="23"/>
      <c r="L28" s="148">
        <f t="shared" si="0"/>
        <v>14263</v>
      </c>
      <c r="M28" s="73">
        <f t="shared" si="1"/>
        <v>-687</v>
      </c>
      <c r="N28" s="73">
        <f t="shared" si="27"/>
        <v>34409</v>
      </c>
      <c r="O28" s="146">
        <v>2455.9</v>
      </c>
      <c r="P28" s="23">
        <v>0</v>
      </c>
      <c r="Q28" s="23"/>
      <c r="R28" s="23"/>
      <c r="S28" s="149">
        <f t="shared" si="2"/>
        <v>0</v>
      </c>
      <c r="T28" s="73">
        <f t="shared" si="3"/>
        <v>-2455.9</v>
      </c>
      <c r="U28" s="73">
        <f t="shared" si="28"/>
        <v>-4805.1000000000004</v>
      </c>
      <c r="V28" s="146">
        <v>1438</v>
      </c>
      <c r="W28" s="23">
        <v>0</v>
      </c>
      <c r="X28" s="23"/>
      <c r="Y28" s="23"/>
      <c r="Z28" s="148">
        <f t="shared" si="4"/>
        <v>0</v>
      </c>
      <c r="AA28" s="73">
        <f t="shared" si="5"/>
        <v>-1438</v>
      </c>
      <c r="AB28" s="79">
        <f t="shared" si="29"/>
        <v>-12109</v>
      </c>
      <c r="AC28" s="150">
        <v>27</v>
      </c>
      <c r="AD28" s="147">
        <v>0</v>
      </c>
      <c r="AE28" s="147"/>
      <c r="AF28" s="147"/>
      <c r="AG28" s="147">
        <f t="shared" si="6"/>
        <v>0</v>
      </c>
      <c r="AH28" s="151">
        <f t="shared" si="7"/>
        <v>-27</v>
      </c>
      <c r="AI28" s="152">
        <f t="shared" si="30"/>
        <v>559.1</v>
      </c>
      <c r="AJ28" s="150">
        <v>9146.6</v>
      </c>
      <c r="AK28" s="147">
        <v>0</v>
      </c>
      <c r="AL28" s="147">
        <v>12662</v>
      </c>
      <c r="AM28" s="147"/>
      <c r="AN28" s="147">
        <f t="shared" si="8"/>
        <v>12662</v>
      </c>
      <c r="AO28" s="151">
        <f t="shared" si="9"/>
        <v>3515.3999999999996</v>
      </c>
      <c r="AP28" s="152">
        <f t="shared" si="31"/>
        <v>45754.1</v>
      </c>
      <c r="AQ28" s="147">
        <v>0</v>
      </c>
      <c r="AR28" s="147">
        <v>0</v>
      </c>
      <c r="AS28" s="147"/>
      <c r="AT28" s="147"/>
      <c r="AU28" s="147">
        <f t="shared" si="10"/>
        <v>0</v>
      </c>
      <c r="AV28" s="151">
        <f t="shared" si="11"/>
        <v>0</v>
      </c>
      <c r="AW28" s="152">
        <f t="shared" si="32"/>
        <v>0</v>
      </c>
      <c r="AX28" s="150">
        <v>23.2</v>
      </c>
      <c r="AY28" s="147">
        <v>0</v>
      </c>
      <c r="AZ28" s="147"/>
      <c r="BA28" s="147"/>
      <c r="BB28" s="147">
        <f t="shared" si="12"/>
        <v>0</v>
      </c>
      <c r="BC28" s="151">
        <f t="shared" si="13"/>
        <v>-23.2</v>
      </c>
      <c r="BD28" s="152">
        <f t="shared" si="33"/>
        <v>1464.8999999999999</v>
      </c>
      <c r="BE28" s="150">
        <v>0</v>
      </c>
      <c r="BF28" s="147">
        <v>0</v>
      </c>
      <c r="BG28" s="147"/>
      <c r="BH28" s="147"/>
      <c r="BI28" s="147">
        <f t="shared" si="14"/>
        <v>0</v>
      </c>
      <c r="BJ28" s="151">
        <f t="shared" si="15"/>
        <v>0</v>
      </c>
      <c r="BK28" s="152">
        <f t="shared" si="34"/>
        <v>1331</v>
      </c>
      <c r="BL28" s="158">
        <v>14244.6</v>
      </c>
      <c r="BM28" s="154">
        <v>4174</v>
      </c>
      <c r="BN28" s="154"/>
      <c r="BO28" s="154"/>
      <c r="BP28" s="154">
        <f t="shared" si="16"/>
        <v>4174</v>
      </c>
      <c r="BQ28" s="155">
        <f t="shared" si="17"/>
        <v>-10070.6</v>
      </c>
      <c r="BR28" s="152">
        <f t="shared" si="35"/>
        <v>-45011.6</v>
      </c>
      <c r="BS28" s="154"/>
      <c r="BT28" s="154"/>
      <c r="BU28" s="154"/>
      <c r="BV28" s="154"/>
      <c r="BW28" s="154">
        <f t="shared" si="18"/>
        <v>0</v>
      </c>
      <c r="BX28" s="155">
        <f t="shared" si="19"/>
        <v>0</v>
      </c>
      <c r="BY28" s="152">
        <f t="shared" si="36"/>
        <v>0</v>
      </c>
      <c r="BZ28" s="154"/>
      <c r="CA28" s="154"/>
      <c r="CB28" s="154"/>
      <c r="CC28" s="154"/>
      <c r="CD28" s="154">
        <f t="shared" si="20"/>
        <v>0</v>
      </c>
      <c r="CE28" s="155">
        <f t="shared" si="21"/>
        <v>0</v>
      </c>
      <c r="CF28" s="152">
        <f t="shared" si="37"/>
        <v>0</v>
      </c>
      <c r="CG28" s="154"/>
      <c r="CH28" s="154"/>
      <c r="CI28" s="154"/>
      <c r="CJ28" s="154"/>
      <c r="CK28" s="154">
        <f t="shared" si="22"/>
        <v>0</v>
      </c>
      <c r="CL28" s="155">
        <f t="shared" si="23"/>
        <v>0</v>
      </c>
      <c r="CM28" s="152">
        <f t="shared" si="38"/>
        <v>0</v>
      </c>
      <c r="CN28" s="73">
        <f t="shared" si="24"/>
        <v>42285.3</v>
      </c>
      <c r="CO28" s="73">
        <f t="shared" si="25"/>
        <v>31099</v>
      </c>
      <c r="CP28" s="73">
        <f t="shared" si="26"/>
        <v>-11186.300000000003</v>
      </c>
      <c r="CQ28" s="152">
        <f t="shared" si="39"/>
        <v>21592.399999999994</v>
      </c>
      <c r="CR28" s="79"/>
      <c r="CS28" s="79"/>
      <c r="CT28" s="111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</row>
    <row r="29" spans="1:110" x14ac:dyDescent="0.2">
      <c r="A29" s="72">
        <f>+BaseloadMarkets!A29</f>
        <v>36731</v>
      </c>
      <c r="B29" s="72" t="str">
        <f>+BaseloadMarkets!B29</f>
        <v>Mon</v>
      </c>
      <c r="C29" s="146">
        <v>15963</v>
      </c>
      <c r="D29" s="23">
        <v>0</v>
      </c>
      <c r="E29" s="23">
        <v>10141</v>
      </c>
      <c r="F29" s="23">
        <v>1000</v>
      </c>
      <c r="G29" s="23"/>
      <c r="H29" s="147">
        <v>0</v>
      </c>
      <c r="I29" s="23"/>
      <c r="J29" s="23"/>
      <c r="K29" s="23"/>
      <c r="L29" s="148">
        <f t="shared" si="0"/>
        <v>11141</v>
      </c>
      <c r="M29" s="73">
        <f t="shared" si="1"/>
        <v>-4822</v>
      </c>
      <c r="N29" s="73">
        <f t="shared" si="27"/>
        <v>29587</v>
      </c>
      <c r="O29" s="146">
        <v>2305.5</v>
      </c>
      <c r="P29" s="23">
        <v>0</v>
      </c>
      <c r="Q29" s="23"/>
      <c r="R29" s="23"/>
      <c r="S29" s="149">
        <f t="shared" si="2"/>
        <v>0</v>
      </c>
      <c r="T29" s="73">
        <f t="shared" si="3"/>
        <v>-2305.5</v>
      </c>
      <c r="U29" s="73">
        <f t="shared" si="28"/>
        <v>-7110.6</v>
      </c>
      <c r="V29" s="146">
        <v>424</v>
      </c>
      <c r="W29" s="23">
        <v>0</v>
      </c>
      <c r="X29" s="23"/>
      <c r="Y29" s="23"/>
      <c r="Z29" s="148">
        <f t="shared" si="4"/>
        <v>0</v>
      </c>
      <c r="AA29" s="73">
        <f t="shared" si="5"/>
        <v>-424</v>
      </c>
      <c r="AB29" s="79">
        <f t="shared" si="29"/>
        <v>-12533</v>
      </c>
      <c r="AC29" s="150">
        <v>143.5</v>
      </c>
      <c r="AD29" s="147">
        <v>0</v>
      </c>
      <c r="AE29" s="147"/>
      <c r="AF29" s="147"/>
      <c r="AG29" s="147">
        <f t="shared" si="6"/>
        <v>0</v>
      </c>
      <c r="AH29" s="151">
        <f t="shared" si="7"/>
        <v>-143.5</v>
      </c>
      <c r="AI29" s="152">
        <f t="shared" si="30"/>
        <v>415.6</v>
      </c>
      <c r="AJ29" s="150">
        <v>9274.1</v>
      </c>
      <c r="AK29" s="147">
        <v>0</v>
      </c>
      <c r="AL29" s="147">
        <v>9891</v>
      </c>
      <c r="AM29" s="147"/>
      <c r="AN29" s="147">
        <f t="shared" si="8"/>
        <v>9891</v>
      </c>
      <c r="AO29" s="151">
        <f t="shared" si="9"/>
        <v>616.89999999999964</v>
      </c>
      <c r="AP29" s="152">
        <f t="shared" si="31"/>
        <v>46371</v>
      </c>
      <c r="AQ29" s="147">
        <v>0</v>
      </c>
      <c r="AR29" s="147">
        <v>0</v>
      </c>
      <c r="AS29" s="147"/>
      <c r="AT29" s="147"/>
      <c r="AU29" s="147">
        <f t="shared" si="10"/>
        <v>0</v>
      </c>
      <c r="AV29" s="151">
        <f t="shared" si="11"/>
        <v>0</v>
      </c>
      <c r="AW29" s="152">
        <f t="shared" si="32"/>
        <v>0</v>
      </c>
      <c r="AX29" s="150">
        <v>191.4</v>
      </c>
      <c r="AY29" s="147">
        <v>0</v>
      </c>
      <c r="AZ29" s="147"/>
      <c r="BA29" s="147"/>
      <c r="BB29" s="147">
        <f t="shared" si="12"/>
        <v>0</v>
      </c>
      <c r="BC29" s="151">
        <f t="shared" si="13"/>
        <v>-191.4</v>
      </c>
      <c r="BD29" s="152">
        <f t="shared" si="33"/>
        <v>1273.4999999999998</v>
      </c>
      <c r="BE29" s="150">
        <v>225.5</v>
      </c>
      <c r="BF29" s="147">
        <v>0</v>
      </c>
      <c r="BG29" s="147"/>
      <c r="BH29" s="147"/>
      <c r="BI29" s="147">
        <f t="shared" si="14"/>
        <v>0</v>
      </c>
      <c r="BJ29" s="151">
        <f t="shared" si="15"/>
        <v>-225.5</v>
      </c>
      <c r="BK29" s="152">
        <f t="shared" si="34"/>
        <v>1105.5</v>
      </c>
      <c r="BL29" s="158">
        <v>15002.7</v>
      </c>
      <c r="BM29" s="154">
        <f>2884+5538</f>
        <v>8422</v>
      </c>
      <c r="BN29" s="154"/>
      <c r="BO29" s="154">
        <v>10000</v>
      </c>
      <c r="BP29" s="154">
        <f t="shared" si="16"/>
        <v>18422</v>
      </c>
      <c r="BQ29" s="155">
        <f t="shared" si="17"/>
        <v>3419.2999999999993</v>
      </c>
      <c r="BR29" s="152">
        <f t="shared" si="35"/>
        <v>-41592.300000000003</v>
      </c>
      <c r="BS29" s="154"/>
      <c r="BT29" s="154"/>
      <c r="BU29" s="154"/>
      <c r="BV29" s="154"/>
      <c r="BW29" s="154">
        <f t="shared" si="18"/>
        <v>0</v>
      </c>
      <c r="BX29" s="155">
        <f t="shared" si="19"/>
        <v>0</v>
      </c>
      <c r="BY29" s="152">
        <f t="shared" si="36"/>
        <v>0</v>
      </c>
      <c r="BZ29" s="154"/>
      <c r="CA29" s="154"/>
      <c r="CB29" s="154"/>
      <c r="CC29" s="154"/>
      <c r="CD29" s="154">
        <f t="shared" si="20"/>
        <v>0</v>
      </c>
      <c r="CE29" s="155">
        <f t="shared" si="21"/>
        <v>0</v>
      </c>
      <c r="CF29" s="152">
        <f t="shared" si="37"/>
        <v>0</v>
      </c>
      <c r="CG29" s="154"/>
      <c r="CH29" s="154"/>
      <c r="CI29" s="154"/>
      <c r="CJ29" s="154"/>
      <c r="CK29" s="154">
        <f t="shared" si="22"/>
        <v>0</v>
      </c>
      <c r="CL29" s="155">
        <f t="shared" si="23"/>
        <v>0</v>
      </c>
      <c r="CM29" s="152">
        <f t="shared" si="38"/>
        <v>0</v>
      </c>
      <c r="CN29" s="73">
        <f t="shared" si="24"/>
        <v>43529.7</v>
      </c>
      <c r="CO29" s="73">
        <f t="shared" si="25"/>
        <v>39454</v>
      </c>
      <c r="CP29" s="73">
        <f t="shared" si="26"/>
        <v>-4075.6999999999971</v>
      </c>
      <c r="CQ29" s="152">
        <f t="shared" si="39"/>
        <v>17516.699999999997</v>
      </c>
      <c r="CR29" s="79"/>
      <c r="CS29" s="79"/>
      <c r="CT29" s="111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</row>
    <row r="30" spans="1:110" x14ac:dyDescent="0.2">
      <c r="A30" s="72">
        <f>+BaseloadMarkets!A30</f>
        <v>36732</v>
      </c>
      <c r="B30" s="72" t="str">
        <f>+BaseloadMarkets!B30</f>
        <v>Tues</v>
      </c>
      <c r="C30" s="146">
        <v>16517</v>
      </c>
      <c r="D30" s="23">
        <f>1514+3259</f>
        <v>4773</v>
      </c>
      <c r="E30" s="23">
        <v>4053</v>
      </c>
      <c r="F30" s="23">
        <v>1000</v>
      </c>
      <c r="G30" s="23"/>
      <c r="H30" s="147">
        <v>0</v>
      </c>
      <c r="I30" s="23"/>
      <c r="J30" s="23"/>
      <c r="K30" s="23"/>
      <c r="L30" s="148">
        <f t="shared" si="0"/>
        <v>9826</v>
      </c>
      <c r="M30" s="73">
        <f t="shared" si="1"/>
        <v>-6691</v>
      </c>
      <c r="N30" s="73">
        <f t="shared" si="27"/>
        <v>22896</v>
      </c>
      <c r="O30" s="146">
        <v>1959.9</v>
      </c>
      <c r="P30" s="23">
        <v>2000</v>
      </c>
      <c r="Q30" s="23"/>
      <c r="R30" s="23"/>
      <c r="S30" s="149">
        <f t="shared" si="2"/>
        <v>2000</v>
      </c>
      <c r="T30" s="73">
        <f t="shared" si="3"/>
        <v>40.099999999999909</v>
      </c>
      <c r="U30" s="73">
        <f t="shared" si="28"/>
        <v>-7070.5</v>
      </c>
      <c r="V30" s="146">
        <v>29.3</v>
      </c>
      <c r="W30" s="23">
        <v>2000</v>
      </c>
      <c r="X30" s="23"/>
      <c r="Y30" s="23"/>
      <c r="Z30" s="148">
        <f t="shared" si="4"/>
        <v>2000</v>
      </c>
      <c r="AA30" s="73">
        <f t="shared" si="5"/>
        <v>1970.7</v>
      </c>
      <c r="AB30" s="79">
        <f t="shared" si="29"/>
        <v>-10562.3</v>
      </c>
      <c r="AC30" s="150">
        <v>180.6</v>
      </c>
      <c r="AD30" s="147">
        <v>0</v>
      </c>
      <c r="AE30" s="147"/>
      <c r="AF30" s="147"/>
      <c r="AG30" s="147">
        <f t="shared" si="6"/>
        <v>0</v>
      </c>
      <c r="AH30" s="151">
        <f t="shared" si="7"/>
        <v>-180.6</v>
      </c>
      <c r="AI30" s="152">
        <f t="shared" si="30"/>
        <v>235.00000000000003</v>
      </c>
      <c r="AJ30" s="150">
        <v>9303.7999999999993</v>
      </c>
      <c r="AK30" s="147">
        <f>76+3020</f>
        <v>3096</v>
      </c>
      <c r="AL30" s="147">
        <v>4267</v>
      </c>
      <c r="AM30" s="147"/>
      <c r="AN30" s="147">
        <f t="shared" si="8"/>
        <v>7363</v>
      </c>
      <c r="AO30" s="151">
        <f t="shared" si="9"/>
        <v>-1940.7999999999993</v>
      </c>
      <c r="AP30" s="152">
        <f t="shared" si="31"/>
        <v>44430.2</v>
      </c>
      <c r="AQ30" s="147">
        <v>0</v>
      </c>
      <c r="AR30" s="147">
        <v>0</v>
      </c>
      <c r="AS30" s="147"/>
      <c r="AT30" s="147"/>
      <c r="AU30" s="147">
        <f t="shared" si="10"/>
        <v>0</v>
      </c>
      <c r="AV30" s="151">
        <f t="shared" si="11"/>
        <v>0</v>
      </c>
      <c r="AW30" s="152">
        <f t="shared" si="32"/>
        <v>0</v>
      </c>
      <c r="AX30" s="150">
        <v>202.7</v>
      </c>
      <c r="AY30" s="147">
        <v>0</v>
      </c>
      <c r="AZ30" s="147"/>
      <c r="BA30" s="147"/>
      <c r="BB30" s="147">
        <f t="shared" si="12"/>
        <v>0</v>
      </c>
      <c r="BC30" s="151">
        <f t="shared" si="13"/>
        <v>-202.7</v>
      </c>
      <c r="BD30" s="152">
        <f t="shared" si="33"/>
        <v>1070.7999999999997</v>
      </c>
      <c r="BE30" s="150">
        <v>311.60000000000002</v>
      </c>
      <c r="BF30" s="147">
        <v>0</v>
      </c>
      <c r="BG30" s="147"/>
      <c r="BH30" s="147"/>
      <c r="BI30" s="147">
        <f t="shared" si="14"/>
        <v>0</v>
      </c>
      <c r="BJ30" s="151">
        <f t="shared" si="15"/>
        <v>-311.60000000000002</v>
      </c>
      <c r="BK30" s="152">
        <f t="shared" si="34"/>
        <v>793.9</v>
      </c>
      <c r="BL30" s="158">
        <v>14937.1</v>
      </c>
      <c r="BM30" s="154">
        <v>15000</v>
      </c>
      <c r="BN30" s="154"/>
      <c r="BO30" s="154"/>
      <c r="BP30" s="154">
        <f t="shared" si="16"/>
        <v>15000</v>
      </c>
      <c r="BQ30" s="155">
        <f t="shared" si="17"/>
        <v>62.899999999999636</v>
      </c>
      <c r="BR30" s="152">
        <f t="shared" si="35"/>
        <v>-41529.4</v>
      </c>
      <c r="BS30" s="154"/>
      <c r="BT30" s="154"/>
      <c r="BU30" s="154"/>
      <c r="BV30" s="154"/>
      <c r="BW30" s="154">
        <f t="shared" si="18"/>
        <v>0</v>
      </c>
      <c r="BX30" s="155">
        <f t="shared" si="19"/>
        <v>0</v>
      </c>
      <c r="BY30" s="152">
        <f t="shared" si="36"/>
        <v>0</v>
      </c>
      <c r="BZ30" s="154"/>
      <c r="CA30" s="154"/>
      <c r="CB30" s="154"/>
      <c r="CC30" s="154"/>
      <c r="CD30" s="154">
        <f t="shared" si="20"/>
        <v>0</v>
      </c>
      <c r="CE30" s="155">
        <f t="shared" si="21"/>
        <v>0</v>
      </c>
      <c r="CF30" s="152">
        <f t="shared" si="37"/>
        <v>0</v>
      </c>
      <c r="CG30" s="154"/>
      <c r="CH30" s="154"/>
      <c r="CI30" s="154"/>
      <c r="CJ30" s="154"/>
      <c r="CK30" s="154">
        <f t="shared" si="22"/>
        <v>0</v>
      </c>
      <c r="CL30" s="155">
        <f t="shared" si="23"/>
        <v>0</v>
      </c>
      <c r="CM30" s="152">
        <f t="shared" si="38"/>
        <v>0</v>
      </c>
      <c r="CN30" s="73">
        <f t="shared" si="24"/>
        <v>43442</v>
      </c>
      <c r="CO30" s="73">
        <f t="shared" si="25"/>
        <v>36189</v>
      </c>
      <c r="CP30" s="73">
        <f t="shared" si="26"/>
        <v>-7253</v>
      </c>
      <c r="CQ30" s="152">
        <f t="shared" si="39"/>
        <v>10263.699999999997</v>
      </c>
      <c r="CR30" s="79"/>
      <c r="CS30" s="79"/>
      <c r="CT30" s="111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</row>
    <row r="31" spans="1:110" x14ac:dyDescent="0.2">
      <c r="A31" s="72">
        <f>+BaseloadMarkets!A31</f>
        <v>36733</v>
      </c>
      <c r="B31" s="72" t="str">
        <f>+BaseloadMarkets!B31</f>
        <v>Wed</v>
      </c>
      <c r="C31" s="146">
        <v>17199</v>
      </c>
      <c r="D31" s="23">
        <v>0</v>
      </c>
      <c r="E31" s="23">
        <v>3000</v>
      </c>
      <c r="F31" s="23">
        <v>0</v>
      </c>
      <c r="G31" s="23"/>
      <c r="H31" s="147">
        <v>0</v>
      </c>
      <c r="I31" s="23"/>
      <c r="J31" s="23"/>
      <c r="K31" s="23"/>
      <c r="L31" s="148">
        <f t="shared" si="0"/>
        <v>3000</v>
      </c>
      <c r="M31" s="73">
        <f t="shared" si="1"/>
        <v>-14199</v>
      </c>
      <c r="N31" s="73">
        <f t="shared" si="27"/>
        <v>8697</v>
      </c>
      <c r="O31" s="156">
        <v>1757</v>
      </c>
      <c r="P31" s="23">
        <v>0</v>
      </c>
      <c r="Q31" s="23"/>
      <c r="R31" s="23"/>
      <c r="S31" s="149">
        <f t="shared" si="2"/>
        <v>0</v>
      </c>
      <c r="T31" s="73">
        <f t="shared" si="3"/>
        <v>-1757</v>
      </c>
      <c r="U31" s="73">
        <f t="shared" si="28"/>
        <v>-8827.5</v>
      </c>
      <c r="V31" s="156">
        <v>717</v>
      </c>
      <c r="W31" s="23">
        <v>0</v>
      </c>
      <c r="X31" s="23"/>
      <c r="Y31" s="23"/>
      <c r="Z31" s="148">
        <f t="shared" si="4"/>
        <v>0</v>
      </c>
      <c r="AA31" s="73">
        <f t="shared" si="5"/>
        <v>-717</v>
      </c>
      <c r="AB31" s="79">
        <f t="shared" si="29"/>
        <v>-11279.3</v>
      </c>
      <c r="AC31" s="483">
        <v>189</v>
      </c>
      <c r="AD31" s="147">
        <v>0</v>
      </c>
      <c r="AE31" s="147"/>
      <c r="AF31" s="147"/>
      <c r="AG31" s="147">
        <f t="shared" si="6"/>
        <v>0</v>
      </c>
      <c r="AH31" s="151">
        <f t="shared" si="7"/>
        <v>-189</v>
      </c>
      <c r="AI31" s="152">
        <f t="shared" si="30"/>
        <v>46.000000000000028</v>
      </c>
      <c r="AJ31" s="483">
        <v>9267</v>
      </c>
      <c r="AK31" s="147">
        <v>5434</v>
      </c>
      <c r="AL31" s="147">
        <v>980</v>
      </c>
      <c r="AM31" s="147"/>
      <c r="AN31" s="147">
        <f t="shared" si="8"/>
        <v>6414</v>
      </c>
      <c r="AO31" s="151">
        <f t="shared" si="9"/>
        <v>-2853</v>
      </c>
      <c r="AP31" s="152">
        <f t="shared" si="31"/>
        <v>41577.199999999997</v>
      </c>
      <c r="AQ31" s="147">
        <v>0</v>
      </c>
      <c r="AR31" s="147">
        <v>0</v>
      </c>
      <c r="AS31" s="147"/>
      <c r="AT31" s="147"/>
      <c r="AU31" s="147">
        <f t="shared" si="10"/>
        <v>0</v>
      </c>
      <c r="AV31" s="151">
        <f t="shared" si="11"/>
        <v>0</v>
      </c>
      <c r="AW31" s="152">
        <f t="shared" si="32"/>
        <v>0</v>
      </c>
      <c r="AX31" s="483">
        <v>200</v>
      </c>
      <c r="AY31" s="147">
        <v>0</v>
      </c>
      <c r="AZ31" s="147"/>
      <c r="BA31" s="147"/>
      <c r="BB31" s="147">
        <f t="shared" si="12"/>
        <v>0</v>
      </c>
      <c r="BC31" s="151">
        <f t="shared" si="13"/>
        <v>-200</v>
      </c>
      <c r="BD31" s="152">
        <f t="shared" si="33"/>
        <v>870.79999999999973</v>
      </c>
      <c r="BE31" s="483">
        <v>303</v>
      </c>
      <c r="BF31" s="147">
        <v>0</v>
      </c>
      <c r="BG31" s="147"/>
      <c r="BH31" s="147"/>
      <c r="BI31" s="147">
        <f t="shared" si="14"/>
        <v>0</v>
      </c>
      <c r="BJ31" s="151">
        <f t="shared" si="15"/>
        <v>-303</v>
      </c>
      <c r="BK31" s="152">
        <f t="shared" si="34"/>
        <v>490.9</v>
      </c>
      <c r="BL31" s="153">
        <v>14083</v>
      </c>
      <c r="BM31" s="154">
        <v>12259</v>
      </c>
      <c r="BN31" s="154"/>
      <c r="BO31" s="154"/>
      <c r="BP31" s="154">
        <f t="shared" si="16"/>
        <v>12259</v>
      </c>
      <c r="BQ31" s="155">
        <f t="shared" si="17"/>
        <v>-1824</v>
      </c>
      <c r="BR31" s="152">
        <f t="shared" si="35"/>
        <v>-43353.4</v>
      </c>
      <c r="BS31" s="154"/>
      <c r="BT31" s="154"/>
      <c r="BU31" s="154"/>
      <c r="BV31" s="154"/>
      <c r="BW31" s="154">
        <f t="shared" si="18"/>
        <v>0</v>
      </c>
      <c r="BX31" s="155">
        <f t="shared" si="19"/>
        <v>0</v>
      </c>
      <c r="BY31" s="152">
        <f t="shared" si="36"/>
        <v>0</v>
      </c>
      <c r="BZ31" s="154"/>
      <c r="CA31" s="154"/>
      <c r="CB31" s="154"/>
      <c r="CC31" s="154"/>
      <c r="CD31" s="154">
        <f t="shared" si="20"/>
        <v>0</v>
      </c>
      <c r="CE31" s="155">
        <f t="shared" si="21"/>
        <v>0</v>
      </c>
      <c r="CF31" s="152">
        <f t="shared" si="37"/>
        <v>0</v>
      </c>
      <c r="CG31" s="154"/>
      <c r="CH31" s="154"/>
      <c r="CI31" s="154"/>
      <c r="CJ31" s="154"/>
      <c r="CK31" s="154">
        <f t="shared" si="22"/>
        <v>0</v>
      </c>
      <c r="CL31" s="155">
        <f t="shared" si="23"/>
        <v>0</v>
      </c>
      <c r="CM31" s="152">
        <f t="shared" si="38"/>
        <v>0</v>
      </c>
      <c r="CN31" s="73">
        <f t="shared" si="24"/>
        <v>43715</v>
      </c>
      <c r="CO31" s="73">
        <f t="shared" si="25"/>
        <v>21673</v>
      </c>
      <c r="CP31" s="73">
        <f t="shared" si="26"/>
        <v>-22042</v>
      </c>
      <c r="CQ31" s="152">
        <f t="shared" si="39"/>
        <v>-11778.300000000003</v>
      </c>
      <c r="CR31" s="79"/>
      <c r="CS31" s="79"/>
      <c r="CT31" s="111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</row>
    <row r="32" spans="1:110" x14ac:dyDescent="0.2">
      <c r="A32" s="72">
        <f>+BaseloadMarkets!A32</f>
        <v>36734</v>
      </c>
      <c r="B32" s="72" t="str">
        <f>+BaseloadMarkets!B32</f>
        <v>Thu</v>
      </c>
      <c r="C32" s="156">
        <v>17642</v>
      </c>
      <c r="D32" s="23">
        <v>3686</v>
      </c>
      <c r="E32" s="23">
        <v>3909</v>
      </c>
      <c r="F32" s="23">
        <v>0</v>
      </c>
      <c r="G32" s="23"/>
      <c r="H32" s="147">
        <v>0</v>
      </c>
      <c r="I32" s="23"/>
      <c r="J32" s="23"/>
      <c r="K32" s="23"/>
      <c r="L32" s="148">
        <f t="shared" si="0"/>
        <v>7595</v>
      </c>
      <c r="M32" s="73">
        <f t="shared" si="1"/>
        <v>-10047</v>
      </c>
      <c r="N32" s="73">
        <f t="shared" si="27"/>
        <v>-1350</v>
      </c>
      <c r="O32" s="156">
        <v>2445</v>
      </c>
      <c r="P32" s="23">
        <v>0</v>
      </c>
      <c r="Q32" s="23"/>
      <c r="R32" s="23"/>
      <c r="S32" s="149">
        <f t="shared" si="2"/>
        <v>0</v>
      </c>
      <c r="T32" s="73">
        <f t="shared" si="3"/>
        <v>-2445</v>
      </c>
      <c r="U32" s="73">
        <f t="shared" si="28"/>
        <v>-11272.5</v>
      </c>
      <c r="V32" s="156">
        <v>936</v>
      </c>
      <c r="W32" s="23">
        <v>0</v>
      </c>
      <c r="X32" s="23"/>
      <c r="Y32" s="23"/>
      <c r="Z32" s="148">
        <f t="shared" si="4"/>
        <v>0</v>
      </c>
      <c r="AA32" s="73">
        <f t="shared" si="5"/>
        <v>-936</v>
      </c>
      <c r="AB32" s="79">
        <f t="shared" si="29"/>
        <v>-12215.3</v>
      </c>
      <c r="AC32" s="483">
        <v>183</v>
      </c>
      <c r="AD32" s="147">
        <v>0</v>
      </c>
      <c r="AE32" s="147"/>
      <c r="AF32" s="147"/>
      <c r="AG32" s="147">
        <f t="shared" si="6"/>
        <v>0</v>
      </c>
      <c r="AH32" s="151">
        <f t="shared" si="7"/>
        <v>-183</v>
      </c>
      <c r="AI32" s="152">
        <f t="shared" si="30"/>
        <v>-136.99999999999997</v>
      </c>
      <c r="AJ32" s="147">
        <v>9338</v>
      </c>
      <c r="AK32" s="147">
        <v>9338</v>
      </c>
      <c r="AL32" s="147">
        <v>2784</v>
      </c>
      <c r="AM32" s="147"/>
      <c r="AN32" s="147">
        <f t="shared" si="8"/>
        <v>12122</v>
      </c>
      <c r="AO32" s="151">
        <f t="shared" si="9"/>
        <v>2784</v>
      </c>
      <c r="AP32" s="152">
        <f t="shared" si="31"/>
        <v>44361.2</v>
      </c>
      <c r="AQ32" s="147">
        <v>0</v>
      </c>
      <c r="AR32" s="147">
        <v>0</v>
      </c>
      <c r="AS32" s="147"/>
      <c r="AT32" s="147"/>
      <c r="AU32" s="147">
        <f t="shared" si="10"/>
        <v>0</v>
      </c>
      <c r="AV32" s="151">
        <f t="shared" si="11"/>
        <v>0</v>
      </c>
      <c r="AW32" s="152">
        <f t="shared" si="32"/>
        <v>0</v>
      </c>
      <c r="AX32" s="483">
        <v>204</v>
      </c>
      <c r="AY32" s="147">
        <v>0</v>
      </c>
      <c r="AZ32" s="147"/>
      <c r="BA32" s="147"/>
      <c r="BB32" s="147">
        <f t="shared" si="12"/>
        <v>0</v>
      </c>
      <c r="BC32" s="151">
        <f t="shared" si="13"/>
        <v>-204</v>
      </c>
      <c r="BD32" s="152">
        <f t="shared" si="33"/>
        <v>666.79999999999973</v>
      </c>
      <c r="BE32" s="147">
        <v>287</v>
      </c>
      <c r="BF32" s="147">
        <v>0</v>
      </c>
      <c r="BG32" s="147"/>
      <c r="BH32" s="147"/>
      <c r="BI32" s="147">
        <f t="shared" si="14"/>
        <v>0</v>
      </c>
      <c r="BJ32" s="151">
        <f t="shared" si="15"/>
        <v>-287</v>
      </c>
      <c r="BK32" s="152">
        <f t="shared" si="34"/>
        <v>203.89999999999998</v>
      </c>
      <c r="BL32" s="153">
        <v>15083</v>
      </c>
      <c r="BM32" s="154">
        <v>14143</v>
      </c>
      <c r="BN32" s="154"/>
      <c r="BO32" s="154"/>
      <c r="BP32" s="154">
        <f t="shared" si="16"/>
        <v>14143</v>
      </c>
      <c r="BQ32" s="155">
        <f t="shared" si="17"/>
        <v>-940</v>
      </c>
      <c r="BR32" s="152">
        <f t="shared" si="35"/>
        <v>-44293.4</v>
      </c>
      <c r="BS32" s="154"/>
      <c r="BT32" s="154"/>
      <c r="BU32" s="154"/>
      <c r="BV32" s="154"/>
      <c r="BW32" s="154">
        <f t="shared" si="18"/>
        <v>0</v>
      </c>
      <c r="BX32" s="155">
        <f t="shared" si="19"/>
        <v>0</v>
      </c>
      <c r="BY32" s="152">
        <f t="shared" si="36"/>
        <v>0</v>
      </c>
      <c r="BZ32" s="154"/>
      <c r="CA32" s="154"/>
      <c r="CB32" s="154"/>
      <c r="CC32" s="154"/>
      <c r="CD32" s="154">
        <f t="shared" si="20"/>
        <v>0</v>
      </c>
      <c r="CE32" s="155">
        <f t="shared" si="21"/>
        <v>0</v>
      </c>
      <c r="CF32" s="152">
        <f t="shared" si="37"/>
        <v>0</v>
      </c>
      <c r="CG32" s="154"/>
      <c r="CH32" s="154"/>
      <c r="CI32" s="154"/>
      <c r="CJ32" s="154"/>
      <c r="CK32" s="154">
        <f t="shared" si="22"/>
        <v>0</v>
      </c>
      <c r="CL32" s="155">
        <f t="shared" si="23"/>
        <v>0</v>
      </c>
      <c r="CM32" s="152">
        <f t="shared" si="38"/>
        <v>0</v>
      </c>
      <c r="CN32" s="73">
        <f t="shared" si="24"/>
        <v>46118</v>
      </c>
      <c r="CO32" s="73">
        <f t="shared" si="25"/>
        <v>33860</v>
      </c>
      <c r="CP32" s="73">
        <f t="shared" si="26"/>
        <v>-12258</v>
      </c>
      <c r="CQ32" s="152">
        <f t="shared" si="39"/>
        <v>-24036.300000000003</v>
      </c>
      <c r="CR32" s="79"/>
      <c r="CS32" s="79"/>
      <c r="CT32" s="111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</row>
    <row r="33" spans="1:147" x14ac:dyDescent="0.2">
      <c r="A33" s="72">
        <f>+BaseloadMarkets!A33</f>
        <v>36735</v>
      </c>
      <c r="B33" s="72" t="str">
        <f>+BaseloadMarkets!B33</f>
        <v>Fri</v>
      </c>
      <c r="C33" s="156">
        <v>20457</v>
      </c>
      <c r="D33" s="23">
        <v>0</v>
      </c>
      <c r="E33" s="23">
        <v>11774</v>
      </c>
      <c r="F33" s="23">
        <v>0</v>
      </c>
      <c r="G33" s="23"/>
      <c r="H33" s="147">
        <f>+Border!AD31</f>
        <v>0</v>
      </c>
      <c r="I33" s="23"/>
      <c r="J33" s="23"/>
      <c r="K33" s="23"/>
      <c r="L33" s="148">
        <f t="shared" si="0"/>
        <v>11774</v>
      </c>
      <c r="M33" s="73">
        <f t="shared" si="1"/>
        <v>-8683</v>
      </c>
      <c r="N33" s="73">
        <f t="shared" si="27"/>
        <v>-10033</v>
      </c>
      <c r="O33" s="156">
        <v>1899</v>
      </c>
      <c r="P33" s="23">
        <v>0</v>
      </c>
      <c r="Q33" s="23">
        <v>20000</v>
      </c>
      <c r="R33" s="23"/>
      <c r="S33" s="149">
        <f t="shared" si="2"/>
        <v>20000</v>
      </c>
      <c r="T33" s="73">
        <f t="shared" si="3"/>
        <v>18101</v>
      </c>
      <c r="U33" s="73">
        <f t="shared" si="28"/>
        <v>6828.5</v>
      </c>
      <c r="V33" s="156">
        <v>1247</v>
      </c>
      <c r="W33" s="23">
        <v>1826</v>
      </c>
      <c r="X33" s="23"/>
      <c r="Y33" s="23"/>
      <c r="Z33" s="148">
        <f t="shared" si="4"/>
        <v>1826</v>
      </c>
      <c r="AA33" s="73">
        <f t="shared" si="5"/>
        <v>579</v>
      </c>
      <c r="AB33" s="79">
        <f t="shared" si="29"/>
        <v>-11636.3</v>
      </c>
      <c r="AC33" s="483">
        <v>194</v>
      </c>
      <c r="AD33" s="147">
        <v>0</v>
      </c>
      <c r="AE33" s="147"/>
      <c r="AF33" s="147"/>
      <c r="AG33" s="147">
        <f t="shared" si="6"/>
        <v>0</v>
      </c>
      <c r="AH33" s="151">
        <f t="shared" si="7"/>
        <v>-194</v>
      </c>
      <c r="AI33" s="152">
        <f t="shared" si="30"/>
        <v>-331</v>
      </c>
      <c r="AJ33" s="147">
        <v>9493</v>
      </c>
      <c r="AK33" s="147">
        <v>11643</v>
      </c>
      <c r="AL33" s="147">
        <v>11053</v>
      </c>
      <c r="AM33" s="147"/>
      <c r="AN33" s="147">
        <f t="shared" si="8"/>
        <v>22696</v>
      </c>
      <c r="AO33" s="151">
        <f t="shared" si="9"/>
        <v>13203</v>
      </c>
      <c r="AP33" s="152">
        <f t="shared" si="31"/>
        <v>57564.2</v>
      </c>
      <c r="AQ33" s="147">
        <v>0</v>
      </c>
      <c r="AR33" s="147">
        <v>0</v>
      </c>
      <c r="AS33" s="147"/>
      <c r="AT33" s="147"/>
      <c r="AU33" s="147">
        <f t="shared" si="10"/>
        <v>0</v>
      </c>
      <c r="AV33" s="151">
        <f t="shared" si="11"/>
        <v>0</v>
      </c>
      <c r="AW33" s="152">
        <f t="shared" si="32"/>
        <v>0</v>
      </c>
      <c r="AX33" s="483">
        <v>198</v>
      </c>
      <c r="AY33" s="147">
        <v>0</v>
      </c>
      <c r="AZ33" s="147"/>
      <c r="BA33" s="147"/>
      <c r="BB33" s="147">
        <f t="shared" si="12"/>
        <v>0</v>
      </c>
      <c r="BC33" s="151">
        <f t="shared" si="13"/>
        <v>-198</v>
      </c>
      <c r="BD33" s="152">
        <f t="shared" si="33"/>
        <v>468.79999999999973</v>
      </c>
      <c r="BE33" s="147">
        <v>313</v>
      </c>
      <c r="BF33" s="147">
        <v>0</v>
      </c>
      <c r="BG33" s="147"/>
      <c r="BH33" s="147"/>
      <c r="BI33" s="147">
        <f t="shared" si="14"/>
        <v>0</v>
      </c>
      <c r="BJ33" s="151">
        <f t="shared" si="15"/>
        <v>-313</v>
      </c>
      <c r="BK33" s="152">
        <f t="shared" si="34"/>
        <v>-109.10000000000002</v>
      </c>
      <c r="BL33" s="153">
        <v>16101</v>
      </c>
      <c r="BM33" s="154">
        <v>10000</v>
      </c>
      <c r="BN33" s="154"/>
      <c r="BO33" s="154"/>
      <c r="BP33" s="154">
        <f t="shared" si="16"/>
        <v>10000</v>
      </c>
      <c r="BQ33" s="155">
        <f t="shared" si="17"/>
        <v>-6101</v>
      </c>
      <c r="BR33" s="152">
        <f t="shared" si="35"/>
        <v>-50394.400000000001</v>
      </c>
      <c r="BS33" s="154"/>
      <c r="BT33" s="154"/>
      <c r="BU33" s="154"/>
      <c r="BV33" s="154"/>
      <c r="BW33" s="154">
        <f t="shared" si="18"/>
        <v>0</v>
      </c>
      <c r="BX33" s="155">
        <f t="shared" si="19"/>
        <v>0</v>
      </c>
      <c r="BY33" s="152">
        <f t="shared" si="36"/>
        <v>0</v>
      </c>
      <c r="BZ33" s="154"/>
      <c r="CA33" s="154"/>
      <c r="CB33" s="154"/>
      <c r="CC33" s="154"/>
      <c r="CD33" s="154">
        <f t="shared" si="20"/>
        <v>0</v>
      </c>
      <c r="CE33" s="155">
        <f t="shared" si="21"/>
        <v>0</v>
      </c>
      <c r="CF33" s="152">
        <f t="shared" si="37"/>
        <v>0</v>
      </c>
      <c r="CG33" s="154"/>
      <c r="CH33" s="154"/>
      <c r="CI33" s="154"/>
      <c r="CJ33" s="154"/>
      <c r="CK33" s="154">
        <f t="shared" si="22"/>
        <v>0</v>
      </c>
      <c r="CL33" s="155">
        <f t="shared" si="23"/>
        <v>0</v>
      </c>
      <c r="CM33" s="152">
        <f t="shared" si="38"/>
        <v>0</v>
      </c>
      <c r="CN33" s="73">
        <f t="shared" si="24"/>
        <v>49902</v>
      </c>
      <c r="CO33" s="73">
        <f t="shared" si="25"/>
        <v>66296</v>
      </c>
      <c r="CP33" s="73">
        <f t="shared" si="26"/>
        <v>16394</v>
      </c>
      <c r="CQ33" s="152">
        <f t="shared" si="39"/>
        <v>-7642.3000000000029</v>
      </c>
      <c r="CR33" s="79"/>
      <c r="CS33" s="79"/>
      <c r="CT33" s="111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</row>
    <row r="34" spans="1:147" x14ac:dyDescent="0.2">
      <c r="A34" s="72">
        <f>+BaseloadMarkets!A34</f>
        <v>36736</v>
      </c>
      <c r="B34" s="72" t="str">
        <f>+BaseloadMarkets!B34</f>
        <v>Sat</v>
      </c>
      <c r="C34" s="156">
        <v>12636</v>
      </c>
      <c r="D34" s="23">
        <v>0</v>
      </c>
      <c r="E34" s="23">
        <v>12308</v>
      </c>
      <c r="F34" s="23">
        <v>0</v>
      </c>
      <c r="G34" s="23"/>
      <c r="H34" s="147">
        <f>+Border!AD32</f>
        <v>0</v>
      </c>
      <c r="I34" s="23"/>
      <c r="J34" s="23"/>
      <c r="K34" s="23"/>
      <c r="L34" s="148">
        <f t="shared" si="0"/>
        <v>12308</v>
      </c>
      <c r="M34" s="73">
        <f t="shared" si="1"/>
        <v>-328</v>
      </c>
      <c r="N34" s="73">
        <f t="shared" si="27"/>
        <v>-10361</v>
      </c>
      <c r="O34" s="156">
        <v>2631</v>
      </c>
      <c r="P34" s="23">
        <v>0</v>
      </c>
      <c r="Q34" s="23">
        <v>0</v>
      </c>
      <c r="R34" s="23"/>
      <c r="S34" s="149">
        <f t="shared" si="2"/>
        <v>0</v>
      </c>
      <c r="T34" s="73">
        <f t="shared" si="3"/>
        <v>-2631</v>
      </c>
      <c r="U34" s="73">
        <f t="shared" si="28"/>
        <v>4197.5</v>
      </c>
      <c r="V34" s="156">
        <v>556</v>
      </c>
      <c r="W34" s="23">
        <v>7231</v>
      </c>
      <c r="X34" s="23"/>
      <c r="Y34" s="23"/>
      <c r="Z34" s="148">
        <f t="shared" si="4"/>
        <v>7231</v>
      </c>
      <c r="AA34" s="73">
        <f t="shared" si="5"/>
        <v>6675</v>
      </c>
      <c r="AB34" s="79">
        <f t="shared" si="29"/>
        <v>-4961.2999999999993</v>
      </c>
      <c r="AC34" s="483">
        <v>158</v>
      </c>
      <c r="AD34" s="147">
        <v>277</v>
      </c>
      <c r="AE34" s="147">
        <v>541</v>
      </c>
      <c r="AF34" s="147"/>
      <c r="AG34" s="147">
        <f t="shared" si="6"/>
        <v>818</v>
      </c>
      <c r="AH34" s="151">
        <f t="shared" si="7"/>
        <v>660</v>
      </c>
      <c r="AI34" s="152">
        <f t="shared" si="30"/>
        <v>329</v>
      </c>
      <c r="AJ34" s="147">
        <v>9183</v>
      </c>
      <c r="AK34" s="147">
        <v>0</v>
      </c>
      <c r="AL34" s="147">
        <v>0</v>
      </c>
      <c r="AM34" s="147"/>
      <c r="AN34" s="147">
        <f t="shared" si="8"/>
        <v>0</v>
      </c>
      <c r="AO34" s="151">
        <f t="shared" si="9"/>
        <v>-9183</v>
      </c>
      <c r="AP34" s="152">
        <f t="shared" si="31"/>
        <v>48381.2</v>
      </c>
      <c r="AQ34" s="147">
        <v>0</v>
      </c>
      <c r="AR34" s="147">
        <v>0</v>
      </c>
      <c r="AS34" s="147"/>
      <c r="AT34" s="147"/>
      <c r="AU34" s="147">
        <f t="shared" si="10"/>
        <v>0</v>
      </c>
      <c r="AV34" s="151">
        <f t="shared" si="11"/>
        <v>0</v>
      </c>
      <c r="AW34" s="152">
        <f t="shared" si="32"/>
        <v>0</v>
      </c>
      <c r="AX34" s="483">
        <v>26</v>
      </c>
      <c r="AY34" s="147">
        <v>67</v>
      </c>
      <c r="AZ34" s="147">
        <v>541</v>
      </c>
      <c r="BA34" s="147"/>
      <c r="BB34" s="147">
        <f t="shared" si="12"/>
        <v>608</v>
      </c>
      <c r="BC34" s="151">
        <f t="shared" si="13"/>
        <v>582</v>
      </c>
      <c r="BD34" s="152">
        <f t="shared" si="33"/>
        <v>1050.7999999999997</v>
      </c>
      <c r="BE34" s="147">
        <v>500</v>
      </c>
      <c r="BF34" s="147">
        <v>277</v>
      </c>
      <c r="BG34" s="147">
        <v>541</v>
      </c>
      <c r="BH34" s="147"/>
      <c r="BI34" s="147">
        <f t="shared" si="14"/>
        <v>818</v>
      </c>
      <c r="BJ34" s="151">
        <f t="shared" si="15"/>
        <v>318</v>
      </c>
      <c r="BK34" s="152">
        <f t="shared" si="34"/>
        <v>208.89999999999998</v>
      </c>
      <c r="BL34" s="153">
        <v>12346</v>
      </c>
      <c r="BM34" s="154">
        <f>13572+12259</f>
        <v>25831</v>
      </c>
      <c r="BN34" s="154"/>
      <c r="BO34" s="154"/>
      <c r="BP34" s="154">
        <f t="shared" si="16"/>
        <v>25831</v>
      </c>
      <c r="BQ34" s="155">
        <f t="shared" si="17"/>
        <v>13485</v>
      </c>
      <c r="BR34" s="152">
        <f t="shared" si="35"/>
        <v>-36909.4</v>
      </c>
      <c r="BS34" s="154"/>
      <c r="BT34" s="154"/>
      <c r="BU34" s="154"/>
      <c r="BV34" s="154"/>
      <c r="BW34" s="154">
        <f t="shared" si="18"/>
        <v>0</v>
      </c>
      <c r="BX34" s="155">
        <f t="shared" si="19"/>
        <v>0</v>
      </c>
      <c r="BY34" s="152">
        <f t="shared" si="36"/>
        <v>0</v>
      </c>
      <c r="BZ34" s="154"/>
      <c r="CA34" s="154"/>
      <c r="CB34" s="154"/>
      <c r="CC34" s="154"/>
      <c r="CD34" s="154">
        <f t="shared" si="20"/>
        <v>0</v>
      </c>
      <c r="CE34" s="155">
        <f t="shared" si="21"/>
        <v>0</v>
      </c>
      <c r="CF34" s="152">
        <f t="shared" si="37"/>
        <v>0</v>
      </c>
      <c r="CG34" s="154"/>
      <c r="CH34" s="154"/>
      <c r="CI34" s="154"/>
      <c r="CJ34" s="154"/>
      <c r="CK34" s="154">
        <f t="shared" si="22"/>
        <v>0</v>
      </c>
      <c r="CL34" s="155">
        <f t="shared" si="23"/>
        <v>0</v>
      </c>
      <c r="CM34" s="152">
        <f t="shared" si="38"/>
        <v>0</v>
      </c>
      <c r="CN34" s="73">
        <f t="shared" si="24"/>
        <v>38036</v>
      </c>
      <c r="CO34" s="73">
        <f t="shared" si="25"/>
        <v>47614</v>
      </c>
      <c r="CP34" s="73">
        <f t="shared" si="26"/>
        <v>9578</v>
      </c>
      <c r="CQ34" s="152">
        <f t="shared" si="39"/>
        <v>1935.6999999999971</v>
      </c>
      <c r="CR34" s="79"/>
      <c r="CS34" s="79"/>
      <c r="CT34" s="111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</row>
    <row r="35" spans="1:147" x14ac:dyDescent="0.2">
      <c r="A35" s="72">
        <f>+BaseloadMarkets!A35</f>
        <v>36737</v>
      </c>
      <c r="B35" s="72" t="str">
        <f>+BaseloadMarkets!B35</f>
        <v>Sun</v>
      </c>
      <c r="C35" s="156">
        <v>10674</v>
      </c>
      <c r="D35" s="23">
        <v>6659</v>
      </c>
      <c r="E35" s="23">
        <v>9988</v>
      </c>
      <c r="F35" s="23">
        <v>0</v>
      </c>
      <c r="G35" s="23">
        <v>5325</v>
      </c>
      <c r="H35" s="147">
        <f>+Border!AD33</f>
        <v>0</v>
      </c>
      <c r="I35" s="23"/>
      <c r="J35" s="23"/>
      <c r="K35" s="23"/>
      <c r="L35" s="148">
        <f t="shared" si="0"/>
        <v>21972</v>
      </c>
      <c r="M35" s="73">
        <f t="shared" si="1"/>
        <v>11298</v>
      </c>
      <c r="N35" s="73">
        <f t="shared" si="27"/>
        <v>937</v>
      </c>
      <c r="O35" s="156">
        <v>2026</v>
      </c>
      <c r="P35" s="23">
        <v>0</v>
      </c>
      <c r="Q35" s="23">
        <v>6658</v>
      </c>
      <c r="R35" s="23"/>
      <c r="S35" s="149">
        <f t="shared" si="2"/>
        <v>6658</v>
      </c>
      <c r="T35" s="73">
        <f t="shared" si="3"/>
        <v>4632</v>
      </c>
      <c r="U35" s="73">
        <f t="shared" si="28"/>
        <v>8829.5</v>
      </c>
      <c r="V35" s="23">
        <v>0</v>
      </c>
      <c r="W35" s="23">
        <v>7704</v>
      </c>
      <c r="X35" s="23"/>
      <c r="Y35" s="23"/>
      <c r="Z35" s="148">
        <f t="shared" si="4"/>
        <v>7704</v>
      </c>
      <c r="AA35" s="73">
        <f t="shared" si="5"/>
        <v>7704</v>
      </c>
      <c r="AB35" s="79">
        <f t="shared" si="29"/>
        <v>2742.7000000000007</v>
      </c>
      <c r="AC35" s="483">
        <v>38</v>
      </c>
      <c r="AD35" s="147">
        <v>296</v>
      </c>
      <c r="AE35" s="147">
        <v>1000</v>
      </c>
      <c r="AF35" s="147"/>
      <c r="AG35" s="147">
        <f t="shared" si="6"/>
        <v>1296</v>
      </c>
      <c r="AH35" s="151">
        <f t="shared" si="7"/>
        <v>1258</v>
      </c>
      <c r="AI35" s="152">
        <f t="shared" si="30"/>
        <v>1587</v>
      </c>
      <c r="AJ35" s="147">
        <v>8858</v>
      </c>
      <c r="AK35" s="147">
        <v>0</v>
      </c>
      <c r="AL35" s="147">
        <v>5950</v>
      </c>
      <c r="AM35" s="147"/>
      <c r="AN35" s="147">
        <f t="shared" si="8"/>
        <v>5950</v>
      </c>
      <c r="AO35" s="151">
        <f t="shared" si="9"/>
        <v>-2908</v>
      </c>
      <c r="AP35" s="152">
        <f t="shared" si="31"/>
        <v>45473.2</v>
      </c>
      <c r="AQ35" s="147">
        <v>0</v>
      </c>
      <c r="AR35" s="147">
        <v>0</v>
      </c>
      <c r="AS35" s="147"/>
      <c r="AT35" s="147"/>
      <c r="AU35" s="147">
        <f t="shared" si="10"/>
        <v>0</v>
      </c>
      <c r="AV35" s="151">
        <f t="shared" si="11"/>
        <v>0</v>
      </c>
      <c r="AW35" s="152">
        <f t="shared" si="32"/>
        <v>0</v>
      </c>
      <c r="AX35" s="483">
        <v>0</v>
      </c>
      <c r="AY35" s="147">
        <v>71</v>
      </c>
      <c r="AZ35" s="147">
        <v>1000</v>
      </c>
      <c r="BA35" s="147"/>
      <c r="BB35" s="147">
        <f t="shared" si="12"/>
        <v>1071</v>
      </c>
      <c r="BC35" s="151">
        <f t="shared" si="13"/>
        <v>1071</v>
      </c>
      <c r="BD35" s="152">
        <f t="shared" si="33"/>
        <v>2121.7999999999997</v>
      </c>
      <c r="BE35" s="147">
        <v>500</v>
      </c>
      <c r="BF35" s="147">
        <v>296</v>
      </c>
      <c r="BG35" s="147">
        <v>1000</v>
      </c>
      <c r="BH35" s="147"/>
      <c r="BI35" s="147">
        <f t="shared" si="14"/>
        <v>1296</v>
      </c>
      <c r="BJ35" s="151">
        <f t="shared" si="15"/>
        <v>796</v>
      </c>
      <c r="BK35" s="152">
        <f t="shared" si="34"/>
        <v>1004.9</v>
      </c>
      <c r="BL35" s="153">
        <v>13179</v>
      </c>
      <c r="BM35" s="154">
        <v>26720</v>
      </c>
      <c r="BN35" s="154"/>
      <c r="BO35" s="154"/>
      <c r="BP35" s="154">
        <f t="shared" si="16"/>
        <v>26720</v>
      </c>
      <c r="BQ35" s="155">
        <f t="shared" si="17"/>
        <v>13541</v>
      </c>
      <c r="BR35" s="152">
        <f t="shared" si="35"/>
        <v>-23368.400000000001</v>
      </c>
      <c r="BS35" s="154"/>
      <c r="BT35" s="154"/>
      <c r="BU35" s="154"/>
      <c r="BV35" s="154"/>
      <c r="BW35" s="154">
        <f t="shared" si="18"/>
        <v>0</v>
      </c>
      <c r="BX35" s="155">
        <f t="shared" si="19"/>
        <v>0</v>
      </c>
      <c r="BY35" s="152">
        <f t="shared" si="36"/>
        <v>0</v>
      </c>
      <c r="BZ35" s="154"/>
      <c r="CA35" s="154"/>
      <c r="CB35" s="154"/>
      <c r="CC35" s="154"/>
      <c r="CD35" s="154">
        <f t="shared" si="20"/>
        <v>0</v>
      </c>
      <c r="CE35" s="155">
        <f t="shared" si="21"/>
        <v>0</v>
      </c>
      <c r="CF35" s="152">
        <f t="shared" si="37"/>
        <v>0</v>
      </c>
      <c r="CG35" s="154"/>
      <c r="CH35" s="154"/>
      <c r="CI35" s="154"/>
      <c r="CJ35" s="154"/>
      <c r="CK35" s="154">
        <f t="shared" si="22"/>
        <v>0</v>
      </c>
      <c r="CL35" s="155">
        <f t="shared" si="23"/>
        <v>0</v>
      </c>
      <c r="CM35" s="152">
        <f t="shared" si="38"/>
        <v>0</v>
      </c>
      <c r="CN35" s="73">
        <f t="shared" si="24"/>
        <v>35275</v>
      </c>
      <c r="CO35" s="73">
        <f t="shared" si="25"/>
        <v>72667</v>
      </c>
      <c r="CP35" s="73">
        <f t="shared" si="26"/>
        <v>37392</v>
      </c>
      <c r="CQ35" s="152">
        <f t="shared" si="39"/>
        <v>39327.699999999997</v>
      </c>
      <c r="CR35" s="79"/>
      <c r="CS35" s="79"/>
      <c r="CT35" s="111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</row>
    <row r="36" spans="1:147" x14ac:dyDescent="0.2">
      <c r="A36" s="72">
        <f>+BaseloadMarkets!A36</f>
        <v>36738</v>
      </c>
      <c r="B36" s="72" t="str">
        <f>+BaseloadMarkets!B36</f>
        <v>Mon</v>
      </c>
      <c r="C36" s="156">
        <v>19318</v>
      </c>
      <c r="D36" s="23">
        <f>2033+3753</f>
        <v>5786</v>
      </c>
      <c r="E36" s="23">
        <v>11083</v>
      </c>
      <c r="F36" s="23">
        <v>0</v>
      </c>
      <c r="G36" s="23">
        <v>19000</v>
      </c>
      <c r="H36" s="147">
        <f>+Border!AD34</f>
        <v>0</v>
      </c>
      <c r="I36" s="23"/>
      <c r="J36" s="23"/>
      <c r="K36" s="23"/>
      <c r="L36" s="148">
        <f t="shared" si="0"/>
        <v>35869</v>
      </c>
      <c r="M36" s="73">
        <f t="shared" si="1"/>
        <v>16551</v>
      </c>
      <c r="N36" s="73">
        <f t="shared" si="27"/>
        <v>17488</v>
      </c>
      <c r="O36" s="156">
        <f>1658+909</f>
        <v>2567</v>
      </c>
      <c r="P36" s="23">
        <v>0</v>
      </c>
      <c r="Q36" s="23">
        <v>7389</v>
      </c>
      <c r="R36" s="23"/>
      <c r="S36" s="149">
        <f t="shared" si="2"/>
        <v>7389</v>
      </c>
      <c r="T36" s="73">
        <f t="shared" si="3"/>
        <v>4822</v>
      </c>
      <c r="U36" s="73">
        <f t="shared" si="28"/>
        <v>13651.5</v>
      </c>
      <c r="V36" s="23">
        <v>0</v>
      </c>
      <c r="W36" s="23">
        <v>7715</v>
      </c>
      <c r="X36" s="23"/>
      <c r="Y36" s="23"/>
      <c r="Z36" s="148">
        <f t="shared" si="4"/>
        <v>7715</v>
      </c>
      <c r="AA36" s="73">
        <f t="shared" si="5"/>
        <v>7715</v>
      </c>
      <c r="AB36" s="79">
        <f t="shared" si="29"/>
        <v>10457.700000000001</v>
      </c>
      <c r="AC36" s="483">
        <v>81</v>
      </c>
      <c r="AD36" s="147">
        <v>297</v>
      </c>
      <c r="AE36" s="147">
        <v>1000</v>
      </c>
      <c r="AF36" s="147"/>
      <c r="AG36" s="147">
        <f t="shared" si="6"/>
        <v>1297</v>
      </c>
      <c r="AH36" s="151">
        <f t="shared" si="7"/>
        <v>1216</v>
      </c>
      <c r="AI36" s="152">
        <f t="shared" si="30"/>
        <v>2803</v>
      </c>
      <c r="AJ36" s="147">
        <v>9078</v>
      </c>
      <c r="AK36" s="147">
        <v>0</v>
      </c>
      <c r="AL36" s="147">
        <v>6603</v>
      </c>
      <c r="AM36" s="147"/>
      <c r="AN36" s="147">
        <f t="shared" si="8"/>
        <v>6603</v>
      </c>
      <c r="AO36" s="151">
        <f t="shared" si="9"/>
        <v>-2475</v>
      </c>
      <c r="AP36" s="152">
        <f t="shared" si="31"/>
        <v>42998.2</v>
      </c>
      <c r="AQ36" s="147">
        <v>0</v>
      </c>
      <c r="AR36" s="147">
        <v>0</v>
      </c>
      <c r="AS36" s="147"/>
      <c r="AT36" s="147"/>
      <c r="AU36" s="147">
        <f t="shared" si="10"/>
        <v>0</v>
      </c>
      <c r="AV36" s="151">
        <f t="shared" si="11"/>
        <v>0</v>
      </c>
      <c r="AW36" s="152">
        <f t="shared" si="32"/>
        <v>0</v>
      </c>
      <c r="AX36" s="483">
        <v>118</v>
      </c>
      <c r="AY36" s="147">
        <v>71</v>
      </c>
      <c r="AZ36" s="147">
        <v>1000</v>
      </c>
      <c r="BA36" s="147"/>
      <c r="BB36" s="147">
        <f t="shared" si="12"/>
        <v>1071</v>
      </c>
      <c r="BC36" s="151">
        <f t="shared" si="13"/>
        <v>953</v>
      </c>
      <c r="BD36" s="152">
        <f t="shared" si="33"/>
        <v>3074.7999999999997</v>
      </c>
      <c r="BE36" s="147">
        <v>500</v>
      </c>
      <c r="BF36" s="147">
        <v>297</v>
      </c>
      <c r="BG36" s="147">
        <v>1000</v>
      </c>
      <c r="BH36" s="147"/>
      <c r="BI36" s="147">
        <f t="shared" si="14"/>
        <v>1297</v>
      </c>
      <c r="BJ36" s="151">
        <f t="shared" si="15"/>
        <v>797</v>
      </c>
      <c r="BK36" s="152">
        <f t="shared" si="34"/>
        <v>1801.9</v>
      </c>
      <c r="BL36" s="153">
        <v>13379</v>
      </c>
      <c r="BM36" s="154">
        <v>26738</v>
      </c>
      <c r="BN36" s="154"/>
      <c r="BO36" s="154">
        <v>15000</v>
      </c>
      <c r="BP36" s="154">
        <f t="shared" si="16"/>
        <v>41738</v>
      </c>
      <c r="BQ36" s="155">
        <f t="shared" si="17"/>
        <v>28359</v>
      </c>
      <c r="BR36" s="152">
        <f t="shared" si="35"/>
        <v>4990.5999999999985</v>
      </c>
      <c r="BS36" s="154"/>
      <c r="BT36" s="154"/>
      <c r="BU36" s="154"/>
      <c r="BV36" s="154"/>
      <c r="BW36" s="154">
        <f t="shared" si="18"/>
        <v>0</v>
      </c>
      <c r="BX36" s="155">
        <f t="shared" si="19"/>
        <v>0</v>
      </c>
      <c r="BY36" s="152">
        <f t="shared" si="36"/>
        <v>0</v>
      </c>
      <c r="BZ36" s="154"/>
      <c r="CA36" s="154"/>
      <c r="CB36" s="154"/>
      <c r="CC36" s="154"/>
      <c r="CD36" s="154">
        <f t="shared" si="20"/>
        <v>0</v>
      </c>
      <c r="CE36" s="155">
        <f t="shared" si="21"/>
        <v>0</v>
      </c>
      <c r="CF36" s="152">
        <f t="shared" si="37"/>
        <v>0</v>
      </c>
      <c r="CG36" s="154"/>
      <c r="CH36" s="154"/>
      <c r="CI36" s="154"/>
      <c r="CJ36" s="154"/>
      <c r="CK36" s="154">
        <f t="shared" si="22"/>
        <v>0</v>
      </c>
      <c r="CL36" s="155">
        <f t="shared" si="23"/>
        <v>0</v>
      </c>
      <c r="CM36" s="152">
        <f t="shared" si="38"/>
        <v>0</v>
      </c>
      <c r="CN36" s="73">
        <f t="shared" si="24"/>
        <v>45041</v>
      </c>
      <c r="CO36" s="73">
        <f t="shared" si="25"/>
        <v>102979</v>
      </c>
      <c r="CP36" s="73">
        <f t="shared" si="26"/>
        <v>57938</v>
      </c>
      <c r="CQ36" s="152">
        <f t="shared" si="39"/>
        <v>97265.7</v>
      </c>
      <c r="CR36" s="79"/>
      <c r="CS36" s="79"/>
      <c r="CT36" s="111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</row>
    <row r="37" spans="1:147" s="92" customFormat="1" x14ac:dyDescent="0.2">
      <c r="A37" s="83" t="s">
        <v>56</v>
      </c>
      <c r="B37" s="84"/>
      <c r="C37" s="30">
        <f t="shared" ref="C37:M37" si="40">SUM(C6:C36)</f>
        <v>315254</v>
      </c>
      <c r="D37" s="30">
        <f t="shared" si="40"/>
        <v>54561</v>
      </c>
      <c r="E37" s="30">
        <f t="shared" si="40"/>
        <v>206519</v>
      </c>
      <c r="F37" s="30">
        <f t="shared" si="40"/>
        <v>19786</v>
      </c>
      <c r="G37" s="30">
        <f t="shared" si="40"/>
        <v>51876</v>
      </c>
      <c r="H37" s="159">
        <f t="shared" si="40"/>
        <v>0</v>
      </c>
      <c r="I37" s="30">
        <f t="shared" si="40"/>
        <v>0</v>
      </c>
      <c r="J37" s="30">
        <f t="shared" si="40"/>
        <v>0</v>
      </c>
      <c r="K37" s="30">
        <f t="shared" si="40"/>
        <v>0</v>
      </c>
      <c r="L37" s="160">
        <f t="shared" si="40"/>
        <v>332742</v>
      </c>
      <c r="M37" s="85">
        <f t="shared" si="40"/>
        <v>17488</v>
      </c>
      <c r="N37" s="85"/>
      <c r="O37" s="30">
        <f t="shared" ref="O37:T37" si="41">SUM(O6:O36)</f>
        <v>62695.5</v>
      </c>
      <c r="P37" s="30">
        <f t="shared" si="41"/>
        <v>22300</v>
      </c>
      <c r="Q37" s="30">
        <f t="shared" si="41"/>
        <v>34047</v>
      </c>
      <c r="R37" s="30">
        <f t="shared" si="41"/>
        <v>20000</v>
      </c>
      <c r="S37" s="160">
        <f t="shared" si="41"/>
        <v>76347</v>
      </c>
      <c r="T37" s="85">
        <f t="shared" si="41"/>
        <v>13651.5</v>
      </c>
      <c r="U37" s="85"/>
      <c r="V37" s="30">
        <f t="shared" ref="V37:AA37" si="42">SUM(V6:V36)</f>
        <v>33504.300000000003</v>
      </c>
      <c r="W37" s="30">
        <f t="shared" si="42"/>
        <v>43962</v>
      </c>
      <c r="X37" s="30">
        <f t="shared" si="42"/>
        <v>0</v>
      </c>
      <c r="Y37" s="30">
        <f t="shared" si="42"/>
        <v>0</v>
      </c>
      <c r="Z37" s="160">
        <f t="shared" si="42"/>
        <v>43962</v>
      </c>
      <c r="AA37" s="85">
        <f t="shared" si="42"/>
        <v>10457.700000000001</v>
      </c>
      <c r="AC37" s="159">
        <f t="shared" ref="AC37:AH37" si="43">SUM(AC6:AC36)</f>
        <v>4250</v>
      </c>
      <c r="AD37" s="159">
        <f t="shared" si="43"/>
        <v>4512</v>
      </c>
      <c r="AE37" s="159">
        <f t="shared" si="43"/>
        <v>2541</v>
      </c>
      <c r="AF37" s="159">
        <f t="shared" si="43"/>
        <v>0</v>
      </c>
      <c r="AG37" s="159">
        <f t="shared" si="43"/>
        <v>7053</v>
      </c>
      <c r="AH37" s="161">
        <f t="shared" si="43"/>
        <v>2803</v>
      </c>
      <c r="AI37" s="162"/>
      <c r="AJ37" s="159">
        <f>SUM(AJ6:AJ36)</f>
        <v>276982.8</v>
      </c>
      <c r="AK37" s="159">
        <v>0</v>
      </c>
      <c r="AL37" s="159">
        <f>SUM(AL6:AL36)</f>
        <v>153144</v>
      </c>
      <c r="AM37" s="159">
        <f>SUM(AM6:AM36)</f>
        <v>27444</v>
      </c>
      <c r="AN37" s="159">
        <f>SUM(AN6:AN36)</f>
        <v>319981</v>
      </c>
      <c r="AO37" s="161">
        <f>SUM(AO6:AO36)</f>
        <v>42998.2</v>
      </c>
      <c r="AP37" s="162"/>
      <c r="AQ37" s="159">
        <f t="shared" ref="AQ37:AV37" si="44">SUM(AQ6:AQ36)</f>
        <v>0</v>
      </c>
      <c r="AR37" s="159">
        <f t="shared" si="44"/>
        <v>0</v>
      </c>
      <c r="AS37" s="159">
        <f t="shared" si="44"/>
        <v>0</v>
      </c>
      <c r="AT37" s="159">
        <f t="shared" si="44"/>
        <v>0</v>
      </c>
      <c r="AU37" s="159">
        <f t="shared" si="44"/>
        <v>0</v>
      </c>
      <c r="AV37" s="161">
        <f t="shared" si="44"/>
        <v>0</v>
      </c>
      <c r="AW37" s="162"/>
      <c r="AX37" s="159">
        <f t="shared" ref="AX37:BC37" si="45">SUM(AX6:AX36)</f>
        <v>3842.2</v>
      </c>
      <c r="AY37" s="159">
        <f t="shared" si="45"/>
        <v>4376</v>
      </c>
      <c r="AZ37" s="159">
        <f t="shared" si="45"/>
        <v>2541</v>
      </c>
      <c r="BA37" s="159">
        <f t="shared" si="45"/>
        <v>0</v>
      </c>
      <c r="BB37" s="159">
        <f t="shared" si="45"/>
        <v>6917</v>
      </c>
      <c r="BC37" s="161">
        <f t="shared" si="45"/>
        <v>3074.7999999999997</v>
      </c>
      <c r="BD37" s="162"/>
      <c r="BE37" s="159">
        <f t="shared" ref="BE37:BJ37" si="46">SUM(BE6:BE36)</f>
        <v>7450.1</v>
      </c>
      <c r="BF37" s="159">
        <f t="shared" si="46"/>
        <v>6711</v>
      </c>
      <c r="BG37" s="159">
        <f t="shared" si="46"/>
        <v>2541</v>
      </c>
      <c r="BH37" s="159">
        <f t="shared" si="46"/>
        <v>0</v>
      </c>
      <c r="BI37" s="159">
        <f t="shared" si="46"/>
        <v>9252</v>
      </c>
      <c r="BJ37" s="161">
        <f t="shared" si="46"/>
        <v>1801.9</v>
      </c>
      <c r="BK37" s="162"/>
      <c r="BL37" s="163">
        <f t="shared" ref="BL37:BQ37" si="47">SUM(BL6:BL36)</f>
        <v>288563.40000000002</v>
      </c>
      <c r="BM37" s="163">
        <f t="shared" si="47"/>
        <v>238554</v>
      </c>
      <c r="BN37" s="163">
        <f t="shared" si="47"/>
        <v>0</v>
      </c>
      <c r="BO37" s="163">
        <f t="shared" si="47"/>
        <v>55000</v>
      </c>
      <c r="BP37" s="163">
        <f t="shared" si="47"/>
        <v>293554</v>
      </c>
      <c r="BQ37" s="164">
        <f t="shared" si="47"/>
        <v>4990.5999999999985</v>
      </c>
      <c r="BR37" s="162"/>
      <c r="BS37" s="163">
        <f t="shared" ref="BS37:BX37" si="48">SUM(BS6:BS36)</f>
        <v>0</v>
      </c>
      <c r="BT37" s="163">
        <f t="shared" si="48"/>
        <v>0</v>
      </c>
      <c r="BU37" s="163">
        <f t="shared" si="48"/>
        <v>0</v>
      </c>
      <c r="BV37" s="163">
        <f t="shared" si="48"/>
        <v>0</v>
      </c>
      <c r="BW37" s="163">
        <f t="shared" si="48"/>
        <v>0</v>
      </c>
      <c r="BX37" s="164">
        <f t="shared" si="48"/>
        <v>0</v>
      </c>
      <c r="BY37" s="162"/>
      <c r="BZ37" s="163">
        <f t="shared" ref="BZ37:CE37" si="49">SUM(BZ6:BZ36)</f>
        <v>0</v>
      </c>
      <c r="CA37" s="163">
        <f t="shared" si="49"/>
        <v>0</v>
      </c>
      <c r="CB37" s="163">
        <f t="shared" si="49"/>
        <v>0</v>
      </c>
      <c r="CC37" s="163">
        <f t="shared" si="49"/>
        <v>0</v>
      </c>
      <c r="CD37" s="163">
        <f t="shared" si="49"/>
        <v>0</v>
      </c>
      <c r="CE37" s="164">
        <f t="shared" si="49"/>
        <v>0</v>
      </c>
      <c r="CF37" s="162"/>
      <c r="CG37" s="163">
        <f t="shared" ref="CG37:CL37" si="50">SUM(CG6:CG36)</f>
        <v>0</v>
      </c>
      <c r="CH37" s="163">
        <f t="shared" si="50"/>
        <v>0</v>
      </c>
      <c r="CI37" s="163">
        <f t="shared" si="50"/>
        <v>0</v>
      </c>
      <c r="CJ37" s="163">
        <f t="shared" si="50"/>
        <v>0</v>
      </c>
      <c r="CK37" s="163">
        <f t="shared" si="50"/>
        <v>0</v>
      </c>
      <c r="CL37" s="164">
        <f t="shared" si="50"/>
        <v>0</v>
      </c>
      <c r="CM37" s="162"/>
      <c r="CN37" s="87">
        <f>SUM(CN6:CN36)</f>
        <v>992542.3</v>
      </c>
      <c r="CO37" s="85">
        <f>SUM(CO6:CO36)</f>
        <v>1089808</v>
      </c>
      <c r="CP37" s="85">
        <f>SUM(CP6:CP36)</f>
        <v>97265.7</v>
      </c>
      <c r="CQ37" s="30"/>
      <c r="CR37" s="30"/>
      <c r="CS37" s="30"/>
      <c r="CT37" s="88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89"/>
      <c r="DH37" s="89"/>
      <c r="DI37" s="89"/>
      <c r="DJ37" s="89"/>
      <c r="DK37" s="89"/>
      <c r="DL37" s="89"/>
      <c r="DM37" s="89"/>
      <c r="DN37" s="89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1"/>
      <c r="EL37" s="91"/>
      <c r="EM37" s="91"/>
      <c r="EN37" s="91"/>
      <c r="EO37" s="91"/>
      <c r="EP37" s="91"/>
      <c r="EQ37" s="91"/>
    </row>
    <row r="38" spans="1:147" s="100" customFormat="1" x14ac:dyDescent="0.2">
      <c r="A38" s="93"/>
      <c r="B38" s="84"/>
      <c r="C38" s="93"/>
      <c r="D38" s="93"/>
      <c r="E38" s="93"/>
      <c r="F38" s="93"/>
      <c r="G38" s="165" t="s">
        <v>133</v>
      </c>
      <c r="H38" s="166"/>
      <c r="I38" s="93"/>
      <c r="J38" s="93"/>
      <c r="K38" s="93"/>
      <c r="L38" s="167"/>
      <c r="M38" s="93"/>
      <c r="N38" s="93"/>
      <c r="O38" s="33"/>
      <c r="P38" s="93"/>
      <c r="Q38" s="93"/>
      <c r="R38" s="93" t="s">
        <v>134</v>
      </c>
      <c r="S38" s="168"/>
      <c r="T38" s="33"/>
      <c r="U38" s="33"/>
      <c r="V38" s="33"/>
      <c r="W38" s="93"/>
      <c r="X38" s="93"/>
      <c r="Y38" s="93"/>
      <c r="Z38" s="168"/>
      <c r="AA38" s="33"/>
      <c r="AC38" s="169"/>
      <c r="AD38" s="169"/>
      <c r="AE38" s="170"/>
      <c r="AF38" s="169"/>
      <c r="AG38" s="169"/>
      <c r="AH38" s="169"/>
      <c r="AI38" s="171"/>
      <c r="AJ38" s="169"/>
      <c r="AK38" s="169"/>
      <c r="AL38" s="170"/>
      <c r="AM38" s="169" t="s">
        <v>135</v>
      </c>
      <c r="AN38" s="169"/>
      <c r="AO38" s="169"/>
      <c r="AP38" s="171"/>
      <c r="AQ38" s="169"/>
      <c r="AR38" s="169"/>
      <c r="AS38" s="170"/>
      <c r="AT38" s="169"/>
      <c r="AU38" s="169"/>
      <c r="AV38" s="169"/>
      <c r="AW38" s="171"/>
      <c r="AX38" s="169"/>
      <c r="AY38" s="169"/>
      <c r="AZ38" s="170"/>
      <c r="BA38" s="169"/>
      <c r="BB38" s="169"/>
      <c r="BC38" s="169"/>
      <c r="BD38" s="171"/>
      <c r="BE38" s="169"/>
      <c r="BF38" s="169"/>
      <c r="BG38" s="170"/>
      <c r="BH38" s="169"/>
      <c r="BI38" s="169"/>
      <c r="BJ38" s="169"/>
      <c r="BK38" s="171"/>
      <c r="BL38" s="172"/>
      <c r="BM38" s="172"/>
      <c r="BN38" s="173"/>
      <c r="BO38" s="172"/>
      <c r="BP38" s="172"/>
      <c r="BQ38" s="172"/>
      <c r="BR38" s="171"/>
      <c r="BS38" s="172"/>
      <c r="BT38" s="172"/>
      <c r="BU38" s="173"/>
      <c r="BV38" s="172"/>
      <c r="BW38" s="172"/>
      <c r="BX38" s="172"/>
      <c r="BY38" s="171"/>
      <c r="BZ38" s="172"/>
      <c r="CA38" s="172"/>
      <c r="CB38" s="173"/>
      <c r="CC38" s="172"/>
      <c r="CD38" s="172"/>
      <c r="CE38" s="172"/>
      <c r="CF38" s="171"/>
      <c r="CG38" s="172"/>
      <c r="CH38" s="172"/>
      <c r="CI38" s="173"/>
      <c r="CJ38" s="172"/>
      <c r="CK38" s="172"/>
      <c r="CL38" s="172"/>
      <c r="CM38" s="171"/>
      <c r="CN38" s="42"/>
      <c r="CO38" s="33"/>
      <c r="CP38" s="33"/>
      <c r="CQ38" s="33"/>
      <c r="CR38" s="33"/>
      <c r="CS38" s="33"/>
      <c r="CT38" s="96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97"/>
      <c r="DH38" s="97"/>
      <c r="DI38" s="97"/>
      <c r="DJ38" s="97"/>
      <c r="DK38" s="97"/>
      <c r="DL38" s="97"/>
      <c r="DM38" s="97"/>
      <c r="DN38" s="97"/>
      <c r="DO38" s="98"/>
      <c r="DP38" s="98"/>
      <c r="DQ38" s="98"/>
      <c r="DR38" s="98"/>
      <c r="DS38" s="98"/>
      <c r="DT38" s="98"/>
      <c r="DU38" s="98"/>
      <c r="DV38" s="98"/>
      <c r="DW38" s="98"/>
      <c r="DX38" s="98"/>
      <c r="DY38" s="98"/>
      <c r="DZ38" s="98"/>
      <c r="EA38" s="98"/>
      <c r="EB38" s="98"/>
      <c r="EC38" s="98"/>
      <c r="ED38" s="98"/>
      <c r="EE38" s="98"/>
      <c r="EF38" s="98"/>
      <c r="EG38" s="98"/>
      <c r="EH38" s="98"/>
      <c r="EI38" s="98"/>
      <c r="EJ38" s="98"/>
      <c r="EK38" s="99"/>
      <c r="EL38" s="99"/>
      <c r="EM38" s="99"/>
      <c r="EN38" s="99"/>
      <c r="EO38" s="99"/>
      <c r="EP38" s="99"/>
      <c r="EQ38" s="99"/>
    </row>
    <row r="39" spans="1:147" x14ac:dyDescent="0.2">
      <c r="A39" s="23"/>
      <c r="B39" s="23"/>
      <c r="C39" s="23"/>
      <c r="D39" s="23"/>
      <c r="E39" s="23"/>
      <c r="F39" s="23"/>
      <c r="G39" s="23" t="s">
        <v>136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169"/>
      <c r="AK39" s="169"/>
      <c r="AL39" s="170"/>
      <c r="AM39" s="169" t="s">
        <v>137</v>
      </c>
      <c r="AN39" s="169"/>
      <c r="AO39" s="169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</row>
    <row r="40" spans="1:147" x14ac:dyDescent="0.2">
      <c r="A40" s="84"/>
      <c r="C40" s="23"/>
      <c r="E40" s="23"/>
      <c r="F40" s="23"/>
      <c r="G40" s="23"/>
      <c r="I40" s="23"/>
      <c r="J40" s="23"/>
      <c r="K40" s="23"/>
      <c r="M40" s="73"/>
      <c r="P40" s="23"/>
      <c r="Q40" s="23"/>
      <c r="R40" s="23"/>
      <c r="W40" s="23"/>
      <c r="X40" s="23"/>
      <c r="Y40" s="23"/>
      <c r="CN40" s="42"/>
    </row>
    <row r="41" spans="1:147" x14ac:dyDescent="0.2">
      <c r="A41" s="84"/>
      <c r="C41" s="23"/>
      <c r="M41" s="73"/>
      <c r="N41" s="23"/>
    </row>
    <row r="42" spans="1:147" x14ac:dyDescent="0.2">
      <c r="A42" s="84"/>
      <c r="M42" s="23"/>
      <c r="N42" s="23"/>
    </row>
    <row r="43" spans="1:147" x14ac:dyDescent="0.2">
      <c r="A43" s="84"/>
      <c r="E43" s="23"/>
      <c r="F43" s="23"/>
      <c r="G43" s="23"/>
      <c r="H43" s="147"/>
      <c r="I43" s="23"/>
      <c r="J43" s="23"/>
      <c r="K43" s="23"/>
      <c r="N43" s="23"/>
      <c r="P43" s="23"/>
      <c r="Q43" s="23"/>
      <c r="R43" s="23"/>
      <c r="W43" s="23"/>
      <c r="X43" s="23"/>
      <c r="Y43" s="23"/>
    </row>
    <row r="44" spans="1:147" x14ac:dyDescent="0.2">
      <c r="A44" s="84"/>
    </row>
    <row r="45" spans="1:147" x14ac:dyDescent="0.2">
      <c r="A45" s="84"/>
      <c r="C45" s="23"/>
      <c r="H45" s="147"/>
    </row>
    <row r="46" spans="1:147" x14ac:dyDescent="0.2">
      <c r="A46" s="84"/>
    </row>
    <row r="47" spans="1:147" x14ac:dyDescent="0.2">
      <c r="A47" s="84"/>
    </row>
    <row r="48" spans="1:147" x14ac:dyDescent="0.2">
      <c r="A48" s="84"/>
    </row>
    <row r="49" spans="1:1" x14ac:dyDescent="0.2">
      <c r="A49" s="84"/>
    </row>
    <row r="50" spans="1:1" x14ac:dyDescent="0.2">
      <c r="A50" s="84"/>
    </row>
    <row r="51" spans="1:1" x14ac:dyDescent="0.2">
      <c r="A51" s="84"/>
    </row>
    <row r="52" spans="1:1" x14ac:dyDescent="0.2">
      <c r="A52" s="84"/>
    </row>
    <row r="53" spans="1:1" x14ac:dyDescent="0.2">
      <c r="A53" s="84"/>
    </row>
    <row r="54" spans="1:1" x14ac:dyDescent="0.2">
      <c r="A54" s="84"/>
    </row>
    <row r="55" spans="1:1" x14ac:dyDescent="0.2">
      <c r="A55" s="84"/>
    </row>
    <row r="56" spans="1:1" x14ac:dyDescent="0.2">
      <c r="A56" s="84"/>
    </row>
    <row r="57" spans="1:1" x14ac:dyDescent="0.2">
      <c r="A57" s="84"/>
    </row>
    <row r="58" spans="1:1" x14ac:dyDescent="0.2">
      <c r="A58" s="84"/>
    </row>
    <row r="59" spans="1:1" x14ac:dyDescent="0.2">
      <c r="A59" s="84"/>
    </row>
    <row r="60" spans="1:1" x14ac:dyDescent="0.2">
      <c r="A60" s="84"/>
    </row>
    <row r="61" spans="1:1" x14ac:dyDescent="0.2">
      <c r="A61" s="84"/>
    </row>
    <row r="62" spans="1:1" x14ac:dyDescent="0.2">
      <c r="A62" s="84"/>
    </row>
    <row r="63" spans="1:1" x14ac:dyDescent="0.2">
      <c r="A63" s="84"/>
    </row>
    <row r="64" spans="1:1" x14ac:dyDescent="0.2">
      <c r="A64" s="84"/>
    </row>
    <row r="65" spans="1:1" x14ac:dyDescent="0.2">
      <c r="A65" s="84"/>
    </row>
    <row r="66" spans="1:1" x14ac:dyDescent="0.2">
      <c r="A66" s="84"/>
    </row>
    <row r="67" spans="1:1" x14ac:dyDescent="0.2">
      <c r="A67" s="84"/>
    </row>
    <row r="68" spans="1:1" x14ac:dyDescent="0.2">
      <c r="A68" s="84"/>
    </row>
    <row r="69" spans="1:1" x14ac:dyDescent="0.2">
      <c r="A69" s="84"/>
    </row>
    <row r="70" spans="1:1" x14ac:dyDescent="0.2">
      <c r="A70" s="84"/>
    </row>
    <row r="71" spans="1:1" x14ac:dyDescent="0.2">
      <c r="A71" s="84"/>
    </row>
    <row r="72" spans="1:1" x14ac:dyDescent="0.2">
      <c r="A72" s="84"/>
    </row>
    <row r="73" spans="1:1" x14ac:dyDescent="0.2">
      <c r="A73" s="84"/>
    </row>
    <row r="74" spans="1:1" x14ac:dyDescent="0.2">
      <c r="A74" s="84"/>
    </row>
    <row r="75" spans="1:1" x14ac:dyDescent="0.2">
      <c r="A75" s="84"/>
    </row>
    <row r="76" spans="1:1" x14ac:dyDescent="0.2">
      <c r="A76" s="84"/>
    </row>
    <row r="77" spans="1:1" x14ac:dyDescent="0.2">
      <c r="A77" s="84"/>
    </row>
    <row r="78" spans="1:1" x14ac:dyDescent="0.2">
      <c r="A78" s="84"/>
    </row>
    <row r="79" spans="1:1" x14ac:dyDescent="0.2">
      <c r="A79" s="84"/>
    </row>
    <row r="80" spans="1:1" x14ac:dyDescent="0.2">
      <c r="A80" s="84"/>
    </row>
    <row r="81" spans="1:1" x14ac:dyDescent="0.2">
      <c r="A81" s="84"/>
    </row>
    <row r="82" spans="1:1" x14ac:dyDescent="0.2">
      <c r="A82" s="84"/>
    </row>
    <row r="83" spans="1:1" x14ac:dyDescent="0.2">
      <c r="A83" s="84"/>
    </row>
    <row r="84" spans="1:1" x14ac:dyDescent="0.2">
      <c r="A84" s="84"/>
    </row>
    <row r="85" spans="1:1" x14ac:dyDescent="0.2">
      <c r="A85" s="84"/>
    </row>
    <row r="86" spans="1:1" x14ac:dyDescent="0.2">
      <c r="A86" s="84"/>
    </row>
    <row r="87" spans="1:1" x14ac:dyDescent="0.2">
      <c r="A87" s="84"/>
    </row>
    <row r="88" spans="1:1" x14ac:dyDescent="0.2">
      <c r="A88" s="84"/>
    </row>
    <row r="89" spans="1:1" x14ac:dyDescent="0.2">
      <c r="A89" s="84"/>
    </row>
    <row r="90" spans="1:1" x14ac:dyDescent="0.2">
      <c r="A90" s="84"/>
    </row>
    <row r="91" spans="1:1" x14ac:dyDescent="0.2">
      <c r="A91" s="84"/>
    </row>
    <row r="92" spans="1:1" x14ac:dyDescent="0.2">
      <c r="A92" s="84"/>
    </row>
    <row r="93" spans="1:1" x14ac:dyDescent="0.2">
      <c r="A93" s="84"/>
    </row>
    <row r="94" spans="1:1" x14ac:dyDescent="0.2">
      <c r="A94" s="84"/>
    </row>
    <row r="95" spans="1:1" x14ac:dyDescent="0.2">
      <c r="A95" s="84"/>
    </row>
    <row r="96" spans="1:1" x14ac:dyDescent="0.2">
      <c r="A96" s="84"/>
    </row>
    <row r="97" spans="1:25" x14ac:dyDescent="0.2">
      <c r="A97" s="84"/>
    </row>
    <row r="98" spans="1:25" x14ac:dyDescent="0.2">
      <c r="A98" s="84"/>
    </row>
    <row r="99" spans="1:25" x14ac:dyDescent="0.2">
      <c r="A99" s="84"/>
    </row>
    <row r="100" spans="1:25" x14ac:dyDescent="0.2">
      <c r="A100" s="84"/>
      <c r="C100" s="157">
        <v>184</v>
      </c>
      <c r="D100" s="174">
        <f>ROUND(+C100/$C$105,4)</f>
        <v>2.8400000000000002E-2</v>
      </c>
      <c r="E100" s="157">
        <f t="shared" ref="E100:G103" si="51">ROUND(+D100*6000,0)</f>
        <v>170</v>
      </c>
      <c r="F100" s="157">
        <f t="shared" si="51"/>
        <v>1020000</v>
      </c>
      <c r="G100" s="157">
        <f t="shared" si="51"/>
        <v>6120000000</v>
      </c>
      <c r="I100" s="157">
        <f t="shared" ref="I100:K103" si="52">ROUND(+H100*6000,0)</f>
        <v>0</v>
      </c>
      <c r="J100" s="157">
        <f t="shared" si="52"/>
        <v>0</v>
      </c>
      <c r="K100" s="157">
        <f t="shared" si="52"/>
        <v>0</v>
      </c>
      <c r="P100" s="157">
        <f t="shared" ref="P100:R103" si="53">ROUND(+O100*6000,0)</f>
        <v>0</v>
      </c>
      <c r="Q100" s="157">
        <f t="shared" si="53"/>
        <v>0</v>
      </c>
      <c r="R100" s="157">
        <f t="shared" si="53"/>
        <v>0</v>
      </c>
      <c r="W100" s="157">
        <f t="shared" ref="W100:Y103" si="54">ROUND(+V100*6000,0)</f>
        <v>0</v>
      </c>
      <c r="X100" s="157">
        <f t="shared" si="54"/>
        <v>0</v>
      </c>
      <c r="Y100" s="157">
        <f t="shared" si="54"/>
        <v>0</v>
      </c>
    </row>
    <row r="101" spans="1:25" x14ac:dyDescent="0.2">
      <c r="A101" s="84"/>
      <c r="C101" s="157">
        <v>5771</v>
      </c>
      <c r="D101" s="174">
        <f>ROUND(+C101/$C$105,4)</f>
        <v>0.8911</v>
      </c>
      <c r="E101" s="157">
        <f t="shared" si="51"/>
        <v>5347</v>
      </c>
      <c r="F101" s="157">
        <f t="shared" si="51"/>
        <v>32082000</v>
      </c>
      <c r="G101" s="157">
        <f t="shared" si="51"/>
        <v>192492000000</v>
      </c>
      <c r="I101" s="157">
        <f t="shared" si="52"/>
        <v>0</v>
      </c>
      <c r="J101" s="157">
        <f t="shared" si="52"/>
        <v>0</v>
      </c>
      <c r="K101" s="157">
        <f t="shared" si="52"/>
        <v>0</v>
      </c>
      <c r="P101" s="157">
        <f t="shared" si="53"/>
        <v>0</v>
      </c>
      <c r="Q101" s="157">
        <f t="shared" si="53"/>
        <v>0</v>
      </c>
      <c r="R101" s="157">
        <f t="shared" si="53"/>
        <v>0</v>
      </c>
      <c r="W101" s="157">
        <f t="shared" si="54"/>
        <v>0</v>
      </c>
      <c r="X101" s="157">
        <f t="shared" si="54"/>
        <v>0</v>
      </c>
      <c r="Y101" s="157">
        <f t="shared" si="54"/>
        <v>0</v>
      </c>
    </row>
    <row r="102" spans="1:25" x14ac:dyDescent="0.2">
      <c r="A102" s="84"/>
      <c r="C102" s="157">
        <v>207</v>
      </c>
      <c r="D102" s="174">
        <f>ROUND(+C102/$C$105,4)</f>
        <v>3.2000000000000001E-2</v>
      </c>
      <c r="E102" s="157">
        <f t="shared" si="51"/>
        <v>192</v>
      </c>
      <c r="F102" s="157">
        <f t="shared" si="51"/>
        <v>1152000</v>
      </c>
      <c r="G102" s="157">
        <f t="shared" si="51"/>
        <v>6912000000</v>
      </c>
      <c r="I102" s="157">
        <f t="shared" si="52"/>
        <v>0</v>
      </c>
      <c r="J102" s="157">
        <f t="shared" si="52"/>
        <v>0</v>
      </c>
      <c r="K102" s="157">
        <f t="shared" si="52"/>
        <v>0</v>
      </c>
      <c r="P102" s="157">
        <f t="shared" si="53"/>
        <v>0</v>
      </c>
      <c r="Q102" s="157">
        <f t="shared" si="53"/>
        <v>0</v>
      </c>
      <c r="R102" s="157">
        <f t="shared" si="53"/>
        <v>0</v>
      </c>
      <c r="W102" s="157">
        <f t="shared" si="54"/>
        <v>0</v>
      </c>
      <c r="X102" s="157">
        <f t="shared" si="54"/>
        <v>0</v>
      </c>
      <c r="Y102" s="157">
        <f t="shared" si="54"/>
        <v>0</v>
      </c>
    </row>
    <row r="103" spans="1:25" x14ac:dyDescent="0.2">
      <c r="A103" s="84"/>
      <c r="C103" s="157">
        <v>314</v>
      </c>
      <c r="D103" s="174">
        <f>ROUND(+C103/$C$105,4)</f>
        <v>4.8500000000000001E-2</v>
      </c>
      <c r="E103" s="157">
        <f t="shared" si="51"/>
        <v>291</v>
      </c>
      <c r="F103" s="157">
        <f t="shared" si="51"/>
        <v>1746000</v>
      </c>
      <c r="G103" s="157">
        <f t="shared" si="51"/>
        <v>10476000000</v>
      </c>
      <c r="I103" s="157">
        <f t="shared" si="52"/>
        <v>0</v>
      </c>
      <c r="J103" s="157">
        <f t="shared" si="52"/>
        <v>0</v>
      </c>
      <c r="K103" s="157">
        <f t="shared" si="52"/>
        <v>0</v>
      </c>
      <c r="P103" s="157">
        <f t="shared" si="53"/>
        <v>0</v>
      </c>
      <c r="Q103" s="157">
        <f t="shared" si="53"/>
        <v>0</v>
      </c>
      <c r="R103" s="157">
        <f t="shared" si="53"/>
        <v>0</v>
      </c>
      <c r="W103" s="157">
        <f t="shared" si="54"/>
        <v>0</v>
      </c>
      <c r="X103" s="157">
        <f t="shared" si="54"/>
        <v>0</v>
      </c>
      <c r="Y103" s="157">
        <f t="shared" si="54"/>
        <v>0</v>
      </c>
    </row>
    <row r="104" spans="1:25" x14ac:dyDescent="0.2">
      <c r="A104" s="84"/>
      <c r="C104" s="157"/>
      <c r="D104" s="174"/>
      <c r="E104" s="157"/>
      <c r="F104" s="157"/>
      <c r="G104" s="157"/>
      <c r="I104" s="157"/>
      <c r="J104" s="157"/>
      <c r="K104" s="157"/>
      <c r="P104" s="157"/>
      <c r="Q104" s="157"/>
      <c r="R104" s="157"/>
      <c r="W104" s="157"/>
      <c r="X104" s="157"/>
      <c r="Y104" s="157"/>
    </row>
    <row r="105" spans="1:25" x14ac:dyDescent="0.2">
      <c r="A105" s="84"/>
      <c r="C105" s="157">
        <f>SUM(C100:C103)</f>
        <v>6476</v>
      </c>
      <c r="D105" s="174">
        <f>SUM(D100:D103)</f>
        <v>1</v>
      </c>
      <c r="E105" s="157">
        <f>SUM(E100:E103)</f>
        <v>6000</v>
      </c>
      <c r="F105" s="157">
        <f>SUM(F100:F103)</f>
        <v>36000000</v>
      </c>
      <c r="G105" s="157">
        <f>SUM(G100:G103)</f>
        <v>216000000000</v>
      </c>
      <c r="I105" s="157">
        <f>SUM(I100:I103)</f>
        <v>0</v>
      </c>
      <c r="J105" s="157">
        <f>SUM(J100:J103)</f>
        <v>0</v>
      </c>
      <c r="K105" s="157">
        <f>SUM(K100:K103)</f>
        <v>0</v>
      </c>
      <c r="P105" s="157">
        <f>SUM(P100:P103)</f>
        <v>0</v>
      </c>
      <c r="Q105" s="157">
        <f>SUM(Q100:Q103)</f>
        <v>0</v>
      </c>
      <c r="R105" s="157">
        <f>SUM(R100:R103)</f>
        <v>0</v>
      </c>
      <c r="W105" s="157">
        <f>SUM(W100:W103)</f>
        <v>0</v>
      </c>
      <c r="X105" s="157">
        <f>SUM(X100:X103)</f>
        <v>0</v>
      </c>
      <c r="Y105" s="157">
        <f>SUM(Y100:Y103)</f>
        <v>0</v>
      </c>
    </row>
    <row r="106" spans="1:25" x14ac:dyDescent="0.2">
      <c r="A106" s="84"/>
      <c r="C106" s="157"/>
      <c r="D106" s="157"/>
      <c r="E106" s="157"/>
      <c r="F106" s="157"/>
      <c r="G106" s="157"/>
      <c r="I106" s="157"/>
      <c r="J106" s="157"/>
      <c r="K106" s="157"/>
      <c r="P106" s="157"/>
      <c r="Q106" s="157"/>
      <c r="R106" s="157"/>
      <c r="W106" s="157"/>
      <c r="X106" s="157"/>
      <c r="Y106" s="157"/>
    </row>
    <row r="107" spans="1:25" x14ac:dyDescent="0.2">
      <c r="A107" s="84"/>
      <c r="C107" s="157"/>
      <c r="D107" s="157"/>
      <c r="E107" s="157"/>
      <c r="F107" s="157"/>
      <c r="G107" s="157"/>
      <c r="I107" s="157"/>
      <c r="J107" s="157"/>
      <c r="K107" s="157"/>
      <c r="P107" s="157"/>
      <c r="Q107" s="157"/>
      <c r="R107" s="157"/>
      <c r="W107" s="157"/>
      <c r="X107" s="157"/>
      <c r="Y107" s="157"/>
    </row>
    <row r="108" spans="1:25" x14ac:dyDescent="0.2">
      <c r="A108" s="84"/>
    </row>
    <row r="109" spans="1:25" x14ac:dyDescent="0.2">
      <c r="A109" s="84"/>
    </row>
    <row r="110" spans="1:25" x14ac:dyDescent="0.2">
      <c r="A110" s="84"/>
    </row>
    <row r="111" spans="1:25" x14ac:dyDescent="0.2">
      <c r="A111" s="84"/>
    </row>
    <row r="112" spans="1:25" x14ac:dyDescent="0.2">
      <c r="A112" s="84"/>
    </row>
    <row r="113" spans="1:1" x14ac:dyDescent="0.2">
      <c r="A113" s="84"/>
    </row>
    <row r="114" spans="1:1" x14ac:dyDescent="0.2">
      <c r="A114" s="84"/>
    </row>
    <row r="115" spans="1:1" x14ac:dyDescent="0.2">
      <c r="A115" s="84"/>
    </row>
    <row r="116" spans="1:1" x14ac:dyDescent="0.2">
      <c r="A116" s="84"/>
    </row>
    <row r="117" spans="1:1" x14ac:dyDescent="0.2">
      <c r="A117" s="84"/>
    </row>
    <row r="118" spans="1:1" x14ac:dyDescent="0.2">
      <c r="A118" s="84"/>
    </row>
    <row r="119" spans="1:1" x14ac:dyDescent="0.2">
      <c r="A119" s="84"/>
    </row>
    <row r="120" spans="1:1" x14ac:dyDescent="0.2">
      <c r="A120" s="84"/>
    </row>
    <row r="121" spans="1:1" x14ac:dyDescent="0.2">
      <c r="A121" s="84"/>
    </row>
    <row r="122" spans="1:1" x14ac:dyDescent="0.2">
      <c r="A122" s="84"/>
    </row>
    <row r="123" spans="1:1" x14ac:dyDescent="0.2">
      <c r="A123" s="84"/>
    </row>
    <row r="124" spans="1:1" x14ac:dyDescent="0.2">
      <c r="A124" s="84"/>
    </row>
    <row r="125" spans="1:1" x14ac:dyDescent="0.2">
      <c r="A125" s="84"/>
    </row>
    <row r="126" spans="1:1" x14ac:dyDescent="0.2">
      <c r="A126" s="84"/>
    </row>
    <row r="127" spans="1:1" x14ac:dyDescent="0.2">
      <c r="A127" s="84"/>
    </row>
    <row r="128" spans="1:1" x14ac:dyDescent="0.2">
      <c r="A128" s="84"/>
    </row>
    <row r="129" spans="1:1" x14ac:dyDescent="0.2">
      <c r="A129" s="84"/>
    </row>
    <row r="130" spans="1:1" x14ac:dyDescent="0.2">
      <c r="A130" s="84"/>
    </row>
    <row r="131" spans="1:1" x14ac:dyDescent="0.2">
      <c r="A131" s="84"/>
    </row>
    <row r="132" spans="1:1" x14ac:dyDescent="0.2">
      <c r="A132" s="84"/>
    </row>
    <row r="133" spans="1:1" x14ac:dyDescent="0.2">
      <c r="A133" s="84"/>
    </row>
    <row r="134" spans="1:1" x14ac:dyDescent="0.2">
      <c r="A134" s="84"/>
    </row>
    <row r="135" spans="1:1" x14ac:dyDescent="0.2">
      <c r="A135" s="84"/>
    </row>
    <row r="136" spans="1:1" x14ac:dyDescent="0.2">
      <c r="A136" s="84"/>
    </row>
    <row r="137" spans="1:1" x14ac:dyDescent="0.2">
      <c r="A137" s="84"/>
    </row>
    <row r="138" spans="1:1" x14ac:dyDescent="0.2">
      <c r="A138" s="84"/>
    </row>
    <row r="139" spans="1:1" x14ac:dyDescent="0.2">
      <c r="A139" s="84"/>
    </row>
    <row r="140" spans="1:1" x14ac:dyDescent="0.2">
      <c r="A140" s="84"/>
    </row>
    <row r="141" spans="1:1" x14ac:dyDescent="0.2">
      <c r="A141" s="84"/>
    </row>
    <row r="142" spans="1:1" x14ac:dyDescent="0.2">
      <c r="A142" s="84"/>
    </row>
    <row r="143" spans="1:1" x14ac:dyDescent="0.2">
      <c r="A143" s="84"/>
    </row>
    <row r="144" spans="1:1" x14ac:dyDescent="0.2">
      <c r="A144" s="84"/>
    </row>
    <row r="145" spans="1:1" x14ac:dyDescent="0.2">
      <c r="A145" s="84"/>
    </row>
    <row r="146" spans="1:1" x14ac:dyDescent="0.2">
      <c r="A146" s="84"/>
    </row>
    <row r="147" spans="1:1" x14ac:dyDescent="0.2">
      <c r="A147" s="84"/>
    </row>
    <row r="148" spans="1:1" x14ac:dyDescent="0.2">
      <c r="A148" s="84"/>
    </row>
    <row r="149" spans="1:1" x14ac:dyDescent="0.2">
      <c r="A149" s="84"/>
    </row>
    <row r="150" spans="1:1" x14ac:dyDescent="0.2">
      <c r="A150" s="84"/>
    </row>
    <row r="151" spans="1:1" x14ac:dyDescent="0.2">
      <c r="A151" s="84"/>
    </row>
    <row r="152" spans="1:1" x14ac:dyDescent="0.2">
      <c r="A152" s="84"/>
    </row>
    <row r="153" spans="1:1" x14ac:dyDescent="0.2">
      <c r="A153" s="84"/>
    </row>
    <row r="154" spans="1:1" x14ac:dyDescent="0.2">
      <c r="A154" s="84"/>
    </row>
    <row r="155" spans="1:1" x14ac:dyDescent="0.2">
      <c r="A155" s="84"/>
    </row>
    <row r="156" spans="1:1" x14ac:dyDescent="0.2">
      <c r="A156" s="84"/>
    </row>
    <row r="157" spans="1:1" x14ac:dyDescent="0.2">
      <c r="A157" s="84"/>
    </row>
    <row r="158" spans="1:1" x14ac:dyDescent="0.2">
      <c r="A158" s="84"/>
    </row>
    <row r="159" spans="1:1" x14ac:dyDescent="0.2">
      <c r="A159" s="84"/>
    </row>
    <row r="160" spans="1:1" x14ac:dyDescent="0.2">
      <c r="A160" s="84"/>
    </row>
    <row r="161" spans="1:1" x14ac:dyDescent="0.2">
      <c r="A161" s="84"/>
    </row>
    <row r="162" spans="1:1" x14ac:dyDescent="0.2">
      <c r="A162" s="84"/>
    </row>
    <row r="163" spans="1:1" x14ac:dyDescent="0.2">
      <c r="A163" s="84"/>
    </row>
    <row r="164" spans="1:1" x14ac:dyDescent="0.2">
      <c r="A164" s="84"/>
    </row>
    <row r="165" spans="1:1" x14ac:dyDescent="0.2">
      <c r="A165" s="84"/>
    </row>
    <row r="166" spans="1:1" x14ac:dyDescent="0.2">
      <c r="A166" s="84"/>
    </row>
    <row r="167" spans="1:1" x14ac:dyDescent="0.2">
      <c r="A167" s="84"/>
    </row>
    <row r="168" spans="1:1" x14ac:dyDescent="0.2">
      <c r="A168" s="84"/>
    </row>
    <row r="169" spans="1:1" x14ac:dyDescent="0.2">
      <c r="A169" s="84"/>
    </row>
    <row r="170" spans="1:1" x14ac:dyDescent="0.2">
      <c r="A170" s="84"/>
    </row>
    <row r="171" spans="1:1" x14ac:dyDescent="0.2">
      <c r="A171" s="84"/>
    </row>
    <row r="172" spans="1:1" x14ac:dyDescent="0.2">
      <c r="A172" s="84"/>
    </row>
    <row r="173" spans="1:1" x14ac:dyDescent="0.2">
      <c r="A173" s="84"/>
    </row>
    <row r="174" spans="1:1" x14ac:dyDescent="0.2">
      <c r="A174" s="84"/>
    </row>
    <row r="175" spans="1:1" x14ac:dyDescent="0.2">
      <c r="A175" s="84"/>
    </row>
    <row r="176" spans="1:1" x14ac:dyDescent="0.2">
      <c r="A176" s="84"/>
    </row>
    <row r="177" spans="1:1" x14ac:dyDescent="0.2">
      <c r="A177" s="84"/>
    </row>
    <row r="178" spans="1:1" x14ac:dyDescent="0.2">
      <c r="A178" s="84"/>
    </row>
    <row r="179" spans="1:1" x14ac:dyDescent="0.2">
      <c r="A179" s="84"/>
    </row>
    <row r="180" spans="1:1" x14ac:dyDescent="0.2">
      <c r="A180" s="84"/>
    </row>
    <row r="181" spans="1:1" x14ac:dyDescent="0.2">
      <c r="A181" s="84"/>
    </row>
    <row r="182" spans="1:1" x14ac:dyDescent="0.2">
      <c r="A182" s="84"/>
    </row>
    <row r="183" spans="1:1" x14ac:dyDescent="0.2">
      <c r="A183" s="84"/>
    </row>
    <row r="184" spans="1:1" x14ac:dyDescent="0.2">
      <c r="A184" s="84"/>
    </row>
    <row r="185" spans="1:1" x14ac:dyDescent="0.2">
      <c r="A185" s="84"/>
    </row>
    <row r="186" spans="1:1" x14ac:dyDescent="0.2">
      <c r="A186" s="84"/>
    </row>
    <row r="187" spans="1:1" x14ac:dyDescent="0.2">
      <c r="A187" s="84"/>
    </row>
    <row r="188" spans="1:1" x14ac:dyDescent="0.2">
      <c r="A188" s="84"/>
    </row>
    <row r="189" spans="1:1" x14ac:dyDescent="0.2">
      <c r="A189" s="84"/>
    </row>
    <row r="190" spans="1:1" x14ac:dyDescent="0.2">
      <c r="A190" s="84"/>
    </row>
    <row r="191" spans="1:1" x14ac:dyDescent="0.2">
      <c r="A191" s="84"/>
    </row>
    <row r="192" spans="1:1" x14ac:dyDescent="0.2">
      <c r="A192" s="84"/>
    </row>
    <row r="193" spans="1:1" x14ac:dyDescent="0.2">
      <c r="A193" s="84"/>
    </row>
    <row r="194" spans="1:1" x14ac:dyDescent="0.2">
      <c r="A194" s="84"/>
    </row>
    <row r="195" spans="1:1" x14ac:dyDescent="0.2">
      <c r="A195" s="84"/>
    </row>
    <row r="196" spans="1:1" x14ac:dyDescent="0.2">
      <c r="A196" s="84"/>
    </row>
    <row r="197" spans="1:1" x14ac:dyDescent="0.2">
      <c r="A197" s="84"/>
    </row>
    <row r="198" spans="1:1" x14ac:dyDescent="0.2">
      <c r="A198" s="84"/>
    </row>
    <row r="199" spans="1:1" x14ac:dyDescent="0.2">
      <c r="A199" s="84"/>
    </row>
    <row r="200" spans="1:1" x14ac:dyDescent="0.2">
      <c r="A200" s="84"/>
    </row>
    <row r="201" spans="1:1" x14ac:dyDescent="0.2">
      <c r="A201" s="84"/>
    </row>
    <row r="202" spans="1:1" x14ac:dyDescent="0.2">
      <c r="A202" s="84"/>
    </row>
    <row r="203" spans="1:1" x14ac:dyDescent="0.2">
      <c r="A203" s="84"/>
    </row>
    <row r="204" spans="1:1" x14ac:dyDescent="0.2">
      <c r="A204" s="84"/>
    </row>
    <row r="205" spans="1:1" x14ac:dyDescent="0.2">
      <c r="A205" s="84"/>
    </row>
    <row r="206" spans="1:1" x14ac:dyDescent="0.2">
      <c r="A206" s="84"/>
    </row>
    <row r="207" spans="1:1" x14ac:dyDescent="0.2">
      <c r="A207" s="84"/>
    </row>
    <row r="208" spans="1:1" x14ac:dyDescent="0.2">
      <c r="A208" s="84"/>
    </row>
    <row r="209" spans="1:1" x14ac:dyDescent="0.2">
      <c r="A209" s="84"/>
    </row>
    <row r="210" spans="1:1" x14ac:dyDescent="0.2">
      <c r="A210" s="84"/>
    </row>
    <row r="211" spans="1:1" x14ac:dyDescent="0.2">
      <c r="A211" s="84"/>
    </row>
    <row r="212" spans="1:1" x14ac:dyDescent="0.2">
      <c r="A212" s="84"/>
    </row>
    <row r="213" spans="1:1" x14ac:dyDescent="0.2">
      <c r="A213" s="84"/>
    </row>
    <row r="214" spans="1:1" x14ac:dyDescent="0.2">
      <c r="A214" s="84"/>
    </row>
    <row r="215" spans="1:1" x14ac:dyDescent="0.2">
      <c r="A215" s="84"/>
    </row>
    <row r="216" spans="1:1" x14ac:dyDescent="0.2">
      <c r="A216" s="84"/>
    </row>
    <row r="217" spans="1:1" x14ac:dyDescent="0.2">
      <c r="A217" s="84"/>
    </row>
    <row r="218" spans="1:1" x14ac:dyDescent="0.2">
      <c r="A218" s="84"/>
    </row>
    <row r="219" spans="1:1" x14ac:dyDescent="0.2">
      <c r="A219" s="84"/>
    </row>
    <row r="220" spans="1:1" x14ac:dyDescent="0.2">
      <c r="A220" s="84"/>
    </row>
    <row r="221" spans="1:1" x14ac:dyDescent="0.2">
      <c r="A221" s="84"/>
    </row>
    <row r="222" spans="1:1" x14ac:dyDescent="0.2">
      <c r="A222" s="84"/>
    </row>
    <row r="223" spans="1:1" x14ac:dyDescent="0.2">
      <c r="A223" s="84"/>
    </row>
    <row r="224" spans="1:1" x14ac:dyDescent="0.2">
      <c r="A224" s="84"/>
    </row>
    <row r="225" spans="1:1" x14ac:dyDescent="0.2">
      <c r="A225" s="84"/>
    </row>
    <row r="226" spans="1:1" x14ac:dyDescent="0.2">
      <c r="A226" s="84"/>
    </row>
    <row r="227" spans="1:1" x14ac:dyDescent="0.2">
      <c r="A227" s="84"/>
    </row>
    <row r="228" spans="1:1" x14ac:dyDescent="0.2">
      <c r="A228" s="84"/>
    </row>
    <row r="229" spans="1:1" x14ac:dyDescent="0.2">
      <c r="A229" s="84"/>
    </row>
    <row r="230" spans="1:1" x14ac:dyDescent="0.2">
      <c r="A230" s="84"/>
    </row>
    <row r="231" spans="1:1" x14ac:dyDescent="0.2">
      <c r="A231" s="84"/>
    </row>
    <row r="232" spans="1:1" x14ac:dyDescent="0.2">
      <c r="A232" s="84"/>
    </row>
    <row r="233" spans="1:1" x14ac:dyDescent="0.2">
      <c r="A233" s="84"/>
    </row>
    <row r="234" spans="1:1" x14ac:dyDescent="0.2">
      <c r="A234" s="84"/>
    </row>
    <row r="235" spans="1:1" x14ac:dyDescent="0.2">
      <c r="A235" s="84"/>
    </row>
    <row r="236" spans="1:1" x14ac:dyDescent="0.2">
      <c r="A236" s="84"/>
    </row>
    <row r="237" spans="1:1" x14ac:dyDescent="0.2">
      <c r="A237" s="84"/>
    </row>
    <row r="238" spans="1:1" x14ac:dyDescent="0.2">
      <c r="A238" s="84"/>
    </row>
    <row r="239" spans="1:1" x14ac:dyDescent="0.2">
      <c r="A239" s="84"/>
    </row>
    <row r="240" spans="1:1" x14ac:dyDescent="0.2">
      <c r="A240" s="84"/>
    </row>
    <row r="241" spans="1:1" x14ac:dyDescent="0.2">
      <c r="A241" s="84"/>
    </row>
    <row r="242" spans="1:1" x14ac:dyDescent="0.2">
      <c r="A242" s="84"/>
    </row>
    <row r="243" spans="1:1" x14ac:dyDescent="0.2">
      <c r="A243" s="84"/>
    </row>
    <row r="244" spans="1:1" x14ac:dyDescent="0.2">
      <c r="A244" s="84"/>
    </row>
    <row r="245" spans="1:1" x14ac:dyDescent="0.2">
      <c r="A245" s="84"/>
    </row>
    <row r="246" spans="1:1" x14ac:dyDescent="0.2">
      <c r="A246" s="84"/>
    </row>
    <row r="247" spans="1:1" x14ac:dyDescent="0.2">
      <c r="A247" s="84"/>
    </row>
    <row r="248" spans="1:1" x14ac:dyDescent="0.2">
      <c r="A248" s="84"/>
    </row>
    <row r="249" spans="1:1" x14ac:dyDescent="0.2">
      <c r="A249" s="84"/>
    </row>
    <row r="250" spans="1:1" x14ac:dyDescent="0.2">
      <c r="A250" s="84"/>
    </row>
    <row r="251" spans="1:1" x14ac:dyDescent="0.2">
      <c r="A251" s="84"/>
    </row>
    <row r="252" spans="1:1" x14ac:dyDescent="0.2">
      <c r="A252" s="84"/>
    </row>
    <row r="253" spans="1:1" x14ac:dyDescent="0.2">
      <c r="A253" s="84"/>
    </row>
    <row r="254" spans="1:1" x14ac:dyDescent="0.2">
      <c r="A254" s="84"/>
    </row>
    <row r="255" spans="1:1" x14ac:dyDescent="0.2">
      <c r="A255" s="84"/>
    </row>
    <row r="256" spans="1:1" x14ac:dyDescent="0.2">
      <c r="A256" s="84"/>
    </row>
    <row r="257" spans="1:1" x14ac:dyDescent="0.2">
      <c r="A257" s="84"/>
    </row>
    <row r="258" spans="1:1" x14ac:dyDescent="0.2">
      <c r="A258" s="84"/>
    </row>
    <row r="259" spans="1:1" x14ac:dyDescent="0.2">
      <c r="A259" s="84"/>
    </row>
    <row r="260" spans="1:1" x14ac:dyDescent="0.2">
      <c r="A260" s="84"/>
    </row>
    <row r="261" spans="1:1" x14ac:dyDescent="0.2">
      <c r="A261" s="84"/>
    </row>
    <row r="262" spans="1:1" x14ac:dyDescent="0.2">
      <c r="A262" s="84"/>
    </row>
    <row r="263" spans="1:1" x14ac:dyDescent="0.2">
      <c r="A263" s="84"/>
    </row>
    <row r="264" spans="1:1" x14ac:dyDescent="0.2">
      <c r="A264" s="84"/>
    </row>
    <row r="265" spans="1:1" x14ac:dyDescent="0.2">
      <c r="A265" s="84"/>
    </row>
    <row r="266" spans="1:1" x14ac:dyDescent="0.2">
      <c r="A266" s="84"/>
    </row>
    <row r="267" spans="1:1" x14ac:dyDescent="0.2">
      <c r="A267" s="84"/>
    </row>
    <row r="268" spans="1:1" x14ac:dyDescent="0.2">
      <c r="A268" s="84"/>
    </row>
    <row r="269" spans="1:1" x14ac:dyDescent="0.2">
      <c r="A269" s="84"/>
    </row>
    <row r="270" spans="1:1" x14ac:dyDescent="0.2">
      <c r="A270" s="84"/>
    </row>
    <row r="271" spans="1:1" x14ac:dyDescent="0.2">
      <c r="A271" s="84"/>
    </row>
    <row r="272" spans="1:1" x14ac:dyDescent="0.2">
      <c r="A272" s="84"/>
    </row>
    <row r="273" spans="1:1" x14ac:dyDescent="0.2">
      <c r="A273" s="84"/>
    </row>
    <row r="274" spans="1:1" x14ac:dyDescent="0.2">
      <c r="A274" s="84"/>
    </row>
    <row r="275" spans="1:1" x14ac:dyDescent="0.2">
      <c r="A275" s="84"/>
    </row>
    <row r="276" spans="1:1" x14ac:dyDescent="0.2">
      <c r="A276" s="84"/>
    </row>
    <row r="277" spans="1:1" x14ac:dyDescent="0.2">
      <c r="A277" s="84"/>
    </row>
    <row r="278" spans="1:1" x14ac:dyDescent="0.2">
      <c r="A278" s="84"/>
    </row>
    <row r="279" spans="1:1" x14ac:dyDescent="0.2">
      <c r="A279" s="84"/>
    </row>
    <row r="280" spans="1:1" x14ac:dyDescent="0.2">
      <c r="A280" s="84"/>
    </row>
    <row r="281" spans="1:1" x14ac:dyDescent="0.2">
      <c r="A281" s="84"/>
    </row>
    <row r="282" spans="1:1" x14ac:dyDescent="0.2">
      <c r="A282" s="84"/>
    </row>
    <row r="283" spans="1:1" x14ac:dyDescent="0.2">
      <c r="A283" s="84"/>
    </row>
    <row r="284" spans="1:1" x14ac:dyDescent="0.2">
      <c r="A284" s="84"/>
    </row>
    <row r="285" spans="1:1" x14ac:dyDescent="0.2">
      <c r="A285" s="84"/>
    </row>
    <row r="286" spans="1:1" x14ac:dyDescent="0.2">
      <c r="A286" s="84"/>
    </row>
    <row r="287" spans="1:1" x14ac:dyDescent="0.2">
      <c r="A287" s="84"/>
    </row>
    <row r="288" spans="1:1" x14ac:dyDescent="0.2">
      <c r="A288" s="84"/>
    </row>
    <row r="289" spans="1:1" x14ac:dyDescent="0.2">
      <c r="A289" s="84"/>
    </row>
    <row r="290" spans="1:1" x14ac:dyDescent="0.2">
      <c r="A290" s="84"/>
    </row>
    <row r="291" spans="1:1" x14ac:dyDescent="0.2">
      <c r="A291" s="84"/>
    </row>
    <row r="292" spans="1:1" x14ac:dyDescent="0.2">
      <c r="A292" s="84"/>
    </row>
    <row r="293" spans="1:1" x14ac:dyDescent="0.2">
      <c r="A293" s="84"/>
    </row>
    <row r="294" spans="1:1" x14ac:dyDescent="0.2">
      <c r="A294" s="84"/>
    </row>
    <row r="295" spans="1:1" x14ac:dyDescent="0.2">
      <c r="A295" s="84"/>
    </row>
    <row r="296" spans="1:1" x14ac:dyDescent="0.2">
      <c r="A296" s="84"/>
    </row>
    <row r="297" spans="1:1" x14ac:dyDescent="0.2">
      <c r="A297" s="84"/>
    </row>
    <row r="298" spans="1:1" x14ac:dyDescent="0.2">
      <c r="A298" s="84"/>
    </row>
    <row r="299" spans="1:1" x14ac:dyDescent="0.2">
      <c r="A299" s="84"/>
    </row>
    <row r="300" spans="1:1" x14ac:dyDescent="0.2">
      <c r="A300" s="84"/>
    </row>
    <row r="301" spans="1:1" x14ac:dyDescent="0.2">
      <c r="A301" s="84"/>
    </row>
    <row r="302" spans="1:1" x14ac:dyDescent="0.2">
      <c r="A302" s="84"/>
    </row>
    <row r="303" spans="1:1" x14ac:dyDescent="0.2">
      <c r="A303" s="84"/>
    </row>
    <row r="304" spans="1:1" x14ac:dyDescent="0.2">
      <c r="A304" s="84"/>
    </row>
    <row r="305" spans="1:1" x14ac:dyDescent="0.2">
      <c r="A305" s="84"/>
    </row>
    <row r="306" spans="1:1" x14ac:dyDescent="0.2">
      <c r="A306" s="84"/>
    </row>
    <row r="307" spans="1:1" x14ac:dyDescent="0.2">
      <c r="A307" s="84"/>
    </row>
    <row r="308" spans="1:1" x14ac:dyDescent="0.2">
      <c r="A308" s="84"/>
    </row>
    <row r="309" spans="1:1" x14ac:dyDescent="0.2">
      <c r="A309" s="84"/>
    </row>
    <row r="310" spans="1:1" x14ac:dyDescent="0.2">
      <c r="A310" s="84"/>
    </row>
    <row r="311" spans="1:1" x14ac:dyDescent="0.2">
      <c r="A311" s="84"/>
    </row>
    <row r="312" spans="1:1" x14ac:dyDescent="0.2">
      <c r="A312" s="84"/>
    </row>
    <row r="313" spans="1:1" x14ac:dyDescent="0.2">
      <c r="A313" s="84"/>
    </row>
    <row r="314" spans="1:1" x14ac:dyDescent="0.2">
      <c r="A314" s="84"/>
    </row>
    <row r="315" spans="1:1" x14ac:dyDescent="0.2">
      <c r="A315" s="84"/>
    </row>
    <row r="316" spans="1:1" x14ac:dyDescent="0.2">
      <c r="A316" s="84"/>
    </row>
    <row r="317" spans="1:1" x14ac:dyDescent="0.2">
      <c r="A317" s="84"/>
    </row>
    <row r="318" spans="1:1" x14ac:dyDescent="0.2">
      <c r="A318" s="84"/>
    </row>
    <row r="319" spans="1:1" x14ac:dyDescent="0.2">
      <c r="A319" s="84"/>
    </row>
    <row r="320" spans="1:1" x14ac:dyDescent="0.2">
      <c r="A320" s="84"/>
    </row>
    <row r="321" spans="1:1" x14ac:dyDescent="0.2">
      <c r="A321" s="84"/>
    </row>
    <row r="322" spans="1:1" x14ac:dyDescent="0.2">
      <c r="A322" s="84"/>
    </row>
    <row r="323" spans="1:1" x14ac:dyDescent="0.2">
      <c r="A323" s="84"/>
    </row>
    <row r="324" spans="1:1" x14ac:dyDescent="0.2">
      <c r="A324" s="84"/>
    </row>
    <row r="325" spans="1:1" x14ac:dyDescent="0.2">
      <c r="A325" s="84"/>
    </row>
    <row r="326" spans="1:1" x14ac:dyDescent="0.2">
      <c r="A326" s="84"/>
    </row>
    <row r="327" spans="1:1" x14ac:dyDescent="0.2">
      <c r="A327" s="84"/>
    </row>
    <row r="328" spans="1:1" x14ac:dyDescent="0.2">
      <c r="A328" s="84"/>
    </row>
    <row r="329" spans="1:1" x14ac:dyDescent="0.2">
      <c r="A329" s="84"/>
    </row>
    <row r="330" spans="1:1" x14ac:dyDescent="0.2">
      <c r="A330" s="84"/>
    </row>
    <row r="331" spans="1:1" x14ac:dyDescent="0.2">
      <c r="A331" s="84"/>
    </row>
    <row r="332" spans="1:1" x14ac:dyDescent="0.2">
      <c r="A332" s="84"/>
    </row>
    <row r="333" spans="1:1" x14ac:dyDescent="0.2">
      <c r="A333" s="84"/>
    </row>
    <row r="334" spans="1:1" x14ac:dyDescent="0.2">
      <c r="A334" s="84"/>
    </row>
    <row r="335" spans="1:1" x14ac:dyDescent="0.2">
      <c r="A335" s="84"/>
    </row>
    <row r="336" spans="1:1" x14ac:dyDescent="0.2">
      <c r="A336" s="84"/>
    </row>
    <row r="337" spans="1:1" x14ac:dyDescent="0.2">
      <c r="A337" s="84"/>
    </row>
    <row r="338" spans="1:1" x14ac:dyDescent="0.2">
      <c r="A338" s="84"/>
    </row>
    <row r="339" spans="1:1" x14ac:dyDescent="0.2">
      <c r="A339" s="84"/>
    </row>
    <row r="340" spans="1:1" x14ac:dyDescent="0.2">
      <c r="A340" s="84"/>
    </row>
    <row r="341" spans="1:1" x14ac:dyDescent="0.2">
      <c r="A341" s="84"/>
    </row>
    <row r="342" spans="1:1" x14ac:dyDescent="0.2">
      <c r="A342" s="84"/>
    </row>
    <row r="343" spans="1:1" x14ac:dyDescent="0.2">
      <c r="A343" s="84"/>
    </row>
    <row r="344" spans="1:1" x14ac:dyDescent="0.2">
      <c r="A344" s="84"/>
    </row>
    <row r="345" spans="1:1" x14ac:dyDescent="0.2">
      <c r="A345" s="84"/>
    </row>
    <row r="346" spans="1:1" x14ac:dyDescent="0.2">
      <c r="A346" s="84"/>
    </row>
    <row r="347" spans="1:1" x14ac:dyDescent="0.2">
      <c r="A347" s="84"/>
    </row>
    <row r="348" spans="1:1" x14ac:dyDescent="0.2">
      <c r="A348" s="84"/>
    </row>
    <row r="349" spans="1:1" x14ac:dyDescent="0.2">
      <c r="A349" s="84"/>
    </row>
    <row r="350" spans="1:1" x14ac:dyDescent="0.2">
      <c r="A350" s="84"/>
    </row>
    <row r="351" spans="1:1" x14ac:dyDescent="0.2">
      <c r="A351" s="84"/>
    </row>
    <row r="352" spans="1:1" x14ac:dyDescent="0.2">
      <c r="A352" s="84"/>
    </row>
    <row r="353" spans="1:1" x14ac:dyDescent="0.2">
      <c r="A353" s="84"/>
    </row>
    <row r="354" spans="1:1" x14ac:dyDescent="0.2">
      <c r="A354" s="84"/>
    </row>
    <row r="355" spans="1:1" x14ac:dyDescent="0.2">
      <c r="A355" s="84"/>
    </row>
    <row r="356" spans="1:1" x14ac:dyDescent="0.2">
      <c r="A356" s="84"/>
    </row>
    <row r="357" spans="1:1" x14ac:dyDescent="0.2">
      <c r="A357" s="84"/>
    </row>
    <row r="358" spans="1:1" x14ac:dyDescent="0.2">
      <c r="A358" s="84"/>
    </row>
    <row r="359" spans="1:1" x14ac:dyDescent="0.2">
      <c r="A359" s="84"/>
    </row>
    <row r="360" spans="1:1" x14ac:dyDescent="0.2">
      <c r="A360" s="84"/>
    </row>
    <row r="361" spans="1:1" x14ac:dyDescent="0.2">
      <c r="A361" s="84"/>
    </row>
    <row r="362" spans="1:1" x14ac:dyDescent="0.2">
      <c r="A362" s="84"/>
    </row>
    <row r="363" spans="1:1" x14ac:dyDescent="0.2">
      <c r="A363" s="84"/>
    </row>
    <row r="364" spans="1:1" x14ac:dyDescent="0.2">
      <c r="A364" s="84"/>
    </row>
    <row r="365" spans="1:1" x14ac:dyDescent="0.2">
      <c r="A365" s="84"/>
    </row>
    <row r="366" spans="1:1" x14ac:dyDescent="0.2">
      <c r="A366" s="84"/>
    </row>
    <row r="367" spans="1:1" x14ac:dyDescent="0.2">
      <c r="A367" s="84"/>
    </row>
    <row r="368" spans="1:1" x14ac:dyDescent="0.2">
      <c r="A368" s="84"/>
    </row>
    <row r="369" spans="1:1" x14ac:dyDescent="0.2">
      <c r="A369" s="84"/>
    </row>
    <row r="370" spans="1:1" x14ac:dyDescent="0.2">
      <c r="A370" s="84"/>
    </row>
    <row r="371" spans="1:1" x14ac:dyDescent="0.2">
      <c r="A371" s="84"/>
    </row>
    <row r="372" spans="1:1" x14ac:dyDescent="0.2">
      <c r="A372" s="84"/>
    </row>
    <row r="373" spans="1:1" x14ac:dyDescent="0.2">
      <c r="A373" s="84"/>
    </row>
    <row r="374" spans="1:1" x14ac:dyDescent="0.2">
      <c r="A374" s="84"/>
    </row>
    <row r="375" spans="1:1" x14ac:dyDescent="0.2">
      <c r="A375" s="84"/>
    </row>
    <row r="376" spans="1:1" x14ac:dyDescent="0.2">
      <c r="A376" s="84"/>
    </row>
    <row r="377" spans="1:1" x14ac:dyDescent="0.2">
      <c r="A377" s="84"/>
    </row>
    <row r="378" spans="1:1" x14ac:dyDescent="0.2">
      <c r="A378" s="84"/>
    </row>
    <row r="379" spans="1:1" x14ac:dyDescent="0.2">
      <c r="A379" s="84"/>
    </row>
    <row r="380" spans="1:1" x14ac:dyDescent="0.2">
      <c r="A380" s="84"/>
    </row>
    <row r="381" spans="1:1" x14ac:dyDescent="0.2">
      <c r="A381" s="84"/>
    </row>
    <row r="382" spans="1:1" x14ac:dyDescent="0.2">
      <c r="A382" s="84"/>
    </row>
    <row r="383" spans="1:1" x14ac:dyDescent="0.2">
      <c r="A383" s="84"/>
    </row>
    <row r="384" spans="1:1" x14ac:dyDescent="0.2">
      <c r="A384" s="84"/>
    </row>
    <row r="385" spans="1:1" x14ac:dyDescent="0.2">
      <c r="A385" s="84"/>
    </row>
    <row r="386" spans="1:1" x14ac:dyDescent="0.2">
      <c r="A386" s="84"/>
    </row>
    <row r="387" spans="1:1" x14ac:dyDescent="0.2">
      <c r="A387" s="84"/>
    </row>
    <row r="388" spans="1:1" x14ac:dyDescent="0.2">
      <c r="A388" s="84"/>
    </row>
    <row r="389" spans="1:1" x14ac:dyDescent="0.2">
      <c r="A389" s="84"/>
    </row>
    <row r="390" spans="1:1" x14ac:dyDescent="0.2">
      <c r="A390" s="84"/>
    </row>
    <row r="391" spans="1:1" x14ac:dyDescent="0.2">
      <c r="A391" s="84"/>
    </row>
    <row r="392" spans="1:1" x14ac:dyDescent="0.2">
      <c r="A392" s="84"/>
    </row>
    <row r="393" spans="1:1" x14ac:dyDescent="0.2">
      <c r="A393" s="84"/>
    </row>
    <row r="394" spans="1:1" x14ac:dyDescent="0.2">
      <c r="A394" s="84"/>
    </row>
    <row r="395" spans="1:1" x14ac:dyDescent="0.2">
      <c r="A395" s="84"/>
    </row>
    <row r="396" spans="1:1" x14ac:dyDescent="0.2">
      <c r="A396" s="84"/>
    </row>
    <row r="397" spans="1:1" x14ac:dyDescent="0.2">
      <c r="A397" s="84"/>
    </row>
    <row r="398" spans="1:1" x14ac:dyDescent="0.2">
      <c r="A398" s="84"/>
    </row>
    <row r="399" spans="1:1" x14ac:dyDescent="0.2">
      <c r="A399" s="84"/>
    </row>
    <row r="400" spans="1:1" x14ac:dyDescent="0.2">
      <c r="A400" s="84"/>
    </row>
    <row r="401" spans="1:1" x14ac:dyDescent="0.2">
      <c r="A401" s="84"/>
    </row>
    <row r="402" spans="1:1" x14ac:dyDescent="0.2">
      <c r="A402" s="84"/>
    </row>
    <row r="403" spans="1:1" x14ac:dyDescent="0.2">
      <c r="A403" s="84"/>
    </row>
    <row r="404" spans="1:1" x14ac:dyDescent="0.2">
      <c r="A404" s="84"/>
    </row>
    <row r="405" spans="1:1" x14ac:dyDescent="0.2">
      <c r="A405" s="84"/>
    </row>
    <row r="406" spans="1:1" x14ac:dyDescent="0.2">
      <c r="A406" s="84"/>
    </row>
    <row r="407" spans="1:1" x14ac:dyDescent="0.2">
      <c r="A407" s="84"/>
    </row>
    <row r="408" spans="1:1" x14ac:dyDescent="0.2">
      <c r="A408" s="84"/>
    </row>
    <row r="409" spans="1:1" x14ac:dyDescent="0.2">
      <c r="A409" s="84"/>
    </row>
    <row r="410" spans="1:1" x14ac:dyDescent="0.2">
      <c r="A410" s="84"/>
    </row>
    <row r="411" spans="1:1" x14ac:dyDescent="0.2">
      <c r="A411" s="84"/>
    </row>
    <row r="412" spans="1:1" x14ac:dyDescent="0.2">
      <c r="A412" s="84"/>
    </row>
    <row r="413" spans="1:1" x14ac:dyDescent="0.2">
      <c r="A413" s="84"/>
    </row>
    <row r="414" spans="1:1" x14ac:dyDescent="0.2">
      <c r="A414" s="84"/>
    </row>
    <row r="415" spans="1:1" x14ac:dyDescent="0.2">
      <c r="A415" s="84"/>
    </row>
    <row r="416" spans="1:1" x14ac:dyDescent="0.2">
      <c r="A416" s="84"/>
    </row>
    <row r="417" spans="1:1" x14ac:dyDescent="0.2">
      <c r="A417" s="84"/>
    </row>
    <row r="418" spans="1:1" x14ac:dyDescent="0.2">
      <c r="A418" s="84"/>
    </row>
    <row r="419" spans="1:1" x14ac:dyDescent="0.2">
      <c r="A419" s="84"/>
    </row>
    <row r="420" spans="1:1" x14ac:dyDescent="0.2">
      <c r="A420" s="84"/>
    </row>
    <row r="421" spans="1:1" x14ac:dyDescent="0.2">
      <c r="A421" s="84"/>
    </row>
    <row r="422" spans="1:1" x14ac:dyDescent="0.2">
      <c r="A422" s="84"/>
    </row>
    <row r="423" spans="1:1" x14ac:dyDescent="0.2">
      <c r="A423" s="84"/>
    </row>
    <row r="424" spans="1:1" x14ac:dyDescent="0.2">
      <c r="A424" s="84"/>
    </row>
    <row r="425" spans="1:1" x14ac:dyDescent="0.2">
      <c r="A425" s="84"/>
    </row>
    <row r="426" spans="1:1" x14ac:dyDescent="0.2">
      <c r="A426" s="84"/>
    </row>
    <row r="427" spans="1:1" x14ac:dyDescent="0.2">
      <c r="A427" s="84"/>
    </row>
    <row r="428" spans="1:1" x14ac:dyDescent="0.2">
      <c r="A428" s="84"/>
    </row>
    <row r="429" spans="1:1" x14ac:dyDescent="0.2">
      <c r="A429" s="84"/>
    </row>
    <row r="430" spans="1:1" x14ac:dyDescent="0.2">
      <c r="A430" s="84"/>
    </row>
    <row r="431" spans="1:1" x14ac:dyDescent="0.2">
      <c r="A431" s="84"/>
    </row>
    <row r="432" spans="1:1" x14ac:dyDescent="0.2">
      <c r="A432" s="84"/>
    </row>
    <row r="433" spans="1:1" x14ac:dyDescent="0.2">
      <c r="A433" s="84"/>
    </row>
    <row r="434" spans="1:1" x14ac:dyDescent="0.2">
      <c r="A434" s="84"/>
    </row>
    <row r="435" spans="1:1" x14ac:dyDescent="0.2">
      <c r="A435" s="84"/>
    </row>
    <row r="436" spans="1:1" x14ac:dyDescent="0.2">
      <c r="A436" s="84"/>
    </row>
    <row r="437" spans="1:1" x14ac:dyDescent="0.2">
      <c r="A437" s="84"/>
    </row>
    <row r="438" spans="1:1" x14ac:dyDescent="0.2">
      <c r="A438" s="84"/>
    </row>
    <row r="439" spans="1:1" x14ac:dyDescent="0.2">
      <c r="A439" s="84"/>
    </row>
    <row r="440" spans="1:1" x14ac:dyDescent="0.2">
      <c r="A440" s="84"/>
    </row>
    <row r="441" spans="1:1" x14ac:dyDescent="0.2">
      <c r="A441" s="84"/>
    </row>
    <row r="442" spans="1:1" x14ac:dyDescent="0.2">
      <c r="A442" s="84"/>
    </row>
    <row r="443" spans="1:1" x14ac:dyDescent="0.2">
      <c r="A443" s="84"/>
    </row>
    <row r="444" spans="1:1" x14ac:dyDescent="0.2">
      <c r="A444" s="84"/>
    </row>
    <row r="445" spans="1:1" x14ac:dyDescent="0.2">
      <c r="A445" s="84"/>
    </row>
    <row r="446" spans="1:1" x14ac:dyDescent="0.2">
      <c r="A446" s="84"/>
    </row>
    <row r="447" spans="1:1" x14ac:dyDescent="0.2">
      <c r="A447" s="84"/>
    </row>
    <row r="448" spans="1:1" x14ac:dyDescent="0.2">
      <c r="A448" s="84"/>
    </row>
    <row r="449" spans="1:1" x14ac:dyDescent="0.2">
      <c r="A449" s="84"/>
    </row>
    <row r="450" spans="1:1" x14ac:dyDescent="0.2">
      <c r="A450" s="84"/>
    </row>
    <row r="451" spans="1:1" x14ac:dyDescent="0.2">
      <c r="A451" s="84"/>
    </row>
    <row r="452" spans="1:1" x14ac:dyDescent="0.2">
      <c r="A452" s="84"/>
    </row>
    <row r="453" spans="1:1" x14ac:dyDescent="0.2">
      <c r="A453" s="84"/>
    </row>
    <row r="454" spans="1:1" x14ac:dyDescent="0.2">
      <c r="A454" s="84"/>
    </row>
    <row r="455" spans="1:1" x14ac:dyDescent="0.2">
      <c r="A455" s="84"/>
    </row>
    <row r="456" spans="1:1" x14ac:dyDescent="0.2">
      <c r="A456" s="84"/>
    </row>
    <row r="457" spans="1:1" x14ac:dyDescent="0.2">
      <c r="A457" s="84"/>
    </row>
    <row r="458" spans="1:1" x14ac:dyDescent="0.2">
      <c r="A458" s="84"/>
    </row>
    <row r="459" spans="1:1" x14ac:dyDescent="0.2">
      <c r="A459" s="84"/>
    </row>
    <row r="460" spans="1:1" x14ac:dyDescent="0.2">
      <c r="A460" s="84"/>
    </row>
    <row r="461" spans="1:1" x14ac:dyDescent="0.2">
      <c r="A461" s="84"/>
    </row>
    <row r="462" spans="1:1" x14ac:dyDescent="0.2">
      <c r="A462" s="84"/>
    </row>
    <row r="463" spans="1:1" x14ac:dyDescent="0.2">
      <c r="A463" s="84"/>
    </row>
    <row r="464" spans="1:1" x14ac:dyDescent="0.2">
      <c r="A464" s="84"/>
    </row>
    <row r="465" spans="1:1" x14ac:dyDescent="0.2">
      <c r="A465" s="84"/>
    </row>
    <row r="466" spans="1:1" x14ac:dyDescent="0.2">
      <c r="A466" s="84"/>
    </row>
    <row r="467" spans="1:1" x14ac:dyDescent="0.2">
      <c r="A467" s="84"/>
    </row>
    <row r="468" spans="1:1" x14ac:dyDescent="0.2">
      <c r="A468" s="84"/>
    </row>
    <row r="469" spans="1:1" x14ac:dyDescent="0.2">
      <c r="A469" s="84"/>
    </row>
    <row r="470" spans="1:1" x14ac:dyDescent="0.2">
      <c r="A470" s="84"/>
    </row>
    <row r="471" spans="1:1" x14ac:dyDescent="0.2">
      <c r="A471" s="84"/>
    </row>
    <row r="472" spans="1:1" x14ac:dyDescent="0.2">
      <c r="A472" s="84"/>
    </row>
    <row r="473" spans="1:1" x14ac:dyDescent="0.2">
      <c r="A473" s="84"/>
    </row>
    <row r="474" spans="1:1" x14ac:dyDescent="0.2">
      <c r="A474" s="84"/>
    </row>
    <row r="475" spans="1:1" x14ac:dyDescent="0.2">
      <c r="A475" s="84"/>
    </row>
    <row r="476" spans="1:1" x14ac:dyDescent="0.2">
      <c r="A476" s="84"/>
    </row>
    <row r="477" spans="1:1" x14ac:dyDescent="0.2">
      <c r="A477" s="84"/>
    </row>
    <row r="478" spans="1:1" x14ac:dyDescent="0.2">
      <c r="A478" s="84"/>
    </row>
    <row r="479" spans="1:1" x14ac:dyDescent="0.2">
      <c r="A479" s="84"/>
    </row>
    <row r="480" spans="1:1" x14ac:dyDescent="0.2">
      <c r="A480" s="84"/>
    </row>
    <row r="481" spans="1:1" x14ac:dyDescent="0.2">
      <c r="A481" s="84"/>
    </row>
    <row r="482" spans="1:1" x14ac:dyDescent="0.2">
      <c r="A482" s="84"/>
    </row>
    <row r="483" spans="1:1" x14ac:dyDescent="0.2">
      <c r="A483" s="84"/>
    </row>
    <row r="484" spans="1:1" x14ac:dyDescent="0.2">
      <c r="A484" s="84"/>
    </row>
    <row r="485" spans="1:1" x14ac:dyDescent="0.2">
      <c r="A485" s="84"/>
    </row>
    <row r="486" spans="1:1" x14ac:dyDescent="0.2">
      <c r="A486" s="84"/>
    </row>
    <row r="487" spans="1:1" x14ac:dyDescent="0.2">
      <c r="A487" s="84"/>
    </row>
    <row r="488" spans="1:1" x14ac:dyDescent="0.2">
      <c r="A488" s="84"/>
    </row>
    <row r="489" spans="1:1" x14ac:dyDescent="0.2">
      <c r="A489" s="84"/>
    </row>
    <row r="490" spans="1:1" x14ac:dyDescent="0.2">
      <c r="A490" s="84"/>
    </row>
    <row r="491" spans="1:1" x14ac:dyDescent="0.2">
      <c r="A491" s="84"/>
    </row>
    <row r="492" spans="1:1" x14ac:dyDescent="0.2">
      <c r="A492" s="84"/>
    </row>
    <row r="493" spans="1:1" x14ac:dyDescent="0.2">
      <c r="A493" s="84"/>
    </row>
    <row r="494" spans="1:1" x14ac:dyDescent="0.2">
      <c r="A494" s="84"/>
    </row>
    <row r="495" spans="1:1" x14ac:dyDescent="0.2">
      <c r="A495" s="84"/>
    </row>
    <row r="496" spans="1:1" x14ac:dyDescent="0.2">
      <c r="A496" s="84"/>
    </row>
    <row r="497" spans="1:1" x14ac:dyDescent="0.2">
      <c r="A497" s="84"/>
    </row>
    <row r="498" spans="1:1" x14ac:dyDescent="0.2">
      <c r="A498" s="84"/>
    </row>
    <row r="499" spans="1:1" x14ac:dyDescent="0.2">
      <c r="A499" s="84"/>
    </row>
    <row r="500" spans="1:1" x14ac:dyDescent="0.2">
      <c r="A500" s="84"/>
    </row>
    <row r="501" spans="1:1" x14ac:dyDescent="0.2">
      <c r="A501" s="84"/>
    </row>
    <row r="502" spans="1:1" x14ac:dyDescent="0.2">
      <c r="A502" s="84"/>
    </row>
    <row r="503" spans="1:1" x14ac:dyDescent="0.2">
      <c r="A503" s="84"/>
    </row>
    <row r="504" spans="1:1" x14ac:dyDescent="0.2">
      <c r="A504" s="84"/>
    </row>
    <row r="505" spans="1:1" x14ac:dyDescent="0.2">
      <c r="A505" s="84"/>
    </row>
    <row r="506" spans="1:1" x14ac:dyDescent="0.2">
      <c r="A506" s="84"/>
    </row>
    <row r="507" spans="1:1" x14ac:dyDescent="0.2">
      <c r="A507" s="84"/>
    </row>
    <row r="508" spans="1:1" x14ac:dyDescent="0.2">
      <c r="A508" s="84"/>
    </row>
    <row r="509" spans="1:1" x14ac:dyDescent="0.2">
      <c r="A509" s="84"/>
    </row>
    <row r="510" spans="1:1" x14ac:dyDescent="0.2">
      <c r="A510" s="84"/>
    </row>
    <row r="511" spans="1:1" x14ac:dyDescent="0.2">
      <c r="A511" s="84"/>
    </row>
    <row r="512" spans="1:1" x14ac:dyDescent="0.2">
      <c r="A512" s="84"/>
    </row>
    <row r="513" spans="1:1" x14ac:dyDescent="0.2">
      <c r="A513" s="84"/>
    </row>
    <row r="514" spans="1:1" x14ac:dyDescent="0.2">
      <c r="A514" s="84"/>
    </row>
    <row r="515" spans="1:1" x14ac:dyDescent="0.2">
      <c r="A515" s="84"/>
    </row>
  </sheetData>
  <printOptions horizontalCentered="1" verticalCentered="1" gridLines="1" gridLinesSet="0"/>
  <pageMargins left="0" right="0" top="0" bottom="0" header="0" footer="0"/>
  <pageSetup orientation="portrait" horizontalDpi="4294967293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IV38"/>
  <sheetViews>
    <sheetView zoomScale="90" workbookViewId="0">
      <pane xSplit="2" ySplit="4" topLeftCell="AH11" activePane="bottomRight" state="frozen"/>
      <selection activeCell="AT19" sqref="AT19"/>
      <selection pane="topRight" activeCell="AT19" sqref="AT19"/>
      <selection pane="bottomLeft" activeCell="AT19" sqref="AT19"/>
      <selection pane="bottomRight" activeCell="AM35" sqref="AM35"/>
    </sheetView>
  </sheetViews>
  <sheetFormatPr defaultRowHeight="12.75" x14ac:dyDescent="0.2"/>
  <cols>
    <col min="1" max="1" width="9.33203125" style="208"/>
    <col min="2" max="2" width="1.33203125" style="208" customWidth="1"/>
    <col min="3" max="3" width="12.83203125" style="219" customWidth="1"/>
    <col min="4" max="4" width="22.6640625" style="201" customWidth="1"/>
    <col min="5" max="5" width="20.1640625" style="201" customWidth="1"/>
    <col min="6" max="6" width="21.6640625" style="201" customWidth="1"/>
    <col min="7" max="7" width="15" style="201" customWidth="1"/>
    <col min="8" max="9" width="12" style="201" customWidth="1"/>
    <col min="10" max="12" width="16.5" style="219" customWidth="1"/>
    <col min="13" max="13" width="15.83203125" style="221" customWidth="1"/>
    <col min="14" max="14" width="26.33203125" style="219" customWidth="1"/>
    <col min="15" max="15" width="15.33203125" style="219" customWidth="1"/>
    <col min="16" max="16" width="26.5" style="219" customWidth="1"/>
    <col min="17" max="17" width="12" style="219" customWidth="1"/>
    <col min="18" max="18" width="13.83203125" style="219" customWidth="1"/>
    <col min="19" max="19" width="12" style="219" customWidth="1"/>
    <col min="20" max="20" width="15.5" style="219" customWidth="1"/>
    <col min="21" max="23" width="12" style="219" customWidth="1"/>
    <col min="24" max="24" width="16" style="219" customWidth="1"/>
    <col min="25" max="39" width="12" style="219" customWidth="1"/>
    <col min="40" max="40" width="13" style="219" customWidth="1"/>
    <col min="41" max="41" width="14.83203125" style="201" customWidth="1"/>
    <col min="42" max="42" width="5.6640625" style="208" customWidth="1"/>
    <col min="43" max="44" width="9.33203125" style="208"/>
    <col min="45" max="45" width="11.5" style="208" customWidth="1"/>
    <col min="46" max="46" width="9.6640625" style="208" bestFit="1" customWidth="1"/>
    <col min="47" max="48" width="9.33203125" style="208"/>
    <col min="49" max="49" width="10.1640625" style="208" bestFit="1" customWidth="1"/>
    <col min="50" max="52" width="9.33203125" style="208"/>
    <col min="53" max="53" width="11.1640625" style="208" customWidth="1"/>
    <col min="54" max="16384" width="9.33203125" style="208"/>
  </cols>
  <sheetData>
    <row r="1" spans="1:58" s="175" customFormat="1" ht="20.100000000000001" customHeight="1" x14ac:dyDescent="0.25">
      <c r="A1" s="175" t="s">
        <v>138</v>
      </c>
      <c r="C1" s="176"/>
      <c r="D1" s="177"/>
      <c r="E1" s="3">
        <f>+BaseloadMarkets!B1</f>
        <v>36708</v>
      </c>
      <c r="F1" s="178"/>
      <c r="G1" s="179"/>
      <c r="H1" s="179"/>
      <c r="I1" s="179"/>
      <c r="J1" s="180"/>
      <c r="K1" s="179"/>
      <c r="L1" s="179"/>
      <c r="M1" s="181"/>
      <c r="N1" s="180"/>
      <c r="O1" s="7"/>
      <c r="P1" s="7"/>
      <c r="Q1" s="7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76"/>
      <c r="AN1" s="176"/>
      <c r="AO1" s="177"/>
      <c r="AW1" s="182"/>
      <c r="AX1" s="182"/>
      <c r="AZ1" s="183"/>
      <c r="BA1" s="183"/>
      <c r="BC1" s="183"/>
      <c r="BD1" s="183"/>
    </row>
    <row r="2" spans="1:58" s="184" customFormat="1" x14ac:dyDescent="0.2">
      <c r="C2" s="180"/>
      <c r="D2" s="179" t="s">
        <v>70</v>
      </c>
      <c r="E2" s="179" t="s">
        <v>70</v>
      </c>
      <c r="F2" s="179" t="s">
        <v>70</v>
      </c>
      <c r="G2" s="180" t="s">
        <v>8</v>
      </c>
      <c r="H2" s="179" t="s">
        <v>15</v>
      </c>
      <c r="I2" s="179" t="s">
        <v>28</v>
      </c>
      <c r="J2" s="179" t="s">
        <v>28</v>
      </c>
      <c r="K2" s="179" t="s">
        <v>28</v>
      </c>
      <c r="L2" s="179" t="s">
        <v>225</v>
      </c>
      <c r="M2" s="185"/>
      <c r="N2" s="179" t="s">
        <v>78</v>
      </c>
      <c r="O2" s="7" t="s">
        <v>8</v>
      </c>
      <c r="P2" s="7" t="s">
        <v>17</v>
      </c>
      <c r="Q2" s="7" t="s">
        <v>94</v>
      </c>
      <c r="R2" s="179" t="s">
        <v>139</v>
      </c>
      <c r="S2" s="179" t="s">
        <v>13</v>
      </c>
      <c r="T2" s="180" t="s">
        <v>18</v>
      </c>
      <c r="U2" s="180" t="s">
        <v>21</v>
      </c>
      <c r="V2" s="180" t="s">
        <v>103</v>
      </c>
      <c r="W2" s="180" t="s">
        <v>23</v>
      </c>
      <c r="X2" s="186" t="s">
        <v>24</v>
      </c>
      <c r="Y2" s="180" t="s">
        <v>17</v>
      </c>
      <c r="Z2" s="180" t="s">
        <v>19</v>
      </c>
      <c r="AA2" s="180" t="s">
        <v>9</v>
      </c>
      <c r="AB2" s="180" t="s">
        <v>26</v>
      </c>
      <c r="AC2" s="180" t="s">
        <v>140</v>
      </c>
      <c r="AD2" s="180" t="s">
        <v>12</v>
      </c>
      <c r="AE2" s="180" t="s">
        <v>20</v>
      </c>
      <c r="AF2" s="180" t="s">
        <v>27</v>
      </c>
      <c r="AG2" s="180" t="s">
        <v>141</v>
      </c>
      <c r="AH2" s="180" t="s">
        <v>300</v>
      </c>
      <c r="AI2" s="180" t="s">
        <v>299</v>
      </c>
      <c r="AJ2" s="180" t="s">
        <v>95</v>
      </c>
      <c r="AK2" s="180" t="s">
        <v>10</v>
      </c>
      <c r="AL2" s="180" t="s">
        <v>11</v>
      </c>
      <c r="AM2" s="180"/>
      <c r="AN2" s="180" t="s">
        <v>116</v>
      </c>
      <c r="AO2" s="179"/>
      <c r="AP2" s="180"/>
      <c r="AT2" s="180"/>
      <c r="AU2" s="180" t="s">
        <v>40</v>
      </c>
      <c r="AW2" s="187"/>
      <c r="AX2" s="180"/>
    </row>
    <row r="3" spans="1:58" s="188" customFormat="1" ht="25.5" x14ac:dyDescent="0.2">
      <c r="A3" s="188" t="s">
        <v>142</v>
      </c>
      <c r="C3" s="189"/>
      <c r="D3" s="189" t="s">
        <v>139</v>
      </c>
      <c r="E3" s="189" t="s">
        <v>139</v>
      </c>
      <c r="F3" s="189" t="s">
        <v>26</v>
      </c>
      <c r="G3" s="189" t="s">
        <v>143</v>
      </c>
      <c r="H3" s="189">
        <v>314599</v>
      </c>
      <c r="I3" s="189">
        <v>168003</v>
      </c>
      <c r="J3" s="189">
        <v>168093</v>
      </c>
      <c r="K3" s="189" t="s">
        <v>144</v>
      </c>
      <c r="L3" s="189"/>
      <c r="M3" s="190"/>
      <c r="N3" s="191" t="s">
        <v>145</v>
      </c>
      <c r="O3" s="192">
        <v>319609</v>
      </c>
      <c r="P3" s="192">
        <v>319957</v>
      </c>
      <c r="Q3" s="192"/>
      <c r="R3" s="189"/>
      <c r="S3" s="189"/>
      <c r="T3" s="189"/>
      <c r="U3" s="189"/>
      <c r="V3" s="189"/>
      <c r="W3" s="189"/>
      <c r="X3" s="189"/>
      <c r="Y3" s="189"/>
      <c r="Z3" s="189" t="s">
        <v>146</v>
      </c>
      <c r="AA3" s="189"/>
      <c r="AB3" s="189"/>
      <c r="AC3" s="189" t="s">
        <v>147</v>
      </c>
      <c r="AD3" s="189"/>
      <c r="AE3" s="189"/>
      <c r="AF3" s="189" t="s">
        <v>148</v>
      </c>
      <c r="AG3" s="189" t="s">
        <v>149</v>
      </c>
      <c r="AH3" s="189"/>
      <c r="AI3" s="189"/>
      <c r="AJ3" s="189"/>
      <c r="AK3" s="189"/>
      <c r="AL3" s="189"/>
      <c r="AM3" s="189" t="s">
        <v>40</v>
      </c>
      <c r="AN3" s="189" t="s">
        <v>150</v>
      </c>
      <c r="AO3" s="189"/>
      <c r="AP3" s="189"/>
      <c r="AT3" s="189"/>
      <c r="AU3" s="189" t="s">
        <v>151</v>
      </c>
      <c r="AW3" s="189"/>
      <c r="AX3" s="189"/>
    </row>
    <row r="4" spans="1:58" s="198" customFormat="1" x14ac:dyDescent="0.2">
      <c r="A4" s="193" t="s">
        <v>152</v>
      </c>
      <c r="B4" s="194"/>
      <c r="C4" s="194" t="s">
        <v>153</v>
      </c>
      <c r="D4" s="195" t="s">
        <v>154</v>
      </c>
      <c r="E4" s="195" t="s">
        <v>155</v>
      </c>
      <c r="F4" s="195" t="s">
        <v>156</v>
      </c>
      <c r="G4" s="193" t="s">
        <v>43</v>
      </c>
      <c r="H4" s="195" t="s">
        <v>44</v>
      </c>
      <c r="I4" s="195" t="s">
        <v>157</v>
      </c>
      <c r="J4" s="195" t="s">
        <v>157</v>
      </c>
      <c r="K4" s="195" t="s">
        <v>157</v>
      </c>
      <c r="L4" s="195" t="s">
        <v>302</v>
      </c>
      <c r="M4" s="140" t="s">
        <v>128</v>
      </c>
      <c r="N4" s="195" t="s">
        <v>44</v>
      </c>
      <c r="O4" s="19" t="s">
        <v>158</v>
      </c>
      <c r="P4" s="196" t="s">
        <v>159</v>
      </c>
      <c r="Q4" s="19" t="s">
        <v>98</v>
      </c>
      <c r="R4" s="193"/>
      <c r="S4" s="195" t="s">
        <v>98</v>
      </c>
      <c r="T4" s="193" t="s">
        <v>98</v>
      </c>
      <c r="U4" s="193" t="s">
        <v>48</v>
      </c>
      <c r="V4" s="193" t="s">
        <v>96</v>
      </c>
      <c r="W4" s="193" t="s">
        <v>52</v>
      </c>
      <c r="X4" s="193" t="s">
        <v>52</v>
      </c>
      <c r="Y4" s="193"/>
      <c r="Z4" s="193" t="s">
        <v>160</v>
      </c>
      <c r="AA4" s="193"/>
      <c r="AB4" s="193"/>
      <c r="AC4" s="193" t="s">
        <v>48</v>
      </c>
      <c r="AD4" s="193"/>
      <c r="AE4" s="193"/>
      <c r="AF4" s="193" t="s">
        <v>98</v>
      </c>
      <c r="AG4" s="193" t="s">
        <v>98</v>
      </c>
      <c r="AH4" s="193"/>
      <c r="AI4" s="193"/>
      <c r="AJ4" s="193"/>
      <c r="AK4" s="193" t="s">
        <v>98</v>
      </c>
      <c r="AL4" s="193" t="s">
        <v>55</v>
      </c>
      <c r="AM4" s="193" t="s">
        <v>129</v>
      </c>
      <c r="AN4" s="193" t="s">
        <v>161</v>
      </c>
      <c r="AO4" s="195" t="s">
        <v>162</v>
      </c>
      <c r="AP4" s="193"/>
      <c r="AQ4" s="197"/>
      <c r="AT4" s="194"/>
      <c r="AU4" s="194" t="s">
        <v>72</v>
      </c>
      <c r="AW4" s="194"/>
      <c r="AX4" s="194"/>
      <c r="AZ4" s="194"/>
      <c r="BA4" s="194"/>
      <c r="BB4" s="194"/>
      <c r="BC4" s="194"/>
      <c r="BD4" s="194"/>
    </row>
    <row r="5" spans="1:58" x14ac:dyDescent="0.2">
      <c r="A5" s="199">
        <f>+BaseloadMarkets!A6</f>
        <v>36708</v>
      </c>
      <c r="B5" s="199"/>
      <c r="C5" s="200">
        <v>70000</v>
      </c>
      <c r="G5" s="201">
        <v>30000</v>
      </c>
      <c r="H5" s="201">
        <v>4420</v>
      </c>
      <c r="I5" s="201">
        <v>968</v>
      </c>
      <c r="J5" s="201">
        <v>3193</v>
      </c>
      <c r="K5" s="201"/>
      <c r="L5" s="201"/>
      <c r="M5" s="202">
        <f>+Border!AD4</f>
        <v>0</v>
      </c>
      <c r="N5" s="201">
        <f>2557+2557+2557</f>
        <v>7671</v>
      </c>
      <c r="O5" s="201">
        <v>14000</v>
      </c>
      <c r="P5" s="201">
        <f>698+4757+2855</f>
        <v>8310</v>
      </c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3">
        <f t="shared" ref="AM5:AM35" si="0">SUM(D5:AL5)</f>
        <v>68562</v>
      </c>
      <c r="AN5" s="203">
        <f t="shared" ref="AN5:AN35" si="1">C5</f>
        <v>70000</v>
      </c>
      <c r="AO5" s="200">
        <f t="shared" ref="AO5:AO35" si="2">+AM5-AN5</f>
        <v>-1438</v>
      </c>
      <c r="AP5" s="204"/>
      <c r="AQ5" s="199">
        <f t="shared" ref="AQ5:AQ35" si="3">A5</f>
        <v>36708</v>
      </c>
      <c r="AR5" s="205"/>
      <c r="AS5" s="206">
        <f>AO5</f>
        <v>-1438</v>
      </c>
      <c r="AT5" s="207"/>
      <c r="AU5" s="207">
        <f t="shared" ref="AU5:AU35" si="4">+AM5-D5-E5-F5</f>
        <v>68562</v>
      </c>
      <c r="AV5" s="205"/>
      <c r="AW5" s="207"/>
      <c r="AX5" s="207"/>
      <c r="AY5" s="205"/>
      <c r="AZ5" s="207"/>
      <c r="BA5" s="207"/>
      <c r="BC5" s="209"/>
      <c r="BD5" s="209"/>
      <c r="BF5" s="204"/>
    </row>
    <row r="6" spans="1:58" x14ac:dyDescent="0.2">
      <c r="A6" s="199">
        <f>+BaseloadMarkets!A7</f>
        <v>36709</v>
      </c>
      <c r="B6" s="199"/>
      <c r="C6" s="200">
        <v>70000</v>
      </c>
      <c r="H6" s="201">
        <v>3705</v>
      </c>
      <c r="I6" s="201">
        <v>968</v>
      </c>
      <c r="J6" s="201">
        <v>3193</v>
      </c>
      <c r="K6" s="201"/>
      <c r="L6" s="201"/>
      <c r="M6" s="202">
        <f>+Border!AD5</f>
        <v>0</v>
      </c>
      <c r="N6" s="201">
        <f>2320+2320+2321</f>
        <v>6961</v>
      </c>
      <c r="O6" s="201">
        <v>14000</v>
      </c>
      <c r="P6" s="201">
        <f>663+4518+2711</f>
        <v>7892</v>
      </c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3">
        <f t="shared" si="0"/>
        <v>36719</v>
      </c>
      <c r="AN6" s="203">
        <f t="shared" si="1"/>
        <v>70000</v>
      </c>
      <c r="AO6" s="200">
        <f t="shared" si="2"/>
        <v>-33281</v>
      </c>
      <c r="AP6" s="204"/>
      <c r="AQ6" s="199">
        <f t="shared" si="3"/>
        <v>36709</v>
      </c>
      <c r="AS6" s="206">
        <f t="shared" ref="AS6:AS35" si="5">AS5+AO6</f>
        <v>-34719</v>
      </c>
      <c r="AT6" s="207"/>
      <c r="AU6" s="207">
        <f t="shared" si="4"/>
        <v>36719</v>
      </c>
      <c r="AW6" s="207"/>
      <c r="AX6" s="207"/>
      <c r="AZ6" s="209"/>
      <c r="BA6" s="209"/>
      <c r="BC6" s="209"/>
      <c r="BD6" s="209"/>
      <c r="BF6" s="204"/>
    </row>
    <row r="7" spans="1:58" x14ac:dyDescent="0.2">
      <c r="A7" s="199">
        <f>+BaseloadMarkets!A8</f>
        <v>36710</v>
      </c>
      <c r="B7" s="199"/>
      <c r="C7" s="200">
        <v>70000</v>
      </c>
      <c r="G7" s="201">
        <v>25000</v>
      </c>
      <c r="H7" s="201">
        <v>4125</v>
      </c>
      <c r="I7" s="201">
        <v>965</v>
      </c>
      <c r="J7" s="201">
        <v>3182</v>
      </c>
      <c r="K7" s="201">
        <v>2491</v>
      </c>
      <c r="L7" s="201"/>
      <c r="M7" s="202">
        <f>+Border!AD6</f>
        <v>0</v>
      </c>
      <c r="N7" s="201">
        <f>2445+2445+2444</f>
        <v>7334</v>
      </c>
      <c r="O7" s="201">
        <v>14000</v>
      </c>
      <c r="P7" s="201">
        <f>626+4270+2561</f>
        <v>7457</v>
      </c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3">
        <f t="shared" si="0"/>
        <v>64554</v>
      </c>
      <c r="AN7" s="203">
        <f t="shared" si="1"/>
        <v>70000</v>
      </c>
      <c r="AO7" s="200">
        <f t="shared" si="2"/>
        <v>-5446</v>
      </c>
      <c r="AP7" s="204"/>
      <c r="AQ7" s="199">
        <f t="shared" si="3"/>
        <v>36710</v>
      </c>
      <c r="AS7" s="206">
        <f t="shared" si="5"/>
        <v>-40165</v>
      </c>
      <c r="AT7" s="207"/>
      <c r="AU7" s="207">
        <f t="shared" si="4"/>
        <v>64554</v>
      </c>
      <c r="AW7" s="207"/>
      <c r="AX7" s="207"/>
      <c r="AZ7" s="209"/>
      <c r="BA7" s="209"/>
      <c r="BC7" s="209"/>
      <c r="BD7" s="209"/>
      <c r="BF7" s="204"/>
    </row>
    <row r="8" spans="1:58" x14ac:dyDescent="0.2">
      <c r="A8" s="199">
        <f>+BaseloadMarkets!A9</f>
        <v>36711</v>
      </c>
      <c r="B8" s="199"/>
      <c r="C8" s="200">
        <v>70000</v>
      </c>
      <c r="H8" s="201">
        <v>3552</v>
      </c>
      <c r="I8" s="201">
        <v>968</v>
      </c>
      <c r="J8" s="201">
        <v>3193</v>
      </c>
      <c r="K8" s="201"/>
      <c r="L8" s="201"/>
      <c r="M8" s="202">
        <f>+Border!AD7</f>
        <v>0</v>
      </c>
      <c r="N8" s="201">
        <v>6762</v>
      </c>
      <c r="O8" s="201">
        <v>14000</v>
      </c>
      <c r="P8" s="201">
        <f>631+4222+2585</f>
        <v>7438</v>
      </c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11">
        <f t="shared" si="0"/>
        <v>35913</v>
      </c>
      <c r="AN8" s="203">
        <f t="shared" si="1"/>
        <v>70000</v>
      </c>
      <c r="AO8" s="200">
        <f t="shared" si="2"/>
        <v>-34087</v>
      </c>
      <c r="AP8" s="204"/>
      <c r="AQ8" s="199">
        <f t="shared" si="3"/>
        <v>36711</v>
      </c>
      <c r="AS8" s="206">
        <f t="shared" si="5"/>
        <v>-74252</v>
      </c>
      <c r="AT8" s="207"/>
      <c r="AU8" s="207">
        <f t="shared" si="4"/>
        <v>35913</v>
      </c>
      <c r="AW8" s="207"/>
      <c r="AX8" s="207"/>
      <c r="AZ8" s="209"/>
      <c r="BA8" s="209"/>
      <c r="BC8" s="209"/>
      <c r="BD8" s="209"/>
      <c r="BF8" s="204"/>
    </row>
    <row r="9" spans="1:58" x14ac:dyDescent="0.2">
      <c r="A9" s="199">
        <f>+BaseloadMarkets!A10</f>
        <v>36712</v>
      </c>
      <c r="B9" s="199"/>
      <c r="C9" s="200">
        <v>70000</v>
      </c>
      <c r="G9" s="201">
        <v>30000</v>
      </c>
      <c r="H9" s="201">
        <v>3240</v>
      </c>
      <c r="I9" s="201">
        <v>968</v>
      </c>
      <c r="J9" s="201">
        <v>3193</v>
      </c>
      <c r="K9" s="201">
        <v>2500</v>
      </c>
      <c r="L9" s="201"/>
      <c r="M9" s="202">
        <f>+Border!AD8</f>
        <v>0</v>
      </c>
      <c r="N9" s="201">
        <f>2892+2893+2893</f>
        <v>8678</v>
      </c>
      <c r="O9" s="201"/>
      <c r="P9" s="201">
        <f>648+4075+2658</f>
        <v>7381</v>
      </c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3">
        <f t="shared" si="0"/>
        <v>55960</v>
      </c>
      <c r="AN9" s="203">
        <f t="shared" si="1"/>
        <v>70000</v>
      </c>
      <c r="AO9" s="200">
        <f t="shared" si="2"/>
        <v>-14040</v>
      </c>
      <c r="AP9" s="204"/>
      <c r="AQ9" s="199">
        <f t="shared" si="3"/>
        <v>36712</v>
      </c>
      <c r="AS9" s="206">
        <f t="shared" si="5"/>
        <v>-88292</v>
      </c>
      <c r="AT9" s="207"/>
      <c r="AU9" s="207">
        <f t="shared" si="4"/>
        <v>55960</v>
      </c>
      <c r="AW9" s="207"/>
      <c r="AX9" s="207"/>
      <c r="AZ9" s="209"/>
      <c r="BA9" s="209"/>
      <c r="BC9" s="209"/>
      <c r="BD9" s="209"/>
      <c r="BF9" s="204"/>
    </row>
    <row r="10" spans="1:58" x14ac:dyDescent="0.2">
      <c r="A10" s="199">
        <f>+BaseloadMarkets!A11</f>
        <v>36713</v>
      </c>
      <c r="B10" s="199"/>
      <c r="C10" s="200">
        <v>70000</v>
      </c>
      <c r="H10" s="201">
        <v>6350</v>
      </c>
      <c r="I10" s="201">
        <v>887</v>
      </c>
      <c r="J10" s="201">
        <v>2926</v>
      </c>
      <c r="K10" s="201">
        <v>2290</v>
      </c>
      <c r="L10" s="201"/>
      <c r="M10" s="202">
        <f>+Border!AD9</f>
        <v>0</v>
      </c>
      <c r="N10" s="201"/>
      <c r="O10" s="201"/>
      <c r="P10" s="201"/>
      <c r="Q10" s="201">
        <f>8535+8536+7289+7289+7289</f>
        <v>38938</v>
      </c>
      <c r="R10" s="201">
        <f>6091+6091+6091+6091+12179</f>
        <v>36543</v>
      </c>
      <c r="S10" s="201">
        <f>5946+5946+5719+2860</f>
        <v>20471</v>
      </c>
      <c r="T10" s="201">
        <v>5946</v>
      </c>
      <c r="U10" s="201">
        <v>10000</v>
      </c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3">
        <f t="shared" si="0"/>
        <v>124351</v>
      </c>
      <c r="AN10" s="203">
        <f t="shared" si="1"/>
        <v>70000</v>
      </c>
      <c r="AO10" s="200">
        <f t="shared" si="2"/>
        <v>54351</v>
      </c>
      <c r="AP10" s="204"/>
      <c r="AQ10" s="199">
        <f t="shared" si="3"/>
        <v>36713</v>
      </c>
      <c r="AS10" s="206">
        <f t="shared" si="5"/>
        <v>-33941</v>
      </c>
      <c r="AT10" s="207"/>
      <c r="AU10" s="207">
        <f t="shared" si="4"/>
        <v>124351</v>
      </c>
      <c r="AW10" s="207"/>
      <c r="AX10" s="207"/>
      <c r="AZ10" s="209"/>
      <c r="BA10" s="209"/>
      <c r="BC10" s="209"/>
      <c r="BD10" s="209"/>
      <c r="BF10" s="204"/>
    </row>
    <row r="11" spans="1:58" x14ac:dyDescent="0.2">
      <c r="A11" s="199">
        <f>+BaseloadMarkets!A12</f>
        <v>36714</v>
      </c>
      <c r="B11" s="199"/>
      <c r="C11" s="200">
        <v>70000</v>
      </c>
      <c r="D11" s="201">
        <v>7946</v>
      </c>
      <c r="H11" s="201">
        <v>2922</v>
      </c>
      <c r="I11" s="201">
        <v>968</v>
      </c>
      <c r="J11" s="201">
        <v>3189</v>
      </c>
      <c r="K11" s="201">
        <f>6777+2497</f>
        <v>9274</v>
      </c>
      <c r="L11" s="201"/>
      <c r="M11" s="202">
        <f>+Border!AD10</f>
        <v>0</v>
      </c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3">
        <f t="shared" si="0"/>
        <v>24299</v>
      </c>
      <c r="AN11" s="203">
        <f t="shared" si="1"/>
        <v>70000</v>
      </c>
      <c r="AO11" s="200">
        <f t="shared" si="2"/>
        <v>-45701</v>
      </c>
      <c r="AP11" s="204"/>
      <c r="AQ11" s="199">
        <f t="shared" si="3"/>
        <v>36714</v>
      </c>
      <c r="AS11" s="206">
        <f t="shared" si="5"/>
        <v>-79642</v>
      </c>
      <c r="AT11" s="207"/>
      <c r="AU11" s="207">
        <f t="shared" si="4"/>
        <v>16353</v>
      </c>
      <c r="AW11" s="207"/>
      <c r="AX11" s="207"/>
      <c r="AZ11" s="209"/>
      <c r="BA11" s="209"/>
      <c r="BC11" s="209"/>
      <c r="BD11" s="209"/>
      <c r="BF11" s="204"/>
    </row>
    <row r="12" spans="1:58" x14ac:dyDescent="0.2">
      <c r="A12" s="199">
        <f>+BaseloadMarkets!A13</f>
        <v>36715</v>
      </c>
      <c r="B12" s="199"/>
      <c r="C12" s="200">
        <v>70000</v>
      </c>
      <c r="D12" s="201">
        <f>4117+5346</f>
        <v>9463</v>
      </c>
      <c r="H12" s="201">
        <v>6229</v>
      </c>
      <c r="I12" s="201">
        <v>876</v>
      </c>
      <c r="J12" s="201">
        <v>2890</v>
      </c>
      <c r="K12" s="201">
        <v>6140</v>
      </c>
      <c r="L12" s="201"/>
      <c r="M12" s="202">
        <f>+Border!AD11</f>
        <v>0</v>
      </c>
      <c r="N12" s="201">
        <f>3503+3503</f>
        <v>7006</v>
      </c>
      <c r="O12" s="201"/>
      <c r="P12" s="201"/>
      <c r="Q12" s="201"/>
      <c r="R12" s="201"/>
      <c r="S12" s="201"/>
      <c r="T12" s="201"/>
      <c r="U12" s="201"/>
      <c r="V12" s="201">
        <v>2675</v>
      </c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3">
        <f t="shared" si="0"/>
        <v>35279</v>
      </c>
      <c r="AN12" s="203">
        <f t="shared" si="1"/>
        <v>70000</v>
      </c>
      <c r="AO12" s="200">
        <f t="shared" si="2"/>
        <v>-34721</v>
      </c>
      <c r="AP12" s="204"/>
      <c r="AQ12" s="199">
        <f t="shared" si="3"/>
        <v>36715</v>
      </c>
      <c r="AS12" s="206">
        <f t="shared" si="5"/>
        <v>-114363</v>
      </c>
      <c r="AT12" s="207"/>
      <c r="AU12" s="207">
        <f t="shared" si="4"/>
        <v>25816</v>
      </c>
      <c r="AW12" s="207"/>
      <c r="AX12" s="207"/>
      <c r="AZ12" s="209"/>
      <c r="BA12" s="209"/>
      <c r="BC12" s="209"/>
      <c r="BD12" s="209"/>
      <c r="BF12" s="204"/>
    </row>
    <row r="13" spans="1:58" x14ac:dyDescent="0.2">
      <c r="A13" s="199">
        <f>+BaseloadMarkets!A14</f>
        <v>36716</v>
      </c>
      <c r="B13" s="199"/>
      <c r="C13" s="200">
        <v>70000</v>
      </c>
      <c r="D13" s="201">
        <f>52+4219</f>
        <v>4271</v>
      </c>
      <c r="H13" s="201">
        <v>6515</v>
      </c>
      <c r="I13" s="201">
        <v>968</v>
      </c>
      <c r="J13" s="201">
        <v>3193</v>
      </c>
      <c r="K13" s="201">
        <v>6785</v>
      </c>
      <c r="L13" s="201"/>
      <c r="M13" s="202">
        <f>+Border!AD12</f>
        <v>0</v>
      </c>
      <c r="N13" s="201">
        <v>0</v>
      </c>
      <c r="O13" s="201"/>
      <c r="P13" s="201"/>
      <c r="Q13" s="201"/>
      <c r="R13" s="201"/>
      <c r="S13" s="201"/>
      <c r="T13" s="201"/>
      <c r="U13" s="201"/>
      <c r="V13" s="201">
        <v>2955</v>
      </c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3">
        <f t="shared" si="0"/>
        <v>24687</v>
      </c>
      <c r="AN13" s="203">
        <f t="shared" si="1"/>
        <v>70000</v>
      </c>
      <c r="AO13" s="200">
        <f t="shared" si="2"/>
        <v>-45313</v>
      </c>
      <c r="AP13" s="204"/>
      <c r="AQ13" s="199">
        <f t="shared" si="3"/>
        <v>36716</v>
      </c>
      <c r="AS13" s="206">
        <f t="shared" si="5"/>
        <v>-159676</v>
      </c>
      <c r="AT13" s="207"/>
      <c r="AU13" s="207">
        <f t="shared" si="4"/>
        <v>20416</v>
      </c>
      <c r="AW13" s="207"/>
      <c r="AX13" s="207"/>
      <c r="AZ13" s="209"/>
      <c r="BA13" s="209"/>
      <c r="BC13" s="209"/>
      <c r="BD13" s="209"/>
      <c r="BF13" s="204"/>
    </row>
    <row r="14" spans="1:58" s="28" customFormat="1" x14ac:dyDescent="0.2">
      <c r="A14" s="199">
        <f>+BaseloadMarkets!A15</f>
        <v>36717</v>
      </c>
      <c r="B14" s="210"/>
      <c r="C14" s="200">
        <v>70000</v>
      </c>
      <c r="D14" s="201">
        <v>3728</v>
      </c>
      <c r="E14" s="201"/>
      <c r="F14" s="201"/>
      <c r="G14" s="201">
        <v>30000</v>
      </c>
      <c r="H14" s="201">
        <v>4668</v>
      </c>
      <c r="I14" s="201">
        <v>968</v>
      </c>
      <c r="J14" s="201">
        <v>3193</v>
      </c>
      <c r="K14" s="201">
        <f>2500+6785</f>
        <v>9285</v>
      </c>
      <c r="L14" s="201"/>
      <c r="M14" s="202">
        <f>+Border!AD13</f>
        <v>0</v>
      </c>
      <c r="N14" s="201">
        <v>6104</v>
      </c>
      <c r="O14" s="201"/>
      <c r="P14" s="201"/>
      <c r="Q14" s="201"/>
      <c r="R14" s="201"/>
      <c r="S14" s="201"/>
      <c r="T14" s="79"/>
      <c r="U14" s="201"/>
      <c r="V14" s="201">
        <v>2955</v>
      </c>
      <c r="W14" s="201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203">
        <f t="shared" si="0"/>
        <v>60901</v>
      </c>
      <c r="AN14" s="211">
        <f t="shared" si="1"/>
        <v>70000</v>
      </c>
      <c r="AO14" s="73">
        <f t="shared" si="2"/>
        <v>-9099</v>
      </c>
      <c r="AP14" s="212"/>
      <c r="AQ14" s="210">
        <f t="shared" si="3"/>
        <v>36717</v>
      </c>
      <c r="AS14" s="157">
        <f t="shared" si="5"/>
        <v>-168775</v>
      </c>
      <c r="AT14" s="213"/>
      <c r="AU14" s="207">
        <f t="shared" si="4"/>
        <v>57173</v>
      </c>
      <c r="AW14" s="213"/>
      <c r="AX14" s="213"/>
      <c r="AZ14" s="27"/>
      <c r="BA14" s="27"/>
      <c r="BC14" s="27"/>
      <c r="BD14" s="27"/>
      <c r="BF14" s="212"/>
    </row>
    <row r="15" spans="1:58" x14ac:dyDescent="0.2">
      <c r="A15" s="199">
        <f>+BaseloadMarkets!A16</f>
        <v>36718</v>
      </c>
      <c r="B15" s="199"/>
      <c r="C15" s="200">
        <v>70000</v>
      </c>
      <c r="D15" s="201">
        <v>3421</v>
      </c>
      <c r="H15" s="201">
        <v>5859</v>
      </c>
      <c r="I15" s="201">
        <v>968</v>
      </c>
      <c r="J15" s="201">
        <v>3193</v>
      </c>
      <c r="K15" s="201">
        <f>6785+2500</f>
        <v>9285</v>
      </c>
      <c r="L15" s="201"/>
      <c r="M15" s="202">
        <f>+Border!AD14</f>
        <v>0</v>
      </c>
      <c r="N15" s="201"/>
      <c r="O15" s="201"/>
      <c r="P15" s="201"/>
      <c r="Q15" s="201"/>
      <c r="R15" s="201"/>
      <c r="S15" s="201"/>
      <c r="T15" s="201"/>
      <c r="U15" s="201"/>
      <c r="V15" s="201">
        <v>0</v>
      </c>
      <c r="W15" s="201">
        <v>0</v>
      </c>
      <c r="X15" s="79">
        <v>10000</v>
      </c>
      <c r="Y15" s="79">
        <v>20000</v>
      </c>
      <c r="Z15" s="79">
        <v>10000</v>
      </c>
      <c r="AA15" s="201">
        <v>18000</v>
      </c>
      <c r="AB15" s="201"/>
      <c r="AC15" s="79"/>
      <c r="AD15" s="201"/>
      <c r="AE15" s="201"/>
      <c r="AF15" s="201"/>
      <c r="AG15" s="201"/>
      <c r="AH15" s="201"/>
      <c r="AI15" s="201"/>
      <c r="AJ15" s="201"/>
      <c r="AK15" s="201"/>
      <c r="AL15" s="201"/>
      <c r="AM15" s="211">
        <f t="shared" si="0"/>
        <v>80726</v>
      </c>
      <c r="AN15" s="203">
        <f t="shared" si="1"/>
        <v>70000</v>
      </c>
      <c r="AO15" s="200">
        <f t="shared" si="2"/>
        <v>10726</v>
      </c>
      <c r="AP15" s="204"/>
      <c r="AQ15" s="199">
        <f t="shared" si="3"/>
        <v>36718</v>
      </c>
      <c r="AS15" s="206">
        <f t="shared" si="5"/>
        <v>-158049</v>
      </c>
      <c r="AT15" s="207"/>
      <c r="AU15" s="207">
        <f t="shared" si="4"/>
        <v>77305</v>
      </c>
      <c r="AW15" s="207"/>
      <c r="AX15" s="207"/>
      <c r="AZ15" s="209"/>
      <c r="BA15" s="209"/>
      <c r="BC15" s="209"/>
      <c r="BD15" s="209"/>
      <c r="BF15" s="204"/>
    </row>
    <row r="16" spans="1:58" x14ac:dyDescent="0.2">
      <c r="A16" s="199">
        <f>+BaseloadMarkets!A17</f>
        <v>36719</v>
      </c>
      <c r="B16" s="199"/>
      <c r="C16" s="200">
        <v>70000</v>
      </c>
      <c r="D16" s="201">
        <f>10782+3379</f>
        <v>14161</v>
      </c>
      <c r="H16" s="201">
        <v>4730</v>
      </c>
      <c r="J16" s="201"/>
      <c r="K16" s="201"/>
      <c r="L16" s="201"/>
      <c r="M16" s="202">
        <f>+Border!AD15</f>
        <v>0</v>
      </c>
      <c r="N16" s="201"/>
      <c r="O16" s="201"/>
      <c r="P16" s="201"/>
      <c r="Q16" s="201"/>
      <c r="R16" s="201">
        <v>2793</v>
      </c>
      <c r="S16" s="201"/>
      <c r="T16" s="201"/>
      <c r="U16" s="201"/>
      <c r="V16" s="201">
        <v>2955</v>
      </c>
      <c r="W16" s="201"/>
      <c r="X16" s="79"/>
      <c r="Y16" s="201">
        <v>1204</v>
      </c>
      <c r="Z16" s="201"/>
      <c r="AA16" s="201"/>
      <c r="AB16" s="201">
        <v>8010</v>
      </c>
      <c r="AC16" s="79">
        <v>3033</v>
      </c>
      <c r="AD16" s="201"/>
      <c r="AE16" s="201"/>
      <c r="AF16" s="201">
        <v>0</v>
      </c>
      <c r="AG16" s="201">
        <v>9981</v>
      </c>
      <c r="AH16" s="201"/>
      <c r="AI16" s="201"/>
      <c r="AJ16" s="201"/>
      <c r="AK16" s="201"/>
      <c r="AL16" s="201"/>
      <c r="AM16" s="211">
        <f t="shared" si="0"/>
        <v>46867</v>
      </c>
      <c r="AN16" s="203">
        <f t="shared" si="1"/>
        <v>70000</v>
      </c>
      <c r="AO16" s="200">
        <f t="shared" si="2"/>
        <v>-23133</v>
      </c>
      <c r="AP16" s="204"/>
      <c r="AQ16" s="199">
        <f t="shared" si="3"/>
        <v>36719</v>
      </c>
      <c r="AS16" s="206">
        <f t="shared" si="5"/>
        <v>-181182</v>
      </c>
      <c r="AT16" s="207"/>
      <c r="AU16" s="207">
        <f t="shared" si="4"/>
        <v>32706</v>
      </c>
      <c r="AW16" s="207"/>
      <c r="AX16" s="207"/>
      <c r="AZ16" s="209"/>
      <c r="BA16" s="209"/>
      <c r="BC16" s="209"/>
      <c r="BD16" s="209"/>
      <c r="BF16" s="204"/>
    </row>
    <row r="17" spans="1:59" x14ac:dyDescent="0.2">
      <c r="A17" s="199">
        <f>+BaseloadMarkets!A18</f>
        <v>36720</v>
      </c>
      <c r="B17" s="199"/>
      <c r="C17" s="200">
        <v>70000</v>
      </c>
      <c r="D17" s="201">
        <v>5487</v>
      </c>
      <c r="H17" s="201">
        <v>5822</v>
      </c>
      <c r="I17" s="201">
        <v>968</v>
      </c>
      <c r="J17" s="201">
        <v>3193</v>
      </c>
      <c r="K17" s="201">
        <f>6785+2500</f>
        <v>9285</v>
      </c>
      <c r="L17" s="201"/>
      <c r="M17" s="202">
        <f>+Border!AD16</f>
        <v>0</v>
      </c>
      <c r="N17" s="201"/>
      <c r="O17" s="201"/>
      <c r="P17" s="201">
        <v>15000</v>
      </c>
      <c r="Q17" s="201"/>
      <c r="R17" s="201">
        <v>2942</v>
      </c>
      <c r="S17" s="201"/>
      <c r="T17" s="201">
        <v>9796</v>
      </c>
      <c r="U17" s="201"/>
      <c r="V17" s="201">
        <v>2955</v>
      </c>
      <c r="W17" s="201">
        <v>5461</v>
      </c>
      <c r="X17" s="201"/>
      <c r="Y17" s="201">
        <v>1158</v>
      </c>
      <c r="Z17" s="201"/>
      <c r="AA17" s="201"/>
      <c r="AB17" s="201">
        <v>10000</v>
      </c>
      <c r="AC17" s="201"/>
      <c r="AD17" s="201"/>
      <c r="AE17" s="201">
        <v>20000</v>
      </c>
      <c r="AF17" s="201"/>
      <c r="AG17" s="201"/>
      <c r="AH17" s="201"/>
      <c r="AI17" s="201"/>
      <c r="AJ17" s="201"/>
      <c r="AK17" s="201"/>
      <c r="AL17" s="201"/>
      <c r="AM17" s="211">
        <f t="shared" si="0"/>
        <v>92067</v>
      </c>
      <c r="AN17" s="203">
        <f t="shared" si="1"/>
        <v>70000</v>
      </c>
      <c r="AO17" s="200">
        <f t="shared" si="2"/>
        <v>22067</v>
      </c>
      <c r="AP17" s="204"/>
      <c r="AQ17" s="199">
        <f t="shared" si="3"/>
        <v>36720</v>
      </c>
      <c r="AS17" s="206">
        <f t="shared" si="5"/>
        <v>-159115</v>
      </c>
      <c r="AT17" s="207"/>
      <c r="AU17" s="207">
        <f t="shared" si="4"/>
        <v>86580</v>
      </c>
      <c r="AW17" s="207"/>
      <c r="AX17" s="207"/>
      <c r="AZ17" s="209"/>
      <c r="BA17" s="209"/>
      <c r="BC17" s="209"/>
      <c r="BD17" s="209"/>
      <c r="BF17" s="204"/>
    </row>
    <row r="18" spans="1:59" x14ac:dyDescent="0.2">
      <c r="A18" s="199">
        <f>+BaseloadMarkets!A19</f>
        <v>36721</v>
      </c>
      <c r="B18" s="199"/>
      <c r="C18" s="200">
        <v>70000</v>
      </c>
      <c r="D18" s="201">
        <f>2972+8091</f>
        <v>11063</v>
      </c>
      <c r="H18" s="201">
        <v>6582</v>
      </c>
      <c r="I18" s="201">
        <v>968</v>
      </c>
      <c r="J18" s="201">
        <v>3193</v>
      </c>
      <c r="K18" s="201">
        <f>2500+6785</f>
        <v>9285</v>
      </c>
      <c r="L18" s="201"/>
      <c r="M18" s="202">
        <f>+Border!AD17</f>
        <v>0</v>
      </c>
      <c r="N18" s="201"/>
      <c r="O18" s="201"/>
      <c r="P18" s="201"/>
      <c r="Q18" s="201"/>
      <c r="R18" s="201">
        <f>2561+4658</f>
        <v>7219</v>
      </c>
      <c r="S18" s="201">
        <v>6492</v>
      </c>
      <c r="T18" s="201"/>
      <c r="U18" s="201"/>
      <c r="V18" s="201"/>
      <c r="W18" s="201">
        <v>5461</v>
      </c>
      <c r="X18" s="201"/>
      <c r="Y18" s="201">
        <v>1196</v>
      </c>
      <c r="Z18" s="201">
        <v>0</v>
      </c>
      <c r="AA18" s="201">
        <v>0</v>
      </c>
      <c r="AB18" s="201"/>
      <c r="AC18" s="201"/>
      <c r="AD18" s="201">
        <f>3740+2990</f>
        <v>6730</v>
      </c>
      <c r="AE18" s="201"/>
      <c r="AF18" s="201"/>
      <c r="AG18" s="201"/>
      <c r="AH18" s="201"/>
      <c r="AI18" s="201"/>
      <c r="AJ18" s="201"/>
      <c r="AK18" s="201"/>
      <c r="AL18" s="201">
        <v>31000</v>
      </c>
      <c r="AM18" s="203">
        <f t="shared" si="0"/>
        <v>89189</v>
      </c>
      <c r="AN18" s="203">
        <f t="shared" si="1"/>
        <v>70000</v>
      </c>
      <c r="AO18" s="200">
        <f t="shared" si="2"/>
        <v>19189</v>
      </c>
      <c r="AP18" s="204"/>
      <c r="AQ18" s="199">
        <f t="shared" si="3"/>
        <v>36721</v>
      </c>
      <c r="AS18" s="206">
        <f t="shared" si="5"/>
        <v>-139926</v>
      </c>
      <c r="AT18" s="207"/>
      <c r="AU18" s="207">
        <f t="shared" si="4"/>
        <v>78126</v>
      </c>
      <c r="AW18" s="209"/>
      <c r="AX18" s="209"/>
      <c r="AZ18" s="209"/>
      <c r="BA18" s="209"/>
      <c r="BC18" s="209"/>
      <c r="BD18" s="209"/>
      <c r="BF18" s="204"/>
    </row>
    <row r="19" spans="1:59" x14ac:dyDescent="0.2">
      <c r="A19" s="199">
        <f>+BaseloadMarkets!A20</f>
        <v>36722</v>
      </c>
      <c r="B19" s="199"/>
      <c r="C19" s="200">
        <v>70000</v>
      </c>
      <c r="D19" s="201">
        <f>11029+8648</f>
        <v>19677</v>
      </c>
      <c r="H19" s="201">
        <v>3551</v>
      </c>
      <c r="I19" s="201">
        <v>968</v>
      </c>
      <c r="J19" s="201">
        <v>3193</v>
      </c>
      <c r="K19" s="201">
        <v>6785</v>
      </c>
      <c r="L19" s="201"/>
      <c r="M19" s="202">
        <f>+Border!AD18</f>
        <v>0</v>
      </c>
      <c r="N19" s="201"/>
      <c r="O19" s="201"/>
      <c r="P19" s="201"/>
      <c r="Q19" s="201"/>
      <c r="R19" s="201">
        <v>2658</v>
      </c>
      <c r="S19" s="201"/>
      <c r="T19" s="201"/>
      <c r="U19" s="201"/>
      <c r="V19" s="201">
        <v>2955</v>
      </c>
      <c r="W19" s="201"/>
      <c r="X19" s="201"/>
      <c r="Y19" s="201">
        <v>1254</v>
      </c>
      <c r="Z19" s="201"/>
      <c r="AA19" s="201"/>
      <c r="AB19" s="201"/>
      <c r="AC19" s="201"/>
      <c r="AD19" s="201">
        <f>6488+3379</f>
        <v>9867</v>
      </c>
      <c r="AE19" s="201"/>
      <c r="AF19" s="201"/>
      <c r="AG19" s="201"/>
      <c r="AH19" s="201"/>
      <c r="AI19" s="201"/>
      <c r="AJ19" s="201"/>
      <c r="AK19" s="201"/>
      <c r="AL19" s="201"/>
      <c r="AM19" s="203">
        <f t="shared" si="0"/>
        <v>50908</v>
      </c>
      <c r="AN19" s="203">
        <f t="shared" si="1"/>
        <v>70000</v>
      </c>
      <c r="AO19" s="200">
        <f t="shared" si="2"/>
        <v>-19092</v>
      </c>
      <c r="AP19" s="204"/>
      <c r="AQ19" s="199">
        <f t="shared" si="3"/>
        <v>36722</v>
      </c>
      <c r="AS19" s="206">
        <f t="shared" si="5"/>
        <v>-159018</v>
      </c>
      <c r="AT19" s="207"/>
      <c r="AU19" s="207">
        <f t="shared" si="4"/>
        <v>31231</v>
      </c>
      <c r="AW19" s="209"/>
      <c r="AX19" s="209"/>
      <c r="AZ19" s="209"/>
      <c r="BA19" s="209"/>
      <c r="BC19" s="209"/>
      <c r="BD19" s="209"/>
      <c r="BF19" s="204"/>
      <c r="BG19" s="208" t="s">
        <v>29</v>
      </c>
    </row>
    <row r="20" spans="1:59" x14ac:dyDescent="0.2">
      <c r="A20" s="199">
        <f>+BaseloadMarkets!A21</f>
        <v>36723</v>
      </c>
      <c r="B20" s="199"/>
      <c r="C20" s="200">
        <v>70000</v>
      </c>
      <c r="D20" s="201">
        <f>10441+8648</f>
        <v>19089</v>
      </c>
      <c r="H20" s="201">
        <v>3376</v>
      </c>
      <c r="I20" s="201">
        <v>968</v>
      </c>
      <c r="J20" s="201">
        <v>3193</v>
      </c>
      <c r="K20" s="201">
        <v>6785</v>
      </c>
      <c r="L20" s="201"/>
      <c r="M20" s="202">
        <f>+Border!AD19</f>
        <v>0</v>
      </c>
      <c r="N20" s="201"/>
      <c r="O20" s="201"/>
      <c r="P20" s="201"/>
      <c r="Q20" s="201"/>
      <c r="R20" s="201">
        <v>2527</v>
      </c>
      <c r="S20" s="201"/>
      <c r="T20" s="201"/>
      <c r="U20" s="201"/>
      <c r="V20" s="201">
        <v>2955</v>
      </c>
      <c r="W20" s="201"/>
      <c r="X20" s="201"/>
      <c r="Y20" s="201">
        <v>1291</v>
      </c>
      <c r="Z20" s="201"/>
      <c r="AA20" s="201"/>
      <c r="AB20" s="201"/>
      <c r="AC20" s="201"/>
      <c r="AD20" s="201">
        <f>2432+6141</f>
        <v>8573</v>
      </c>
      <c r="AE20" s="201"/>
      <c r="AF20" s="201"/>
      <c r="AG20" s="201"/>
      <c r="AH20" s="201"/>
      <c r="AI20" s="201"/>
      <c r="AJ20" s="201"/>
      <c r="AK20" s="201"/>
      <c r="AL20" s="201"/>
      <c r="AM20" s="203">
        <f t="shared" si="0"/>
        <v>48757</v>
      </c>
      <c r="AN20" s="203">
        <f t="shared" si="1"/>
        <v>70000</v>
      </c>
      <c r="AO20" s="200">
        <f t="shared" si="2"/>
        <v>-21243</v>
      </c>
      <c r="AP20" s="204"/>
      <c r="AQ20" s="199">
        <f t="shared" si="3"/>
        <v>36723</v>
      </c>
      <c r="AS20" s="206">
        <f t="shared" si="5"/>
        <v>-180261</v>
      </c>
      <c r="AT20" s="207"/>
      <c r="AU20" s="207">
        <f t="shared" si="4"/>
        <v>29668</v>
      </c>
      <c r="AW20" s="209"/>
      <c r="AX20" s="209"/>
      <c r="AZ20" s="209"/>
      <c r="BA20" s="209"/>
      <c r="BC20" s="209"/>
      <c r="BD20" s="209"/>
      <c r="BF20" s="204"/>
    </row>
    <row r="21" spans="1:59" x14ac:dyDescent="0.2">
      <c r="A21" s="199">
        <f>+BaseloadMarkets!A22</f>
        <v>36724</v>
      </c>
      <c r="B21" s="199"/>
      <c r="C21" s="200">
        <v>70000</v>
      </c>
      <c r="D21" s="201">
        <f>10114+8648</f>
        <v>18762</v>
      </c>
      <c r="G21" s="201">
        <v>30000</v>
      </c>
      <c r="H21" s="201">
        <v>3332</v>
      </c>
      <c r="I21" s="201">
        <v>968</v>
      </c>
      <c r="J21" s="201">
        <v>3193</v>
      </c>
      <c r="K21" s="201">
        <f>6785</f>
        <v>6785</v>
      </c>
      <c r="L21" s="201"/>
      <c r="M21" s="202">
        <f>+Border!AD20</f>
        <v>0</v>
      </c>
      <c r="N21" s="201"/>
      <c r="O21" s="201"/>
      <c r="P21" s="201"/>
      <c r="Q21" s="201"/>
      <c r="R21" s="201">
        <v>2623</v>
      </c>
      <c r="S21" s="201"/>
      <c r="T21" s="201"/>
      <c r="U21" s="201"/>
      <c r="V21" s="201">
        <v>2955</v>
      </c>
      <c r="W21" s="201"/>
      <c r="X21" s="201"/>
      <c r="Y21" s="201">
        <v>1210</v>
      </c>
      <c r="Z21" s="201"/>
      <c r="AA21" s="201"/>
      <c r="AB21" s="201"/>
      <c r="AC21" s="201"/>
      <c r="AD21" s="201">
        <f>3270+5808</f>
        <v>9078</v>
      </c>
      <c r="AE21" s="201"/>
      <c r="AF21" s="201"/>
      <c r="AG21" s="201"/>
      <c r="AH21" s="201"/>
      <c r="AI21" s="201"/>
      <c r="AJ21" s="201"/>
      <c r="AK21" s="201"/>
      <c r="AL21" s="201">
        <v>14000</v>
      </c>
      <c r="AM21" s="211">
        <f t="shared" si="0"/>
        <v>92906</v>
      </c>
      <c r="AN21" s="203">
        <f t="shared" si="1"/>
        <v>70000</v>
      </c>
      <c r="AO21" s="200">
        <f t="shared" si="2"/>
        <v>22906</v>
      </c>
      <c r="AP21" s="204"/>
      <c r="AQ21" s="199">
        <f t="shared" si="3"/>
        <v>36724</v>
      </c>
      <c r="AS21" s="206">
        <f t="shared" si="5"/>
        <v>-157355</v>
      </c>
      <c r="AT21" s="207"/>
      <c r="AU21" s="207">
        <f t="shared" si="4"/>
        <v>74144</v>
      </c>
      <c r="AW21" s="209"/>
      <c r="AX21" s="209"/>
      <c r="AZ21" s="209"/>
      <c r="BA21" s="209"/>
      <c r="BC21" s="209"/>
      <c r="BD21" s="209"/>
      <c r="BF21" s="204"/>
    </row>
    <row r="22" spans="1:59" x14ac:dyDescent="0.2">
      <c r="A22" s="199">
        <f>+BaseloadMarkets!A23</f>
        <v>36725</v>
      </c>
      <c r="B22" s="199"/>
      <c r="C22" s="200">
        <v>70000</v>
      </c>
      <c r="D22" s="201">
        <f>10000+14352</f>
        <v>24352</v>
      </c>
      <c r="G22" s="201">
        <v>30000</v>
      </c>
      <c r="H22" s="201">
        <v>4252</v>
      </c>
      <c r="I22" s="201">
        <v>968</v>
      </c>
      <c r="J22" s="201">
        <v>3193</v>
      </c>
      <c r="K22" s="201">
        <f>2500+14715</f>
        <v>17215</v>
      </c>
      <c r="L22" s="201"/>
      <c r="M22" s="202">
        <f>+Border!AD21</f>
        <v>0</v>
      </c>
      <c r="N22" s="201"/>
      <c r="O22" s="201"/>
      <c r="P22" s="201"/>
      <c r="Q22" s="201"/>
      <c r="R22" s="201">
        <v>2408</v>
      </c>
      <c r="S22" s="201">
        <f>5893+5390</f>
        <v>11283</v>
      </c>
      <c r="T22" s="201">
        <v>12860</v>
      </c>
      <c r="U22" s="201"/>
      <c r="V22" s="201"/>
      <c r="W22" s="201"/>
      <c r="X22" s="201"/>
      <c r="Y22" s="201">
        <v>1167</v>
      </c>
      <c r="Z22" s="201"/>
      <c r="AA22" s="201">
        <v>3150</v>
      </c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>
        <v>14000</v>
      </c>
      <c r="AM22" s="203">
        <f t="shared" si="0"/>
        <v>124848</v>
      </c>
      <c r="AN22" s="203">
        <f t="shared" si="1"/>
        <v>70000</v>
      </c>
      <c r="AO22" s="200">
        <f t="shared" si="2"/>
        <v>54848</v>
      </c>
      <c r="AP22" s="204"/>
      <c r="AQ22" s="199">
        <f t="shared" si="3"/>
        <v>36725</v>
      </c>
      <c r="AS22" s="206">
        <f t="shared" si="5"/>
        <v>-102507</v>
      </c>
      <c r="AT22" s="207"/>
      <c r="AU22" s="207">
        <f t="shared" si="4"/>
        <v>100496</v>
      </c>
      <c r="AW22" s="209"/>
      <c r="AX22" s="209"/>
      <c r="AZ22" s="209"/>
      <c r="BA22" s="209"/>
      <c r="BC22" s="209"/>
      <c r="BD22" s="209"/>
      <c r="BF22" s="204"/>
    </row>
    <row r="23" spans="1:59" x14ac:dyDescent="0.2">
      <c r="A23" s="199">
        <f>+BaseloadMarkets!A24</f>
        <v>36726</v>
      </c>
      <c r="B23" s="199"/>
      <c r="C23" s="200">
        <v>70000</v>
      </c>
      <c r="D23" s="201">
        <f>10000+5828</f>
        <v>15828</v>
      </c>
      <c r="H23" s="201">
        <v>6260</v>
      </c>
      <c r="I23" s="201">
        <v>968</v>
      </c>
      <c r="J23" s="201">
        <v>3193</v>
      </c>
      <c r="K23" s="201">
        <f>14715+2500</f>
        <v>17215</v>
      </c>
      <c r="L23" s="201"/>
      <c r="M23" s="202">
        <f>+Border!AD22</f>
        <v>0</v>
      </c>
      <c r="N23" s="201">
        <v>11108</v>
      </c>
      <c r="O23" s="201"/>
      <c r="P23" s="201"/>
      <c r="Q23" s="201"/>
      <c r="R23" s="201">
        <v>2261</v>
      </c>
      <c r="S23" s="201">
        <f>5586+5586+7902</f>
        <v>19074</v>
      </c>
      <c r="T23" s="201"/>
      <c r="U23" s="201"/>
      <c r="V23" s="201"/>
      <c r="W23" s="201"/>
      <c r="X23" s="201"/>
      <c r="Y23" s="201">
        <v>1150</v>
      </c>
      <c r="Z23" s="201">
        <f>13231+18292</f>
        <v>31523</v>
      </c>
      <c r="AA23" s="201">
        <v>9878</v>
      </c>
      <c r="AB23" s="201"/>
      <c r="AC23" s="201">
        <v>4975</v>
      </c>
      <c r="AD23" s="201">
        <f>29145+3052+2991+2991+11657</f>
        <v>49836</v>
      </c>
      <c r="AE23" s="201"/>
      <c r="AF23" s="201"/>
      <c r="AG23" s="201">
        <f>5292+11329</f>
        <v>16621</v>
      </c>
      <c r="AH23" s="201"/>
      <c r="AI23" s="201"/>
      <c r="AJ23" s="201"/>
      <c r="AK23" s="201">
        <v>2646</v>
      </c>
      <c r="AL23" s="201">
        <v>14000</v>
      </c>
      <c r="AM23" s="211">
        <f t="shared" si="0"/>
        <v>206536</v>
      </c>
      <c r="AN23" s="203">
        <f t="shared" si="1"/>
        <v>70000</v>
      </c>
      <c r="AO23" s="200">
        <f t="shared" si="2"/>
        <v>136536</v>
      </c>
      <c r="AP23" s="204"/>
      <c r="AQ23" s="199">
        <f t="shared" si="3"/>
        <v>36726</v>
      </c>
      <c r="AS23" s="206">
        <f t="shared" si="5"/>
        <v>34029</v>
      </c>
      <c r="AT23" s="207"/>
      <c r="AU23" s="207">
        <f t="shared" si="4"/>
        <v>190708</v>
      </c>
      <c r="AW23" s="209"/>
      <c r="AX23" s="209"/>
      <c r="AZ23" s="209"/>
      <c r="BA23" s="209"/>
      <c r="BC23" s="209"/>
      <c r="BD23" s="209"/>
      <c r="BF23" s="204"/>
    </row>
    <row r="24" spans="1:59" x14ac:dyDescent="0.2">
      <c r="A24" s="199">
        <f>+BaseloadMarkets!A25</f>
        <v>36727</v>
      </c>
      <c r="B24" s="199"/>
      <c r="C24" s="200">
        <v>70000</v>
      </c>
      <c r="D24" s="201">
        <f>6060+6060</f>
        <v>12120</v>
      </c>
      <c r="G24" s="201">
        <v>30000</v>
      </c>
      <c r="H24" s="201">
        <v>6851</v>
      </c>
      <c r="I24" s="201">
        <v>968</v>
      </c>
      <c r="J24" s="201">
        <v>3193</v>
      </c>
      <c r="K24" s="201">
        <f>14715+2500</f>
        <v>17215</v>
      </c>
      <c r="L24" s="201"/>
      <c r="M24" s="202">
        <f>+Border!AD23</f>
        <v>0</v>
      </c>
      <c r="N24" s="201">
        <v>15128</v>
      </c>
      <c r="O24" s="201"/>
      <c r="P24" s="201">
        <v>5000</v>
      </c>
      <c r="Q24" s="201"/>
      <c r="R24" s="201">
        <v>2806</v>
      </c>
      <c r="S24" s="201"/>
      <c r="T24" s="201"/>
      <c r="U24" s="201"/>
      <c r="V24" s="201"/>
      <c r="W24" s="201"/>
      <c r="X24" s="201"/>
      <c r="Y24" s="201">
        <v>1177</v>
      </c>
      <c r="Z24" s="201"/>
      <c r="AA24" s="201"/>
      <c r="AB24" s="201">
        <v>10000</v>
      </c>
      <c r="AC24" s="201"/>
      <c r="AD24" s="201">
        <f>6387+3264</f>
        <v>9651</v>
      </c>
      <c r="AE24" s="201"/>
      <c r="AF24" s="201"/>
      <c r="AG24" s="201"/>
      <c r="AH24" s="201"/>
      <c r="AI24" s="201"/>
      <c r="AJ24" s="201"/>
      <c r="AK24" s="201"/>
      <c r="AL24" s="201">
        <v>14000</v>
      </c>
      <c r="AM24" s="203">
        <f t="shared" si="0"/>
        <v>128109</v>
      </c>
      <c r="AN24" s="203">
        <f t="shared" si="1"/>
        <v>70000</v>
      </c>
      <c r="AO24" s="200">
        <f t="shared" si="2"/>
        <v>58109</v>
      </c>
      <c r="AP24" s="204"/>
      <c r="AQ24" s="199">
        <f t="shared" si="3"/>
        <v>36727</v>
      </c>
      <c r="AS24" s="206">
        <f t="shared" si="5"/>
        <v>92138</v>
      </c>
      <c r="AT24" s="207"/>
      <c r="AU24" s="207">
        <f t="shared" si="4"/>
        <v>115989</v>
      </c>
      <c r="AW24" s="209"/>
      <c r="AX24" s="209"/>
      <c r="AZ24" s="209"/>
      <c r="BA24" s="209"/>
      <c r="BC24" s="209"/>
      <c r="BD24" s="209"/>
      <c r="BF24" s="204"/>
    </row>
    <row r="25" spans="1:59" x14ac:dyDescent="0.2">
      <c r="A25" s="199">
        <f>+BaseloadMarkets!A26</f>
        <v>36728</v>
      </c>
      <c r="B25" s="199"/>
      <c r="C25" s="200">
        <v>70000</v>
      </c>
      <c r="G25" s="201">
        <v>30000</v>
      </c>
      <c r="H25" s="201">
        <v>6920</v>
      </c>
      <c r="I25" s="201">
        <v>968</v>
      </c>
      <c r="J25" s="201">
        <v>3193</v>
      </c>
      <c r="K25" s="201">
        <v>17215</v>
      </c>
      <c r="L25" s="201"/>
      <c r="M25" s="202">
        <f>+Border!AD24</f>
        <v>0</v>
      </c>
      <c r="N25" s="201"/>
      <c r="O25" s="201"/>
      <c r="P25" s="201">
        <v>5000</v>
      </c>
      <c r="Q25" s="201"/>
      <c r="R25" s="201">
        <v>2970</v>
      </c>
      <c r="S25" s="201"/>
      <c r="T25" s="201"/>
      <c r="U25" s="201"/>
      <c r="V25" s="201"/>
      <c r="W25" s="201"/>
      <c r="X25" s="201"/>
      <c r="Y25" s="201">
        <f>9432+1177</f>
        <v>10609</v>
      </c>
      <c r="Z25" s="201"/>
      <c r="AA25" s="201"/>
      <c r="AB25" s="201"/>
      <c r="AC25" s="201"/>
      <c r="AD25" s="201"/>
      <c r="AE25" s="201"/>
      <c r="AF25" s="201">
        <v>6448</v>
      </c>
      <c r="AG25" s="201"/>
      <c r="AH25" s="201"/>
      <c r="AI25" s="201"/>
      <c r="AJ25" s="201"/>
      <c r="AK25" s="201"/>
      <c r="AL25" s="201">
        <v>14000</v>
      </c>
      <c r="AM25" s="203">
        <f t="shared" si="0"/>
        <v>97323</v>
      </c>
      <c r="AN25" s="203">
        <f t="shared" si="1"/>
        <v>70000</v>
      </c>
      <c r="AO25" s="200">
        <f t="shared" si="2"/>
        <v>27323</v>
      </c>
      <c r="AP25" s="204"/>
      <c r="AQ25" s="199">
        <f t="shared" si="3"/>
        <v>36728</v>
      </c>
      <c r="AS25" s="206">
        <f t="shared" si="5"/>
        <v>119461</v>
      </c>
      <c r="AT25" s="207"/>
      <c r="AU25" s="207">
        <f t="shared" si="4"/>
        <v>97323</v>
      </c>
      <c r="AW25" s="209"/>
      <c r="AX25" s="209"/>
      <c r="AZ25" s="209"/>
      <c r="BA25" s="209"/>
      <c r="BC25" s="209"/>
      <c r="BD25" s="209"/>
      <c r="BF25" s="204"/>
    </row>
    <row r="26" spans="1:59" x14ac:dyDescent="0.2">
      <c r="A26" s="199">
        <f>+BaseloadMarkets!A27</f>
        <v>36729</v>
      </c>
      <c r="B26" s="199"/>
      <c r="C26" s="200">
        <v>70000</v>
      </c>
      <c r="I26" s="201">
        <v>876</v>
      </c>
      <c r="J26" s="201"/>
      <c r="K26" s="201"/>
      <c r="L26" s="201"/>
      <c r="M26" s="202">
        <f>+Border!AD25</f>
        <v>0</v>
      </c>
      <c r="N26" s="201"/>
      <c r="O26" s="201"/>
      <c r="P26" s="201">
        <v>5000</v>
      </c>
      <c r="Q26" s="201"/>
      <c r="R26" s="201"/>
      <c r="S26" s="201"/>
      <c r="T26" s="201"/>
      <c r="U26" s="201"/>
      <c r="V26" s="201"/>
      <c r="W26" s="201"/>
      <c r="X26" s="201"/>
      <c r="Y26" s="201">
        <v>993</v>
      </c>
      <c r="Z26" s="201"/>
      <c r="AA26" s="201"/>
      <c r="AB26" s="201">
        <v>10000</v>
      </c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3">
        <f t="shared" si="0"/>
        <v>16869</v>
      </c>
      <c r="AN26" s="203">
        <f t="shared" si="1"/>
        <v>70000</v>
      </c>
      <c r="AO26" s="200">
        <f t="shared" si="2"/>
        <v>-53131</v>
      </c>
      <c r="AP26" s="204"/>
      <c r="AQ26" s="199">
        <f t="shared" si="3"/>
        <v>36729</v>
      </c>
      <c r="AS26" s="206">
        <f t="shared" si="5"/>
        <v>66330</v>
      </c>
      <c r="AT26" s="207"/>
      <c r="AU26" s="207">
        <f t="shared" si="4"/>
        <v>16869</v>
      </c>
      <c r="AW26" s="209"/>
      <c r="AX26" s="209"/>
      <c r="AZ26" s="209"/>
      <c r="BA26" s="209"/>
      <c r="BC26" s="209"/>
      <c r="BD26" s="209"/>
      <c r="BF26" s="204"/>
    </row>
    <row r="27" spans="1:59" x14ac:dyDescent="0.2">
      <c r="A27" s="199">
        <f>+BaseloadMarkets!A28</f>
        <v>36730</v>
      </c>
      <c r="B27" s="199"/>
      <c r="C27" s="200">
        <v>70000</v>
      </c>
      <c r="I27" s="201">
        <v>876</v>
      </c>
      <c r="J27" s="201"/>
      <c r="K27" s="201"/>
      <c r="L27" s="201"/>
      <c r="M27" s="202">
        <v>0</v>
      </c>
      <c r="N27" s="201"/>
      <c r="O27" s="201"/>
      <c r="P27" s="201">
        <v>5000</v>
      </c>
      <c r="Q27" s="201"/>
      <c r="R27" s="201"/>
      <c r="S27" s="201"/>
      <c r="T27" s="201"/>
      <c r="U27" s="201"/>
      <c r="V27" s="201"/>
      <c r="W27" s="201"/>
      <c r="X27" s="201"/>
      <c r="Y27" s="201">
        <v>383</v>
      </c>
      <c r="Z27" s="201"/>
      <c r="AA27" s="201"/>
      <c r="AB27" s="201">
        <v>10000</v>
      </c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3">
        <f t="shared" si="0"/>
        <v>16259</v>
      </c>
      <c r="AN27" s="203">
        <f t="shared" si="1"/>
        <v>70000</v>
      </c>
      <c r="AO27" s="200">
        <f t="shared" si="2"/>
        <v>-53741</v>
      </c>
      <c r="AP27" s="204"/>
      <c r="AQ27" s="199">
        <f t="shared" si="3"/>
        <v>36730</v>
      </c>
      <c r="AS27" s="206">
        <f t="shared" si="5"/>
        <v>12589</v>
      </c>
      <c r="AT27" s="207"/>
      <c r="AU27" s="207">
        <f t="shared" si="4"/>
        <v>16259</v>
      </c>
      <c r="AW27" s="209"/>
      <c r="AX27" s="209"/>
      <c r="AZ27" s="209"/>
      <c r="BA27" s="209"/>
      <c r="BC27" s="209"/>
      <c r="BD27" s="209"/>
      <c r="BF27" s="204"/>
    </row>
    <row r="28" spans="1:59" x14ac:dyDescent="0.2">
      <c r="A28" s="199">
        <f>+BaseloadMarkets!A29</f>
        <v>36731</v>
      </c>
      <c r="B28" s="199"/>
      <c r="C28" s="200">
        <v>70000</v>
      </c>
      <c r="G28" s="201">
        <v>20000</v>
      </c>
      <c r="I28" s="201">
        <f>876-45</f>
        <v>831</v>
      </c>
      <c r="J28" s="201"/>
      <c r="K28" s="201">
        <v>2500</v>
      </c>
      <c r="L28" s="201"/>
      <c r="M28" s="202">
        <v>0</v>
      </c>
      <c r="N28" s="201"/>
      <c r="O28" s="201"/>
      <c r="P28" s="201">
        <v>5000</v>
      </c>
      <c r="Q28" s="201"/>
      <c r="R28" s="201"/>
      <c r="S28" s="201"/>
      <c r="T28" s="201"/>
      <c r="U28" s="201"/>
      <c r="V28" s="201"/>
      <c r="W28" s="201"/>
      <c r="X28" s="201"/>
      <c r="Y28" s="201">
        <v>1015</v>
      </c>
      <c r="Z28" s="201"/>
      <c r="AA28" s="201"/>
      <c r="AB28" s="201">
        <v>20000</v>
      </c>
      <c r="AC28" s="201"/>
      <c r="AD28" s="201"/>
      <c r="AE28" s="201"/>
      <c r="AF28" s="201"/>
      <c r="AG28" s="201"/>
      <c r="AH28" s="201"/>
      <c r="AI28" s="201"/>
      <c r="AJ28" s="201"/>
      <c r="AK28" s="201"/>
      <c r="AL28" s="201">
        <v>14000</v>
      </c>
      <c r="AM28" s="203">
        <f t="shared" si="0"/>
        <v>63346</v>
      </c>
      <c r="AN28" s="203">
        <f t="shared" si="1"/>
        <v>70000</v>
      </c>
      <c r="AO28" s="200">
        <f t="shared" si="2"/>
        <v>-6654</v>
      </c>
      <c r="AP28" s="204"/>
      <c r="AQ28" s="199">
        <f t="shared" si="3"/>
        <v>36731</v>
      </c>
      <c r="AS28" s="206">
        <f t="shared" si="5"/>
        <v>5935</v>
      </c>
      <c r="AT28" s="207"/>
      <c r="AU28" s="207">
        <f t="shared" si="4"/>
        <v>63346</v>
      </c>
      <c r="AW28" s="209"/>
      <c r="AX28" s="209"/>
      <c r="AZ28" s="209"/>
      <c r="BA28" s="209"/>
      <c r="BC28" s="209"/>
      <c r="BD28" s="209"/>
      <c r="BF28" s="204"/>
    </row>
    <row r="29" spans="1:59" x14ac:dyDescent="0.2">
      <c r="A29" s="199">
        <f>+BaseloadMarkets!A30</f>
        <v>36732</v>
      </c>
      <c r="B29" s="199"/>
      <c r="C29" s="200">
        <v>70000</v>
      </c>
      <c r="H29" s="484">
        <v>4992</v>
      </c>
      <c r="I29" s="201">
        <f>968</f>
        <v>968</v>
      </c>
      <c r="J29" s="201">
        <v>408</v>
      </c>
      <c r="K29" s="201"/>
      <c r="L29" s="201"/>
      <c r="M29" s="202">
        <v>0</v>
      </c>
      <c r="N29" s="201"/>
      <c r="O29" s="201"/>
      <c r="P29" s="201"/>
      <c r="Q29" s="201"/>
      <c r="R29" s="201">
        <v>2984</v>
      </c>
      <c r="S29" s="201"/>
      <c r="T29" s="201"/>
      <c r="U29" s="201"/>
      <c r="V29" s="201"/>
      <c r="W29" s="201"/>
      <c r="X29" s="201"/>
      <c r="Y29" s="201">
        <v>1182</v>
      </c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3">
        <f t="shared" si="0"/>
        <v>10534</v>
      </c>
      <c r="AN29" s="203">
        <f t="shared" si="1"/>
        <v>70000</v>
      </c>
      <c r="AO29" s="200">
        <f t="shared" si="2"/>
        <v>-59466</v>
      </c>
      <c r="AP29" s="204"/>
      <c r="AQ29" s="199">
        <f t="shared" si="3"/>
        <v>36732</v>
      </c>
      <c r="AS29" s="206">
        <f t="shared" si="5"/>
        <v>-53531</v>
      </c>
      <c r="AT29" s="207"/>
      <c r="AU29" s="207">
        <f t="shared" si="4"/>
        <v>10534</v>
      </c>
      <c r="AW29" s="209"/>
      <c r="AX29" s="209"/>
      <c r="AZ29" s="209"/>
      <c r="BA29" s="209"/>
      <c r="BC29" s="209"/>
      <c r="BD29" s="209"/>
      <c r="BF29" s="204"/>
    </row>
    <row r="30" spans="1:59" x14ac:dyDescent="0.2">
      <c r="A30" s="199">
        <f>+BaseloadMarkets!A31</f>
        <v>36733</v>
      </c>
      <c r="B30" s="199"/>
      <c r="C30" s="200">
        <v>70000</v>
      </c>
      <c r="H30" s="484">
        <v>5750</v>
      </c>
      <c r="I30" s="201">
        <v>968</v>
      </c>
      <c r="J30" s="201">
        <v>408</v>
      </c>
      <c r="K30" s="201"/>
      <c r="L30" s="201"/>
      <c r="M30" s="202">
        <v>0</v>
      </c>
      <c r="N30" s="201"/>
      <c r="O30" s="201"/>
      <c r="P30" s="201"/>
      <c r="Q30" s="201"/>
      <c r="R30" s="201">
        <f>2654+5443</f>
        <v>8097</v>
      </c>
      <c r="S30" s="201">
        <f>5434+5434</f>
        <v>10868</v>
      </c>
      <c r="T30" s="201">
        <f>5434+10868</f>
        <v>16302</v>
      </c>
      <c r="U30" s="201"/>
      <c r="V30" s="201"/>
      <c r="W30" s="201"/>
      <c r="X30" s="201"/>
      <c r="Y30" s="201">
        <v>1226</v>
      </c>
      <c r="Z30" s="201">
        <f>2722+5434+2709+2707+5206+5418+2709</f>
        <v>26905</v>
      </c>
      <c r="AA30" s="201"/>
      <c r="AB30" s="201"/>
      <c r="AC30" s="201"/>
      <c r="AD30" s="201">
        <f>2709+27171</f>
        <v>29880</v>
      </c>
      <c r="AE30" s="201"/>
      <c r="AF30" s="201"/>
      <c r="AG30" s="201"/>
      <c r="AH30" s="201">
        <v>10868</v>
      </c>
      <c r="AI30" s="201">
        <v>10868</v>
      </c>
      <c r="AJ30" s="201">
        <v>8151</v>
      </c>
      <c r="AK30" s="201"/>
      <c r="AL30" s="201">
        <v>4000</v>
      </c>
      <c r="AM30" s="203">
        <f t="shared" si="0"/>
        <v>134291</v>
      </c>
      <c r="AN30" s="203">
        <f t="shared" si="1"/>
        <v>70000</v>
      </c>
      <c r="AO30" s="200">
        <f t="shared" si="2"/>
        <v>64291</v>
      </c>
      <c r="AP30" s="204"/>
      <c r="AQ30" s="199">
        <f t="shared" si="3"/>
        <v>36733</v>
      </c>
      <c r="AS30" s="206">
        <f t="shared" si="5"/>
        <v>10760</v>
      </c>
      <c r="AT30" s="207"/>
      <c r="AU30" s="207">
        <f t="shared" si="4"/>
        <v>134291</v>
      </c>
      <c r="AW30" s="209"/>
      <c r="AX30" s="209"/>
      <c r="AZ30" s="209"/>
      <c r="BA30" s="209"/>
      <c r="BC30" s="209"/>
      <c r="BD30" s="209"/>
      <c r="BF30" s="204"/>
    </row>
    <row r="31" spans="1:59" x14ac:dyDescent="0.2">
      <c r="A31" s="199">
        <f>+BaseloadMarkets!A32</f>
        <v>36734</v>
      </c>
      <c r="B31" s="199"/>
      <c r="C31" s="200">
        <v>70000</v>
      </c>
      <c r="D31" s="484">
        <v>5825</v>
      </c>
      <c r="G31" s="201">
        <v>30000</v>
      </c>
      <c r="H31" s="484">
        <v>6092</v>
      </c>
      <c r="I31" s="201">
        <v>950</v>
      </c>
      <c r="J31" s="201">
        <v>408</v>
      </c>
      <c r="K31" s="201"/>
      <c r="L31" s="201"/>
      <c r="M31" s="202">
        <v>0</v>
      </c>
      <c r="N31" s="201"/>
      <c r="O31" s="201"/>
      <c r="P31" s="201"/>
      <c r="Q31" s="201"/>
      <c r="R31" s="201">
        <v>2655</v>
      </c>
      <c r="S31" s="201"/>
      <c r="T31" s="201"/>
      <c r="U31" s="201"/>
      <c r="V31" s="201"/>
      <c r="W31" s="201"/>
      <c r="X31" s="201"/>
      <c r="Y31" s="201">
        <v>3946</v>
      </c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>
        <v>14000</v>
      </c>
      <c r="AM31" s="203">
        <f t="shared" si="0"/>
        <v>63876</v>
      </c>
      <c r="AN31" s="203">
        <f t="shared" si="1"/>
        <v>70000</v>
      </c>
      <c r="AO31" s="200">
        <f t="shared" si="2"/>
        <v>-6124</v>
      </c>
      <c r="AP31" s="204"/>
      <c r="AQ31" s="199">
        <f t="shared" si="3"/>
        <v>36734</v>
      </c>
      <c r="AS31" s="206">
        <f t="shared" si="5"/>
        <v>4636</v>
      </c>
      <c r="AT31" s="207"/>
      <c r="AU31" s="207">
        <f t="shared" si="4"/>
        <v>58051</v>
      </c>
      <c r="AW31" s="209"/>
      <c r="AX31" s="209"/>
      <c r="AZ31" s="209"/>
      <c r="BA31" s="209"/>
      <c r="BC31" s="209"/>
      <c r="BD31" s="209"/>
      <c r="BF31" s="204"/>
    </row>
    <row r="32" spans="1:59" x14ac:dyDescent="0.2">
      <c r="A32" s="199">
        <f>+BaseloadMarkets!A33</f>
        <v>36735</v>
      </c>
      <c r="B32" s="199"/>
      <c r="C32" s="200">
        <v>70000</v>
      </c>
      <c r="D32" s="201">
        <v>0</v>
      </c>
      <c r="F32" s="201">
        <v>5100</v>
      </c>
      <c r="G32" s="201">
        <v>10000</v>
      </c>
      <c r="H32" s="484">
        <v>8519</v>
      </c>
      <c r="I32" s="201">
        <v>968</v>
      </c>
      <c r="J32" s="201">
        <v>3193</v>
      </c>
      <c r="K32" s="201">
        <v>17215</v>
      </c>
      <c r="L32" s="201">
        <v>10000</v>
      </c>
      <c r="M32" s="202">
        <f>+Border!AD31</f>
        <v>0</v>
      </c>
      <c r="N32" s="201"/>
      <c r="O32" s="201"/>
      <c r="P32" s="201"/>
      <c r="Q32" s="201"/>
      <c r="R32" s="201">
        <v>9651</v>
      </c>
      <c r="S32" s="201"/>
      <c r="T32" s="201"/>
      <c r="U32" s="201"/>
      <c r="V32" s="201"/>
      <c r="W32" s="201"/>
      <c r="X32" s="201"/>
      <c r="Y32" s="201"/>
      <c r="Z32" s="201"/>
      <c r="AA32" s="201">
        <v>6949</v>
      </c>
      <c r="AB32" s="201"/>
      <c r="AC32" s="201"/>
      <c r="AD32" s="201">
        <v>31046</v>
      </c>
      <c r="AE32" s="201"/>
      <c r="AF32" s="201"/>
      <c r="AG32" s="201"/>
      <c r="AH32" s="201">
        <v>0</v>
      </c>
      <c r="AI32" s="201"/>
      <c r="AJ32" s="201"/>
      <c r="AK32" s="201"/>
      <c r="AL32" s="201">
        <v>9500</v>
      </c>
      <c r="AM32" s="203">
        <f t="shared" si="0"/>
        <v>112141</v>
      </c>
      <c r="AN32" s="203">
        <f t="shared" si="1"/>
        <v>70000</v>
      </c>
      <c r="AO32" s="200">
        <f t="shared" si="2"/>
        <v>42141</v>
      </c>
      <c r="AP32" s="204"/>
      <c r="AQ32" s="199">
        <f t="shared" si="3"/>
        <v>36735</v>
      </c>
      <c r="AS32" s="206">
        <f t="shared" si="5"/>
        <v>46777</v>
      </c>
      <c r="AT32" s="207"/>
      <c r="AU32" s="207">
        <f t="shared" si="4"/>
        <v>107041</v>
      </c>
      <c r="AW32" s="209"/>
      <c r="AX32" s="209"/>
      <c r="AZ32" s="209"/>
      <c r="BA32" s="209"/>
      <c r="BC32" s="209"/>
      <c r="BD32" s="209"/>
      <c r="BF32" s="204"/>
    </row>
    <row r="33" spans="1:256" x14ac:dyDescent="0.2">
      <c r="A33" s="199">
        <f>+BaseloadMarkets!A34</f>
        <v>36736</v>
      </c>
      <c r="B33" s="199"/>
      <c r="C33" s="200">
        <v>70000</v>
      </c>
      <c r="D33" s="201">
        <v>0</v>
      </c>
      <c r="F33" s="201">
        <v>78</v>
      </c>
      <c r="G33" s="201">
        <v>5000</v>
      </c>
      <c r="H33" s="484">
        <v>372</v>
      </c>
      <c r="I33" s="201">
        <v>968</v>
      </c>
      <c r="J33" s="201">
        <v>3193</v>
      </c>
      <c r="K33" s="201">
        <v>12963</v>
      </c>
      <c r="L33" s="201"/>
      <c r="M33" s="202">
        <f>+Border!AD32</f>
        <v>0</v>
      </c>
      <c r="N33" s="201"/>
      <c r="O33" s="201"/>
      <c r="P33" s="201">
        <f>3043+1175</f>
        <v>4218</v>
      </c>
      <c r="Q33" s="201"/>
      <c r="R33" s="201">
        <v>2821</v>
      </c>
      <c r="S33" s="201"/>
      <c r="T33" s="201"/>
      <c r="U33" s="201"/>
      <c r="V33" s="201"/>
      <c r="W33" s="201"/>
      <c r="X33" s="201"/>
      <c r="Y33" s="201">
        <v>1338</v>
      </c>
      <c r="Z33" s="201"/>
      <c r="AA33" s="201"/>
      <c r="AB33" s="201">
        <v>24133</v>
      </c>
      <c r="AC33" s="201"/>
      <c r="AD33" s="201">
        <v>3870</v>
      </c>
      <c r="AE33" s="201"/>
      <c r="AF33" s="201"/>
      <c r="AG33" s="201"/>
      <c r="AH33" s="201"/>
      <c r="AI33" s="201"/>
      <c r="AJ33" s="201"/>
      <c r="AK33" s="201"/>
      <c r="AL33" s="201"/>
      <c r="AM33" s="203">
        <f t="shared" si="0"/>
        <v>58954</v>
      </c>
      <c r="AN33" s="203">
        <f t="shared" si="1"/>
        <v>70000</v>
      </c>
      <c r="AO33" s="200">
        <f t="shared" si="2"/>
        <v>-11046</v>
      </c>
      <c r="AP33" s="204"/>
      <c r="AQ33" s="199">
        <f t="shared" si="3"/>
        <v>36736</v>
      </c>
      <c r="AS33" s="206">
        <f t="shared" si="5"/>
        <v>35731</v>
      </c>
      <c r="AT33" s="207"/>
      <c r="AU33" s="207">
        <f t="shared" si="4"/>
        <v>58876</v>
      </c>
      <c r="AW33" s="209"/>
      <c r="AX33" s="209"/>
      <c r="AZ33" s="209"/>
      <c r="BA33" s="209"/>
      <c r="BC33" s="209"/>
      <c r="BD33" s="209"/>
      <c r="BF33" s="204"/>
    </row>
    <row r="34" spans="1:256" x14ac:dyDescent="0.2">
      <c r="A34" s="199">
        <f>+BaseloadMarkets!A35</f>
        <v>36737</v>
      </c>
      <c r="B34" s="199"/>
      <c r="C34" s="200">
        <v>70000</v>
      </c>
      <c r="D34" s="201">
        <v>0</v>
      </c>
      <c r="G34" s="201">
        <v>1675</v>
      </c>
      <c r="H34" s="484">
        <v>342</v>
      </c>
      <c r="I34" s="201">
        <v>968</v>
      </c>
      <c r="J34" s="201">
        <v>3193</v>
      </c>
      <c r="K34" s="201">
        <v>14715</v>
      </c>
      <c r="L34" s="201"/>
      <c r="M34" s="202">
        <f>+Border!AD33</f>
        <v>0</v>
      </c>
      <c r="N34" s="201"/>
      <c r="O34" s="201"/>
      <c r="P34" s="201">
        <v>4193</v>
      </c>
      <c r="Q34" s="201"/>
      <c r="R34" s="201">
        <v>2758</v>
      </c>
      <c r="S34" s="201"/>
      <c r="T34" s="201"/>
      <c r="U34" s="201"/>
      <c r="V34" s="201"/>
      <c r="W34" s="201"/>
      <c r="X34" s="201"/>
      <c r="Y34" s="201">
        <v>1338</v>
      </c>
      <c r="Z34" s="201"/>
      <c r="AA34" s="201"/>
      <c r="AB34" s="201">
        <v>21903</v>
      </c>
      <c r="AC34" s="201"/>
      <c r="AD34" s="201">
        <v>3681</v>
      </c>
      <c r="AE34" s="201"/>
      <c r="AF34" s="201"/>
      <c r="AG34" s="201"/>
      <c r="AH34" s="201"/>
      <c r="AI34" s="201"/>
      <c r="AJ34" s="201"/>
      <c r="AK34" s="201"/>
      <c r="AL34" s="201"/>
      <c r="AM34" s="203">
        <f t="shared" si="0"/>
        <v>54766</v>
      </c>
      <c r="AN34" s="203">
        <f t="shared" si="1"/>
        <v>70000</v>
      </c>
      <c r="AO34" s="200">
        <f t="shared" si="2"/>
        <v>-15234</v>
      </c>
      <c r="AP34" s="204"/>
      <c r="AQ34" s="199">
        <f t="shared" si="3"/>
        <v>36737</v>
      </c>
      <c r="AS34" s="206">
        <f t="shared" si="5"/>
        <v>20497</v>
      </c>
      <c r="AT34" s="207"/>
      <c r="AU34" s="207">
        <f t="shared" si="4"/>
        <v>54766</v>
      </c>
      <c r="AW34" s="209"/>
      <c r="AX34" s="209"/>
      <c r="AZ34" s="209"/>
      <c r="BA34" s="209"/>
      <c r="BC34" s="209"/>
      <c r="BD34" s="209"/>
      <c r="BF34" s="204"/>
    </row>
    <row r="35" spans="1:256" x14ac:dyDescent="0.2">
      <c r="A35" s="199">
        <f>+BaseloadMarkets!A36</f>
        <v>36738</v>
      </c>
      <c r="B35" s="199"/>
      <c r="C35" s="200">
        <v>70000</v>
      </c>
      <c r="D35" s="201">
        <v>0</v>
      </c>
      <c r="G35" s="201">
        <v>0</v>
      </c>
      <c r="H35" s="484">
        <v>246</v>
      </c>
      <c r="I35" s="201">
        <v>968</v>
      </c>
      <c r="J35" s="201">
        <v>3193</v>
      </c>
      <c r="K35" s="201">
        <v>18124</v>
      </c>
      <c r="L35" s="201"/>
      <c r="M35" s="202">
        <f>+Border!AD34</f>
        <v>0</v>
      </c>
      <c r="N35" s="201"/>
      <c r="O35" s="201"/>
      <c r="P35" s="201">
        <v>4127</v>
      </c>
      <c r="Q35" s="201"/>
      <c r="R35" s="201">
        <v>2380</v>
      </c>
      <c r="S35" s="201"/>
      <c r="T35" s="201"/>
      <c r="U35" s="201"/>
      <c r="V35" s="201"/>
      <c r="W35" s="201"/>
      <c r="X35" s="201"/>
      <c r="Y35" s="201">
        <v>1338</v>
      </c>
      <c r="Z35" s="201"/>
      <c r="AA35" s="201"/>
      <c r="AB35" s="201">
        <v>11246</v>
      </c>
      <c r="AC35" s="201"/>
      <c r="AD35" s="201">
        <v>2805</v>
      </c>
      <c r="AE35" s="201"/>
      <c r="AF35" s="201"/>
      <c r="AG35" s="201"/>
      <c r="AH35" s="201"/>
      <c r="AI35" s="201"/>
      <c r="AJ35" s="201"/>
      <c r="AK35" s="201"/>
      <c r="AL35" s="201"/>
      <c r="AM35" s="203">
        <f t="shared" si="0"/>
        <v>44427</v>
      </c>
      <c r="AN35" s="203">
        <f t="shared" si="1"/>
        <v>70000</v>
      </c>
      <c r="AO35" s="200">
        <f t="shared" si="2"/>
        <v>-25573</v>
      </c>
      <c r="AP35" s="204"/>
      <c r="AQ35" s="199">
        <f t="shared" si="3"/>
        <v>36738</v>
      </c>
      <c r="AS35" s="206">
        <f t="shared" si="5"/>
        <v>-5076</v>
      </c>
      <c r="AT35" s="207"/>
      <c r="AU35" s="207">
        <f t="shared" si="4"/>
        <v>44427</v>
      </c>
      <c r="AW35" s="209"/>
      <c r="AX35" s="209"/>
      <c r="AZ35" s="209"/>
      <c r="BA35" s="209"/>
      <c r="BC35" s="209"/>
      <c r="BD35" s="209"/>
      <c r="BF35" s="204"/>
    </row>
    <row r="36" spans="1:256" s="218" customFormat="1" x14ac:dyDescent="0.2">
      <c r="A36" s="214" t="s">
        <v>56</v>
      </c>
      <c r="B36" s="208"/>
      <c r="C36" s="215">
        <f t="shared" ref="C36:AB36" si="6">SUM(C5:C35)</f>
        <v>2170000</v>
      </c>
      <c r="D36" s="216">
        <f t="shared" si="6"/>
        <v>175193</v>
      </c>
      <c r="E36" s="216">
        <f t="shared" si="6"/>
        <v>0</v>
      </c>
      <c r="F36" s="216">
        <f t="shared" si="6"/>
        <v>5178</v>
      </c>
      <c r="G36" s="216">
        <f t="shared" si="6"/>
        <v>301675</v>
      </c>
      <c r="H36" s="216">
        <f t="shared" si="6"/>
        <v>129574</v>
      </c>
      <c r="I36" s="216">
        <f t="shared" si="6"/>
        <v>28525</v>
      </c>
      <c r="J36" s="216">
        <f t="shared" si="6"/>
        <v>77271</v>
      </c>
      <c r="K36" s="216">
        <f t="shared" si="6"/>
        <v>221352</v>
      </c>
      <c r="L36" s="216">
        <f t="shared" si="6"/>
        <v>10000</v>
      </c>
      <c r="M36" s="216">
        <f t="shared" si="6"/>
        <v>0</v>
      </c>
      <c r="N36" s="216">
        <f t="shared" si="6"/>
        <v>76752</v>
      </c>
      <c r="O36" s="216">
        <f t="shared" si="6"/>
        <v>56000</v>
      </c>
      <c r="P36" s="216">
        <f t="shared" si="6"/>
        <v>91016</v>
      </c>
      <c r="Q36" s="216">
        <f t="shared" si="6"/>
        <v>38938</v>
      </c>
      <c r="R36" s="216">
        <f t="shared" si="6"/>
        <v>99096</v>
      </c>
      <c r="S36" s="216">
        <f t="shared" si="6"/>
        <v>68188</v>
      </c>
      <c r="T36" s="216">
        <f t="shared" si="6"/>
        <v>44904</v>
      </c>
      <c r="U36" s="216">
        <f t="shared" si="6"/>
        <v>10000</v>
      </c>
      <c r="V36" s="216">
        <f t="shared" si="6"/>
        <v>23360</v>
      </c>
      <c r="W36" s="216">
        <f t="shared" si="6"/>
        <v>10922</v>
      </c>
      <c r="X36" s="216">
        <f t="shared" si="6"/>
        <v>10000</v>
      </c>
      <c r="Y36" s="216">
        <f t="shared" si="6"/>
        <v>54175</v>
      </c>
      <c r="Z36" s="216">
        <f t="shared" si="6"/>
        <v>68428</v>
      </c>
      <c r="AA36" s="216">
        <f t="shared" si="6"/>
        <v>37977</v>
      </c>
      <c r="AB36" s="216">
        <f t="shared" si="6"/>
        <v>125292</v>
      </c>
      <c r="AC36" s="216">
        <f t="shared" ref="AC36:AO36" si="7">SUM(AC5:AC35)</f>
        <v>8008</v>
      </c>
      <c r="AD36" s="216">
        <f t="shared" si="7"/>
        <v>165017</v>
      </c>
      <c r="AE36" s="216">
        <f t="shared" si="7"/>
        <v>20000</v>
      </c>
      <c r="AF36" s="216">
        <f t="shared" si="7"/>
        <v>6448</v>
      </c>
      <c r="AG36" s="216">
        <f t="shared" si="7"/>
        <v>26602</v>
      </c>
      <c r="AH36" s="216">
        <f>SUM(AH5:AH35)</f>
        <v>10868</v>
      </c>
      <c r="AI36" s="216">
        <f>SUM(AI5:AI35)</f>
        <v>10868</v>
      </c>
      <c r="AJ36" s="216">
        <f>SUM(AJ5:AJ35)</f>
        <v>8151</v>
      </c>
      <c r="AK36" s="216">
        <f t="shared" si="7"/>
        <v>2646</v>
      </c>
      <c r="AL36" s="216">
        <f t="shared" si="7"/>
        <v>142500</v>
      </c>
      <c r="AM36" s="216">
        <f t="shared" si="7"/>
        <v>2164924</v>
      </c>
      <c r="AN36" s="216">
        <f t="shared" si="7"/>
        <v>2170000</v>
      </c>
      <c r="AO36" s="215">
        <f t="shared" si="7"/>
        <v>-5076</v>
      </c>
      <c r="AP36" s="208"/>
      <c r="AQ36" s="208"/>
      <c r="AR36" s="217"/>
      <c r="AS36" s="206"/>
      <c r="AT36" s="217"/>
      <c r="AU36" s="217"/>
      <c r="AV36" s="217"/>
      <c r="AW36" s="217"/>
      <c r="AX36" s="217"/>
      <c r="AY36" s="217"/>
      <c r="AZ36" s="217"/>
      <c r="BA36" s="217"/>
      <c r="BB36" s="217"/>
      <c r="BC36" s="217"/>
      <c r="BD36" s="217"/>
      <c r="BE36" s="217"/>
      <c r="BF36" s="217"/>
      <c r="BG36" s="217"/>
      <c r="BH36" s="217"/>
      <c r="BI36" s="217"/>
      <c r="BJ36" s="217"/>
      <c r="BK36" s="217"/>
      <c r="BL36" s="217"/>
      <c r="BM36" s="217"/>
      <c r="BN36" s="217"/>
      <c r="BO36" s="217"/>
      <c r="BP36" s="217"/>
      <c r="BQ36" s="217"/>
      <c r="BR36" s="217"/>
      <c r="BS36" s="217"/>
      <c r="BT36" s="217"/>
      <c r="BU36" s="217"/>
      <c r="BV36" s="217"/>
      <c r="BW36" s="217"/>
      <c r="BX36" s="217"/>
      <c r="BY36" s="217"/>
      <c r="BZ36" s="217"/>
      <c r="CA36" s="217"/>
      <c r="CB36" s="217"/>
      <c r="CC36" s="217"/>
      <c r="CD36" s="217"/>
      <c r="CE36" s="217"/>
      <c r="CF36" s="217"/>
      <c r="CG36" s="217"/>
      <c r="CH36" s="217"/>
      <c r="CI36" s="217"/>
      <c r="CJ36" s="217"/>
      <c r="CK36" s="217"/>
      <c r="CL36" s="217"/>
      <c r="CM36" s="217"/>
      <c r="CN36" s="217"/>
      <c r="CO36" s="217"/>
      <c r="CP36" s="217"/>
      <c r="CQ36" s="217"/>
      <c r="CR36" s="217"/>
      <c r="CS36" s="217"/>
      <c r="CT36" s="217"/>
      <c r="CU36" s="217"/>
      <c r="CV36" s="217"/>
      <c r="CW36" s="217"/>
      <c r="CX36" s="217"/>
      <c r="CY36" s="217"/>
      <c r="CZ36" s="217"/>
      <c r="DA36" s="217"/>
      <c r="DB36" s="217"/>
      <c r="DC36" s="217"/>
      <c r="DD36" s="217"/>
      <c r="DE36" s="217"/>
      <c r="DF36" s="217"/>
      <c r="DG36" s="217"/>
      <c r="DH36" s="217"/>
      <c r="DI36" s="217"/>
      <c r="DJ36" s="217"/>
      <c r="DK36" s="217"/>
      <c r="DL36" s="217"/>
      <c r="DM36" s="217"/>
      <c r="DN36" s="217"/>
      <c r="DO36" s="217"/>
      <c r="DP36" s="217"/>
      <c r="DQ36" s="217"/>
      <c r="DR36" s="217"/>
      <c r="DS36" s="217"/>
      <c r="DT36" s="217"/>
      <c r="DU36" s="217"/>
      <c r="DV36" s="217"/>
      <c r="DW36" s="217"/>
      <c r="DX36" s="217"/>
      <c r="DY36" s="217"/>
      <c r="DZ36" s="217"/>
      <c r="EA36" s="217"/>
      <c r="EB36" s="217"/>
      <c r="EC36" s="217"/>
      <c r="ED36" s="217"/>
      <c r="EE36" s="217"/>
      <c r="EF36" s="217"/>
      <c r="EG36" s="217"/>
      <c r="EH36" s="217"/>
      <c r="EI36" s="217"/>
      <c r="EJ36" s="217"/>
      <c r="EK36" s="217"/>
      <c r="EL36" s="217"/>
      <c r="EM36" s="217"/>
      <c r="EN36" s="217"/>
      <c r="EO36" s="217"/>
      <c r="EP36" s="217"/>
      <c r="EQ36" s="217"/>
      <c r="ER36" s="217"/>
      <c r="ES36" s="217"/>
      <c r="ET36" s="217"/>
      <c r="EU36" s="217"/>
      <c r="EV36" s="217"/>
      <c r="EW36" s="217"/>
      <c r="EX36" s="217"/>
      <c r="EY36" s="217"/>
      <c r="EZ36" s="217"/>
      <c r="FA36" s="217"/>
      <c r="FB36" s="217"/>
      <c r="FC36" s="217"/>
      <c r="FD36" s="217"/>
      <c r="FE36" s="217"/>
      <c r="FF36" s="217"/>
      <c r="FG36" s="217"/>
      <c r="FH36" s="217"/>
      <c r="FI36" s="217"/>
      <c r="FJ36" s="217"/>
      <c r="FK36" s="217"/>
      <c r="FL36" s="217"/>
      <c r="FM36" s="217"/>
      <c r="FN36" s="217"/>
      <c r="FO36" s="217"/>
      <c r="FP36" s="217"/>
      <c r="FQ36" s="217"/>
      <c r="FR36" s="217"/>
      <c r="FS36" s="217"/>
      <c r="FT36" s="217"/>
      <c r="FU36" s="217"/>
      <c r="FV36" s="217"/>
      <c r="FW36" s="217"/>
      <c r="FX36" s="217"/>
      <c r="FY36" s="217"/>
      <c r="FZ36" s="217"/>
      <c r="GA36" s="217"/>
      <c r="GB36" s="217"/>
      <c r="GC36" s="217"/>
      <c r="GD36" s="217"/>
      <c r="GE36" s="217"/>
      <c r="GF36" s="217"/>
      <c r="GG36" s="217"/>
      <c r="GH36" s="217"/>
      <c r="GI36" s="217"/>
      <c r="GJ36" s="217"/>
      <c r="GK36" s="217"/>
      <c r="GL36" s="217"/>
      <c r="GM36" s="217"/>
      <c r="GN36" s="217"/>
      <c r="GO36" s="217"/>
      <c r="GP36" s="217"/>
      <c r="GQ36" s="217"/>
      <c r="GR36" s="217"/>
      <c r="GS36" s="217"/>
      <c r="GT36" s="217"/>
      <c r="GU36" s="217"/>
      <c r="GV36" s="217"/>
      <c r="GW36" s="217"/>
      <c r="GX36" s="217"/>
      <c r="GY36" s="217"/>
      <c r="GZ36" s="217"/>
      <c r="HA36" s="217"/>
      <c r="HB36" s="217"/>
      <c r="HC36" s="217"/>
      <c r="HD36" s="217"/>
      <c r="HE36" s="217"/>
      <c r="HF36" s="217"/>
      <c r="HG36" s="217"/>
      <c r="HH36" s="217"/>
      <c r="HI36" s="217"/>
      <c r="HJ36" s="217"/>
      <c r="HK36" s="217"/>
      <c r="HL36" s="217"/>
      <c r="HM36" s="217"/>
      <c r="HN36" s="217"/>
      <c r="HO36" s="217"/>
      <c r="HP36" s="217"/>
      <c r="HQ36" s="217"/>
      <c r="HR36" s="217"/>
      <c r="HS36" s="217"/>
      <c r="HT36" s="217"/>
      <c r="HU36" s="217"/>
      <c r="HV36" s="217"/>
      <c r="HW36" s="217"/>
      <c r="HX36" s="217"/>
      <c r="HY36" s="217"/>
      <c r="HZ36" s="217"/>
      <c r="IA36" s="217"/>
      <c r="IB36" s="217"/>
      <c r="IC36" s="217"/>
      <c r="ID36" s="217"/>
      <c r="IE36" s="217"/>
      <c r="IF36" s="217"/>
      <c r="IG36" s="217"/>
      <c r="IH36" s="217"/>
      <c r="II36" s="217"/>
      <c r="IJ36" s="217"/>
      <c r="IK36" s="217"/>
      <c r="IL36" s="217"/>
      <c r="IM36" s="217"/>
      <c r="IN36" s="217"/>
      <c r="IO36" s="217"/>
      <c r="IP36" s="217"/>
      <c r="IQ36" s="217"/>
      <c r="IR36" s="217"/>
      <c r="IS36" s="217"/>
      <c r="IT36" s="217"/>
      <c r="IU36" s="217"/>
      <c r="IV36" s="217"/>
    </row>
    <row r="37" spans="1:256" x14ac:dyDescent="0.2">
      <c r="J37" s="203"/>
      <c r="K37" s="203"/>
      <c r="L37" s="203"/>
      <c r="M37" s="220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IU37" s="205"/>
      <c r="IV37" s="205"/>
    </row>
    <row r="38" spans="1:256" x14ac:dyDescent="0.2">
      <c r="A38" s="101">
        <v>1</v>
      </c>
      <c r="B38" s="40">
        <f t="shared" ref="B38:AU38" si="8">+A38+1</f>
        <v>2</v>
      </c>
      <c r="C38" s="40">
        <f t="shared" si="8"/>
        <v>3</v>
      </c>
      <c r="D38" s="40">
        <f t="shared" si="8"/>
        <v>4</v>
      </c>
      <c r="E38" s="40">
        <f t="shared" si="8"/>
        <v>5</v>
      </c>
      <c r="F38" s="40">
        <f t="shared" si="8"/>
        <v>6</v>
      </c>
      <c r="G38" s="40">
        <f t="shared" si="8"/>
        <v>7</v>
      </c>
      <c r="H38" s="40">
        <f t="shared" si="8"/>
        <v>8</v>
      </c>
      <c r="I38" s="40">
        <f t="shared" si="8"/>
        <v>9</v>
      </c>
      <c r="J38" s="40">
        <f t="shared" si="8"/>
        <v>10</v>
      </c>
      <c r="K38" s="40">
        <f t="shared" si="8"/>
        <v>11</v>
      </c>
      <c r="L38" s="40">
        <f t="shared" si="8"/>
        <v>12</v>
      </c>
      <c r="M38" s="40">
        <f t="shared" si="8"/>
        <v>13</v>
      </c>
      <c r="N38" s="40">
        <f t="shared" si="8"/>
        <v>14</v>
      </c>
      <c r="O38" s="40">
        <f t="shared" si="8"/>
        <v>15</v>
      </c>
      <c r="P38" s="40">
        <f t="shared" si="8"/>
        <v>16</v>
      </c>
      <c r="Q38" s="40">
        <f t="shared" si="8"/>
        <v>17</v>
      </c>
      <c r="R38" s="40">
        <f t="shared" si="8"/>
        <v>18</v>
      </c>
      <c r="S38" s="40">
        <f t="shared" si="8"/>
        <v>19</v>
      </c>
      <c r="T38" s="40">
        <f t="shared" si="8"/>
        <v>20</v>
      </c>
      <c r="U38" s="40">
        <f t="shared" si="8"/>
        <v>21</v>
      </c>
      <c r="V38" s="40">
        <f t="shared" si="8"/>
        <v>22</v>
      </c>
      <c r="W38" s="40">
        <f t="shared" si="8"/>
        <v>23</v>
      </c>
      <c r="X38" s="40">
        <f t="shared" si="8"/>
        <v>24</v>
      </c>
      <c r="Y38" s="40">
        <f t="shared" si="8"/>
        <v>25</v>
      </c>
      <c r="Z38" s="40">
        <f t="shared" si="8"/>
        <v>26</v>
      </c>
      <c r="AA38" s="40">
        <f t="shared" si="8"/>
        <v>27</v>
      </c>
      <c r="AB38" s="40">
        <f t="shared" si="8"/>
        <v>28</v>
      </c>
      <c r="AC38" s="40">
        <f t="shared" si="8"/>
        <v>29</v>
      </c>
      <c r="AD38" s="40">
        <f t="shared" si="8"/>
        <v>30</v>
      </c>
      <c r="AE38" s="40">
        <f t="shared" si="8"/>
        <v>31</v>
      </c>
      <c r="AF38" s="40">
        <f t="shared" si="8"/>
        <v>32</v>
      </c>
      <c r="AG38" s="40">
        <f t="shared" si="8"/>
        <v>33</v>
      </c>
      <c r="AH38" s="40">
        <f t="shared" si="8"/>
        <v>34</v>
      </c>
      <c r="AI38" s="40">
        <f t="shared" si="8"/>
        <v>35</v>
      </c>
      <c r="AJ38" s="40">
        <f t="shared" si="8"/>
        <v>36</v>
      </c>
      <c r="AK38" s="40">
        <f t="shared" si="8"/>
        <v>37</v>
      </c>
      <c r="AL38" s="40">
        <f t="shared" si="8"/>
        <v>38</v>
      </c>
      <c r="AM38" s="40">
        <f t="shared" si="8"/>
        <v>39</v>
      </c>
      <c r="AN38" s="40">
        <f t="shared" si="8"/>
        <v>40</v>
      </c>
      <c r="AO38" s="40">
        <f t="shared" si="8"/>
        <v>41</v>
      </c>
      <c r="AP38" s="40">
        <f t="shared" si="8"/>
        <v>42</v>
      </c>
      <c r="AQ38" s="40">
        <f t="shared" si="8"/>
        <v>43</v>
      </c>
      <c r="AR38" s="40">
        <f t="shared" si="8"/>
        <v>44</v>
      </c>
      <c r="AS38" s="40">
        <f t="shared" si="8"/>
        <v>45</v>
      </c>
      <c r="AT38" s="40">
        <f t="shared" si="8"/>
        <v>46</v>
      </c>
      <c r="AU38" s="40">
        <f t="shared" si="8"/>
        <v>47</v>
      </c>
      <c r="IV38" s="205"/>
    </row>
  </sheetData>
  <printOptions gridLines="1" gridLinesSet="0"/>
  <pageMargins left="0.25" right="0.25" top="0.25" bottom="0.25" header="0.5" footer="0.5"/>
  <pageSetup paperSize="5" scale="24" orientation="landscape" horizontalDpi="429496729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D48"/>
  <sheetViews>
    <sheetView zoomScale="90" workbookViewId="0">
      <pane xSplit="1" ySplit="3" topLeftCell="K12" activePane="bottomRight" state="frozen"/>
      <selection activeCell="AT19" sqref="AT19"/>
      <selection pane="topRight" activeCell="AT19" sqref="AT19"/>
      <selection pane="bottomLeft" activeCell="AT19" sqref="AT19"/>
      <selection pane="bottomRight" activeCell="L34" sqref="L34"/>
    </sheetView>
  </sheetViews>
  <sheetFormatPr defaultRowHeight="12.75" x14ac:dyDescent="0.2"/>
  <cols>
    <col min="1" max="1" width="17" style="219" customWidth="1"/>
    <col min="2" max="2" width="18" style="208" customWidth="1"/>
    <col min="3" max="3" width="14" style="208" customWidth="1"/>
    <col min="4" max="4" width="15.33203125" style="209" customWidth="1"/>
    <col min="5" max="5" width="13.6640625" style="208" customWidth="1"/>
    <col min="6" max="6" width="13.33203125" style="208" customWidth="1"/>
    <col min="7" max="7" width="13.6640625" style="208" customWidth="1"/>
    <col min="8" max="8" width="14.5" style="275" customWidth="1"/>
    <col min="9" max="9" width="13.33203125" hidden="1" customWidth="1"/>
    <col min="10" max="10" width="16.33203125" style="213" customWidth="1"/>
    <col min="11" max="11" width="14.5" style="78" customWidth="1"/>
    <col min="12" max="12" width="15.33203125" style="209" customWidth="1"/>
    <col min="13" max="13" width="15.33203125" style="275" customWidth="1"/>
    <col min="14" max="14" width="1" style="208" hidden="1" customWidth="1"/>
    <col min="15" max="15" width="13.83203125" style="208" customWidth="1"/>
    <col min="16" max="16" width="10.83203125" style="219" customWidth="1"/>
    <col min="17" max="17" width="2.6640625" style="276" customWidth="1"/>
    <col min="18" max="18" width="16.6640625" style="277" customWidth="1"/>
    <col min="19" max="19" width="16.6640625" style="204" customWidth="1"/>
    <col min="20" max="20" width="8.83203125" style="208" customWidth="1"/>
    <col min="21" max="21" width="2.83203125" style="208" customWidth="1"/>
    <col min="22" max="22" width="14" style="208" customWidth="1"/>
    <col min="23" max="23" width="11.1640625" style="208" bestFit="1" customWidth="1"/>
    <col min="24" max="24" width="23.5" style="208" bestFit="1" customWidth="1"/>
    <col min="25" max="25" width="10" style="208" bestFit="1" customWidth="1"/>
    <col min="26" max="26" width="12.1640625" style="208" customWidth="1"/>
    <col min="27" max="16384" width="9.33203125" style="208"/>
  </cols>
  <sheetData>
    <row r="1" spans="1:30" s="225" customFormat="1" ht="24.95" customHeight="1" x14ac:dyDescent="0.4">
      <c r="A1" s="222" t="s">
        <v>163</v>
      </c>
      <c r="B1" s="223"/>
      <c r="C1" s="223"/>
      <c r="D1" s="224"/>
      <c r="G1"/>
      <c r="H1"/>
      <c r="I1"/>
      <c r="J1"/>
      <c r="K1" s="226"/>
      <c r="L1" s="227"/>
      <c r="M1" s="223"/>
      <c r="P1" s="227"/>
      <c r="Q1" s="228"/>
      <c r="R1" s="229"/>
      <c r="S1" s="230"/>
      <c r="T1" s="231"/>
      <c r="U1" s="230"/>
      <c r="V1" s="230"/>
      <c r="W1" s="230"/>
      <c r="X1" s="232"/>
    </row>
    <row r="2" spans="1:30" s="237" customFormat="1" ht="15" customHeight="1" thickBot="1" x14ac:dyDescent="0.25">
      <c r="A2" s="233">
        <f ca="1">NOW()</f>
        <v>36747.196142476852</v>
      </c>
      <c r="B2" s="234" t="s">
        <v>164</v>
      </c>
      <c r="C2" s="235"/>
      <c r="D2" s="236"/>
      <c r="E2" s="235"/>
      <c r="F2" s="235"/>
      <c r="G2" s="235"/>
      <c r="I2"/>
      <c r="J2" s="238" t="s">
        <v>165</v>
      </c>
      <c r="L2" s="239"/>
      <c r="N2" s="240"/>
      <c r="O2" s="235"/>
      <c r="P2" s="241"/>
      <c r="R2" s="242"/>
      <c r="S2" s="241"/>
      <c r="T2" s="235"/>
    </row>
    <row r="3" spans="1:30" s="249" customFormat="1" ht="57.95" customHeight="1" thickBot="1" x14ac:dyDescent="0.25">
      <c r="A3" s="243" t="s">
        <v>152</v>
      </c>
      <c r="B3" s="243" t="s">
        <v>166</v>
      </c>
      <c r="C3" s="243" t="s">
        <v>167</v>
      </c>
      <c r="D3" s="244" t="s">
        <v>168</v>
      </c>
      <c r="E3" s="245" t="s">
        <v>169</v>
      </c>
      <c r="F3" s="246" t="s">
        <v>170</v>
      </c>
      <c r="G3" s="243" t="s">
        <v>171</v>
      </c>
      <c r="H3" s="243" t="s">
        <v>172</v>
      </c>
      <c r="I3"/>
      <c r="J3" s="244" t="s">
        <v>173</v>
      </c>
      <c r="K3" s="243" t="s">
        <v>174</v>
      </c>
      <c r="L3" s="244" t="s">
        <v>175</v>
      </c>
      <c r="M3" s="243" t="s">
        <v>176</v>
      </c>
      <c r="N3" s="243" t="s">
        <v>177</v>
      </c>
      <c r="O3" s="243" t="s">
        <v>178</v>
      </c>
      <c r="P3" s="243" t="s">
        <v>179</v>
      </c>
      <c r="Q3" s="247"/>
      <c r="R3" s="248" t="s">
        <v>180</v>
      </c>
      <c r="S3" s="248" t="s">
        <v>181</v>
      </c>
      <c r="T3" s="243" t="s">
        <v>182</v>
      </c>
    </row>
    <row r="4" spans="1:30" s="205" customFormat="1" ht="13.5" thickBot="1" x14ac:dyDescent="0.25">
      <c r="A4" s="250">
        <f>BaseloadMarkets!A6</f>
        <v>36708</v>
      </c>
      <c r="B4" s="251">
        <f>+EES!C5</f>
        <v>70000</v>
      </c>
      <c r="C4" s="252">
        <v>0</v>
      </c>
      <c r="D4" s="253">
        <v>0</v>
      </c>
      <c r="E4" s="253">
        <v>0</v>
      </c>
      <c r="F4" s="251">
        <v>0</v>
      </c>
      <c r="G4" s="251">
        <f>+BaseloadMarkets!DS6+OCCMarkets!CN6+SwingMarkets!DS6+EOLMarkets!ER6</f>
        <v>392105</v>
      </c>
      <c r="H4" s="254">
        <f t="shared" ref="H4:H33" si="0">SUM(B4:G4)</f>
        <v>462105</v>
      </c>
      <c r="I4"/>
      <c r="J4" s="253">
        <v>0</v>
      </c>
      <c r="K4" s="255">
        <v>0</v>
      </c>
      <c r="L4" s="253">
        <f>15710+11552+10333+5044</f>
        <v>42639</v>
      </c>
      <c r="M4" s="251">
        <f>Supplies!BG6+EOLSupplies!DT6</f>
        <v>424674</v>
      </c>
      <c r="N4" s="251">
        <v>0</v>
      </c>
      <c r="O4" s="254">
        <f t="shared" ref="O4:O33" si="1">SUM(J4:N4)</f>
        <v>467313</v>
      </c>
      <c r="P4" s="256">
        <f t="shared" ref="P4:P33" si="2">A4</f>
        <v>36708</v>
      </c>
      <c r="Q4" s="152"/>
      <c r="R4" s="257">
        <f t="shared" ref="R4:R33" si="3">+O4-H4</f>
        <v>5208</v>
      </c>
      <c r="S4" s="257">
        <f>R4</f>
        <v>5208</v>
      </c>
      <c r="T4" s="258">
        <f t="shared" ref="T4:T33" si="4">A4</f>
        <v>36708</v>
      </c>
      <c r="U4" s="206"/>
      <c r="V4" s="206">
        <f>M4+L4-B4-(+BaseloadMarkets!DT6+OCCMarkets!CO6+SwingMarkets!DT6+EOLMarkets!ER6)-EES!AO5</f>
        <v>0</v>
      </c>
      <c r="W4" s="206"/>
      <c r="X4" s="206">
        <f>+O4</f>
        <v>467313</v>
      </c>
      <c r="Y4" s="206"/>
      <c r="Z4" s="28">
        <v>0</v>
      </c>
      <c r="AD4" s="205">
        <v>0</v>
      </c>
    </row>
    <row r="5" spans="1:30" s="205" customFormat="1" ht="13.5" thickBot="1" x14ac:dyDescent="0.25">
      <c r="A5" s="250">
        <f>BaseloadMarkets!A7</f>
        <v>36709</v>
      </c>
      <c r="B5" s="251">
        <f>+EES!C6</f>
        <v>70000</v>
      </c>
      <c r="C5" s="252">
        <v>0</v>
      </c>
      <c r="D5" s="253">
        <v>0</v>
      </c>
      <c r="E5" s="253">
        <v>0</v>
      </c>
      <c r="F5" s="251">
        <v>0</v>
      </c>
      <c r="G5" s="251">
        <f>+BaseloadMarkets!DS7+OCCMarkets!CN7+SwingMarkets!DS7+EOLMarkets!ER7</f>
        <v>392234</v>
      </c>
      <c r="H5" s="254">
        <f t="shared" si="0"/>
        <v>462234</v>
      </c>
      <c r="I5"/>
      <c r="J5" s="253">
        <v>0</v>
      </c>
      <c r="K5" s="255">
        <v>0</v>
      </c>
      <c r="L5" s="253">
        <f>16817+11845+12219+485</f>
        <v>41366</v>
      </c>
      <c r="M5" s="251">
        <f>Supplies!BG7+EOLSupplies!DT7</f>
        <v>392897</v>
      </c>
      <c r="N5" s="251">
        <v>0</v>
      </c>
      <c r="O5" s="254">
        <f t="shared" si="1"/>
        <v>434263</v>
      </c>
      <c r="P5" s="256">
        <f t="shared" si="2"/>
        <v>36709</v>
      </c>
      <c r="Q5" s="152"/>
      <c r="R5" s="257">
        <f t="shared" si="3"/>
        <v>-27971</v>
      </c>
      <c r="S5" s="257">
        <f t="shared" ref="S5:S33" si="5">S4+R5</f>
        <v>-22763</v>
      </c>
      <c r="T5" s="258">
        <f t="shared" si="4"/>
        <v>36709</v>
      </c>
      <c r="U5" s="206"/>
      <c r="V5" s="206">
        <f>M5+L5-B5-(+BaseloadMarkets!DT7+OCCMarkets!CO7+SwingMarkets!DT7+EOLMarkets!ER7)-EES!AO6</f>
        <v>0</v>
      </c>
      <c r="W5" s="206"/>
      <c r="X5" s="206">
        <f t="shared" ref="X5:X33" si="6">+X4+O5</f>
        <v>901576</v>
      </c>
      <c r="Y5" s="207"/>
      <c r="Z5" s="28">
        <v>0</v>
      </c>
      <c r="AD5" s="205">
        <v>0</v>
      </c>
    </row>
    <row r="6" spans="1:30" ht="13.5" thickBot="1" x14ac:dyDescent="0.25">
      <c r="A6" s="250">
        <f>BaseloadMarkets!A8</f>
        <v>36710</v>
      </c>
      <c r="B6" s="251">
        <f>+EES!C7</f>
        <v>70000</v>
      </c>
      <c r="C6" s="252">
        <v>0</v>
      </c>
      <c r="D6" s="253">
        <v>0</v>
      </c>
      <c r="E6" s="253">
        <v>0</v>
      </c>
      <c r="F6" s="251">
        <v>0</v>
      </c>
      <c r="G6" s="251">
        <f>+BaseloadMarkets!DS8+OCCMarkets!CN8+SwingMarkets!DS8+EOLMarkets!ER8</f>
        <v>395471</v>
      </c>
      <c r="H6" s="254">
        <f t="shared" si="0"/>
        <v>465471</v>
      </c>
      <c r="J6" s="253">
        <v>0</v>
      </c>
      <c r="K6" s="255">
        <v>0</v>
      </c>
      <c r="L6" s="253">
        <f>12031+11819+3128+10511+1591</f>
        <v>39080</v>
      </c>
      <c r="M6" s="251">
        <f>Supplies!BG8+EOLSupplies!DT8</f>
        <v>421849</v>
      </c>
      <c r="N6" s="251">
        <v>0</v>
      </c>
      <c r="O6" s="254">
        <f t="shared" si="1"/>
        <v>460929</v>
      </c>
      <c r="P6" s="256">
        <f t="shared" si="2"/>
        <v>36710</v>
      </c>
      <c r="Q6" s="152"/>
      <c r="R6" s="257">
        <f t="shared" si="3"/>
        <v>-4542</v>
      </c>
      <c r="S6" s="257">
        <f t="shared" si="5"/>
        <v>-27305</v>
      </c>
      <c r="T6" s="258">
        <f t="shared" si="4"/>
        <v>36710</v>
      </c>
      <c r="U6" s="259"/>
      <c r="V6" s="206">
        <f>M6+L6-B6-(+BaseloadMarkets!DT8+OCCMarkets!CO8+SwingMarkets!DT8+EOLMarkets!ER8)-EES!AO7</f>
        <v>0</v>
      </c>
      <c r="W6" s="206"/>
      <c r="X6" s="206">
        <f t="shared" si="6"/>
        <v>1362505</v>
      </c>
      <c r="Y6" s="259"/>
      <c r="Z6" s="28">
        <v>0</v>
      </c>
      <c r="AB6" s="205"/>
      <c r="AD6" s="205">
        <v>0</v>
      </c>
    </row>
    <row r="7" spans="1:30" ht="13.5" thickBot="1" x14ac:dyDescent="0.25">
      <c r="A7" s="250">
        <f>BaseloadMarkets!A9</f>
        <v>36711</v>
      </c>
      <c r="B7" s="251">
        <f>+EES!C8</f>
        <v>70000</v>
      </c>
      <c r="C7" s="252">
        <v>0</v>
      </c>
      <c r="D7" s="253">
        <v>0</v>
      </c>
      <c r="E7" s="253">
        <v>0</v>
      </c>
      <c r="F7" s="251">
        <v>0</v>
      </c>
      <c r="G7" s="251">
        <f>+BaseloadMarkets!DS9+OCCMarkets!CN9+SwingMarkets!DS9+EOLMarkets!ER9</f>
        <v>396318</v>
      </c>
      <c r="H7" s="254">
        <f t="shared" si="0"/>
        <v>466318</v>
      </c>
      <c r="J7" s="253">
        <v>0</v>
      </c>
      <c r="K7" s="255">
        <v>0</v>
      </c>
      <c r="L7" s="253">
        <f>28405+17458</f>
        <v>45863</v>
      </c>
      <c r="M7" s="251">
        <f>Supplies!BG9+EOLSupplies!DT9</f>
        <v>392800</v>
      </c>
      <c r="N7" s="251">
        <v>0</v>
      </c>
      <c r="O7" s="254">
        <f t="shared" si="1"/>
        <v>438663</v>
      </c>
      <c r="P7" s="256">
        <f t="shared" si="2"/>
        <v>36711</v>
      </c>
      <c r="Q7" s="152"/>
      <c r="R7" s="257">
        <f t="shared" si="3"/>
        <v>-27655</v>
      </c>
      <c r="S7" s="257">
        <f t="shared" si="5"/>
        <v>-54960</v>
      </c>
      <c r="T7" s="258">
        <f t="shared" si="4"/>
        <v>36711</v>
      </c>
      <c r="U7" s="259"/>
      <c r="V7" s="206">
        <f>M7+L7-B7-(+BaseloadMarkets!DT9+OCCMarkets!CO9+SwingMarkets!DT9+EOLMarkets!ER9)-EES!AO8</f>
        <v>0</v>
      </c>
      <c r="W7" s="206"/>
      <c r="X7" s="206">
        <f t="shared" si="6"/>
        <v>1801168</v>
      </c>
      <c r="Y7" s="259"/>
      <c r="Z7" s="28">
        <f t="shared" ref="Z7:Z33" si="7">ROUND(+V7/2,0)</f>
        <v>0</v>
      </c>
      <c r="AB7" s="205"/>
      <c r="AD7" s="205">
        <v>0</v>
      </c>
    </row>
    <row r="8" spans="1:30" s="78" customFormat="1" ht="13.5" thickBot="1" x14ac:dyDescent="0.25">
      <c r="A8" s="250">
        <f>BaseloadMarkets!A10</f>
        <v>36712</v>
      </c>
      <c r="B8" s="251">
        <f>+EES!C9</f>
        <v>70000</v>
      </c>
      <c r="C8" s="252">
        <v>0</v>
      </c>
      <c r="D8" s="253">
        <v>0</v>
      </c>
      <c r="E8" s="253">
        <v>0</v>
      </c>
      <c r="F8" s="251">
        <v>0</v>
      </c>
      <c r="G8" s="251">
        <f>+BaseloadMarkets!DS10+OCCMarkets!CN10+SwingMarkets!DS10+EOLMarkets!ER10</f>
        <v>405269</v>
      </c>
      <c r="H8" s="254">
        <f t="shared" si="0"/>
        <v>475269</v>
      </c>
      <c r="I8"/>
      <c r="J8" s="253">
        <v>0</v>
      </c>
      <c r="K8" s="255">
        <v>0</v>
      </c>
      <c r="L8" s="253">
        <f>26143+12499</f>
        <v>38642</v>
      </c>
      <c r="M8" s="251">
        <f>Supplies!BG10+EOLSupplies!DT10</f>
        <v>451478</v>
      </c>
      <c r="N8" s="251">
        <v>0</v>
      </c>
      <c r="O8" s="254">
        <f t="shared" si="1"/>
        <v>490120</v>
      </c>
      <c r="P8" s="256">
        <f t="shared" si="2"/>
        <v>36712</v>
      </c>
      <c r="Q8" s="157"/>
      <c r="R8" s="257">
        <f t="shared" si="3"/>
        <v>14851</v>
      </c>
      <c r="S8" s="257">
        <f t="shared" si="5"/>
        <v>-40109</v>
      </c>
      <c r="T8" s="258">
        <f t="shared" si="4"/>
        <v>36712</v>
      </c>
      <c r="U8" s="157"/>
      <c r="V8" s="206">
        <f>M8+L8-B8-(+BaseloadMarkets!DT10+OCCMarkets!CO10+SwingMarkets!DT10+EOLMarkets!ER10)-EES!AO9</f>
        <v>0</v>
      </c>
      <c r="W8" s="206"/>
      <c r="X8" s="206">
        <f t="shared" si="6"/>
        <v>2291288</v>
      </c>
      <c r="Y8" s="157"/>
      <c r="Z8" s="28">
        <f t="shared" si="7"/>
        <v>0</v>
      </c>
      <c r="AB8" s="205"/>
      <c r="AD8" s="205">
        <v>0</v>
      </c>
    </row>
    <row r="9" spans="1:30" s="78" customFormat="1" ht="13.5" thickBot="1" x14ac:dyDescent="0.25">
      <c r="A9" s="250">
        <f>BaseloadMarkets!A11</f>
        <v>36713</v>
      </c>
      <c r="B9" s="251">
        <f>+EES!C10</f>
        <v>70000</v>
      </c>
      <c r="C9" s="252">
        <v>0</v>
      </c>
      <c r="D9" s="253">
        <v>0</v>
      </c>
      <c r="E9" s="253">
        <v>0</v>
      </c>
      <c r="F9" s="251">
        <v>0</v>
      </c>
      <c r="G9" s="251">
        <f>+BaseloadMarkets!DS11+OCCMarkets!CN11+SwingMarkets!DS11+EOLMarkets!ER11</f>
        <v>397759</v>
      </c>
      <c r="H9" s="254">
        <f t="shared" si="0"/>
        <v>467759</v>
      </c>
      <c r="I9"/>
      <c r="J9" s="253">
        <v>0</v>
      </c>
      <c r="K9" s="255">
        <v>0</v>
      </c>
      <c r="L9" s="253">
        <f>6016+29356+24987</f>
        <v>60359</v>
      </c>
      <c r="M9" s="251">
        <f>Supplies!BG11+EOLSupplies!DT11</f>
        <v>508026</v>
      </c>
      <c r="N9" s="251">
        <v>0</v>
      </c>
      <c r="O9" s="254">
        <f t="shared" si="1"/>
        <v>568385</v>
      </c>
      <c r="P9" s="256">
        <f t="shared" si="2"/>
        <v>36713</v>
      </c>
      <c r="Q9" s="157"/>
      <c r="R9" s="257">
        <f t="shared" si="3"/>
        <v>100626</v>
      </c>
      <c r="S9" s="257">
        <f t="shared" si="5"/>
        <v>60517</v>
      </c>
      <c r="T9" s="258">
        <f t="shared" si="4"/>
        <v>36713</v>
      </c>
      <c r="U9" s="157"/>
      <c r="V9" s="206">
        <f>M9+L9-B9-(+BaseloadMarkets!DT11+OCCMarkets!CO11+SwingMarkets!DT11+EOLMarkets!ER11)-EES!AO10</f>
        <v>0</v>
      </c>
      <c r="W9" s="206"/>
      <c r="X9" s="206">
        <f t="shared" si="6"/>
        <v>2859673</v>
      </c>
      <c r="Y9" s="157"/>
      <c r="Z9" s="28">
        <f t="shared" si="7"/>
        <v>0</v>
      </c>
      <c r="AB9" s="205"/>
      <c r="AD9" s="205">
        <v>0</v>
      </c>
    </row>
    <row r="10" spans="1:30" s="78" customFormat="1" ht="13.5" thickBot="1" x14ac:dyDescent="0.25">
      <c r="A10" s="250">
        <f>BaseloadMarkets!A12</f>
        <v>36714</v>
      </c>
      <c r="B10" s="251">
        <f>+EES!C11</f>
        <v>70000</v>
      </c>
      <c r="C10" s="252">
        <v>0</v>
      </c>
      <c r="D10" s="253">
        <v>0</v>
      </c>
      <c r="E10" s="253">
        <v>0</v>
      </c>
      <c r="F10" s="251">
        <v>0</v>
      </c>
      <c r="G10" s="251">
        <f>+BaseloadMarkets!DS12+OCCMarkets!CN12+SwingMarkets!DS12+EOLMarkets!ER12</f>
        <v>454008</v>
      </c>
      <c r="H10" s="254">
        <f t="shared" si="0"/>
        <v>524008</v>
      </c>
      <c r="I10"/>
      <c r="J10" s="253">
        <v>0</v>
      </c>
      <c r="K10" s="255">
        <v>0</v>
      </c>
      <c r="L10" s="253">
        <f>22801+6018+20314</f>
        <v>49133</v>
      </c>
      <c r="M10" s="251">
        <f>Supplies!BG12+EOLSupplies!DT12</f>
        <v>429801</v>
      </c>
      <c r="N10" s="251">
        <v>0</v>
      </c>
      <c r="O10" s="254">
        <f t="shared" si="1"/>
        <v>478934</v>
      </c>
      <c r="P10" s="256">
        <f t="shared" si="2"/>
        <v>36714</v>
      </c>
      <c r="Q10" s="157"/>
      <c r="R10" s="257">
        <f t="shared" si="3"/>
        <v>-45074</v>
      </c>
      <c r="S10" s="257">
        <f t="shared" si="5"/>
        <v>15443</v>
      </c>
      <c r="T10" s="258">
        <f t="shared" si="4"/>
        <v>36714</v>
      </c>
      <c r="U10" s="157"/>
      <c r="V10" s="206">
        <f>M10+L10-B10-(+BaseloadMarkets!DT12+OCCMarkets!CO12+SwingMarkets!DT12+EOLMarkets!ER12)-EES!AO11</f>
        <v>0</v>
      </c>
      <c r="W10" s="206"/>
      <c r="X10" s="206">
        <f t="shared" si="6"/>
        <v>3338607</v>
      </c>
      <c r="Z10" s="28">
        <f t="shared" si="7"/>
        <v>0</v>
      </c>
      <c r="AB10" s="205"/>
      <c r="AD10" s="205">
        <v>0</v>
      </c>
    </row>
    <row r="11" spans="1:30" s="78" customFormat="1" ht="13.5" thickBot="1" x14ac:dyDescent="0.25">
      <c r="A11" s="250">
        <f>BaseloadMarkets!A13</f>
        <v>36715</v>
      </c>
      <c r="B11" s="251">
        <f>+EES!C12</f>
        <v>70000</v>
      </c>
      <c r="C11" s="252">
        <v>0</v>
      </c>
      <c r="D11" s="253">
        <v>0</v>
      </c>
      <c r="E11" s="253">
        <v>0</v>
      </c>
      <c r="F11" s="251">
        <v>0</v>
      </c>
      <c r="G11" s="251">
        <f>+BaseloadMarkets!DS13+OCCMarkets!CN13+SwingMarkets!DS13+EOLMarkets!ER13</f>
        <v>392610</v>
      </c>
      <c r="H11" s="254">
        <f t="shared" si="0"/>
        <v>462610</v>
      </c>
      <c r="I11"/>
      <c r="J11" s="253">
        <v>0</v>
      </c>
      <c r="K11" s="255">
        <v>0</v>
      </c>
      <c r="L11" s="253">
        <f>31464+5346+20000</f>
        <v>56810</v>
      </c>
      <c r="M11" s="251">
        <f>Supplies!BG13+EOLSupplies!DT13</f>
        <v>362846</v>
      </c>
      <c r="N11" s="251">
        <v>0</v>
      </c>
      <c r="O11" s="254">
        <f t="shared" si="1"/>
        <v>419656</v>
      </c>
      <c r="P11" s="256">
        <f t="shared" si="2"/>
        <v>36715</v>
      </c>
      <c r="Q11" s="157"/>
      <c r="R11" s="257">
        <f t="shared" si="3"/>
        <v>-42954</v>
      </c>
      <c r="S11" s="257">
        <f t="shared" si="5"/>
        <v>-27511</v>
      </c>
      <c r="T11" s="258">
        <f t="shared" si="4"/>
        <v>36715</v>
      </c>
      <c r="U11" s="157"/>
      <c r="V11" s="206">
        <f>M11+L11-B11-(+BaseloadMarkets!DT13+OCCMarkets!CO13+SwingMarkets!DT13+EOLMarkets!ER13)-EES!AO12</f>
        <v>0</v>
      </c>
      <c r="W11" s="206"/>
      <c r="X11" s="206">
        <f t="shared" si="6"/>
        <v>3758263</v>
      </c>
      <c r="Z11" s="28">
        <f t="shared" si="7"/>
        <v>0</v>
      </c>
      <c r="AB11" s="205"/>
      <c r="AD11" s="205">
        <v>0</v>
      </c>
    </row>
    <row r="12" spans="1:30" ht="13.5" thickBot="1" x14ac:dyDescent="0.25">
      <c r="A12" s="250">
        <f>BaseloadMarkets!A14</f>
        <v>36716</v>
      </c>
      <c r="B12" s="251">
        <f>+EES!C13</f>
        <v>70000</v>
      </c>
      <c r="C12" s="252">
        <v>0</v>
      </c>
      <c r="D12" s="253">
        <v>0</v>
      </c>
      <c r="E12" s="253">
        <v>0</v>
      </c>
      <c r="F12" s="251">
        <v>0</v>
      </c>
      <c r="G12" s="251">
        <f>+BaseloadMarkets!DS14+OCCMarkets!CN14+SwingMarkets!DS14+EOLMarkets!ER14</f>
        <v>400130</v>
      </c>
      <c r="H12" s="254">
        <f t="shared" si="0"/>
        <v>470130</v>
      </c>
      <c r="J12" s="253">
        <v>0</v>
      </c>
      <c r="K12" s="255">
        <v>0</v>
      </c>
      <c r="L12" s="253">
        <f>35200+20000</f>
        <v>55200</v>
      </c>
      <c r="M12" s="251">
        <f>Supplies!BG14+EOLSupplies!DT14</f>
        <v>353970</v>
      </c>
      <c r="N12" s="251">
        <v>0</v>
      </c>
      <c r="O12" s="254">
        <f t="shared" si="1"/>
        <v>409170</v>
      </c>
      <c r="P12" s="256">
        <f t="shared" si="2"/>
        <v>36716</v>
      </c>
      <c r="Q12" s="152"/>
      <c r="R12" s="257">
        <f t="shared" si="3"/>
        <v>-60960</v>
      </c>
      <c r="S12" s="257">
        <f t="shared" si="5"/>
        <v>-88471</v>
      </c>
      <c r="T12" s="258">
        <f t="shared" si="4"/>
        <v>36716</v>
      </c>
      <c r="U12" s="259"/>
      <c r="V12" s="206">
        <f>M12+L12-B12-(+BaseloadMarkets!DT14+OCCMarkets!CO14+SwingMarkets!DT14+EOLMarkets!ER14)-EES!AO13</f>
        <v>0</v>
      </c>
      <c r="W12" s="206"/>
      <c r="X12" s="206">
        <f t="shared" si="6"/>
        <v>4167433</v>
      </c>
      <c r="Z12" s="28">
        <f t="shared" si="7"/>
        <v>0</v>
      </c>
      <c r="AB12" s="205"/>
      <c r="AD12" s="205">
        <v>0</v>
      </c>
    </row>
    <row r="13" spans="1:30" ht="13.5" thickBot="1" x14ac:dyDescent="0.25">
      <c r="A13" s="250">
        <f>BaseloadMarkets!A15</f>
        <v>36717</v>
      </c>
      <c r="B13" s="251">
        <f>+EES!C14</f>
        <v>70000</v>
      </c>
      <c r="C13" s="252">
        <v>0</v>
      </c>
      <c r="D13" s="253">
        <v>0</v>
      </c>
      <c r="E13" s="253">
        <v>0</v>
      </c>
      <c r="F13" s="251">
        <v>0</v>
      </c>
      <c r="G13" s="251">
        <f>+BaseloadMarkets!DS15+OCCMarkets!CN15+SwingMarkets!DS15+EOLMarkets!ER15</f>
        <v>401692</v>
      </c>
      <c r="H13" s="254">
        <f t="shared" si="0"/>
        <v>471692</v>
      </c>
      <c r="J13" s="253">
        <v>0</v>
      </c>
      <c r="K13" s="255">
        <v>0</v>
      </c>
      <c r="L13" s="253">
        <f>33209+20000</f>
        <v>53209</v>
      </c>
      <c r="M13" s="251">
        <f>Supplies!BG15+EOLSupplies!DT15</f>
        <v>390626</v>
      </c>
      <c r="N13" s="251">
        <v>0</v>
      </c>
      <c r="O13" s="254">
        <f t="shared" si="1"/>
        <v>443835</v>
      </c>
      <c r="P13" s="256">
        <f t="shared" si="2"/>
        <v>36717</v>
      </c>
      <c r="Q13" s="152"/>
      <c r="R13" s="257">
        <f t="shared" si="3"/>
        <v>-27857</v>
      </c>
      <c r="S13" s="257">
        <f t="shared" si="5"/>
        <v>-116328</v>
      </c>
      <c r="T13" s="258">
        <f t="shared" si="4"/>
        <v>36717</v>
      </c>
      <c r="U13" s="259"/>
      <c r="V13" s="206">
        <f>M13+L13-B13-(+BaseloadMarkets!DT15+OCCMarkets!CO15+SwingMarkets!DT15+EOLMarkets!ER15)-EES!AO14</f>
        <v>0</v>
      </c>
      <c r="W13" s="206"/>
      <c r="X13" s="206">
        <f t="shared" si="6"/>
        <v>4611268</v>
      </c>
      <c r="Z13" s="28">
        <f t="shared" si="7"/>
        <v>0</v>
      </c>
      <c r="AB13" s="205"/>
      <c r="AD13" s="205">
        <v>0</v>
      </c>
    </row>
    <row r="14" spans="1:30" ht="13.5" thickBot="1" x14ac:dyDescent="0.25">
      <c r="A14" s="250">
        <f>BaseloadMarkets!A16</f>
        <v>36718</v>
      </c>
      <c r="B14" s="251">
        <f>+EES!C15</f>
        <v>70000</v>
      </c>
      <c r="C14" s="252">
        <v>0</v>
      </c>
      <c r="D14" s="253">
        <v>0</v>
      </c>
      <c r="E14" s="253">
        <v>0</v>
      </c>
      <c r="F14" s="251">
        <v>0</v>
      </c>
      <c r="G14" s="251">
        <f>+BaseloadMarkets!DS16+OCCMarkets!CN16+SwingMarkets!DS16+EOLMarkets!ER16</f>
        <v>618421</v>
      </c>
      <c r="H14" s="254">
        <f t="shared" si="0"/>
        <v>688421</v>
      </c>
      <c r="J14" s="253">
        <v>0</v>
      </c>
      <c r="K14" s="255">
        <v>0</v>
      </c>
      <c r="L14" s="253">
        <f>21558+31032-1</f>
        <v>52589</v>
      </c>
      <c r="M14" s="251">
        <f>Supplies!BG16+EOLSupplies!DT16</f>
        <v>672968</v>
      </c>
      <c r="N14" s="251">
        <v>0</v>
      </c>
      <c r="O14" s="254">
        <f t="shared" si="1"/>
        <v>725557</v>
      </c>
      <c r="P14" s="256">
        <f t="shared" si="2"/>
        <v>36718</v>
      </c>
      <c r="Q14" s="152"/>
      <c r="R14" s="257">
        <f t="shared" si="3"/>
        <v>37136</v>
      </c>
      <c r="S14" s="257">
        <f t="shared" si="5"/>
        <v>-79192</v>
      </c>
      <c r="T14" s="258">
        <f t="shared" si="4"/>
        <v>36718</v>
      </c>
      <c r="U14" s="259"/>
      <c r="V14" s="206">
        <f>M14+L14-B14-(+BaseloadMarkets!DT16+OCCMarkets!CO16+SwingMarkets!DT16+EOLMarkets!ER16)-EES!AO15</f>
        <v>0</v>
      </c>
      <c r="W14" s="206"/>
      <c r="X14" s="206">
        <f t="shared" si="6"/>
        <v>5336825</v>
      </c>
      <c r="Z14" s="28">
        <f t="shared" si="7"/>
        <v>0</v>
      </c>
      <c r="AB14" s="205"/>
      <c r="AD14" s="205">
        <v>0</v>
      </c>
    </row>
    <row r="15" spans="1:30" s="28" customFormat="1" ht="13.5" thickBot="1" x14ac:dyDescent="0.25">
      <c r="A15" s="250">
        <f>BaseloadMarkets!A17</f>
        <v>36719</v>
      </c>
      <c r="B15" s="251">
        <f>+EES!C16</f>
        <v>70000</v>
      </c>
      <c r="C15" s="252">
        <v>0</v>
      </c>
      <c r="D15" s="253">
        <v>0</v>
      </c>
      <c r="E15" s="253">
        <v>0</v>
      </c>
      <c r="F15" s="251">
        <v>0</v>
      </c>
      <c r="G15" s="251">
        <f>+BaseloadMarkets!DS17+OCCMarkets!CN17+SwingMarkets!DS17+EOLMarkets!ER17</f>
        <v>514661</v>
      </c>
      <c r="H15" s="254">
        <f t="shared" si="0"/>
        <v>584661</v>
      </c>
      <c r="I15"/>
      <c r="J15" s="253">
        <v>0</v>
      </c>
      <c r="K15" s="255">
        <v>0</v>
      </c>
      <c r="L15" s="253">
        <f>20000+16361</f>
        <v>36361</v>
      </c>
      <c r="M15" s="251">
        <f>Supplies!BG17+EOLSupplies!DT17</f>
        <v>516259</v>
      </c>
      <c r="N15" s="251">
        <v>0</v>
      </c>
      <c r="O15" s="254">
        <f t="shared" si="1"/>
        <v>552620</v>
      </c>
      <c r="P15" s="256">
        <f t="shared" si="2"/>
        <v>36719</v>
      </c>
      <c r="Q15" s="157"/>
      <c r="R15" s="257">
        <f t="shared" si="3"/>
        <v>-32041</v>
      </c>
      <c r="S15" s="260">
        <f t="shared" si="5"/>
        <v>-111233</v>
      </c>
      <c r="T15" s="258">
        <f t="shared" si="4"/>
        <v>36719</v>
      </c>
      <c r="U15" s="26"/>
      <c r="V15" s="206">
        <f>M15+L15-B15-(+BaseloadMarkets!DT17+OCCMarkets!CO17+SwingMarkets!DT17+EOLMarkets!ER17)-EES!AO16</f>
        <v>0</v>
      </c>
      <c r="W15" s="206"/>
      <c r="X15" s="206">
        <f t="shared" si="6"/>
        <v>5889445</v>
      </c>
      <c r="Z15" s="28">
        <f t="shared" si="7"/>
        <v>0</v>
      </c>
      <c r="AB15" s="205"/>
      <c r="AD15" s="205">
        <v>0</v>
      </c>
    </row>
    <row r="16" spans="1:30" s="28" customFormat="1" ht="13.5" thickBot="1" x14ac:dyDescent="0.25">
      <c r="A16" s="250">
        <f>BaseloadMarkets!A18</f>
        <v>36720</v>
      </c>
      <c r="B16" s="251">
        <f>+EES!C17</f>
        <v>70000</v>
      </c>
      <c r="C16" s="252">
        <v>0</v>
      </c>
      <c r="D16" s="253">
        <v>0</v>
      </c>
      <c r="E16" s="253">
        <v>0</v>
      </c>
      <c r="F16" s="251">
        <v>0</v>
      </c>
      <c r="G16" s="251">
        <f>+BaseloadMarkets!DS18+OCCMarkets!CN18+SwingMarkets!DS18+EOLMarkets!ER18</f>
        <v>551252</v>
      </c>
      <c r="H16" s="254">
        <f t="shared" si="0"/>
        <v>621252</v>
      </c>
      <c r="I16"/>
      <c r="J16" s="253">
        <v>0</v>
      </c>
      <c r="K16" s="255">
        <v>0</v>
      </c>
      <c r="L16" s="253">
        <f>43912+19234</f>
        <v>63146</v>
      </c>
      <c r="M16" s="251">
        <f>Supplies!BG18+EOLSupplies!DT18</f>
        <v>622929</v>
      </c>
      <c r="N16" s="251">
        <v>0</v>
      </c>
      <c r="O16" s="254">
        <f t="shared" si="1"/>
        <v>686075</v>
      </c>
      <c r="P16" s="256">
        <f t="shared" si="2"/>
        <v>36720</v>
      </c>
      <c r="Q16" s="152"/>
      <c r="R16" s="257">
        <f t="shared" si="3"/>
        <v>64823</v>
      </c>
      <c r="S16" s="257">
        <f t="shared" si="5"/>
        <v>-46410</v>
      </c>
      <c r="T16" s="258">
        <f t="shared" si="4"/>
        <v>36720</v>
      </c>
      <c r="U16" s="26"/>
      <c r="V16" s="206">
        <f>M16+L16-B16-(+BaseloadMarkets!DT18+OCCMarkets!CO18+SwingMarkets!DT18+EOLMarkets!ER18)-EES!AO17</f>
        <v>0</v>
      </c>
      <c r="W16" s="206"/>
      <c r="X16" s="206">
        <f t="shared" si="6"/>
        <v>6575520</v>
      </c>
      <c r="Z16" s="28">
        <f t="shared" si="7"/>
        <v>0</v>
      </c>
      <c r="AB16" s="205"/>
      <c r="AD16" s="205">
        <v>0</v>
      </c>
    </row>
    <row r="17" spans="1:30" s="28" customFormat="1" ht="13.5" thickBot="1" x14ac:dyDescent="0.25">
      <c r="A17" s="250">
        <f>BaseloadMarkets!A19</f>
        <v>36721</v>
      </c>
      <c r="B17" s="251">
        <f>+EES!C18</f>
        <v>70000</v>
      </c>
      <c r="C17" s="252">
        <v>0</v>
      </c>
      <c r="D17" s="253">
        <v>0</v>
      </c>
      <c r="E17" s="253">
        <v>0</v>
      </c>
      <c r="F17" s="251">
        <v>0</v>
      </c>
      <c r="G17" s="251">
        <f>+BaseloadMarkets!DS19+OCCMarkets!CN19+SwingMarkets!DS19+EOLMarkets!ER19</f>
        <v>450602</v>
      </c>
      <c r="H17" s="254">
        <f t="shared" si="0"/>
        <v>520602</v>
      </c>
      <c r="I17"/>
      <c r="J17" s="253">
        <v>0</v>
      </c>
      <c r="K17" s="255">
        <v>0</v>
      </c>
      <c r="L17" s="253">
        <f>16702+60726</f>
        <v>77428</v>
      </c>
      <c r="M17" s="251">
        <f>Supplies!BG19+EOLSupplies!DT19</f>
        <v>497822</v>
      </c>
      <c r="N17" s="251">
        <v>0</v>
      </c>
      <c r="O17" s="254">
        <f t="shared" si="1"/>
        <v>575250</v>
      </c>
      <c r="P17" s="256">
        <f t="shared" si="2"/>
        <v>36721</v>
      </c>
      <c r="Q17" s="157"/>
      <c r="R17" s="257">
        <f t="shared" si="3"/>
        <v>54648</v>
      </c>
      <c r="S17" s="260">
        <f t="shared" si="5"/>
        <v>8238</v>
      </c>
      <c r="T17" s="258">
        <f t="shared" si="4"/>
        <v>36721</v>
      </c>
      <c r="U17" s="26"/>
      <c r="V17" s="206">
        <f>M17+L17-B17-(+BaseloadMarkets!DT19+OCCMarkets!CO19+SwingMarkets!DT19+EOLMarkets!ER19)-EES!AO18</f>
        <v>0</v>
      </c>
      <c r="W17" s="206"/>
      <c r="X17" s="206">
        <f t="shared" si="6"/>
        <v>7150770</v>
      </c>
      <c r="Z17" s="28">
        <f t="shared" si="7"/>
        <v>0</v>
      </c>
      <c r="AB17" s="205"/>
      <c r="AD17" s="205">
        <v>0</v>
      </c>
    </row>
    <row r="18" spans="1:30" s="28" customFormat="1" ht="13.5" thickBot="1" x14ac:dyDescent="0.25">
      <c r="A18" s="250">
        <f>BaseloadMarkets!A20</f>
        <v>36722</v>
      </c>
      <c r="B18" s="251">
        <f>+EES!C19</f>
        <v>70000</v>
      </c>
      <c r="C18" s="252">
        <v>0</v>
      </c>
      <c r="D18" s="253">
        <v>0</v>
      </c>
      <c r="E18" s="253">
        <v>0</v>
      </c>
      <c r="F18" s="251">
        <v>0</v>
      </c>
      <c r="G18" s="251">
        <f>+BaseloadMarkets!DS20+OCCMarkets!CN20+SwingMarkets!DS20+EOLMarkets!ER20</f>
        <v>348480</v>
      </c>
      <c r="H18" s="254">
        <f t="shared" si="0"/>
        <v>418480</v>
      </c>
      <c r="I18"/>
      <c r="J18" s="253">
        <v>0</v>
      </c>
      <c r="K18" s="255">
        <v>0</v>
      </c>
      <c r="L18" s="253">
        <f>28648+25868</f>
        <v>54516</v>
      </c>
      <c r="M18" s="251">
        <f>Supplies!BG20+EOLSupplies!DT20</f>
        <v>332711</v>
      </c>
      <c r="N18" s="251">
        <v>0</v>
      </c>
      <c r="O18" s="254">
        <f t="shared" si="1"/>
        <v>387227</v>
      </c>
      <c r="P18" s="256">
        <f t="shared" si="2"/>
        <v>36722</v>
      </c>
      <c r="Q18" s="157"/>
      <c r="R18" s="257">
        <f t="shared" si="3"/>
        <v>-31253</v>
      </c>
      <c r="S18" s="260">
        <f t="shared" si="5"/>
        <v>-23015</v>
      </c>
      <c r="T18" s="258">
        <f t="shared" si="4"/>
        <v>36722</v>
      </c>
      <c r="U18" s="26"/>
      <c r="V18" s="206">
        <f>M18+L18-B18-(+BaseloadMarkets!DT20+OCCMarkets!CO20+SwingMarkets!DT20+EOLMarkets!ER20)-EES!AO19</f>
        <v>0</v>
      </c>
      <c r="W18" s="206"/>
      <c r="X18" s="206">
        <f t="shared" si="6"/>
        <v>7537997</v>
      </c>
      <c r="Y18" s="26"/>
      <c r="Z18" s="28">
        <f t="shared" si="7"/>
        <v>0</v>
      </c>
      <c r="AB18" s="205"/>
      <c r="AD18" s="205">
        <v>0</v>
      </c>
    </row>
    <row r="19" spans="1:30" s="28" customFormat="1" ht="13.5" thickBot="1" x14ac:dyDescent="0.25">
      <c r="A19" s="250">
        <f>BaseloadMarkets!A21</f>
        <v>36723</v>
      </c>
      <c r="B19" s="251">
        <f>+EES!C20</f>
        <v>70000</v>
      </c>
      <c r="C19" s="252">
        <v>0</v>
      </c>
      <c r="D19" s="253">
        <v>0</v>
      </c>
      <c r="E19" s="253">
        <v>0</v>
      </c>
      <c r="F19" s="251">
        <v>0</v>
      </c>
      <c r="G19" s="251">
        <f>+BaseloadMarkets!DS21+OCCMarkets!CN21+SwingMarkets!DS21+EOLMarkets!ER21</f>
        <v>342354</v>
      </c>
      <c r="H19" s="254">
        <f t="shared" si="0"/>
        <v>412354</v>
      </c>
      <c r="I19"/>
      <c r="J19" s="253">
        <v>0</v>
      </c>
      <c r="K19" s="255">
        <v>0</v>
      </c>
      <c r="L19" s="253">
        <f>28648+24488</f>
        <v>53136</v>
      </c>
      <c r="M19" s="251">
        <f>Supplies!BG21+EOLSupplies!DT21</f>
        <v>332031</v>
      </c>
      <c r="N19" s="251">
        <v>0</v>
      </c>
      <c r="O19" s="254">
        <f t="shared" si="1"/>
        <v>385167</v>
      </c>
      <c r="P19" s="256">
        <f t="shared" si="2"/>
        <v>36723</v>
      </c>
      <c r="Q19" s="157"/>
      <c r="R19" s="257">
        <f t="shared" si="3"/>
        <v>-27187</v>
      </c>
      <c r="S19" s="260">
        <f t="shared" si="5"/>
        <v>-50202</v>
      </c>
      <c r="T19" s="258">
        <f t="shared" si="4"/>
        <v>36723</v>
      </c>
      <c r="U19" s="31"/>
      <c r="V19" s="206">
        <f>M19+L19-B19-(+BaseloadMarkets!DT21+OCCMarkets!CO21+SwingMarkets!DT21+EOLMarkets!ER21)-EES!AO20</f>
        <v>0</v>
      </c>
      <c r="W19" s="206"/>
      <c r="X19" s="206">
        <f t="shared" si="6"/>
        <v>7923164</v>
      </c>
      <c r="Y19" s="26"/>
      <c r="Z19" s="28">
        <f t="shared" si="7"/>
        <v>0</v>
      </c>
      <c r="AB19" s="205"/>
      <c r="AD19" s="205">
        <v>0</v>
      </c>
    </row>
    <row r="20" spans="1:30" ht="13.5" thickBot="1" x14ac:dyDescent="0.25">
      <c r="A20" s="250">
        <f>BaseloadMarkets!A22</f>
        <v>36724</v>
      </c>
      <c r="B20" s="251">
        <f>+EES!C21</f>
        <v>70000</v>
      </c>
      <c r="C20" s="252">
        <v>0</v>
      </c>
      <c r="D20" s="253">
        <v>0</v>
      </c>
      <c r="E20" s="253">
        <v>0</v>
      </c>
      <c r="F20" s="251">
        <v>0</v>
      </c>
      <c r="G20" s="251">
        <f>+BaseloadMarkets!DS22+OCCMarkets!CN22+SwingMarkets!DS22+EOLMarkets!ER22</f>
        <v>348413</v>
      </c>
      <c r="H20" s="254">
        <f t="shared" si="0"/>
        <v>418413</v>
      </c>
      <c r="J20" s="253">
        <v>0</v>
      </c>
      <c r="K20" s="255">
        <v>0</v>
      </c>
      <c r="L20" s="253">
        <f>28648+23720</f>
        <v>52368</v>
      </c>
      <c r="M20" s="251">
        <f>Supplies!BG22+EOLSupplies!DT22</f>
        <v>374986</v>
      </c>
      <c r="N20" s="251">
        <v>0</v>
      </c>
      <c r="O20" s="254">
        <f t="shared" si="1"/>
        <v>427354</v>
      </c>
      <c r="P20" s="256">
        <f t="shared" si="2"/>
        <v>36724</v>
      </c>
      <c r="Q20" s="152"/>
      <c r="R20" s="257">
        <f t="shared" si="3"/>
        <v>8941</v>
      </c>
      <c r="S20" s="257">
        <f t="shared" si="5"/>
        <v>-41261</v>
      </c>
      <c r="T20" s="258">
        <f t="shared" si="4"/>
        <v>36724</v>
      </c>
      <c r="U20" s="259"/>
      <c r="V20" s="206">
        <f>M20+L20-B20-(+BaseloadMarkets!DT22+OCCMarkets!CO22+SwingMarkets!DT22+EOLMarkets!ER22)-EES!AO21</f>
        <v>0</v>
      </c>
      <c r="W20" s="206"/>
      <c r="X20" s="206">
        <f t="shared" si="6"/>
        <v>8350518</v>
      </c>
      <c r="Y20" s="26"/>
      <c r="Z20" s="28">
        <f t="shared" si="7"/>
        <v>0</v>
      </c>
      <c r="AA20" s="28"/>
      <c r="AB20" s="205"/>
      <c r="AD20" s="205">
        <v>0</v>
      </c>
    </row>
    <row r="21" spans="1:30" ht="13.5" thickBot="1" x14ac:dyDescent="0.25">
      <c r="A21" s="250">
        <f>BaseloadMarkets!A23</f>
        <v>36725</v>
      </c>
      <c r="B21" s="251">
        <f>+EES!C22</f>
        <v>70000</v>
      </c>
      <c r="C21" s="252">
        <v>0</v>
      </c>
      <c r="D21" s="253">
        <v>0</v>
      </c>
      <c r="E21" s="253">
        <v>0</v>
      </c>
      <c r="F21" s="251">
        <v>0</v>
      </c>
      <c r="G21" s="251">
        <f>+BaseloadMarkets!DS23+OCCMarkets!CN23+SwingMarkets!DS23+EOLMarkets!ER23</f>
        <v>616913</v>
      </c>
      <c r="H21" s="254">
        <f t="shared" si="0"/>
        <v>686913</v>
      </c>
      <c r="J21" s="253">
        <v>0</v>
      </c>
      <c r="K21" s="255">
        <v>0</v>
      </c>
      <c r="L21" s="253">
        <f>44352+14538</f>
        <v>58890</v>
      </c>
      <c r="M21" s="251">
        <f>Supplies!BG23+EOLSupplies!DT23</f>
        <v>675399</v>
      </c>
      <c r="N21" s="251">
        <v>0</v>
      </c>
      <c r="O21" s="254">
        <f t="shared" si="1"/>
        <v>734289</v>
      </c>
      <c r="P21" s="256">
        <f t="shared" si="2"/>
        <v>36725</v>
      </c>
      <c r="Q21" s="157"/>
      <c r="R21" s="257">
        <f t="shared" si="3"/>
        <v>47376</v>
      </c>
      <c r="S21" s="260">
        <f t="shared" si="5"/>
        <v>6115</v>
      </c>
      <c r="T21" s="258">
        <f t="shared" si="4"/>
        <v>36725</v>
      </c>
      <c r="U21" s="259"/>
      <c r="V21" s="206">
        <f>M21+L21-B21-(+BaseloadMarkets!DT23+OCCMarkets!CO23+SwingMarkets!DT23+EOLMarkets!ER23)-EES!AO22</f>
        <v>0</v>
      </c>
      <c r="W21" s="206"/>
      <c r="X21" s="206">
        <f t="shared" si="6"/>
        <v>9084807</v>
      </c>
      <c r="Y21" s="26"/>
      <c r="Z21" s="28">
        <f t="shared" si="7"/>
        <v>0</v>
      </c>
      <c r="AA21" s="28"/>
      <c r="AB21" s="205"/>
      <c r="AD21" s="205">
        <v>0</v>
      </c>
    </row>
    <row r="22" spans="1:30" s="28" customFormat="1" ht="13.5" thickBot="1" x14ac:dyDescent="0.25">
      <c r="A22" s="250">
        <f>BaseloadMarkets!A24</f>
        <v>36726</v>
      </c>
      <c r="B22" s="251">
        <f>+EES!C23</f>
        <v>70000</v>
      </c>
      <c r="C22" s="252">
        <v>0</v>
      </c>
      <c r="D22" s="253">
        <v>0</v>
      </c>
      <c r="E22" s="253">
        <v>0</v>
      </c>
      <c r="F22" s="251">
        <v>0</v>
      </c>
      <c r="G22" s="251">
        <f>+BaseloadMarkets!DS24+OCCMarkets!CN24+SwingMarkets!DS24+EOLMarkets!ER24</f>
        <v>733820</v>
      </c>
      <c r="H22" s="254">
        <f t="shared" si="0"/>
        <v>803820</v>
      </c>
      <c r="I22"/>
      <c r="J22" s="253">
        <v>0</v>
      </c>
      <c r="K22" s="255">
        <v>0</v>
      </c>
      <c r="L22" s="253">
        <f>32560+20201</f>
        <v>52761</v>
      </c>
      <c r="M22" s="251">
        <f>Supplies!BG24+EOLSupplies!DT24</f>
        <v>856738</v>
      </c>
      <c r="N22" s="251">
        <v>0</v>
      </c>
      <c r="O22" s="254">
        <f t="shared" si="1"/>
        <v>909499</v>
      </c>
      <c r="P22" s="256">
        <f t="shared" si="2"/>
        <v>36726</v>
      </c>
      <c r="Q22" s="152"/>
      <c r="R22" s="257">
        <f t="shared" si="3"/>
        <v>105679</v>
      </c>
      <c r="S22" s="257">
        <f t="shared" si="5"/>
        <v>111794</v>
      </c>
      <c r="T22" s="258">
        <f t="shared" si="4"/>
        <v>36726</v>
      </c>
      <c r="U22" s="26"/>
      <c r="V22" s="206">
        <f>M22+L22-B22-(+BaseloadMarkets!DT24+OCCMarkets!CO24+SwingMarkets!DT24+EOLMarkets!ER24)-EES!AO23</f>
        <v>0</v>
      </c>
      <c r="W22" s="206"/>
      <c r="X22" s="206">
        <f t="shared" si="6"/>
        <v>9994306</v>
      </c>
      <c r="Y22" s="26"/>
      <c r="Z22" s="28">
        <f t="shared" si="7"/>
        <v>0</v>
      </c>
      <c r="AB22" s="205"/>
      <c r="AD22" s="205">
        <v>0</v>
      </c>
    </row>
    <row r="23" spans="1:30" s="28" customFormat="1" ht="13.5" thickBot="1" x14ac:dyDescent="0.25">
      <c r="A23" s="250">
        <f>BaseloadMarkets!A25</f>
        <v>36727</v>
      </c>
      <c r="B23" s="251">
        <f>+EES!C24</f>
        <v>70000</v>
      </c>
      <c r="C23" s="252">
        <v>0</v>
      </c>
      <c r="D23" s="253">
        <v>0</v>
      </c>
      <c r="E23" s="253">
        <v>0</v>
      </c>
      <c r="F23" s="251">
        <v>0</v>
      </c>
      <c r="G23" s="251">
        <f>+BaseloadMarkets!DS25+OCCMarkets!CN25+SwingMarkets!DS25+EOLMarkets!ER25</f>
        <v>621112</v>
      </c>
      <c r="H23" s="254">
        <f t="shared" si="0"/>
        <v>691112</v>
      </c>
      <c r="I23"/>
      <c r="J23" s="253">
        <v>0</v>
      </c>
      <c r="K23" s="255">
        <v>0</v>
      </c>
      <c r="L23" s="253">
        <f>37451+12598</f>
        <v>50049</v>
      </c>
      <c r="M23" s="251">
        <f>Supplies!BG25+EOLSupplies!DT25</f>
        <v>687522</v>
      </c>
      <c r="N23" s="251">
        <v>0</v>
      </c>
      <c r="O23" s="254">
        <f t="shared" si="1"/>
        <v>737571</v>
      </c>
      <c r="P23" s="256">
        <f t="shared" si="2"/>
        <v>36727</v>
      </c>
      <c r="Q23" s="157"/>
      <c r="R23" s="257">
        <f t="shared" si="3"/>
        <v>46459</v>
      </c>
      <c r="S23" s="260">
        <f t="shared" si="5"/>
        <v>158253</v>
      </c>
      <c r="T23" s="258">
        <f t="shared" si="4"/>
        <v>36727</v>
      </c>
      <c r="U23" s="26"/>
      <c r="V23" s="206">
        <f>M23+L23-B23-(+BaseloadMarkets!DT25+OCCMarkets!CO25+SwingMarkets!DT25+EOLMarkets!ER25)-EES!AO24</f>
        <v>0</v>
      </c>
      <c r="W23" s="206"/>
      <c r="X23" s="206">
        <f t="shared" si="6"/>
        <v>10731877</v>
      </c>
      <c r="Y23" s="26"/>
      <c r="Z23" s="28">
        <f t="shared" si="7"/>
        <v>0</v>
      </c>
      <c r="AB23" s="205"/>
      <c r="AD23" s="205">
        <v>0</v>
      </c>
    </row>
    <row r="24" spans="1:30" s="28" customFormat="1" ht="13.5" thickBot="1" x14ac:dyDescent="0.25">
      <c r="A24" s="250">
        <f>BaseloadMarkets!A26</f>
        <v>36728</v>
      </c>
      <c r="B24" s="251">
        <f>+EES!C25</f>
        <v>70000</v>
      </c>
      <c r="C24" s="252">
        <v>0</v>
      </c>
      <c r="D24" s="253">
        <v>0</v>
      </c>
      <c r="E24" s="253">
        <v>0</v>
      </c>
      <c r="F24" s="251">
        <v>0</v>
      </c>
      <c r="G24" s="251">
        <f>+BaseloadMarkets!DS26+OCCMarkets!CN26+SwingMarkets!DS26+EOLMarkets!ER26</f>
        <v>659407</v>
      </c>
      <c r="H24" s="254">
        <f t="shared" si="0"/>
        <v>729407</v>
      </c>
      <c r="I24"/>
      <c r="J24" s="253">
        <v>0</v>
      </c>
      <c r="K24" s="255">
        <v>0</v>
      </c>
      <c r="L24" s="253">
        <f>18252+24419</f>
        <v>42671</v>
      </c>
      <c r="M24" s="251">
        <f>Supplies!BG26+EOLSupplies!DT26</f>
        <v>698856</v>
      </c>
      <c r="N24" s="251">
        <v>0</v>
      </c>
      <c r="O24" s="254">
        <f t="shared" si="1"/>
        <v>741527</v>
      </c>
      <c r="P24" s="256">
        <f t="shared" si="2"/>
        <v>36728</v>
      </c>
      <c r="Q24" s="152"/>
      <c r="R24" s="257">
        <f t="shared" si="3"/>
        <v>12120</v>
      </c>
      <c r="S24" s="257">
        <f t="shared" si="5"/>
        <v>170373</v>
      </c>
      <c r="T24" s="258">
        <f t="shared" si="4"/>
        <v>36728</v>
      </c>
      <c r="U24" s="26"/>
      <c r="V24" s="206">
        <f>M24+L24-B24-(+BaseloadMarkets!DT26+OCCMarkets!CO26+SwingMarkets!DT26+EOLMarkets!ER26)-EES!AO25</f>
        <v>0</v>
      </c>
      <c r="W24" s="206"/>
      <c r="X24" s="206">
        <f t="shared" si="6"/>
        <v>11473404</v>
      </c>
      <c r="Y24" s="26"/>
      <c r="Z24" s="28">
        <f t="shared" si="7"/>
        <v>0</v>
      </c>
      <c r="AB24" s="205"/>
      <c r="AD24" s="205">
        <v>0</v>
      </c>
    </row>
    <row r="25" spans="1:30" s="28" customFormat="1" ht="13.5" thickBot="1" x14ac:dyDescent="0.25">
      <c r="A25" s="250">
        <f>BaseloadMarkets!A27</f>
        <v>36729</v>
      </c>
      <c r="B25" s="251">
        <f>+EES!C26</f>
        <v>70000</v>
      </c>
      <c r="C25" s="252">
        <v>0</v>
      </c>
      <c r="D25" s="253">
        <v>0</v>
      </c>
      <c r="E25" s="253">
        <v>0</v>
      </c>
      <c r="F25" s="251">
        <v>0</v>
      </c>
      <c r="G25" s="251">
        <f>+BaseloadMarkets!DS27+OCCMarkets!CN27+SwingMarkets!DS27+EOLMarkets!ER27</f>
        <v>586989.30000000005</v>
      </c>
      <c r="H25" s="254">
        <f t="shared" si="0"/>
        <v>656989.30000000005</v>
      </c>
      <c r="I25"/>
      <c r="J25" s="253">
        <v>0</v>
      </c>
      <c r="K25" s="255">
        <v>0</v>
      </c>
      <c r="L25" s="253">
        <f>19999+28543</f>
        <v>48542</v>
      </c>
      <c r="M25" s="251">
        <f>Supplies!BG27+EOLSupplies!DT27</f>
        <v>537183</v>
      </c>
      <c r="N25" s="251">
        <v>0</v>
      </c>
      <c r="O25" s="254">
        <f t="shared" si="1"/>
        <v>585725</v>
      </c>
      <c r="P25" s="256">
        <f t="shared" si="2"/>
        <v>36729</v>
      </c>
      <c r="Q25" s="157"/>
      <c r="R25" s="257">
        <f t="shared" si="3"/>
        <v>-71264.300000000047</v>
      </c>
      <c r="S25" s="260">
        <f t="shared" si="5"/>
        <v>99108.699999999953</v>
      </c>
      <c r="T25" s="258">
        <f t="shared" si="4"/>
        <v>36729</v>
      </c>
      <c r="U25" s="26"/>
      <c r="V25" s="206">
        <f>M25+L25-B25-(+BaseloadMarkets!DT27+OCCMarkets!CO27+SwingMarkets!DT27+EOLMarkets!ER27)-EES!AO26</f>
        <v>0</v>
      </c>
      <c r="W25" s="206"/>
      <c r="X25" s="206">
        <f t="shared" si="6"/>
        <v>12059129</v>
      </c>
      <c r="Y25" s="26"/>
      <c r="Z25" s="28">
        <f t="shared" si="7"/>
        <v>0</v>
      </c>
      <c r="AB25" s="205"/>
      <c r="AD25" s="205">
        <v>0</v>
      </c>
    </row>
    <row r="26" spans="1:30" ht="13.5" thickBot="1" x14ac:dyDescent="0.25">
      <c r="A26" s="250">
        <f>BaseloadMarkets!A28</f>
        <v>36730</v>
      </c>
      <c r="B26" s="251">
        <f>+EES!C27</f>
        <v>70000</v>
      </c>
      <c r="C26" s="252">
        <v>0</v>
      </c>
      <c r="D26" s="253">
        <v>0</v>
      </c>
      <c r="E26" s="253">
        <v>0</v>
      </c>
      <c r="F26" s="251">
        <v>0</v>
      </c>
      <c r="G26" s="251">
        <f>+BaseloadMarkets!DS28+OCCMarkets!CN28+SwingMarkets!DS28+EOLMarkets!ER28</f>
        <v>587757.30000000005</v>
      </c>
      <c r="H26" s="254">
        <f t="shared" si="0"/>
        <v>657757.30000000005</v>
      </c>
      <c r="J26" s="253">
        <v>0</v>
      </c>
      <c r="K26" s="255">
        <v>0</v>
      </c>
      <c r="L26" s="253">
        <f>17949+31059</f>
        <v>49008</v>
      </c>
      <c r="M26" s="251">
        <f>Supplies!BG28+EOLSupplies!DT28</f>
        <v>543822</v>
      </c>
      <c r="N26" s="251">
        <v>0</v>
      </c>
      <c r="O26" s="254">
        <f t="shared" si="1"/>
        <v>592830</v>
      </c>
      <c r="P26" s="256">
        <f t="shared" si="2"/>
        <v>36730</v>
      </c>
      <c r="Q26" s="152"/>
      <c r="R26" s="257">
        <f t="shared" si="3"/>
        <v>-64927.300000000047</v>
      </c>
      <c r="S26" s="257">
        <f t="shared" si="5"/>
        <v>34181.399999999907</v>
      </c>
      <c r="T26" s="258">
        <f t="shared" si="4"/>
        <v>36730</v>
      </c>
      <c r="U26" s="259"/>
      <c r="V26" s="206">
        <f>M26+L26-B26-(+BaseloadMarkets!DT28+OCCMarkets!CO28+SwingMarkets!DT28+EOLMarkets!ER28)-EES!AO27</f>
        <v>0</v>
      </c>
      <c r="W26" s="206"/>
      <c r="X26" s="206">
        <f t="shared" si="6"/>
        <v>12651959</v>
      </c>
      <c r="Y26" s="26"/>
      <c r="Z26" s="28">
        <f t="shared" si="7"/>
        <v>0</v>
      </c>
      <c r="AA26" s="28"/>
      <c r="AB26" s="205"/>
      <c r="AD26" s="205">
        <v>0</v>
      </c>
    </row>
    <row r="27" spans="1:30" ht="13.5" thickBot="1" x14ac:dyDescent="0.25">
      <c r="A27" s="250">
        <f>BaseloadMarkets!A29</f>
        <v>36731</v>
      </c>
      <c r="B27" s="251">
        <f>+EES!C28</f>
        <v>70000</v>
      </c>
      <c r="C27" s="252">
        <v>0</v>
      </c>
      <c r="D27" s="253">
        <v>0</v>
      </c>
      <c r="E27" s="253">
        <v>0</v>
      </c>
      <c r="F27" s="251">
        <v>0</v>
      </c>
      <c r="G27" s="251">
        <f>+BaseloadMarkets!DS29+OCCMarkets!CN29+SwingMarkets!DS29+EOLMarkets!ER29</f>
        <v>585672.69999999995</v>
      </c>
      <c r="H27" s="254">
        <f t="shared" si="0"/>
        <v>655672.69999999995</v>
      </c>
      <c r="J27" s="253">
        <v>0</v>
      </c>
      <c r="K27" s="255">
        <v>0</v>
      </c>
      <c r="L27" s="253">
        <f>20000+29927</f>
        <v>49927</v>
      </c>
      <c r="M27" s="251">
        <f>Supplies!BG29+EOLSupplies!DT29</f>
        <v>595016</v>
      </c>
      <c r="N27" s="251">
        <v>0</v>
      </c>
      <c r="O27" s="254">
        <f t="shared" si="1"/>
        <v>644943</v>
      </c>
      <c r="P27" s="256">
        <f t="shared" si="2"/>
        <v>36731</v>
      </c>
      <c r="Q27" s="157"/>
      <c r="R27" s="257">
        <f t="shared" si="3"/>
        <v>-10729.699999999953</v>
      </c>
      <c r="S27" s="260">
        <f t="shared" si="5"/>
        <v>23451.699999999953</v>
      </c>
      <c r="T27" s="258">
        <f t="shared" si="4"/>
        <v>36731</v>
      </c>
      <c r="U27" s="259"/>
      <c r="V27" s="206">
        <f>M27+L27-B27-(+BaseloadMarkets!DT29+OCCMarkets!CO29+SwingMarkets!DT29+EOLMarkets!ER29)-EES!AO28</f>
        <v>0</v>
      </c>
      <c r="W27" s="206"/>
      <c r="X27" s="206">
        <f t="shared" si="6"/>
        <v>13296902</v>
      </c>
      <c r="Y27" s="26"/>
      <c r="Z27" s="28">
        <f t="shared" si="7"/>
        <v>0</v>
      </c>
      <c r="AA27" s="28"/>
      <c r="AB27" s="205"/>
      <c r="AD27" s="205">
        <v>0</v>
      </c>
    </row>
    <row r="28" spans="1:30" ht="13.5" thickBot="1" x14ac:dyDescent="0.25">
      <c r="A28" s="250">
        <f>BaseloadMarkets!A30</f>
        <v>36732</v>
      </c>
      <c r="B28" s="251">
        <f>+EES!C29</f>
        <v>70000</v>
      </c>
      <c r="C28" s="252">
        <v>0</v>
      </c>
      <c r="D28" s="253">
        <v>0</v>
      </c>
      <c r="E28" s="253">
        <v>0</v>
      </c>
      <c r="F28" s="251">
        <v>0</v>
      </c>
      <c r="G28" s="251">
        <f>+BaseloadMarkets!DS30+OCCMarkets!CN30+SwingMarkets!DS30+EOLMarkets!ER30</f>
        <v>569912</v>
      </c>
      <c r="H28" s="254">
        <f t="shared" si="0"/>
        <v>639912</v>
      </c>
      <c r="J28" s="261">
        <v>0</v>
      </c>
      <c r="K28" s="255">
        <v>0</v>
      </c>
      <c r="L28" s="253">
        <f>31514+24272</f>
        <v>55786</v>
      </c>
      <c r="M28" s="251">
        <f>Supplies!BG30+EOLSupplies!DT30</f>
        <v>517407</v>
      </c>
      <c r="N28" s="251">
        <v>0</v>
      </c>
      <c r="O28" s="254">
        <f t="shared" si="1"/>
        <v>573193</v>
      </c>
      <c r="P28" s="256">
        <f t="shared" si="2"/>
        <v>36732</v>
      </c>
      <c r="Q28" s="152"/>
      <c r="R28" s="257">
        <f t="shared" si="3"/>
        <v>-66719</v>
      </c>
      <c r="S28" s="257">
        <f t="shared" si="5"/>
        <v>-43267.300000000047</v>
      </c>
      <c r="T28" s="258">
        <f t="shared" si="4"/>
        <v>36732</v>
      </c>
      <c r="U28" s="259"/>
      <c r="V28" s="206">
        <f>M28+L28-B28-(+BaseloadMarkets!DT30+OCCMarkets!CO30+SwingMarkets!DT30+EOLMarkets!ER30)-EES!AO29</f>
        <v>0</v>
      </c>
      <c r="W28" s="206"/>
      <c r="X28" s="206">
        <f t="shared" si="6"/>
        <v>13870095</v>
      </c>
      <c r="Y28" s="26"/>
      <c r="Z28" s="28">
        <f t="shared" si="7"/>
        <v>0</v>
      </c>
      <c r="AA28" s="28"/>
      <c r="AB28" s="205"/>
      <c r="AD28" s="205">
        <v>0</v>
      </c>
    </row>
    <row r="29" spans="1:30" ht="13.5" thickBot="1" x14ac:dyDescent="0.25">
      <c r="A29" s="250">
        <f>BaseloadMarkets!A31</f>
        <v>36733</v>
      </c>
      <c r="B29" s="251">
        <f>+EES!C30</f>
        <v>70000</v>
      </c>
      <c r="C29" s="252">
        <v>0</v>
      </c>
      <c r="D29" s="253">
        <v>0</v>
      </c>
      <c r="E29" s="253">
        <v>0</v>
      </c>
      <c r="F29" s="251">
        <v>0</v>
      </c>
      <c r="G29" s="251">
        <f>+BaseloadMarkets!DS31+OCCMarkets!CN31+SwingMarkets!DS31+EOLMarkets!ER31</f>
        <v>396799</v>
      </c>
      <c r="H29" s="254">
        <f t="shared" si="0"/>
        <v>466799</v>
      </c>
      <c r="J29" s="253">
        <v>0</v>
      </c>
      <c r="K29" s="255">
        <v>0</v>
      </c>
      <c r="L29" s="253">
        <f>20000+23224</f>
        <v>43224</v>
      </c>
      <c r="M29" s="251">
        <f>Supplies!BG31+EOLSupplies!DT31</f>
        <v>465769</v>
      </c>
      <c r="N29" s="251">
        <v>0</v>
      </c>
      <c r="O29" s="254">
        <f t="shared" si="1"/>
        <v>508993</v>
      </c>
      <c r="P29" s="256">
        <f t="shared" si="2"/>
        <v>36733</v>
      </c>
      <c r="Q29" s="157"/>
      <c r="R29" s="257">
        <f t="shared" si="3"/>
        <v>42194</v>
      </c>
      <c r="S29" s="260">
        <f t="shared" si="5"/>
        <v>-1073.3000000000466</v>
      </c>
      <c r="T29" s="258">
        <f t="shared" si="4"/>
        <v>36733</v>
      </c>
      <c r="U29" s="259"/>
      <c r="V29" s="206">
        <f>M29+L29-B29-(+BaseloadMarkets!DT31+OCCMarkets!CO31+SwingMarkets!DT31+EOLMarkets!ER31)-EES!AO30</f>
        <v>-55</v>
      </c>
      <c r="W29" s="206"/>
      <c r="X29" s="206">
        <f t="shared" si="6"/>
        <v>14379088</v>
      </c>
      <c r="Y29" s="26"/>
      <c r="Z29" s="28">
        <f t="shared" si="7"/>
        <v>-28</v>
      </c>
      <c r="AA29" s="28"/>
      <c r="AB29" s="205"/>
      <c r="AD29" s="205">
        <v>0</v>
      </c>
    </row>
    <row r="30" spans="1:30" s="28" customFormat="1" ht="13.5" thickBot="1" x14ac:dyDescent="0.25">
      <c r="A30" s="250">
        <f>BaseloadMarkets!A32</f>
        <v>36734</v>
      </c>
      <c r="B30" s="251">
        <f>+EES!C31</f>
        <v>70000</v>
      </c>
      <c r="C30" s="252">
        <v>0</v>
      </c>
      <c r="D30" s="253">
        <v>0</v>
      </c>
      <c r="E30" s="253">
        <v>0</v>
      </c>
      <c r="F30" s="251">
        <v>0</v>
      </c>
      <c r="G30" s="251">
        <f>+BaseloadMarkets!DS32+OCCMarkets!CN32+SwingMarkets!DS32+EOLMarkets!ER32</f>
        <v>501084</v>
      </c>
      <c r="H30" s="254">
        <f t="shared" si="0"/>
        <v>571084</v>
      </c>
      <c r="I30"/>
      <c r="J30" s="253">
        <v>0</v>
      </c>
      <c r="K30" s="255">
        <v>0</v>
      </c>
      <c r="L30" s="253">
        <v>47845</v>
      </c>
      <c r="M30" s="251">
        <f>Supplies!BG32+EOLSupplies!DT32</f>
        <v>504397</v>
      </c>
      <c r="N30" s="251">
        <v>0</v>
      </c>
      <c r="O30" s="254">
        <f t="shared" si="1"/>
        <v>552242</v>
      </c>
      <c r="P30" s="256">
        <f t="shared" si="2"/>
        <v>36734</v>
      </c>
      <c r="Q30" s="157"/>
      <c r="R30" s="257">
        <f t="shared" si="3"/>
        <v>-18842</v>
      </c>
      <c r="S30" s="260">
        <f t="shared" si="5"/>
        <v>-19915.300000000047</v>
      </c>
      <c r="T30" s="258">
        <f t="shared" si="4"/>
        <v>36734</v>
      </c>
      <c r="U30" s="259"/>
      <c r="V30" s="206">
        <f>M30+L30-B30-(+BaseloadMarkets!DT32+OCCMarkets!CO32+SwingMarkets!DT32+EOLMarkets!ER32)-EES!AO31</f>
        <v>0</v>
      </c>
      <c r="W30" s="206"/>
      <c r="X30" s="206">
        <f t="shared" si="6"/>
        <v>14931330</v>
      </c>
      <c r="Y30" s="26"/>
      <c r="Z30" s="28">
        <f t="shared" si="7"/>
        <v>0</v>
      </c>
      <c r="AB30" s="205"/>
      <c r="AD30" s="205">
        <v>0</v>
      </c>
    </row>
    <row r="31" spans="1:30" s="28" customFormat="1" ht="13.5" thickBot="1" x14ac:dyDescent="0.25">
      <c r="A31" s="250">
        <f>BaseloadMarkets!A33</f>
        <v>36735</v>
      </c>
      <c r="B31" s="251">
        <f>+EES!C32</f>
        <v>70000</v>
      </c>
      <c r="C31" s="252">
        <v>0</v>
      </c>
      <c r="D31" s="253">
        <v>0</v>
      </c>
      <c r="E31" s="253">
        <v>0</v>
      </c>
      <c r="F31" s="251">
        <v>0</v>
      </c>
      <c r="G31" s="251">
        <f>+BaseloadMarkets!DS33+OCCMarkets!CN33+SwingMarkets!DS33+EOLMarkets!ER33</f>
        <v>475865</v>
      </c>
      <c r="H31" s="254">
        <f t="shared" si="0"/>
        <v>545865</v>
      </c>
      <c r="I31"/>
      <c r="J31" s="253">
        <v>0</v>
      </c>
      <c r="K31" s="255">
        <v>0</v>
      </c>
      <c r="L31" s="253">
        <v>37254</v>
      </c>
      <c r="M31" s="251">
        <f>Supplies!BG33+EOLSupplies!DT33</f>
        <v>556646</v>
      </c>
      <c r="N31" s="251">
        <v>0</v>
      </c>
      <c r="O31" s="254">
        <f t="shared" si="1"/>
        <v>593900</v>
      </c>
      <c r="P31" s="256">
        <f t="shared" si="2"/>
        <v>36735</v>
      </c>
      <c r="Q31" s="157"/>
      <c r="R31" s="257">
        <f t="shared" si="3"/>
        <v>48035</v>
      </c>
      <c r="S31" s="260">
        <f t="shared" si="5"/>
        <v>28119.699999999953</v>
      </c>
      <c r="T31" s="258">
        <f t="shared" si="4"/>
        <v>36735</v>
      </c>
      <c r="U31" s="259"/>
      <c r="V31" s="206">
        <f>M31+L31-B31-(+BaseloadMarkets!DT33+OCCMarkets!CO33+SwingMarkets!DT33+EOLMarkets!ER33)-EES!AO32</f>
        <v>0</v>
      </c>
      <c r="W31" s="206"/>
      <c r="X31" s="206">
        <f t="shared" si="6"/>
        <v>15525230</v>
      </c>
      <c r="Y31" s="26"/>
      <c r="Z31" s="28">
        <f t="shared" si="7"/>
        <v>0</v>
      </c>
      <c r="AB31" s="205"/>
      <c r="AD31" s="205">
        <v>0</v>
      </c>
    </row>
    <row r="32" spans="1:30" s="28" customFormat="1" ht="13.5" thickBot="1" x14ac:dyDescent="0.25">
      <c r="A32" s="250">
        <f>BaseloadMarkets!A34</f>
        <v>36736</v>
      </c>
      <c r="B32" s="251">
        <f>+EES!C33</f>
        <v>70000</v>
      </c>
      <c r="C32" s="252">
        <v>0</v>
      </c>
      <c r="D32" s="253">
        <v>0</v>
      </c>
      <c r="E32" s="253">
        <v>0</v>
      </c>
      <c r="F32" s="251">
        <v>0</v>
      </c>
      <c r="G32" s="251">
        <f>+BaseloadMarkets!DS34+OCCMarkets!CN34+SwingMarkets!DS34+EOLMarkets!ER34</f>
        <v>524716</v>
      </c>
      <c r="H32" s="254">
        <f t="shared" si="0"/>
        <v>594716</v>
      </c>
      <c r="I32"/>
      <c r="J32" s="253">
        <v>0</v>
      </c>
      <c r="K32" s="255">
        <v>0</v>
      </c>
      <c r="L32" s="253">
        <f>27810+20000</f>
        <v>47810</v>
      </c>
      <c r="M32" s="251">
        <f>Supplies!BG34+EOLSupplies!DT34</f>
        <v>545438</v>
      </c>
      <c r="N32" s="251">
        <v>0</v>
      </c>
      <c r="O32" s="254">
        <f t="shared" si="1"/>
        <v>593248</v>
      </c>
      <c r="P32" s="256">
        <f t="shared" si="2"/>
        <v>36736</v>
      </c>
      <c r="Q32" s="157"/>
      <c r="R32" s="257">
        <f t="shared" si="3"/>
        <v>-1468</v>
      </c>
      <c r="S32" s="260">
        <f t="shared" si="5"/>
        <v>26651.699999999953</v>
      </c>
      <c r="T32" s="258">
        <f t="shared" si="4"/>
        <v>36736</v>
      </c>
      <c r="U32" s="259"/>
      <c r="V32" s="206">
        <f>M32+L32-B32-(+BaseloadMarkets!DT34+OCCMarkets!CO34+SwingMarkets!DT34+EOLMarkets!ER34)-EES!AO33</f>
        <v>0</v>
      </c>
      <c r="W32" s="206"/>
      <c r="X32" s="206">
        <f t="shared" si="6"/>
        <v>16118478</v>
      </c>
      <c r="Y32" s="26"/>
      <c r="Z32" s="28">
        <f t="shared" si="7"/>
        <v>0</v>
      </c>
      <c r="AB32" s="205"/>
      <c r="AD32" s="205">
        <v>0</v>
      </c>
    </row>
    <row r="33" spans="1:30" s="28" customFormat="1" ht="13.5" thickBot="1" x14ac:dyDescent="0.25">
      <c r="A33" s="250">
        <f>BaseloadMarkets!A35</f>
        <v>36737</v>
      </c>
      <c r="B33" s="251">
        <f>+EES!C34</f>
        <v>70000</v>
      </c>
      <c r="C33" s="252">
        <v>0</v>
      </c>
      <c r="D33" s="253">
        <v>0</v>
      </c>
      <c r="E33" s="253">
        <v>0</v>
      </c>
      <c r="F33" s="251">
        <v>0</v>
      </c>
      <c r="G33" s="251">
        <f>+BaseloadMarkets!DS35+OCCMarkets!CN35+SwingMarkets!DS35+EOLMarkets!ER35</f>
        <v>514104</v>
      </c>
      <c r="H33" s="254">
        <f t="shared" si="0"/>
        <v>584104</v>
      </c>
      <c r="I33"/>
      <c r="J33" s="253">
        <v>0</v>
      </c>
      <c r="K33" s="255">
        <v>0</v>
      </c>
      <c r="L33" s="253">
        <v>43521</v>
      </c>
      <c r="M33" s="251">
        <f>Supplies!BG35+EOLSupplies!DT35</f>
        <v>562201</v>
      </c>
      <c r="N33" s="251">
        <v>0</v>
      </c>
      <c r="O33" s="254">
        <f t="shared" si="1"/>
        <v>605722</v>
      </c>
      <c r="P33" s="256">
        <f t="shared" si="2"/>
        <v>36737</v>
      </c>
      <c r="Q33" s="157"/>
      <c r="R33" s="257">
        <f t="shared" si="3"/>
        <v>21618</v>
      </c>
      <c r="S33" s="260">
        <f t="shared" si="5"/>
        <v>48269.699999999953</v>
      </c>
      <c r="T33" s="258">
        <f t="shared" si="4"/>
        <v>36737</v>
      </c>
      <c r="U33" s="259"/>
      <c r="V33" s="206">
        <f>M33+L33-B33-(+BaseloadMarkets!DT35+OCCMarkets!CO35+SwingMarkets!DT35+EOLMarkets!ER35)-EES!AO34</f>
        <v>-540</v>
      </c>
      <c r="W33" s="206"/>
      <c r="X33" s="206">
        <f t="shared" si="6"/>
        <v>16724200</v>
      </c>
      <c r="Y33" s="26"/>
      <c r="Z33" s="28">
        <f t="shared" si="7"/>
        <v>-270</v>
      </c>
      <c r="AB33" s="205"/>
      <c r="AD33" s="205">
        <v>0</v>
      </c>
    </row>
    <row r="34" spans="1:30" s="28" customFormat="1" ht="13.5" thickBot="1" x14ac:dyDescent="0.25">
      <c r="A34" s="250">
        <f>BaseloadMarkets!A36</f>
        <v>36738</v>
      </c>
      <c r="B34" s="251">
        <f>+EES!C35</f>
        <v>70000</v>
      </c>
      <c r="C34" s="252">
        <v>0</v>
      </c>
      <c r="D34" s="253">
        <v>0</v>
      </c>
      <c r="E34" s="253">
        <v>0</v>
      </c>
      <c r="F34" s="251">
        <v>0</v>
      </c>
      <c r="G34" s="251">
        <f>+BaseloadMarkets!DS36+OCCMarkets!CN36+SwingMarkets!DS36+EOLMarkets!ER36</f>
        <v>531574</v>
      </c>
      <c r="H34" s="254">
        <f>SUM(B34:G34)</f>
        <v>601574</v>
      </c>
      <c r="I34"/>
      <c r="J34" s="253">
        <v>0</v>
      </c>
      <c r="K34" s="255">
        <v>0</v>
      </c>
      <c r="L34" s="253">
        <v>45118</v>
      </c>
      <c r="M34" s="251">
        <f>Supplies!BG36+EOLSupplies!DT36</f>
        <v>592921</v>
      </c>
      <c r="N34" s="251">
        <v>1</v>
      </c>
      <c r="O34" s="254">
        <f>SUM(J34:N34)</f>
        <v>638040</v>
      </c>
      <c r="P34" s="256">
        <f>A34</f>
        <v>36738</v>
      </c>
      <c r="Q34" s="157"/>
      <c r="R34" s="257">
        <f>+O34-H34</f>
        <v>36466</v>
      </c>
      <c r="S34" s="260">
        <f>S33+R34</f>
        <v>84735.699999999953</v>
      </c>
      <c r="T34" s="258">
        <f>A34</f>
        <v>36738</v>
      </c>
      <c r="U34" s="259"/>
      <c r="V34" s="206">
        <f>M34+L34-B34-(+BaseloadMarkets!DT36+OCCMarkets!CO36+SwingMarkets!DT36+EOLMarkets!ER36)-EES!AO35</f>
        <v>4100</v>
      </c>
      <c r="W34" s="206"/>
      <c r="X34" s="206">
        <f>+X33+O34</f>
        <v>17362240</v>
      </c>
      <c r="Y34" s="26"/>
      <c r="Z34" s="28">
        <f>ROUND(+V34/2,0)</f>
        <v>2050</v>
      </c>
      <c r="AB34" s="205"/>
      <c r="AD34" s="205">
        <v>0</v>
      </c>
    </row>
    <row r="35" spans="1:30" s="31" customFormat="1" ht="13.5" thickBot="1" x14ac:dyDescent="0.25">
      <c r="A35" s="262" t="s">
        <v>56</v>
      </c>
      <c r="B35" s="263">
        <f t="shared" ref="B35:H35" si="8">SUM(B4:B34)</f>
        <v>2170000</v>
      </c>
      <c r="C35" s="264">
        <f t="shared" si="8"/>
        <v>0</v>
      </c>
      <c r="D35" s="265">
        <f t="shared" si="8"/>
        <v>0</v>
      </c>
      <c r="E35" s="264">
        <f t="shared" si="8"/>
        <v>0</v>
      </c>
      <c r="F35" s="264">
        <f t="shared" si="8"/>
        <v>0</v>
      </c>
      <c r="G35" s="266">
        <f t="shared" si="8"/>
        <v>15107504.300000001</v>
      </c>
      <c r="H35" s="267">
        <f t="shared" si="8"/>
        <v>17277504.300000001</v>
      </c>
      <c r="I35"/>
      <c r="J35" s="268">
        <f t="shared" ref="J35:O35" si="9">SUM(J4:J34)</f>
        <v>0</v>
      </c>
      <c r="K35" s="266">
        <f t="shared" si="9"/>
        <v>0</v>
      </c>
      <c r="L35" s="269">
        <f t="shared" si="9"/>
        <v>1544251</v>
      </c>
      <c r="M35" s="266">
        <f t="shared" si="9"/>
        <v>15817988</v>
      </c>
      <c r="N35" s="266">
        <f t="shared" si="9"/>
        <v>1</v>
      </c>
      <c r="O35" s="266">
        <f t="shared" si="9"/>
        <v>17362240</v>
      </c>
      <c r="P35" s="31" t="s">
        <v>29</v>
      </c>
      <c r="Q35" s="31" t="s">
        <v>29</v>
      </c>
      <c r="R35" s="270">
        <f>SUM(R4:R34)</f>
        <v>84735.699999999953</v>
      </c>
      <c r="V35" s="264">
        <f>SUM(V4:V34)</f>
        <v>3505</v>
      </c>
    </row>
    <row r="36" spans="1:30" x14ac:dyDescent="0.2">
      <c r="B36" s="259"/>
      <c r="C36" s="259" t="s">
        <v>29</v>
      </c>
      <c r="F36" s="259" t="s">
        <v>29</v>
      </c>
      <c r="G36" s="271"/>
      <c r="H36" s="271"/>
      <c r="K36" s="157"/>
      <c r="M36" s="271"/>
      <c r="N36" s="259"/>
      <c r="O36" s="259"/>
      <c r="P36" s="201"/>
      <c r="Q36" s="152"/>
      <c r="R36" s="208"/>
      <c r="S36" s="259"/>
      <c r="T36" s="259"/>
      <c r="U36" s="259"/>
      <c r="V36" s="206" t="s">
        <v>29</v>
      </c>
      <c r="W36" s="259"/>
      <c r="X36" s="259"/>
      <c r="Z36" s="208">
        <f>SUM(Z27:Z34)</f>
        <v>1752</v>
      </c>
      <c r="AD36" s="208">
        <v>-10016</v>
      </c>
    </row>
    <row r="37" spans="1:30" x14ac:dyDescent="0.2">
      <c r="B37" s="259" t="s">
        <v>29</v>
      </c>
      <c r="C37" s="259"/>
      <c r="D37" s="272"/>
      <c r="F37" s="259" t="s">
        <v>29</v>
      </c>
      <c r="G37" s="271"/>
      <c r="H37" s="271" t="s">
        <v>29</v>
      </c>
      <c r="K37" s="157"/>
      <c r="M37" s="271"/>
      <c r="N37" s="259"/>
      <c r="O37" s="259"/>
      <c r="P37" s="201"/>
      <c r="Q37" s="152"/>
      <c r="R37" s="273"/>
      <c r="S37" s="259"/>
      <c r="T37" s="259"/>
      <c r="U37" s="259"/>
      <c r="V37" s="206" t="s">
        <v>29</v>
      </c>
      <c r="W37" s="259"/>
      <c r="X37" s="259"/>
    </row>
    <row r="38" spans="1:30" x14ac:dyDescent="0.2">
      <c r="B38" s="259"/>
      <c r="D38" s="274"/>
      <c r="F38" s="259"/>
      <c r="G38" s="271"/>
      <c r="H38" s="271"/>
      <c r="K38" s="157"/>
      <c r="M38" s="271"/>
      <c r="N38" s="259"/>
      <c r="O38" s="259"/>
      <c r="P38" s="201"/>
      <c r="Q38" s="152"/>
      <c r="R38" s="273"/>
      <c r="S38" s="259"/>
      <c r="T38" s="259"/>
      <c r="U38" s="259"/>
      <c r="V38" s="206"/>
      <c r="W38" s="259"/>
      <c r="X38" s="259"/>
    </row>
    <row r="39" spans="1:30" x14ac:dyDescent="0.2">
      <c r="B39" s="259"/>
      <c r="C39" s="259"/>
      <c r="D39" s="272" t="s">
        <v>29</v>
      </c>
      <c r="F39" s="259"/>
      <c r="G39" s="271"/>
      <c r="H39" s="271" t="s">
        <v>29</v>
      </c>
      <c r="K39" s="157"/>
      <c r="M39" s="271"/>
      <c r="N39" s="259"/>
      <c r="O39" s="259"/>
      <c r="P39" s="201"/>
      <c r="Q39" s="152"/>
      <c r="R39" s="273"/>
      <c r="S39" s="259"/>
      <c r="T39" s="259"/>
      <c r="U39" s="259"/>
      <c r="V39" s="259"/>
      <c r="W39" s="259"/>
      <c r="X39" s="259"/>
    </row>
    <row r="40" spans="1:30" x14ac:dyDescent="0.2">
      <c r="B40" s="259"/>
      <c r="C40" s="259"/>
      <c r="D40" s="272" t="s">
        <v>29</v>
      </c>
      <c r="F40" s="259"/>
      <c r="G40" s="271"/>
      <c r="H40" s="271"/>
      <c r="K40" s="157"/>
      <c r="M40" s="271"/>
      <c r="N40" s="259"/>
      <c r="O40" s="259"/>
      <c r="P40" s="201"/>
      <c r="Q40" s="152"/>
      <c r="R40" s="273"/>
      <c r="S40" s="259"/>
      <c r="T40" s="259"/>
      <c r="U40" s="259"/>
      <c r="V40" s="259"/>
      <c r="W40" s="259"/>
      <c r="X40" s="259"/>
    </row>
    <row r="41" spans="1:30" x14ac:dyDescent="0.2">
      <c r="B41" s="259"/>
      <c r="D41" s="272" t="s">
        <v>29</v>
      </c>
      <c r="G41" s="271"/>
    </row>
    <row r="42" spans="1:30" x14ac:dyDescent="0.2">
      <c r="D42" s="272" t="s">
        <v>29</v>
      </c>
      <c r="G42" s="271"/>
    </row>
    <row r="43" spans="1:30" x14ac:dyDescent="0.2">
      <c r="D43" s="272" t="s">
        <v>29</v>
      </c>
      <c r="G43" s="271"/>
    </row>
    <row r="44" spans="1:30" x14ac:dyDescent="0.2">
      <c r="D44" s="272" t="s">
        <v>29</v>
      </c>
      <c r="G44" s="271"/>
    </row>
    <row r="45" spans="1:30" x14ac:dyDescent="0.2">
      <c r="D45" s="272" t="s">
        <v>29</v>
      </c>
      <c r="G45" s="271"/>
    </row>
    <row r="46" spans="1:30" x14ac:dyDescent="0.2">
      <c r="D46" s="272" t="s">
        <v>29</v>
      </c>
      <c r="G46" s="271"/>
    </row>
    <row r="47" spans="1:30" x14ac:dyDescent="0.2">
      <c r="D47" s="272" t="s">
        <v>29</v>
      </c>
      <c r="G47" s="271"/>
    </row>
    <row r="48" spans="1:30" x14ac:dyDescent="0.2">
      <c r="G48" s="271"/>
    </row>
  </sheetData>
  <printOptions horizontalCentered="1" verticalCentered="1" gridLines="1" gridLinesSet="0"/>
  <pageMargins left="0.25" right="0.24" top="1" bottom="1" header="0.5" footer="0.5"/>
  <pageSetup paperSize="5" scale="72" orientation="landscape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19"/>
  <sheetViews>
    <sheetView topLeftCell="A73" zoomScale="80" workbookViewId="0">
      <selection activeCell="D74" sqref="D74"/>
    </sheetView>
  </sheetViews>
  <sheetFormatPr defaultColWidth="25.1640625" defaultRowHeight="12.95" customHeight="1" x14ac:dyDescent="0.25"/>
  <cols>
    <col min="1" max="1" width="38.6640625" style="285" customWidth="1"/>
    <col min="2" max="2" width="16.83203125" style="284" customWidth="1"/>
    <col min="3" max="3" width="11.83203125" style="284" customWidth="1"/>
    <col min="4" max="4" width="25.1640625" style="295" customWidth="1"/>
    <col min="5" max="5" width="1.83203125" style="295" customWidth="1"/>
    <col min="6" max="6" width="18.83203125" style="295" customWidth="1"/>
    <col min="7" max="7" width="1.83203125" style="284" customWidth="1"/>
    <col min="8" max="8" width="30.6640625" style="284" customWidth="1"/>
    <col min="9" max="9" width="4.5" style="329" customWidth="1"/>
    <col min="10" max="10" width="23.83203125" style="284" customWidth="1"/>
    <col min="11" max="11" width="12.83203125" style="284" customWidth="1"/>
    <col min="12" max="12" width="18.83203125" style="284" customWidth="1"/>
    <col min="13" max="13" width="13" style="284" customWidth="1"/>
    <col min="14" max="14" width="12.33203125" style="286" customWidth="1"/>
    <col min="15" max="15" width="13.1640625" style="284" customWidth="1"/>
    <col min="16" max="16" width="12.1640625" style="284" customWidth="1"/>
    <col min="17" max="16384" width="25.1640625" style="284"/>
  </cols>
  <sheetData>
    <row r="1" spans="1:18" ht="27" customHeight="1" x14ac:dyDescent="0.25">
      <c r="A1" s="278" t="s">
        <v>183</v>
      </c>
      <c r="B1" s="279"/>
      <c r="C1" s="485">
        <f ca="1">NOW()</f>
        <v>36747.196142476852</v>
      </c>
      <c r="D1" s="485"/>
      <c r="E1" s="280"/>
      <c r="F1" s="280"/>
      <c r="G1" s="281"/>
      <c r="H1" s="281"/>
      <c r="I1" s="282"/>
      <c r="J1" s="283"/>
      <c r="L1" s="285"/>
      <c r="M1" s="285"/>
    </row>
    <row r="2" spans="1:18" ht="18" customHeight="1" x14ac:dyDescent="0.25">
      <c r="B2" s="279"/>
      <c r="C2" s="287"/>
      <c r="D2" s="288"/>
      <c r="E2" s="280"/>
      <c r="F2" s="289"/>
      <c r="G2" s="281"/>
      <c r="H2" s="290"/>
      <c r="I2" s="290"/>
      <c r="J2" s="290"/>
      <c r="K2" s="290"/>
      <c r="L2" s="290"/>
      <c r="M2" s="290"/>
    </row>
    <row r="3" spans="1:18" ht="18" customHeight="1" x14ac:dyDescent="0.25">
      <c r="B3" s="290"/>
      <c r="C3" s="290"/>
      <c r="D3" s="281"/>
      <c r="E3" s="291"/>
      <c r="F3" s="292" t="s">
        <v>184</v>
      </c>
      <c r="G3" s="293"/>
      <c r="H3" s="286" t="s">
        <v>185</v>
      </c>
      <c r="I3" s="286"/>
      <c r="J3" s="286" t="s">
        <v>186</v>
      </c>
      <c r="K3" s="286"/>
      <c r="L3" s="286"/>
      <c r="M3" s="286"/>
    </row>
    <row r="4" spans="1:18" ht="18" customHeight="1" thickBot="1" x14ac:dyDescent="0.3">
      <c r="A4" s="294" t="s">
        <v>187</v>
      </c>
      <c r="F4" s="296" t="s">
        <v>69</v>
      </c>
      <c r="G4" s="293"/>
      <c r="H4" s="296" t="s">
        <v>69</v>
      </c>
      <c r="I4" s="296"/>
      <c r="J4" s="296" t="s">
        <v>188</v>
      </c>
      <c r="K4" s="296"/>
      <c r="L4" s="297"/>
      <c r="M4" s="297"/>
    </row>
    <row r="5" spans="1:18" ht="18" customHeight="1" x14ac:dyDescent="0.25">
      <c r="A5" s="298" t="str">
        <f>+OCCMarkets!C4</f>
        <v>Pasadena</v>
      </c>
      <c r="B5" s="299">
        <f ca="1">VLOOKUP(+$C$1,Pasadena,3)</f>
        <v>19318</v>
      </c>
      <c r="D5" s="300"/>
      <c r="F5" s="301">
        <f>+OCCMarkets!M37</f>
        <v>17488</v>
      </c>
      <c r="G5" s="302"/>
      <c r="H5" s="301">
        <f ca="1">VLOOKUP(+$C$1,Pasadena,13)</f>
        <v>16551</v>
      </c>
      <c r="I5" s="301"/>
      <c r="J5" s="301">
        <f ca="1">+VLOOKUP($C$1,Pasadena,14)</f>
        <v>17488</v>
      </c>
      <c r="K5" s="297"/>
      <c r="L5" s="486" t="s">
        <v>189</v>
      </c>
      <c r="M5" s="486"/>
      <c r="N5" s="486"/>
      <c r="O5" s="486"/>
      <c r="P5" s="486"/>
      <c r="Q5" s="486"/>
      <c r="R5" s="486"/>
    </row>
    <row r="6" spans="1:18" ht="18" customHeight="1" x14ac:dyDescent="0.25">
      <c r="A6" s="303" t="str">
        <f>+OCCMarkets!O4</f>
        <v>Akzo/Filtrol</v>
      </c>
      <c r="B6" s="299">
        <f ca="1">VLOOKUP(+$C$1,Filtrol,15)</f>
        <v>2567</v>
      </c>
      <c r="D6" s="300"/>
      <c r="F6" s="301">
        <f>+OCCMarkets!T37</f>
        <v>13651.5</v>
      </c>
      <c r="G6" s="302"/>
      <c r="H6" s="301">
        <f ca="1">VLOOKUP(+C1,Filtrol,20)</f>
        <v>4822</v>
      </c>
      <c r="I6" s="301"/>
      <c r="J6" s="301">
        <f ca="1">+VLOOKUP($C$1,Filtrol,21)</f>
        <v>13651.5</v>
      </c>
      <c r="K6" s="297"/>
      <c r="L6" s="304"/>
      <c r="M6" s="305"/>
      <c r="N6" s="306" t="s">
        <v>190</v>
      </c>
      <c r="O6" s="307">
        <v>20000</v>
      </c>
      <c r="P6" s="307"/>
      <c r="Q6" s="305"/>
      <c r="R6" s="305"/>
    </row>
    <row r="7" spans="1:18" ht="18" customHeight="1" x14ac:dyDescent="0.25">
      <c r="A7" s="303" t="str">
        <f>+OCCMarkets!V4</f>
        <v>CanFibre</v>
      </c>
      <c r="B7" s="299">
        <f ca="1">VLOOKUP(+$C$1,CanFibre,22)</f>
        <v>0</v>
      </c>
      <c r="D7" s="300"/>
      <c r="F7" s="301">
        <f>+OCCMarkets!AA37</f>
        <v>10457.700000000001</v>
      </c>
      <c r="G7" s="302"/>
      <c r="H7" s="301">
        <f ca="1">VLOOKUP($C$1,CanFibre,27)</f>
        <v>7715</v>
      </c>
      <c r="I7" s="301"/>
      <c r="J7" s="301">
        <f ca="1">VLOOKUP($C$1,CanFibre,28)</f>
        <v>10457.700000000001</v>
      </c>
      <c r="K7" s="297"/>
      <c r="L7" s="305"/>
      <c r="M7" s="305"/>
      <c r="N7" s="306" t="s">
        <v>191</v>
      </c>
      <c r="O7" s="307">
        <f>+Oxy!B37</f>
        <v>620000</v>
      </c>
      <c r="P7" s="307"/>
      <c r="Q7" s="305"/>
      <c r="R7" s="308"/>
    </row>
    <row r="8" spans="1:18" ht="18" customHeight="1" x14ac:dyDescent="0.25">
      <c r="A8" s="303" t="s">
        <v>192</v>
      </c>
      <c r="B8" s="299">
        <f ca="1">VLOOKUP(+$C$1,Smurfit,38)</f>
        <v>9777</v>
      </c>
      <c r="D8" s="300"/>
      <c r="F8" s="301">
        <f>+Smurfit!AN38</f>
        <v>50677.899999999994</v>
      </c>
      <c r="G8" s="309"/>
      <c r="H8" s="301">
        <f ca="1">VLOOKUP($C$1,Smurfit,40)</f>
        <v>491</v>
      </c>
      <c r="I8" s="310"/>
      <c r="J8" s="301">
        <f ca="1">VLOOKUP($C$1,Smurfit,41)</f>
        <v>50677.9</v>
      </c>
      <c r="K8" s="311"/>
      <c r="L8" s="305"/>
      <c r="M8" s="305"/>
      <c r="N8" s="312"/>
      <c r="O8" s="312"/>
      <c r="P8" s="312"/>
      <c r="Q8" s="305"/>
      <c r="R8" s="308"/>
    </row>
    <row r="9" spans="1:18" ht="18" customHeight="1" x14ac:dyDescent="0.25">
      <c r="A9" s="303" t="s">
        <v>125</v>
      </c>
      <c r="B9" s="299">
        <f ca="1">VLOOKUP(+$C$1,Harbor,64)</f>
        <v>13379</v>
      </c>
      <c r="C9" s="295"/>
      <c r="D9" s="281"/>
      <c r="E9" s="284"/>
      <c r="F9" s="301">
        <f>+OCCMarkets!BQ37</f>
        <v>4990.5999999999985</v>
      </c>
      <c r="G9" s="302"/>
      <c r="H9" s="301">
        <f ca="1">VLOOKUP($C$1,Harbor,69)</f>
        <v>28359</v>
      </c>
      <c r="I9" s="301"/>
      <c r="J9" s="301">
        <f ca="1">VLOOKUP($C$1,Harbor,70)</f>
        <v>4990.5999999999985</v>
      </c>
      <c r="K9" s="311"/>
      <c r="L9" s="313"/>
      <c r="M9" s="314" t="s">
        <v>193</v>
      </c>
      <c r="N9" s="315">
        <f>+O6</f>
        <v>20000</v>
      </c>
      <c r="O9" s="312"/>
      <c r="P9" s="316"/>
      <c r="Q9" s="306" t="s">
        <v>194</v>
      </c>
      <c r="R9" s="316">
        <f ca="1">+VLOOKUP($C$1,Oxy,5)</f>
        <v>620000</v>
      </c>
    </row>
    <row r="10" spans="1:18" ht="18" customHeight="1" thickBot="1" x14ac:dyDescent="0.3">
      <c r="A10" s="285" t="s">
        <v>195</v>
      </c>
      <c r="B10" s="317">
        <v>4178</v>
      </c>
      <c r="C10" s="295"/>
      <c r="D10" s="281"/>
      <c r="F10" s="297"/>
      <c r="G10" s="295"/>
      <c r="H10" s="297"/>
      <c r="I10" s="311"/>
      <c r="J10" s="311"/>
      <c r="K10" s="311"/>
      <c r="L10" s="313"/>
      <c r="M10" s="314" t="s">
        <v>196</v>
      </c>
      <c r="N10" s="316">
        <f ca="1">+VLOOKUP($C$1,Oxy,3)</f>
        <v>30000</v>
      </c>
      <c r="O10" s="312"/>
      <c r="P10" s="316"/>
      <c r="Q10" s="306" t="s">
        <v>197</v>
      </c>
      <c r="R10" s="316">
        <f ca="1">+VLOOKUP($C$1,Oxy,6)</f>
        <v>620000</v>
      </c>
    </row>
    <row r="11" spans="1:18" ht="18" customHeight="1" thickTop="1" x14ac:dyDescent="0.25">
      <c r="A11" s="318" t="s">
        <v>12</v>
      </c>
      <c r="B11" s="317">
        <v>10000</v>
      </c>
      <c r="C11" s="295"/>
      <c r="D11" s="281"/>
      <c r="F11" s="297"/>
      <c r="G11" s="295"/>
      <c r="H11" s="297"/>
      <c r="I11" s="311"/>
      <c r="J11" s="311"/>
      <c r="K11" s="311"/>
      <c r="L11" s="314"/>
      <c r="M11" s="314" t="s">
        <v>198</v>
      </c>
      <c r="N11" s="319">
        <f ca="1">+N10-N9</f>
        <v>10000</v>
      </c>
      <c r="O11" s="312"/>
      <c r="P11" s="316"/>
      <c r="Q11" s="320" t="s">
        <v>199</v>
      </c>
      <c r="R11" s="319">
        <f ca="1">+VLOOKUP($C$1,Oxy,7)</f>
        <v>0</v>
      </c>
    </row>
    <row r="12" spans="1:18" ht="18" customHeight="1" x14ac:dyDescent="0.25">
      <c r="A12" s="285" t="s">
        <v>11</v>
      </c>
      <c r="B12" s="317">
        <v>5000</v>
      </c>
      <c r="C12" s="295"/>
      <c r="D12" s="281"/>
      <c r="F12" s="297"/>
      <c r="G12" s="295"/>
      <c r="H12" s="311"/>
      <c r="I12" s="311"/>
      <c r="J12" s="311"/>
      <c r="K12" s="311"/>
    </row>
    <row r="13" spans="1:18" ht="18" customHeight="1" x14ac:dyDescent="0.25">
      <c r="A13" s="318" t="s">
        <v>78</v>
      </c>
      <c r="B13" s="317">
        <v>40000</v>
      </c>
      <c r="D13" s="281"/>
      <c r="F13" s="297"/>
      <c r="G13" s="295"/>
      <c r="H13" s="311"/>
      <c r="I13" s="311"/>
      <c r="J13" s="311"/>
      <c r="K13" s="311"/>
      <c r="L13" s="321" t="str">
        <f>+Hub!B2</f>
        <v>CA HUB</v>
      </c>
      <c r="M13" s="321" t="str">
        <f>+Hub!B5</f>
        <v>Daily Lend Deal</v>
      </c>
      <c r="N13" s="321">
        <f>+Hub!B3</f>
        <v>131490</v>
      </c>
      <c r="O13" s="321"/>
      <c r="P13" s="306"/>
      <c r="Q13" s="306"/>
      <c r="R13" s="306"/>
    </row>
    <row r="14" spans="1:18" ht="18" customHeight="1" x14ac:dyDescent="0.25">
      <c r="A14" s="318" t="s">
        <v>19</v>
      </c>
      <c r="B14" s="317">
        <v>5000</v>
      </c>
      <c r="C14" s="295"/>
      <c r="D14" s="281"/>
      <c r="G14" s="295"/>
      <c r="H14" s="311"/>
      <c r="I14" s="311"/>
      <c r="J14" s="311"/>
      <c r="K14" s="311"/>
      <c r="L14" s="304"/>
      <c r="M14" s="305"/>
      <c r="N14" s="306" t="s">
        <v>190</v>
      </c>
      <c r="O14" s="316">
        <f ca="1">+VLOOKUP($C$1,Hub,2)</f>
        <v>5000</v>
      </c>
      <c r="P14" s="307"/>
      <c r="Q14" s="305"/>
      <c r="R14" s="305"/>
    </row>
    <row r="15" spans="1:18" ht="18" customHeight="1" x14ac:dyDescent="0.25">
      <c r="A15" s="318" t="s">
        <v>80</v>
      </c>
      <c r="B15" s="317">
        <v>10741</v>
      </c>
      <c r="C15" s="295"/>
      <c r="D15" s="281"/>
      <c r="F15" s="297"/>
      <c r="G15" s="295"/>
      <c r="H15" s="311"/>
      <c r="I15" s="311"/>
      <c r="J15" s="311"/>
      <c r="K15" s="311"/>
      <c r="L15" s="305"/>
      <c r="M15" s="305"/>
      <c r="N15" s="306" t="s">
        <v>191</v>
      </c>
      <c r="O15" s="307">
        <f>+Hub!B37</f>
        <v>155000</v>
      </c>
      <c r="P15" s="307"/>
      <c r="Q15" s="305"/>
      <c r="R15" s="308"/>
    </row>
    <row r="16" spans="1:18" ht="18" customHeight="1" x14ac:dyDescent="0.25">
      <c r="A16" s="318" t="s">
        <v>79</v>
      </c>
      <c r="B16" s="317">
        <v>10000</v>
      </c>
      <c r="D16" s="281"/>
      <c r="F16" s="297"/>
      <c r="G16" s="295"/>
      <c r="H16" s="311"/>
      <c r="I16" s="311"/>
      <c r="J16" s="311"/>
      <c r="K16" s="311"/>
      <c r="L16" s="305"/>
      <c r="M16" s="305"/>
      <c r="N16" s="312"/>
      <c r="O16" s="312"/>
      <c r="P16" s="312"/>
      <c r="Q16" s="305"/>
      <c r="R16" s="308"/>
    </row>
    <row r="17" spans="1:18" ht="18" customHeight="1" x14ac:dyDescent="0.25">
      <c r="A17" s="318" t="s">
        <v>95</v>
      </c>
      <c r="B17" s="317">
        <v>10000</v>
      </c>
      <c r="C17" s="295"/>
      <c r="D17" s="281"/>
      <c r="F17" s="297"/>
      <c r="G17" s="295"/>
      <c r="H17" s="311"/>
      <c r="I17" s="311"/>
      <c r="J17" s="311"/>
      <c r="K17" s="311"/>
      <c r="L17" s="313"/>
      <c r="M17" s="314" t="s">
        <v>193</v>
      </c>
      <c r="N17" s="315">
        <f ca="1">+O14</f>
        <v>5000</v>
      </c>
      <c r="O17" s="312"/>
      <c r="P17" s="316"/>
      <c r="Q17" s="306" t="s">
        <v>194</v>
      </c>
      <c r="R17" s="316">
        <f ca="1">+VLOOKUP($C$1,Hub,5)</f>
        <v>155000</v>
      </c>
    </row>
    <row r="18" spans="1:18" ht="18" customHeight="1" thickBot="1" x14ac:dyDescent="0.3">
      <c r="A18" s="318" t="s">
        <v>81</v>
      </c>
      <c r="B18" s="317">
        <v>10375</v>
      </c>
      <c r="C18" s="295"/>
      <c r="D18" s="281"/>
      <c r="F18" s="311"/>
      <c r="G18" s="295"/>
      <c r="H18" s="311"/>
      <c r="I18" s="311"/>
      <c r="J18" s="311"/>
      <c r="K18" s="311"/>
      <c r="L18" s="313"/>
      <c r="M18" s="314" t="s">
        <v>196</v>
      </c>
      <c r="N18" s="316">
        <f ca="1">+VLOOKUP($C$1,Hub,3)</f>
        <v>5000</v>
      </c>
      <c r="O18" s="312"/>
      <c r="P18" s="316"/>
      <c r="Q18" s="306" t="s">
        <v>197</v>
      </c>
      <c r="R18" s="316">
        <f ca="1">+VLOOKUP($C$1,Hub,6)</f>
        <v>155000</v>
      </c>
    </row>
    <row r="19" spans="1:18" ht="18" customHeight="1" thickTop="1" x14ac:dyDescent="0.25">
      <c r="A19" s="318"/>
      <c r="B19" s="317"/>
      <c r="C19" s="295"/>
      <c r="D19" s="281"/>
      <c r="F19" s="297"/>
      <c r="G19" s="295"/>
      <c r="H19" s="311"/>
      <c r="I19" s="311"/>
      <c r="J19" s="311"/>
      <c r="K19" s="311"/>
      <c r="L19" s="314"/>
      <c r="M19" s="314" t="s">
        <v>198</v>
      </c>
      <c r="N19" s="319">
        <f ca="1">+N18-N17</f>
        <v>0</v>
      </c>
      <c r="O19" s="312"/>
      <c r="P19" s="316"/>
      <c r="Q19" s="320" t="s">
        <v>199</v>
      </c>
      <c r="R19" s="319">
        <f ca="1">+R18-R17</f>
        <v>0</v>
      </c>
    </row>
    <row r="20" spans="1:18" ht="18" customHeight="1" x14ac:dyDescent="0.25">
      <c r="B20" s="317"/>
      <c r="C20" s="295"/>
      <c r="D20" s="281"/>
      <c r="F20" s="297"/>
      <c r="G20" s="295"/>
      <c r="H20" s="311"/>
      <c r="I20" s="311"/>
      <c r="J20" s="311"/>
      <c r="K20" s="311"/>
    </row>
    <row r="21" spans="1:18" ht="18" customHeight="1" thickBot="1" x14ac:dyDescent="0.3">
      <c r="A21" s="285" t="s">
        <v>200</v>
      </c>
      <c r="B21" s="322">
        <f ca="1">VLOOKUP(+$C$1,EOLMarkets,153)</f>
        <v>105000</v>
      </c>
      <c r="C21" s="290"/>
      <c r="D21" s="281"/>
      <c r="F21" s="297"/>
      <c r="G21" s="295"/>
      <c r="H21" s="301">
        <f ca="1">VLOOKUP(+$C$1,EOLMarkets,154)</f>
        <v>0</v>
      </c>
      <c r="I21" s="311"/>
      <c r="J21" s="301">
        <f ca="1">VLOOKUP(+$C$1,EOLMarkets,155)</f>
        <v>-62654</v>
      </c>
      <c r="K21" s="311"/>
      <c r="L21" s="321" t="str">
        <f>+Hub!I2</f>
        <v>CA HUB</v>
      </c>
      <c r="M21" s="323" t="str">
        <f>+Hub!I5</f>
        <v>Daily Lend Deal</v>
      </c>
      <c r="N21" s="321">
        <f>+Hub!I3</f>
        <v>168003</v>
      </c>
      <c r="O21" s="321"/>
      <c r="P21" s="306"/>
      <c r="Q21" s="306"/>
      <c r="R21" s="306"/>
    </row>
    <row r="22" spans="1:18" ht="18" customHeight="1" thickTop="1" thickBot="1" x14ac:dyDescent="0.3">
      <c r="A22" s="324" t="s">
        <v>201</v>
      </c>
      <c r="B22" s="325">
        <f ca="1">SUM(B5:B21)</f>
        <v>255335</v>
      </c>
      <c r="C22" s="326" t="s">
        <v>202</v>
      </c>
      <c r="D22" s="327">
        <f ca="1">+B22-B21</f>
        <v>150335</v>
      </c>
      <c r="F22" s="297"/>
      <c r="G22" s="295"/>
      <c r="H22" s="311"/>
      <c r="I22" s="311"/>
      <c r="J22" s="311"/>
      <c r="K22" s="311"/>
      <c r="L22" s="304"/>
      <c r="M22" s="305"/>
      <c r="N22" s="306" t="s">
        <v>190</v>
      </c>
      <c r="O22" s="316">
        <f ca="1">+VLOOKUP($C$1,Hub,9)</f>
        <v>968</v>
      </c>
      <c r="P22" s="307"/>
      <c r="Q22" s="305"/>
      <c r="R22" s="305"/>
    </row>
    <row r="23" spans="1:18" ht="18" customHeight="1" thickTop="1" x14ac:dyDescent="0.25">
      <c r="A23" s="328" t="s">
        <v>203</v>
      </c>
      <c r="B23" s="295"/>
      <c r="F23" s="297"/>
      <c r="G23" s="295"/>
      <c r="H23" s="311"/>
      <c r="I23" s="311"/>
      <c r="J23" s="311"/>
      <c r="K23" s="311"/>
      <c r="L23" s="305"/>
      <c r="M23" s="305"/>
      <c r="N23" s="306" t="s">
        <v>191</v>
      </c>
      <c r="O23" s="307">
        <f>+Hub!I37</f>
        <v>30008</v>
      </c>
      <c r="P23" s="307"/>
      <c r="Q23" s="305"/>
      <c r="R23" s="308"/>
    </row>
    <row r="24" spans="1:18" ht="18" customHeight="1" x14ac:dyDescent="0.25">
      <c r="A24" s="285" t="s">
        <v>204</v>
      </c>
      <c r="B24" s="322">
        <f ca="1">VLOOKUP(+$C$1,EOLMarkets,34)</f>
        <v>276239</v>
      </c>
      <c r="C24" s="290"/>
      <c r="D24" s="281"/>
      <c r="F24" s="297"/>
      <c r="G24" s="295"/>
      <c r="H24" s="301">
        <f ca="1">VLOOKUP(+$C$1,EOLMarkets,157)</f>
        <v>-3761</v>
      </c>
      <c r="I24" s="311"/>
      <c r="J24" s="301">
        <f ca="1">VLOOKUP(+$C$1,EOLMarkets,158)</f>
        <v>-237181</v>
      </c>
      <c r="K24" s="311"/>
      <c r="L24" s="305"/>
      <c r="M24" s="305"/>
      <c r="N24" s="312"/>
      <c r="O24" s="312"/>
      <c r="P24" s="312"/>
      <c r="Q24" s="305"/>
      <c r="R24" s="308"/>
    </row>
    <row r="25" spans="1:18" ht="18" customHeight="1" x14ac:dyDescent="0.25">
      <c r="B25" s="284">
        <v>0</v>
      </c>
      <c r="K25" s="311"/>
      <c r="L25" s="313"/>
      <c r="M25" s="314" t="s">
        <v>193</v>
      </c>
      <c r="N25" s="315">
        <f ca="1">+O22</f>
        <v>968</v>
      </c>
      <c r="O25" s="312"/>
      <c r="P25" s="316"/>
      <c r="Q25" s="306" t="s">
        <v>194</v>
      </c>
      <c r="R25" s="316">
        <f ca="1">+VLOOKUP($C$1,Hub,12)</f>
        <v>30008</v>
      </c>
    </row>
    <row r="26" spans="1:18" ht="18" customHeight="1" thickBot="1" x14ac:dyDescent="0.3">
      <c r="A26" s="330"/>
      <c r="D26" s="281"/>
      <c r="F26" s="297"/>
      <c r="G26" s="295"/>
      <c r="H26" s="311"/>
      <c r="I26" s="311"/>
      <c r="J26" s="311"/>
      <c r="K26" s="311"/>
      <c r="L26" s="313"/>
      <c r="M26" s="314" t="s">
        <v>196</v>
      </c>
      <c r="N26" s="316">
        <f ca="1">+VLOOKUP($C$1,Hub,10)</f>
        <v>968</v>
      </c>
      <c r="O26" s="312"/>
      <c r="P26" s="316"/>
      <c r="Q26" s="306" t="s">
        <v>197</v>
      </c>
      <c r="R26" s="316">
        <f ca="1">+VLOOKUP($C$1,Hub,13)</f>
        <v>29769</v>
      </c>
    </row>
    <row r="27" spans="1:18" ht="18" customHeight="1" thickTop="1" x14ac:dyDescent="0.25">
      <c r="A27" s="330"/>
      <c r="D27" s="281"/>
      <c r="F27" s="297"/>
      <c r="G27" s="295"/>
      <c r="H27" s="311"/>
      <c r="I27" s="311"/>
      <c r="J27" s="311"/>
      <c r="K27" s="311"/>
      <c r="L27" s="314"/>
      <c r="M27" s="314" t="s">
        <v>198</v>
      </c>
      <c r="N27" s="319">
        <f ca="1">+N26-N25</f>
        <v>0</v>
      </c>
      <c r="O27" s="312"/>
      <c r="P27" s="316"/>
      <c r="Q27" s="320" t="s">
        <v>199</v>
      </c>
      <c r="R27" s="319">
        <f ca="1">+R26-R25</f>
        <v>-239</v>
      </c>
    </row>
    <row r="28" spans="1:18" ht="18" customHeight="1" x14ac:dyDescent="0.25">
      <c r="A28" s="330"/>
      <c r="C28" s="290"/>
      <c r="D28" s="281"/>
      <c r="F28" s="297"/>
      <c r="G28" s="295"/>
      <c r="H28" s="311"/>
      <c r="I28" s="311"/>
      <c r="J28" s="311"/>
      <c r="K28" s="311"/>
    </row>
    <row r="29" spans="1:18" ht="18" customHeight="1" x14ac:dyDescent="0.25">
      <c r="D29" s="281"/>
      <c r="F29" s="297"/>
      <c r="G29" s="295"/>
      <c r="H29" s="311"/>
      <c r="I29" s="311"/>
      <c r="J29" s="311"/>
      <c r="K29" s="311"/>
      <c r="L29" s="321" t="str">
        <f>+Hub!P2</f>
        <v>CA HUB</v>
      </c>
      <c r="M29" s="323" t="str">
        <f>+Hub!P5</f>
        <v>Daily Lend Deal</v>
      </c>
      <c r="N29" s="321">
        <f>+Hub!P3</f>
        <v>168093</v>
      </c>
      <c r="O29" s="321"/>
      <c r="P29" s="306"/>
      <c r="Q29" s="306"/>
      <c r="R29" s="306"/>
    </row>
    <row r="30" spans="1:18" ht="18" customHeight="1" x14ac:dyDescent="0.25">
      <c r="A30" s="330"/>
      <c r="D30" s="281"/>
      <c r="F30" s="297"/>
      <c r="G30" s="295"/>
      <c r="H30" s="311"/>
      <c r="I30" s="311"/>
      <c r="J30" s="311"/>
      <c r="K30" s="311"/>
      <c r="L30" s="304"/>
      <c r="M30" s="305"/>
      <c r="N30" s="306" t="s">
        <v>190</v>
      </c>
      <c r="O30" s="316">
        <f ca="1">+VLOOKUP($C$1,Hub,16)</f>
        <v>4193</v>
      </c>
      <c r="P30" s="307"/>
      <c r="Q30" s="305"/>
      <c r="R30" s="305"/>
    </row>
    <row r="31" spans="1:18" ht="18" customHeight="1" thickBot="1" x14ac:dyDescent="0.3">
      <c r="C31" s="290"/>
      <c r="D31" s="281"/>
      <c r="F31" s="297"/>
      <c r="G31" s="295"/>
      <c r="H31" s="311"/>
      <c r="I31" s="311"/>
      <c r="J31" s="311"/>
      <c r="K31" s="311"/>
      <c r="L31" s="305"/>
      <c r="M31" s="305"/>
      <c r="N31" s="306" t="s">
        <v>191</v>
      </c>
      <c r="O31" s="307">
        <f>+Hub!P37</f>
        <v>129983</v>
      </c>
      <c r="P31" s="307"/>
      <c r="Q31" s="305"/>
      <c r="R31" s="308"/>
    </row>
    <row r="32" spans="1:18" ht="18" customHeight="1" thickTop="1" thickBot="1" x14ac:dyDescent="0.3">
      <c r="A32" s="330" t="s">
        <v>205</v>
      </c>
      <c r="B32" s="325">
        <f ca="1">SUM(B24:B31)</f>
        <v>276239</v>
      </c>
      <c r="C32" s="331" t="s">
        <v>202</v>
      </c>
      <c r="D32" s="327">
        <f ca="1">+B32-B24</f>
        <v>0</v>
      </c>
      <c r="F32" s="332"/>
      <c r="G32" s="295"/>
      <c r="H32" s="332"/>
      <c r="I32" s="332"/>
      <c r="J32" s="332"/>
      <c r="K32"/>
      <c r="L32" s="305"/>
      <c r="M32" s="305"/>
      <c r="N32" s="312"/>
      <c r="O32" s="312"/>
      <c r="P32" s="312"/>
      <c r="Q32" s="305"/>
      <c r="R32" s="308"/>
    </row>
    <row r="33" spans="1:18" s="290" customFormat="1" ht="23.25" customHeight="1" thickTop="1" thickBot="1" x14ac:dyDescent="0.3">
      <c r="A33" s="330" t="s">
        <v>206</v>
      </c>
      <c r="B33" s="333">
        <f ca="1">+B22+B32</f>
        <v>531574</v>
      </c>
      <c r="F33" s="332">
        <f>SUM(F5:F21)</f>
        <v>97265.699999999983</v>
      </c>
      <c r="G33" s="334"/>
      <c r="H33" s="332">
        <f ca="1">SUM(H5:H31)</f>
        <v>54177</v>
      </c>
      <c r="I33" s="332"/>
      <c r="J33" s="332">
        <f ca="1">SUM(J5:J31)</f>
        <v>-202569.3</v>
      </c>
      <c r="K33"/>
      <c r="L33" s="313"/>
      <c r="M33" s="314" t="s">
        <v>193</v>
      </c>
      <c r="N33" s="315">
        <f ca="1">+O30</f>
        <v>4193</v>
      </c>
      <c r="O33" s="312"/>
      <c r="P33" s="316"/>
      <c r="Q33" s="306" t="s">
        <v>194</v>
      </c>
      <c r="R33" s="316">
        <f ca="1">+VLOOKUP($C$1,Hub,19)</f>
        <v>129983</v>
      </c>
    </row>
    <row r="34" spans="1:18" ht="18" customHeight="1" thickTop="1" thickBot="1" x14ac:dyDescent="0.3">
      <c r="B34" s="290"/>
      <c r="F34" s="335"/>
      <c r="G34" s="335"/>
      <c r="H34" s="335"/>
      <c r="I34" s="336"/>
      <c r="J34" s="311"/>
      <c r="K34" s="311"/>
      <c r="L34" s="313"/>
      <c r="M34" s="314" t="s">
        <v>196</v>
      </c>
      <c r="N34" s="316">
        <f ca="1">+VLOOKUP($C$1,Hub,17)</f>
        <v>4193</v>
      </c>
      <c r="O34" s="312"/>
      <c r="P34" s="316"/>
      <c r="Q34" s="306" t="s">
        <v>197</v>
      </c>
      <c r="R34" s="316">
        <f ca="1">+VLOOKUP($C$1,Hub,20)</f>
        <v>129398</v>
      </c>
    </row>
    <row r="35" spans="1:18" ht="18" customHeight="1" thickTop="1" x14ac:dyDescent="0.25">
      <c r="B35" s="337"/>
      <c r="F35" s="338"/>
      <c r="H35" s="335"/>
      <c r="L35" s="314"/>
      <c r="M35" s="314" t="s">
        <v>198</v>
      </c>
      <c r="N35" s="319">
        <f ca="1">+N34-N33</f>
        <v>0</v>
      </c>
      <c r="O35" s="312"/>
      <c r="P35" s="316"/>
      <c r="Q35" s="320" t="s">
        <v>199</v>
      </c>
      <c r="R35" s="319">
        <f ca="1">+R34-R33</f>
        <v>-585</v>
      </c>
    </row>
    <row r="36" spans="1:18" ht="18" customHeight="1" x14ac:dyDescent="0.25">
      <c r="A36" s="285" t="s">
        <v>207</v>
      </c>
      <c r="B36" s="339"/>
      <c r="F36" s="290"/>
      <c r="H36" s="335"/>
    </row>
    <row r="37" spans="1:18" ht="18" customHeight="1" thickBot="1" x14ac:dyDescent="0.3">
      <c r="A37" s="285" t="s">
        <v>208</v>
      </c>
      <c r="B37" s="340">
        <v>70000</v>
      </c>
      <c r="H37" s="335"/>
      <c r="L37" s="341" t="str">
        <f>+Hub!V2</f>
        <v>CA HUB</v>
      </c>
      <c r="M37" s="323" t="str">
        <f>+Hub!V5</f>
        <v>Daily Lend Deal</v>
      </c>
      <c r="N37" s="341">
        <f>+Hub!V3</f>
        <v>245352</v>
      </c>
      <c r="O37" s="321"/>
      <c r="P37" s="306"/>
      <c r="Q37" s="306"/>
      <c r="R37" s="306"/>
    </row>
    <row r="38" spans="1:18" ht="18" customHeight="1" thickTop="1" thickBot="1" x14ac:dyDescent="0.3">
      <c r="A38" s="285" t="s">
        <v>206</v>
      </c>
      <c r="B38" s="333">
        <f ca="1">SUM(B33:B37)</f>
        <v>601574</v>
      </c>
      <c r="H38" s="335"/>
      <c r="L38" s="304"/>
      <c r="M38" s="305"/>
      <c r="N38" s="306" t="s">
        <v>190</v>
      </c>
      <c r="O38" s="316">
        <f ca="1">+VLOOKUP($C$1,Hub,22)</f>
        <v>4000</v>
      </c>
      <c r="P38" s="307"/>
      <c r="Q38" s="305"/>
      <c r="R38" s="305"/>
    </row>
    <row r="39" spans="1:18" ht="18" customHeight="1" thickTop="1" x14ac:dyDescent="0.25">
      <c r="H39" s="335"/>
      <c r="L39" s="305"/>
      <c r="M39" s="305"/>
      <c r="N39" s="306" t="s">
        <v>191</v>
      </c>
      <c r="O39" s="307">
        <f>+Hub!V37</f>
        <v>124000</v>
      </c>
      <c r="P39" s="307"/>
      <c r="Q39" s="305"/>
      <c r="R39" s="308"/>
    </row>
    <row r="40" spans="1:18" ht="18" customHeight="1" x14ac:dyDescent="0.25">
      <c r="H40" s="335"/>
      <c r="L40" s="305"/>
      <c r="M40" s="305"/>
      <c r="N40" s="312"/>
      <c r="O40" s="312"/>
      <c r="P40" s="312"/>
      <c r="Q40" s="305"/>
      <c r="R40" s="308"/>
    </row>
    <row r="41" spans="1:18" ht="18" customHeight="1" x14ac:dyDescent="0.25">
      <c r="A41" s="342" t="s">
        <v>209</v>
      </c>
      <c r="B41" s="343"/>
      <c r="E41" s="284"/>
      <c r="G41" s="290"/>
      <c r="H41" s="335"/>
      <c r="L41" s="313"/>
      <c r="M41" s="314" t="s">
        <v>193</v>
      </c>
      <c r="N41" s="315">
        <f ca="1">+O38</f>
        <v>4000</v>
      </c>
      <c r="O41" s="312"/>
      <c r="P41" s="316"/>
      <c r="Q41" s="306" t="s">
        <v>194</v>
      </c>
      <c r="R41" s="316">
        <f ca="1">+VLOOKUP($C$1,Hub,25)</f>
        <v>124000</v>
      </c>
    </row>
    <row r="42" spans="1:18" ht="18" customHeight="1" thickBot="1" x14ac:dyDescent="0.3">
      <c r="A42" s="285" t="s">
        <v>12</v>
      </c>
      <c r="B42" s="317">
        <v>5000</v>
      </c>
      <c r="D42" s="344"/>
      <c r="E42" s="345"/>
      <c r="F42" s="344"/>
      <c r="G42" s="290"/>
      <c r="H42" s="335"/>
      <c r="I42" s="290"/>
      <c r="J42" s="290"/>
      <c r="K42" s="290"/>
      <c r="L42" s="313"/>
      <c r="M42" s="314" t="s">
        <v>196</v>
      </c>
      <c r="N42" s="316">
        <f ca="1">+VLOOKUP($C$1,Hub,23)</f>
        <v>4000</v>
      </c>
      <c r="O42" s="312"/>
      <c r="P42" s="316"/>
      <c r="Q42" s="306" t="s">
        <v>197</v>
      </c>
      <c r="R42" s="316">
        <f ca="1">+VLOOKUP($C$1,Hub,26)</f>
        <v>124000</v>
      </c>
    </row>
    <row r="43" spans="1:18" ht="30.75" thickTop="1" x14ac:dyDescent="0.25">
      <c r="A43" s="346" t="s">
        <v>210</v>
      </c>
      <c r="B43" s="317">
        <f>41376+14000</f>
        <v>55376</v>
      </c>
      <c r="D43" s="344"/>
      <c r="E43" s="345"/>
      <c r="F43" s="347"/>
      <c r="G43" s="290"/>
      <c r="H43" s="335"/>
      <c r="L43" s="314"/>
      <c r="M43" s="314" t="s">
        <v>198</v>
      </c>
      <c r="N43" s="319">
        <f ca="1">+N42-N41</f>
        <v>0</v>
      </c>
      <c r="O43" s="312"/>
      <c r="P43" s="316"/>
      <c r="Q43" s="320" t="s">
        <v>199</v>
      </c>
      <c r="R43" s="319">
        <f ca="1">+R42-R41</f>
        <v>0</v>
      </c>
    </row>
    <row r="44" spans="1:18" ht="18" customHeight="1" x14ac:dyDescent="0.25">
      <c r="A44" s="285" t="s">
        <v>211</v>
      </c>
      <c r="B44" s="317">
        <v>4178</v>
      </c>
      <c r="D44" s="348"/>
      <c r="E44" s="345"/>
      <c r="F44" s="347"/>
      <c r="G44" s="290"/>
      <c r="H44" s="335"/>
    </row>
    <row r="45" spans="1:18" ht="18" customHeight="1" x14ac:dyDescent="0.25">
      <c r="A45" s="285" t="s">
        <v>14</v>
      </c>
      <c r="B45" s="317">
        <v>80000</v>
      </c>
      <c r="D45" s="344"/>
      <c r="E45" s="345"/>
      <c r="F45" s="349"/>
      <c r="G45" s="290"/>
      <c r="H45" s="335"/>
      <c r="L45" s="341" t="str">
        <f>+Hub!AB2</f>
        <v>CA HUB</v>
      </c>
      <c r="M45" s="323" t="str">
        <f>+Hub!AB5</f>
        <v>Daily Lend Deal</v>
      </c>
      <c r="N45" s="341">
        <f>+Hub!AB3</f>
        <v>301942</v>
      </c>
      <c r="O45" s="321"/>
      <c r="P45" s="306"/>
      <c r="Q45" s="306"/>
      <c r="R45" s="306"/>
    </row>
    <row r="46" spans="1:18" ht="15" x14ac:dyDescent="0.25">
      <c r="A46" s="285" t="s">
        <v>15</v>
      </c>
      <c r="B46" s="317">
        <f>10000+10460</f>
        <v>20460</v>
      </c>
      <c r="D46" s="344"/>
      <c r="E46" s="345"/>
      <c r="F46" s="347"/>
      <c r="G46" s="290"/>
      <c r="H46" s="335"/>
      <c r="L46" s="304"/>
      <c r="M46" s="305"/>
      <c r="N46" s="306" t="s">
        <v>190</v>
      </c>
      <c r="O46" s="316">
        <f ca="1">+VLOOKUP($C$1,Hub,28)</f>
        <v>10000</v>
      </c>
      <c r="P46" s="307"/>
      <c r="Q46" s="305"/>
      <c r="R46" s="305"/>
    </row>
    <row r="47" spans="1:18" ht="18" customHeight="1" x14ac:dyDescent="0.25">
      <c r="A47" s="285" t="s">
        <v>8</v>
      </c>
      <c r="B47" s="317">
        <v>30000</v>
      </c>
      <c r="D47" s="344"/>
      <c r="E47" s="345"/>
      <c r="F47" s="347"/>
      <c r="G47" s="290"/>
      <c r="H47" s="335"/>
      <c r="L47" s="305"/>
      <c r="M47" s="305"/>
      <c r="N47" s="306" t="s">
        <v>191</v>
      </c>
      <c r="O47" s="307">
        <f>+Hub!AB37</f>
        <v>310000</v>
      </c>
      <c r="P47" s="307"/>
      <c r="Q47" s="305"/>
      <c r="R47" s="308"/>
    </row>
    <row r="48" spans="1:18" ht="18" customHeight="1" x14ac:dyDescent="0.25">
      <c r="A48" s="285" t="s">
        <v>9</v>
      </c>
      <c r="B48" s="317">
        <f>10000+10000</f>
        <v>20000</v>
      </c>
      <c r="D48" s="344"/>
      <c r="E48" s="345"/>
      <c r="F48" s="347"/>
      <c r="G48" s="290"/>
      <c r="H48" s="335"/>
      <c r="L48" s="305"/>
      <c r="M48" s="305"/>
      <c r="N48" s="312"/>
      <c r="O48" s="312"/>
      <c r="P48" s="312"/>
      <c r="Q48" s="305"/>
      <c r="R48" s="308"/>
    </row>
    <row r="49" spans="1:18" ht="18" customHeight="1" x14ac:dyDescent="0.25">
      <c r="A49" s="285" t="s">
        <v>212</v>
      </c>
      <c r="B49" s="317">
        <v>3000</v>
      </c>
      <c r="D49" s="344"/>
      <c r="E49" s="345"/>
      <c r="F49" s="286"/>
      <c r="G49" s="290"/>
      <c r="H49" s="286"/>
      <c r="L49" s="313"/>
      <c r="M49" s="314" t="s">
        <v>193</v>
      </c>
      <c r="N49" s="315">
        <f ca="1">+O46</f>
        <v>10000</v>
      </c>
      <c r="O49" s="312"/>
      <c r="P49" s="316"/>
      <c r="Q49" s="306" t="s">
        <v>194</v>
      </c>
      <c r="R49" s="316">
        <f ca="1">+VLOOKUP($C$1,Hub,31)</f>
        <v>310000</v>
      </c>
    </row>
    <row r="50" spans="1:18" ht="18" customHeight="1" thickBot="1" x14ac:dyDescent="0.3">
      <c r="A50" s="285" t="s">
        <v>10</v>
      </c>
      <c r="B50" s="317">
        <v>5000</v>
      </c>
      <c r="D50" s="344"/>
      <c r="E50" s="345"/>
      <c r="F50" s="347"/>
      <c r="G50" s="290"/>
      <c r="H50" s="335"/>
      <c r="I50" s="290"/>
      <c r="J50" s="290"/>
      <c r="K50" s="290"/>
      <c r="L50" s="313"/>
      <c r="M50" s="314" t="s">
        <v>196</v>
      </c>
      <c r="N50" s="316">
        <f ca="1">+VLOOKUP($C$1,Hub,29)</f>
        <v>10000</v>
      </c>
      <c r="O50" s="312"/>
      <c r="P50" s="316"/>
      <c r="Q50" s="306" t="s">
        <v>197</v>
      </c>
      <c r="R50" s="316">
        <f ca="1">+VLOOKUP($C$1,Hub,32)</f>
        <v>310000</v>
      </c>
    </row>
    <row r="51" spans="1:18" ht="18" customHeight="1" thickTop="1" x14ac:dyDescent="0.25">
      <c r="A51" s="285" t="s">
        <v>17</v>
      </c>
      <c r="B51" s="317">
        <f>2000+5000</f>
        <v>7000</v>
      </c>
      <c r="D51" s="344"/>
      <c r="E51" s="345"/>
      <c r="F51" s="347"/>
      <c r="G51" s="290"/>
      <c r="H51" s="335"/>
      <c r="I51" s="290"/>
      <c r="J51" s="290"/>
      <c r="K51" s="290"/>
      <c r="L51" s="314"/>
      <c r="M51" s="314" t="s">
        <v>198</v>
      </c>
      <c r="N51" s="319">
        <f ca="1">+N50-N49</f>
        <v>0</v>
      </c>
      <c r="O51" s="312"/>
      <c r="P51" s="316"/>
      <c r="Q51" s="320" t="s">
        <v>199</v>
      </c>
      <c r="R51" s="319">
        <f ca="1">+R50-R49</f>
        <v>0</v>
      </c>
    </row>
    <row r="52" spans="1:18" ht="18" customHeight="1" x14ac:dyDescent="0.25">
      <c r="I52" s="290"/>
      <c r="J52" s="290"/>
      <c r="K52" s="290"/>
    </row>
    <row r="53" spans="1:18" ht="18" customHeight="1" x14ac:dyDescent="0.25">
      <c r="B53" s="317"/>
      <c r="D53" s="344"/>
      <c r="E53" s="345"/>
      <c r="F53" s="347"/>
      <c r="G53" s="290"/>
      <c r="H53" s="335"/>
      <c r="I53" s="290"/>
      <c r="J53" s="290"/>
      <c r="K53" s="290"/>
      <c r="L53" s="341" t="str">
        <f>+Hub!AH2</f>
        <v>CA HUB</v>
      </c>
      <c r="M53" s="323" t="str">
        <f>+Hub!AH5</f>
        <v>Daily Lend Deal</v>
      </c>
      <c r="N53" s="341">
        <f>+Hub!AH3</f>
        <v>152174</v>
      </c>
      <c r="O53" s="350" t="s">
        <v>213</v>
      </c>
      <c r="P53" s="306"/>
      <c r="Q53" s="306"/>
      <c r="R53" s="306"/>
    </row>
    <row r="54" spans="1:18" ht="18" customHeight="1" x14ac:dyDescent="0.25">
      <c r="B54" s="317"/>
      <c r="D54" s="344"/>
      <c r="E54" s="345"/>
      <c r="F54" s="347"/>
      <c r="G54" s="290"/>
      <c r="H54" s="335"/>
      <c r="L54" s="304"/>
      <c r="M54" s="305"/>
      <c r="N54" s="306" t="s">
        <v>190</v>
      </c>
      <c r="O54" s="316">
        <f ca="1">+VLOOKUP($C$1,Hub,34)</f>
        <v>2500</v>
      </c>
      <c r="P54" s="307"/>
      <c r="Q54" s="305"/>
      <c r="R54" s="305"/>
    </row>
    <row r="55" spans="1:18" ht="18" customHeight="1" x14ac:dyDescent="0.25">
      <c r="B55" s="317"/>
      <c r="D55" s="344"/>
      <c r="E55" s="345"/>
      <c r="F55" s="347"/>
      <c r="G55" s="290"/>
      <c r="H55" s="335"/>
      <c r="L55" s="305"/>
      <c r="M55" s="305"/>
      <c r="N55" s="306" t="s">
        <v>191</v>
      </c>
      <c r="O55" s="307">
        <f>+Hub!AH37</f>
        <v>50000</v>
      </c>
      <c r="P55" s="307"/>
      <c r="Q55" s="305"/>
      <c r="R55" s="308"/>
    </row>
    <row r="56" spans="1:18" ht="18" customHeight="1" x14ac:dyDescent="0.25">
      <c r="A56" s="330"/>
      <c r="B56" s="317"/>
      <c r="D56" s="344"/>
      <c r="E56" s="345"/>
      <c r="F56" s="347"/>
      <c r="G56" s="290"/>
      <c r="H56" s="335"/>
      <c r="L56" s="305"/>
      <c r="M56" s="305"/>
      <c r="N56" s="312"/>
      <c r="O56" s="312"/>
      <c r="P56" s="312"/>
      <c r="Q56" s="305"/>
      <c r="R56" s="308"/>
    </row>
    <row r="57" spans="1:18" ht="18" customHeight="1" x14ac:dyDescent="0.25">
      <c r="B57" s="317"/>
      <c r="C57" s="281"/>
      <c r="D57" s="344"/>
      <c r="E57" s="345"/>
      <c r="F57" s="347"/>
      <c r="G57" s="290"/>
      <c r="H57" s="335"/>
      <c r="L57" s="313"/>
      <c r="M57" s="314" t="s">
        <v>193</v>
      </c>
      <c r="N57" s="315">
        <f ca="1">+O54</f>
        <v>2500</v>
      </c>
      <c r="O57" s="312"/>
      <c r="P57" s="316"/>
      <c r="Q57" s="306" t="s">
        <v>194</v>
      </c>
      <c r="R57" s="316">
        <f ca="1">+VLOOKUP($C$1,Hub,37)</f>
        <v>50000</v>
      </c>
    </row>
    <row r="58" spans="1:18" ht="18" customHeight="1" thickBot="1" x14ac:dyDescent="0.3">
      <c r="B58" s="317"/>
      <c r="D58" s="344"/>
      <c r="E58" s="345"/>
      <c r="F58" s="347"/>
      <c r="G58" s="290"/>
      <c r="H58" s="335"/>
      <c r="L58" s="313"/>
      <c r="M58" s="314" t="s">
        <v>196</v>
      </c>
      <c r="N58" s="316">
        <f ca="1">+VLOOKUP($C$1,Hub,35)</f>
        <v>5000</v>
      </c>
      <c r="O58" s="312"/>
      <c r="P58" s="316"/>
      <c r="Q58" s="306" t="s">
        <v>197</v>
      </c>
      <c r="R58" s="316">
        <f ca="1">+VLOOKUP($C$1,Hub,38)</f>
        <v>49778</v>
      </c>
    </row>
    <row r="59" spans="1:18" ht="18" customHeight="1" thickTop="1" x14ac:dyDescent="0.25">
      <c r="A59" s="351" t="s">
        <v>214</v>
      </c>
      <c r="B59" s="352">
        <f ca="1">VLOOKUP(+$C$1,EOLSupplies,129)</f>
        <v>35000</v>
      </c>
      <c r="E59" s="284"/>
      <c r="F59" s="301">
        <f ca="1">VLOOKUP(+$C$1,EOLSupplies,130)</f>
        <v>0</v>
      </c>
      <c r="G59" s="311"/>
      <c r="H59" s="301">
        <f ca="1">VLOOKUP(+$C$1,EOLSupplies,131)</f>
        <v>-42990</v>
      </c>
      <c r="L59" s="314"/>
      <c r="M59" s="314" t="s">
        <v>198</v>
      </c>
      <c r="N59" s="319">
        <f ca="1">+N58-N57</f>
        <v>2500</v>
      </c>
      <c r="O59" s="312"/>
      <c r="P59" s="316"/>
      <c r="Q59" s="320" t="s">
        <v>199</v>
      </c>
      <c r="R59" s="319">
        <f ca="1">+R58-R57</f>
        <v>-222</v>
      </c>
    </row>
    <row r="60" spans="1:18" ht="18" customHeight="1" thickBot="1" x14ac:dyDescent="0.3">
      <c r="A60" s="285" t="s">
        <v>215</v>
      </c>
      <c r="B60" s="327">
        <f ca="1">SUM(B42:B59)</f>
        <v>265014</v>
      </c>
      <c r="C60" s="326" t="s">
        <v>202</v>
      </c>
      <c r="D60" s="327">
        <f ca="1">+B60-B59</f>
        <v>230014</v>
      </c>
      <c r="E60" s="284"/>
      <c r="F60" s="286" t="s">
        <v>185</v>
      </c>
      <c r="G60" s="290"/>
      <c r="H60" s="286" t="s">
        <v>186</v>
      </c>
    </row>
    <row r="61" spans="1:18" ht="18" customHeight="1" thickTop="1" thickBot="1" x14ac:dyDescent="0.3">
      <c r="E61" s="284"/>
      <c r="F61" s="296" t="s">
        <v>69</v>
      </c>
      <c r="G61" s="290"/>
      <c r="H61" s="296" t="s">
        <v>69</v>
      </c>
      <c r="I61" s="290"/>
      <c r="J61" s="290"/>
      <c r="K61" s="290"/>
      <c r="L61" s="341" t="str">
        <f>+Hub!AN2</f>
        <v>CA HUB</v>
      </c>
      <c r="M61" s="323" t="str">
        <f>+Hub!AN5</f>
        <v>Daily Park Deal</v>
      </c>
      <c r="N61" s="341">
        <f>+Hub!AN3</f>
        <v>293828</v>
      </c>
      <c r="O61" s="321"/>
      <c r="P61" s="306"/>
      <c r="Q61" s="306"/>
      <c r="R61" s="306"/>
    </row>
    <row r="62" spans="1:18" ht="18" customHeight="1" x14ac:dyDescent="0.25">
      <c r="A62" s="342" t="s">
        <v>216</v>
      </c>
      <c r="L62" s="304"/>
      <c r="M62" s="305"/>
      <c r="N62" s="306" t="s">
        <v>190</v>
      </c>
      <c r="O62" s="316">
        <f ca="1">+VLOOKUP($C$1,Hub,40)</f>
        <v>5000</v>
      </c>
      <c r="P62" s="307"/>
      <c r="Q62" s="305"/>
      <c r="R62" s="305"/>
    </row>
    <row r="63" spans="1:18" ht="18" customHeight="1" x14ac:dyDescent="0.25">
      <c r="A63" s="351" t="s">
        <v>217</v>
      </c>
      <c r="B63" s="352">
        <f ca="1">VLOOKUP(+$C$1,EOLSupplies,49)</f>
        <v>290000</v>
      </c>
      <c r="E63" s="284"/>
      <c r="F63" s="301">
        <f ca="1">VLOOKUP(+$C$1,EOLSupplies,133)</f>
        <v>0</v>
      </c>
      <c r="G63" s="311"/>
      <c r="H63" s="301">
        <f ca="1">VLOOKUP(+$C$1,EOLSupplies,134)</f>
        <v>0</v>
      </c>
      <c r="L63" s="305"/>
      <c r="M63" s="305"/>
      <c r="N63" s="306" t="s">
        <v>191</v>
      </c>
      <c r="O63" s="307">
        <f>+Hub!AN37</f>
        <v>155000</v>
      </c>
      <c r="P63" s="307"/>
      <c r="Q63" s="305"/>
      <c r="R63" s="308"/>
    </row>
    <row r="64" spans="1:18" ht="18" customHeight="1" x14ac:dyDescent="0.25">
      <c r="A64" s="285" t="s">
        <v>303</v>
      </c>
      <c r="B64" s="284">
        <v>1338</v>
      </c>
      <c r="L64" s="305"/>
      <c r="M64" s="305"/>
      <c r="N64" s="312"/>
      <c r="O64" s="312"/>
      <c r="P64" s="312"/>
      <c r="Q64" s="305"/>
      <c r="R64" s="308"/>
    </row>
    <row r="65" spans="1:18" ht="18" customHeight="1" x14ac:dyDescent="0.25">
      <c r="A65" s="285" t="s">
        <v>304</v>
      </c>
      <c r="B65" s="284">
        <v>23948</v>
      </c>
      <c r="E65" s="284"/>
      <c r="L65" s="313"/>
      <c r="M65" s="314" t="s">
        <v>193</v>
      </c>
      <c r="N65" s="315">
        <f ca="1">+O62</f>
        <v>5000</v>
      </c>
      <c r="O65" s="312"/>
      <c r="P65" s="316"/>
      <c r="Q65" s="306" t="s">
        <v>194</v>
      </c>
      <c r="R65" s="316">
        <f ca="1">+VLOOKUP($C$1,Hub,43)</f>
        <v>155000</v>
      </c>
    </row>
    <row r="66" spans="1:18" ht="18" customHeight="1" thickBot="1" x14ac:dyDescent="0.3">
      <c r="D66" s="281"/>
      <c r="E66" s="284"/>
      <c r="F66" s="349"/>
      <c r="G66" s="290"/>
      <c r="H66" s="335"/>
      <c r="L66" s="313"/>
      <c r="M66" s="314" t="s">
        <v>196</v>
      </c>
      <c r="N66" s="316">
        <f ca="1">+VLOOKUP($C$1,Hub,41)</f>
        <v>5000</v>
      </c>
      <c r="O66" s="312"/>
      <c r="P66" s="316"/>
      <c r="Q66" s="306" t="s">
        <v>197</v>
      </c>
      <c r="R66" s="316">
        <f ca="1">+VLOOKUP($C$1,Hub,44)</f>
        <v>155000</v>
      </c>
    </row>
    <row r="67" spans="1:18" ht="18" customHeight="1" thickTop="1" x14ac:dyDescent="0.25">
      <c r="D67" s="344"/>
      <c r="E67" s="284"/>
      <c r="F67" s="349"/>
      <c r="G67" s="290"/>
      <c r="H67" s="290"/>
      <c r="L67" s="314"/>
      <c r="M67" s="314" t="s">
        <v>198</v>
      </c>
      <c r="N67" s="319">
        <f ca="1">+N66-N65</f>
        <v>0</v>
      </c>
      <c r="O67" s="312"/>
      <c r="P67" s="316"/>
      <c r="Q67" s="320" t="s">
        <v>199</v>
      </c>
      <c r="R67" s="319">
        <f ca="1">+R66-R65</f>
        <v>0</v>
      </c>
    </row>
    <row r="68" spans="1:18" ht="18" customHeight="1" x14ac:dyDescent="0.25">
      <c r="B68" s="353"/>
      <c r="D68" s="344"/>
      <c r="E68" s="284"/>
      <c r="F68" s="349"/>
      <c r="G68" s="290"/>
      <c r="H68" s="290"/>
    </row>
    <row r="69" spans="1:18" ht="18" customHeight="1" x14ac:dyDescent="0.25">
      <c r="D69" s="344"/>
      <c r="E69" s="284"/>
      <c r="F69" s="349"/>
      <c r="G69" s="290"/>
      <c r="H69" s="290"/>
      <c r="I69" s="284"/>
    </row>
    <row r="70" spans="1:18" ht="18" customHeight="1" x14ac:dyDescent="0.25">
      <c r="D70" s="290"/>
      <c r="E70" s="284"/>
      <c r="F70" s="349"/>
      <c r="G70" s="290"/>
      <c r="H70" s="290"/>
      <c r="I70" s="284"/>
    </row>
    <row r="71" spans="1:18" ht="18" customHeight="1" x14ac:dyDescent="0.25">
      <c r="B71" s="353"/>
      <c r="D71" s="290"/>
      <c r="E71" s="284"/>
      <c r="F71" s="349"/>
      <c r="G71" s="290"/>
      <c r="H71" s="290"/>
      <c r="I71" s="284"/>
    </row>
    <row r="72" spans="1:18" ht="18" customHeight="1" thickBot="1" x14ac:dyDescent="0.3">
      <c r="A72" s="285" t="s">
        <v>218</v>
      </c>
      <c r="B72" s="354">
        <f ca="1">SUM(B63:B71)</f>
        <v>315286</v>
      </c>
      <c r="C72" s="326" t="s">
        <v>202</v>
      </c>
      <c r="D72" s="327">
        <f ca="1">+B72-B63</f>
        <v>25286</v>
      </c>
      <c r="E72" s="284"/>
      <c r="F72" s="327">
        <f ca="1">SUM(F53:F71)</f>
        <v>0</v>
      </c>
      <c r="H72" s="327">
        <f ca="1">SUM(H53:H71)</f>
        <v>-42990</v>
      </c>
      <c r="I72" s="284"/>
    </row>
    <row r="73" spans="1:18" ht="18" customHeight="1" thickTop="1" thickBot="1" x14ac:dyDescent="0.3">
      <c r="A73" s="285" t="s">
        <v>219</v>
      </c>
      <c r="B73" s="333">
        <f ca="1">+B60+B72</f>
        <v>580300</v>
      </c>
      <c r="C73" s="290"/>
      <c r="D73" s="284"/>
      <c r="E73" s="290"/>
      <c r="F73" s="355"/>
      <c r="I73" s="312"/>
      <c r="J73" s="356" t="s">
        <v>220</v>
      </c>
      <c r="K73" s="356"/>
      <c r="L73" s="357"/>
      <c r="M73" s="312"/>
      <c r="N73" s="358"/>
      <c r="O73" s="312"/>
      <c r="P73" s="312"/>
    </row>
    <row r="74" spans="1:18" ht="18" customHeight="1" thickTop="1" x14ac:dyDescent="0.25">
      <c r="C74" s="359"/>
      <c r="E74" s="284"/>
      <c r="F74" s="284"/>
      <c r="I74" s="312"/>
      <c r="J74" s="305" t="s">
        <v>221</v>
      </c>
      <c r="K74" s="305"/>
      <c r="L74" s="360">
        <f>-46021+64343</f>
        <v>18322</v>
      </c>
      <c r="M74" s="312"/>
      <c r="N74" s="358"/>
      <c r="O74" s="312"/>
      <c r="P74" s="312"/>
    </row>
    <row r="75" spans="1:18" ht="18" customHeight="1" thickBot="1" x14ac:dyDescent="0.3">
      <c r="A75" s="285" t="s">
        <v>222</v>
      </c>
      <c r="B75" s="361">
        <f ca="1">B38-B73</f>
        <v>21274</v>
      </c>
      <c r="C75" s="290"/>
      <c r="E75" s="284"/>
      <c r="F75" s="359"/>
      <c r="I75" s="312"/>
      <c r="J75" s="305" t="s">
        <v>223</v>
      </c>
      <c r="K75" s="305"/>
      <c r="L75" s="310">
        <f ca="1">+D60</f>
        <v>230014</v>
      </c>
      <c r="M75" s="312"/>
      <c r="N75" s="358"/>
      <c r="O75" s="312"/>
      <c r="P75" s="312"/>
    </row>
    <row r="76" spans="1:18" ht="18" customHeight="1" thickTop="1" x14ac:dyDescent="0.25">
      <c r="E76" s="284"/>
      <c r="F76" s="284"/>
      <c r="G76" s="295"/>
      <c r="H76" s="295"/>
      <c r="I76" s="312"/>
      <c r="J76" s="305" t="s">
        <v>224</v>
      </c>
      <c r="K76" s="305"/>
      <c r="L76" s="310">
        <f ca="1">+B59</f>
        <v>35000</v>
      </c>
      <c r="M76" s="312"/>
      <c r="N76" s="358"/>
      <c r="O76" s="312"/>
      <c r="P76" s="312"/>
    </row>
    <row r="77" spans="1:18" ht="18" customHeight="1" x14ac:dyDescent="0.25">
      <c r="A77" s="330"/>
      <c r="B77" s="362" t="s">
        <v>225</v>
      </c>
      <c r="C77" s="290"/>
      <c r="D77" s="362" t="s">
        <v>58</v>
      </c>
      <c r="E77" s="290"/>
      <c r="F77" s="363" t="s">
        <v>226</v>
      </c>
      <c r="G77" s="290"/>
      <c r="I77" s="312"/>
      <c r="J77" s="305" t="s">
        <v>227</v>
      </c>
      <c r="K77" s="305"/>
      <c r="L77" s="310">
        <f ca="1">+B63</f>
        <v>290000</v>
      </c>
      <c r="M77" s="312"/>
      <c r="N77" s="358"/>
      <c r="O77" s="312"/>
      <c r="P77" s="312"/>
    </row>
    <row r="78" spans="1:18" ht="18" customHeight="1" x14ac:dyDescent="0.25">
      <c r="A78" s="285" t="s">
        <v>153</v>
      </c>
      <c r="B78" s="364">
        <f ca="1">VLOOKUP(+$C$1,EES,4)+VLOOKUP(+$C$1,EES,5)</f>
        <v>0</v>
      </c>
      <c r="C78" s="290"/>
      <c r="D78" s="365">
        <f ca="1">F78-B78</f>
        <v>45118</v>
      </c>
      <c r="E78" s="365">
        <v>49999</v>
      </c>
      <c r="F78" s="365">
        <v>45118</v>
      </c>
      <c r="G78" s="290"/>
      <c r="I78" s="312"/>
      <c r="J78" s="305" t="s">
        <v>228</v>
      </c>
      <c r="K78" s="305"/>
      <c r="L78" s="310">
        <f ca="1">+D72</f>
        <v>25286</v>
      </c>
      <c r="M78" s="312"/>
      <c r="N78" s="358"/>
      <c r="O78" s="312"/>
      <c r="P78" s="312"/>
    </row>
    <row r="79" spans="1:18" ht="18" customHeight="1" x14ac:dyDescent="0.25">
      <c r="A79" s="285" t="s">
        <v>47</v>
      </c>
      <c r="B79" s="338">
        <v>0</v>
      </c>
      <c r="C79" s="290"/>
      <c r="D79" s="365">
        <f>F79-B79</f>
        <v>0</v>
      </c>
      <c r="E79" s="365"/>
      <c r="F79" s="365">
        <v>0</v>
      </c>
      <c r="G79" s="290"/>
      <c r="I79" s="312"/>
      <c r="J79" s="305" t="s">
        <v>229</v>
      </c>
      <c r="K79" s="305"/>
      <c r="L79" s="310">
        <f ca="1">+D22*-1</f>
        <v>-150335</v>
      </c>
      <c r="M79" s="312"/>
      <c r="N79" s="358"/>
      <c r="O79" s="312"/>
      <c r="P79" s="312"/>
    </row>
    <row r="80" spans="1:18" ht="18" customHeight="1" x14ac:dyDescent="0.25">
      <c r="A80" s="285" t="s">
        <v>26</v>
      </c>
      <c r="B80" s="364">
        <f ca="1">VLOOKUP(+$C$1,EES,6)</f>
        <v>0</v>
      </c>
      <c r="C80" s="290"/>
      <c r="D80" s="365">
        <f ca="1">F80-B80</f>
        <v>28075</v>
      </c>
      <c r="E80" s="365"/>
      <c r="F80" s="365">
        <v>28075</v>
      </c>
      <c r="G80" s="290"/>
      <c r="I80" s="312"/>
      <c r="J80" s="305" t="s">
        <v>230</v>
      </c>
      <c r="K80" s="305"/>
      <c r="L80" s="310">
        <f ca="1">+B21*-1</f>
        <v>-105000</v>
      </c>
      <c r="M80" s="312"/>
      <c r="N80" s="358"/>
      <c r="O80" s="312"/>
      <c r="P80" s="312"/>
    </row>
    <row r="81" spans="1:16" ht="18" customHeight="1" x14ac:dyDescent="0.25">
      <c r="A81" s="285" t="s">
        <v>52</v>
      </c>
      <c r="B81" s="338">
        <v>0</v>
      </c>
      <c r="C81" s="290"/>
      <c r="D81" s="365">
        <f>F81-B81</f>
        <v>0</v>
      </c>
      <c r="E81" s="365"/>
      <c r="F81" s="365">
        <v>0</v>
      </c>
      <c r="G81" s="290"/>
      <c r="I81" s="312"/>
      <c r="J81" s="305" t="s">
        <v>231</v>
      </c>
      <c r="K81" s="305"/>
      <c r="L81" s="310">
        <f ca="1">+D32*-1</f>
        <v>0</v>
      </c>
      <c r="M81" s="312"/>
      <c r="N81" s="358"/>
      <c r="O81" s="312"/>
      <c r="P81" s="312"/>
    </row>
    <row r="82" spans="1:16" ht="18" customHeight="1" x14ac:dyDescent="0.25">
      <c r="A82" s="285" t="s">
        <v>46</v>
      </c>
      <c r="B82" s="338">
        <v>0</v>
      </c>
      <c r="C82" s="290"/>
      <c r="D82" s="365">
        <v>0</v>
      </c>
      <c r="E82" s="290"/>
      <c r="F82" s="366">
        <v>0</v>
      </c>
      <c r="G82" s="290"/>
      <c r="I82" s="312"/>
      <c r="J82" s="305" t="s">
        <v>232</v>
      </c>
      <c r="K82" s="305"/>
      <c r="L82" s="310">
        <f ca="1">+B24*-1</f>
        <v>-276239</v>
      </c>
      <c r="M82" s="312"/>
      <c r="N82" s="358"/>
      <c r="O82" s="312"/>
      <c r="P82" s="312"/>
    </row>
    <row r="83" spans="1:16" ht="18" customHeight="1" x14ac:dyDescent="0.25">
      <c r="A83" s="285" t="s">
        <v>233</v>
      </c>
      <c r="B83" s="338">
        <v>0</v>
      </c>
      <c r="C83" s="367"/>
      <c r="D83" s="368">
        <v>0</v>
      </c>
      <c r="E83" s="367"/>
      <c r="F83" s="369">
        <v>0</v>
      </c>
      <c r="G83" s="290"/>
      <c r="I83" s="312"/>
      <c r="J83" s="370" t="s">
        <v>234</v>
      </c>
      <c r="K83" s="305"/>
      <c r="L83" s="360">
        <v>0</v>
      </c>
      <c r="M83" s="312"/>
      <c r="N83" s="358"/>
      <c r="O83" s="312"/>
      <c r="P83" s="312"/>
    </row>
    <row r="84" spans="1:16" ht="18" customHeight="1" x14ac:dyDescent="0.25">
      <c r="A84" s="285" t="s">
        <v>235</v>
      </c>
      <c r="B84" s="371">
        <f ca="1">SUM(B78:B83)</f>
        <v>0</v>
      </c>
      <c r="C84" s="290"/>
      <c r="D84" s="372">
        <f ca="1">SUM(D78:D83)</f>
        <v>73193</v>
      </c>
      <c r="E84" s="290"/>
      <c r="F84" s="366">
        <f>SUM(F78:F83)</f>
        <v>73193</v>
      </c>
      <c r="G84" s="290"/>
      <c r="I84" s="312"/>
      <c r="J84" s="370" t="s">
        <v>236</v>
      </c>
      <c r="K84" s="305"/>
      <c r="L84" s="360">
        <v>0</v>
      </c>
      <c r="M84" s="312"/>
      <c r="N84" s="358"/>
      <c r="O84" s="312"/>
      <c r="P84" s="312"/>
    </row>
    <row r="85" spans="1:16" ht="18" customHeight="1" x14ac:dyDescent="0.25">
      <c r="A85" s="285" t="s">
        <v>237</v>
      </c>
      <c r="B85" s="364">
        <f ca="1">VLOOKUP(+$C$1,EES,47)</f>
        <v>44427</v>
      </c>
      <c r="C85" s="373"/>
      <c r="D85" s="374"/>
      <c r="F85" s="373"/>
      <c r="G85" s="375"/>
      <c r="I85" s="312"/>
      <c r="J85" s="376" t="s">
        <v>238</v>
      </c>
      <c r="K85" s="305"/>
      <c r="L85" s="360">
        <v>0</v>
      </c>
      <c r="M85" s="312"/>
      <c r="N85" s="358"/>
      <c r="O85" s="312"/>
      <c r="P85" s="312"/>
    </row>
    <row r="86" spans="1:16" ht="18" customHeight="1" thickBot="1" x14ac:dyDescent="0.3">
      <c r="A86" s="285" t="s">
        <v>239</v>
      </c>
      <c r="B86" s="377">
        <f ca="1">SUM(B84:B85)</f>
        <v>44427</v>
      </c>
      <c r="C86" s="373"/>
      <c r="G86" s="375"/>
      <c r="I86" s="312"/>
      <c r="J86" s="305" t="s">
        <v>240</v>
      </c>
      <c r="K86" s="305"/>
      <c r="L86" s="360">
        <f>+F78-46962-21558</f>
        <v>-23402</v>
      </c>
      <c r="M86" s="312"/>
      <c r="N86" s="358"/>
      <c r="O86" s="312"/>
      <c r="P86" s="312"/>
    </row>
    <row r="87" spans="1:16" ht="18" customHeight="1" thickTop="1" x14ac:dyDescent="0.25">
      <c r="A87" s="330"/>
      <c r="B87" s="290"/>
      <c r="C87" s="373"/>
      <c r="G87" s="375"/>
      <c r="I87" s="312"/>
      <c r="J87" s="376" t="s">
        <v>241</v>
      </c>
      <c r="K87" s="305"/>
      <c r="L87" s="360">
        <v>0</v>
      </c>
      <c r="M87" s="312"/>
      <c r="N87" s="358"/>
      <c r="O87" s="312"/>
      <c r="P87" s="312"/>
    </row>
    <row r="88" spans="1:16" ht="18" customHeight="1" thickBot="1" x14ac:dyDescent="0.3">
      <c r="A88" s="330"/>
      <c r="B88" s="290"/>
      <c r="C88" s="373"/>
      <c r="G88" s="375"/>
      <c r="I88" s="312"/>
      <c r="J88" s="305" t="s">
        <v>242</v>
      </c>
      <c r="K88" s="305"/>
      <c r="L88" s="378">
        <f ca="1">SUM(L74:L87)</f>
        <v>43646</v>
      </c>
      <c r="M88" s="312"/>
      <c r="N88" s="358"/>
      <c r="O88" s="312"/>
      <c r="P88" s="312"/>
    </row>
    <row r="89" spans="1:16" ht="18" customHeight="1" thickTop="1" x14ac:dyDescent="0.25">
      <c r="B89" s="379"/>
      <c r="C89" s="373"/>
      <c r="G89" s="375"/>
      <c r="I89" s="380"/>
      <c r="J89" s="380"/>
      <c r="K89" s="380"/>
      <c r="L89" s="380"/>
      <c r="M89" s="380"/>
      <c r="N89" s="380"/>
      <c r="O89" s="380"/>
      <c r="P89" s="380"/>
    </row>
    <row r="90" spans="1:16" ht="18" customHeight="1" x14ac:dyDescent="0.25">
      <c r="A90" s="330"/>
      <c r="C90" s="373"/>
      <c r="E90" s="284"/>
      <c r="F90" s="284"/>
      <c r="I90" s="381"/>
      <c r="J90" s="381"/>
      <c r="K90" s="382" t="s">
        <v>243</v>
      </c>
      <c r="L90" s="383">
        <f ca="1">+C1+1</f>
        <v>36748.196142476852</v>
      </c>
      <c r="M90" s="381"/>
      <c r="N90" s="381"/>
      <c r="O90" s="381"/>
      <c r="P90" s="381"/>
    </row>
    <row r="91" spans="1:16" ht="18" customHeight="1" x14ac:dyDescent="0.25">
      <c r="A91" s="285" t="s">
        <v>244</v>
      </c>
      <c r="B91" s="384">
        <f ca="1">B86-B37</f>
        <v>-25573</v>
      </c>
      <c r="C91" s="295"/>
      <c r="D91" s="384">
        <f ca="1">D84-B33+B73-B85</f>
        <v>77492</v>
      </c>
      <c r="E91" s="297"/>
      <c r="F91" s="384">
        <f ca="1">D91+B91</f>
        <v>51919</v>
      </c>
      <c r="G91" s="385" t="s">
        <v>29</v>
      </c>
      <c r="I91" s="312"/>
      <c r="J91" s="356" t="s">
        <v>245</v>
      </c>
      <c r="K91" s="356"/>
      <c r="L91" s="386"/>
      <c r="M91" s="387"/>
      <c r="N91" s="388"/>
      <c r="O91" s="358"/>
      <c r="P91" s="358" t="s">
        <v>56</v>
      </c>
    </row>
    <row r="92" spans="1:16" ht="18" customHeight="1" x14ac:dyDescent="0.25">
      <c r="C92" s="295"/>
      <c r="D92" s="286"/>
      <c r="E92" s="286"/>
      <c r="F92" s="389"/>
      <c r="I92" s="312"/>
      <c r="J92" s="390"/>
      <c r="K92" s="390"/>
      <c r="L92" s="308" t="s">
        <v>246</v>
      </c>
      <c r="M92" s="308"/>
      <c r="N92" s="358" t="s">
        <v>247</v>
      </c>
      <c r="O92" s="391"/>
      <c r="P92" s="358"/>
    </row>
    <row r="93" spans="1:16" ht="18" customHeight="1" x14ac:dyDescent="0.25">
      <c r="A93" s="285" t="s">
        <v>248</v>
      </c>
      <c r="C93" s="295"/>
      <c r="F93" s="297">
        <f ca="1">+H5+H6+H7+H8+H9</f>
        <v>57938</v>
      </c>
      <c r="I93" s="312"/>
      <c r="J93" s="392" t="s">
        <v>249</v>
      </c>
      <c r="K93" s="392"/>
      <c r="L93" s="358">
        <v>0</v>
      </c>
      <c r="M93" s="312"/>
      <c r="N93" s="358">
        <v>0</v>
      </c>
      <c r="O93" s="312"/>
      <c r="P93" s="393">
        <f t="shared" ref="P93:P103" si="0">SUM(L93:N93)</f>
        <v>0</v>
      </c>
    </row>
    <row r="94" spans="1:16" ht="18" customHeight="1" x14ac:dyDescent="0.25">
      <c r="A94" s="285" t="s">
        <v>250</v>
      </c>
      <c r="F94" s="297">
        <f ca="1">+VLOOKUP($C$1,EES,41)</f>
        <v>-25573</v>
      </c>
      <c r="G94" s="385"/>
      <c r="I94" s="312"/>
      <c r="J94" s="392" t="s">
        <v>251</v>
      </c>
      <c r="K94" s="392"/>
      <c r="L94" s="394">
        <v>0</v>
      </c>
      <c r="M94" s="394"/>
      <c r="N94" s="358">
        <v>0</v>
      </c>
      <c r="O94" s="391"/>
      <c r="P94" s="393">
        <f t="shared" si="0"/>
        <v>0</v>
      </c>
    </row>
    <row r="95" spans="1:16" ht="18" customHeight="1" x14ac:dyDescent="0.25">
      <c r="A95" s="285" t="s">
        <v>252</v>
      </c>
      <c r="F95" s="384">
        <f ca="1">SUM(F93:F94)</f>
        <v>32365</v>
      </c>
      <c r="G95" s="373"/>
      <c r="I95" s="312"/>
      <c r="J95" s="395" t="s">
        <v>44</v>
      </c>
      <c r="K95" s="305"/>
      <c r="L95" s="394">
        <v>0</v>
      </c>
      <c r="M95" s="394"/>
      <c r="N95" s="358">
        <v>-53333</v>
      </c>
      <c r="O95" s="396" t="s">
        <v>253</v>
      </c>
      <c r="P95" s="393">
        <f t="shared" si="0"/>
        <v>-53333</v>
      </c>
    </row>
    <row r="96" spans="1:16" ht="18" customHeight="1" x14ac:dyDescent="0.25">
      <c r="G96" s="373"/>
      <c r="I96" s="312"/>
      <c r="J96" s="395" t="s">
        <v>254</v>
      </c>
      <c r="K96" s="305"/>
      <c r="L96" s="397">
        <v>0</v>
      </c>
      <c r="M96" s="305"/>
      <c r="N96" s="358">
        <v>0</v>
      </c>
      <c r="O96" s="398"/>
      <c r="P96" s="393">
        <f t="shared" si="0"/>
        <v>0</v>
      </c>
    </row>
    <row r="97" spans="1:16" ht="18" customHeight="1" x14ac:dyDescent="0.25">
      <c r="A97" s="285" t="s">
        <v>255</v>
      </c>
      <c r="C97" s="295"/>
      <c r="D97" s="290"/>
      <c r="E97" s="373"/>
      <c r="F97" s="297">
        <f ca="1">+J5+J6+J7+J8+J9</f>
        <v>97265.700000000012</v>
      </c>
      <c r="G97" s="290"/>
      <c r="I97" s="312"/>
      <c r="J97" s="395" t="s">
        <v>256</v>
      </c>
      <c r="K97" s="305"/>
      <c r="L97" s="399">
        <v>0</v>
      </c>
      <c r="M97" s="305"/>
      <c r="N97" s="358">
        <v>0</v>
      </c>
      <c r="O97" s="391" t="s">
        <v>253</v>
      </c>
      <c r="P97" s="393">
        <f t="shared" si="0"/>
        <v>0</v>
      </c>
    </row>
    <row r="98" spans="1:16" ht="18" customHeight="1" x14ac:dyDescent="0.25">
      <c r="A98" s="285" t="s">
        <v>257</v>
      </c>
      <c r="C98" s="295"/>
      <c r="D98" s="290"/>
      <c r="E98" s="373"/>
      <c r="F98" s="297">
        <f ca="1">+VLOOKUP($C$1,EES,45)</f>
        <v>-5076</v>
      </c>
      <c r="I98" s="312"/>
      <c r="J98" s="395" t="s">
        <v>45</v>
      </c>
      <c r="K98" s="305"/>
      <c r="L98" s="394">
        <v>0</v>
      </c>
      <c r="M98" s="305"/>
      <c r="N98" s="358">
        <v>18884</v>
      </c>
      <c r="O98" s="391" t="s">
        <v>253</v>
      </c>
      <c r="P98" s="393">
        <f t="shared" si="0"/>
        <v>18884</v>
      </c>
    </row>
    <row r="99" spans="1:16" s="290" customFormat="1" ht="15" customHeight="1" x14ac:dyDescent="0.25">
      <c r="A99" s="400" t="s">
        <v>258</v>
      </c>
      <c r="F99" s="384">
        <f ca="1">SUM(F97:F98)</f>
        <v>92189.700000000012</v>
      </c>
      <c r="G99" s="373"/>
      <c r="I99" s="312"/>
      <c r="J99" s="395"/>
      <c r="K99" s="305"/>
      <c r="L99" s="394">
        <v>0</v>
      </c>
      <c r="M99" s="305"/>
      <c r="N99" s="358">
        <v>0</v>
      </c>
      <c r="O99" s="391"/>
      <c r="P99" s="393">
        <f t="shared" si="0"/>
        <v>0</v>
      </c>
    </row>
    <row r="100" spans="1:16" ht="18" customHeight="1" x14ac:dyDescent="0.25">
      <c r="I100" s="312"/>
      <c r="J100" s="401" t="s">
        <v>43</v>
      </c>
      <c r="K100" s="392"/>
      <c r="L100" s="394">
        <v>0</v>
      </c>
      <c r="M100" s="305"/>
      <c r="N100" s="358">
        <v>30000</v>
      </c>
      <c r="O100" s="358"/>
      <c r="P100" s="393">
        <f t="shared" si="0"/>
        <v>30000</v>
      </c>
    </row>
    <row r="101" spans="1:16" ht="18" customHeight="1" x14ac:dyDescent="0.25">
      <c r="A101" s="285" t="s">
        <v>259</v>
      </c>
      <c r="C101" s="295"/>
      <c r="D101" s="290"/>
      <c r="E101" s="297"/>
      <c r="F101" s="297">
        <f>+F33</f>
        <v>97265.699999999983</v>
      </c>
      <c r="I101" s="312"/>
      <c r="J101" s="392" t="s">
        <v>260</v>
      </c>
      <c r="K101" s="392"/>
      <c r="L101" s="394">
        <v>0</v>
      </c>
      <c r="M101" s="394"/>
      <c r="N101" s="358">
        <v>0</v>
      </c>
      <c r="O101" s="358"/>
      <c r="P101" s="393">
        <f t="shared" si="0"/>
        <v>0</v>
      </c>
    </row>
    <row r="102" spans="1:16" ht="18" customHeight="1" x14ac:dyDescent="0.25">
      <c r="A102" s="285" t="s">
        <v>261</v>
      </c>
      <c r="D102" s="290"/>
      <c r="E102" s="290"/>
      <c r="F102" s="297">
        <f>+EES!AO36</f>
        <v>-5076</v>
      </c>
      <c r="I102" s="312"/>
      <c r="J102" s="402" t="s">
        <v>26</v>
      </c>
      <c r="K102" s="402"/>
      <c r="L102" s="394">
        <v>0</v>
      </c>
      <c r="M102" s="394"/>
      <c r="N102" s="358">
        <v>0</v>
      </c>
      <c r="O102" s="403" t="s">
        <v>253</v>
      </c>
      <c r="P102" s="393">
        <f t="shared" si="0"/>
        <v>0</v>
      </c>
    </row>
    <row r="103" spans="1:16" ht="18" customHeight="1" x14ac:dyDescent="0.25">
      <c r="A103" s="285" t="s">
        <v>262</v>
      </c>
      <c r="F103" s="384">
        <f>SUM(F101:F102)</f>
        <v>92189.699999999983</v>
      </c>
      <c r="I103" s="312"/>
      <c r="J103" s="404" t="s">
        <v>263</v>
      </c>
      <c r="K103" s="404"/>
      <c r="L103" s="405">
        <v>0</v>
      </c>
      <c r="M103" s="393"/>
      <c r="N103" s="406">
        <v>13446</v>
      </c>
      <c r="O103" s="407"/>
      <c r="P103" s="393">
        <f t="shared" si="0"/>
        <v>13446</v>
      </c>
    </row>
    <row r="104" spans="1:16" ht="13.5" customHeight="1" x14ac:dyDescent="0.25">
      <c r="I104" s="312"/>
      <c r="J104" s="313" t="s">
        <v>264</v>
      </c>
      <c r="K104" s="305"/>
      <c r="L104" s="406">
        <f>SUM(L93:L103)</f>
        <v>0</v>
      </c>
      <c r="M104" s="406"/>
      <c r="N104" s="406">
        <f>SUM(N93:N103)</f>
        <v>8997</v>
      </c>
      <c r="O104" s="386"/>
      <c r="P104" s="393"/>
    </row>
    <row r="105" spans="1:16" ht="14.1" customHeight="1" x14ac:dyDescent="0.25">
      <c r="F105" s="373"/>
      <c r="I105" s="312"/>
      <c r="J105" s="408" t="s">
        <v>265</v>
      </c>
      <c r="K105" s="305"/>
      <c r="L105" s="409"/>
      <c r="M105" s="407">
        <f>L104+N104</f>
        <v>8997</v>
      </c>
      <c r="N105" s="386"/>
      <c r="O105" s="409"/>
      <c r="P105" s="358"/>
    </row>
    <row r="106" spans="1:16" ht="14.1" customHeight="1" x14ac:dyDescent="0.25">
      <c r="F106" s="295" t="s">
        <v>266</v>
      </c>
      <c r="I106" s="410" t="s">
        <v>267</v>
      </c>
      <c r="J106" s="410"/>
      <c r="K106" s="305"/>
      <c r="L106" s="397"/>
      <c r="M106" s="393">
        <f ca="1">SUM(B5:B9)*-1</f>
        <v>-45041</v>
      </c>
      <c r="N106" s="409"/>
      <c r="O106" s="409"/>
      <c r="P106" s="358"/>
    </row>
    <row r="107" spans="1:16" ht="14.1" customHeight="1" x14ac:dyDescent="0.25">
      <c r="A107" s="411"/>
      <c r="B107" s="412"/>
      <c r="C107" s="413"/>
      <c r="D107" s="414" t="s">
        <v>268</v>
      </c>
      <c r="E107" s="290"/>
      <c r="F107" s="311">
        <f>+OCCMarkets!H37</f>
        <v>0</v>
      </c>
      <c r="G107" s="290"/>
      <c r="H107" s="290" t="s">
        <v>269</v>
      </c>
      <c r="I107" s="312"/>
      <c r="J107" s="415" t="s">
        <v>270</v>
      </c>
      <c r="K107" s="313"/>
      <c r="L107" s="397"/>
      <c r="M107" s="393">
        <f>-B37</f>
        <v>-70000</v>
      </c>
      <c r="N107" s="409"/>
      <c r="O107" s="409"/>
      <c r="P107" s="358"/>
    </row>
    <row r="108" spans="1:16" ht="15" customHeight="1" x14ac:dyDescent="0.25">
      <c r="A108" s="411"/>
      <c r="B108" s="412"/>
      <c r="C108" s="416"/>
      <c r="D108" s="414" t="s">
        <v>268</v>
      </c>
      <c r="E108" s="290"/>
      <c r="F108" s="311">
        <f>+EES!M36</f>
        <v>0</v>
      </c>
      <c r="G108" s="290"/>
      <c r="H108" s="290" t="s">
        <v>271</v>
      </c>
      <c r="I108" s="312"/>
      <c r="J108" s="313" t="s">
        <v>272</v>
      </c>
      <c r="K108" s="305"/>
      <c r="L108" s="417"/>
      <c r="M108" s="418"/>
      <c r="N108" s="419"/>
      <c r="O108" s="420"/>
      <c r="P108" s="358"/>
    </row>
    <row r="109" spans="1:16" s="381" customFormat="1" ht="15" customHeight="1" thickBot="1" x14ac:dyDescent="0.3">
      <c r="A109" s="421"/>
      <c r="B109" s="422"/>
      <c r="C109" s="423"/>
      <c r="D109" s="424"/>
      <c r="E109" s="424"/>
      <c r="F109" s="424" t="s">
        <v>273</v>
      </c>
      <c r="I109" s="312"/>
      <c r="J109" s="313"/>
      <c r="K109" s="305"/>
      <c r="L109" s="425"/>
      <c r="M109" s="426">
        <f ca="1">+M105+M106+M107+M108</f>
        <v>-106044</v>
      </c>
      <c r="N109" s="427"/>
      <c r="O109" s="420"/>
      <c r="P109" s="358"/>
    </row>
    <row r="110" spans="1:16" s="381" customFormat="1" ht="14.1" customHeight="1" thickTop="1" x14ac:dyDescent="0.2">
      <c r="A110" s="428"/>
      <c r="B110" s="429"/>
      <c r="C110" s="423"/>
      <c r="D110" s="424"/>
      <c r="E110" s="424"/>
      <c r="F110" s="424"/>
    </row>
    <row r="111" spans="1:16" s="381" customFormat="1" ht="12.95" customHeight="1" x14ac:dyDescent="0.2">
      <c r="A111" s="22"/>
      <c r="B111" s="430"/>
      <c r="C111" s="431"/>
      <c r="D111" s="424"/>
      <c r="E111" s="424"/>
      <c r="F111" s="424"/>
    </row>
    <row r="112" spans="1:16" s="381" customFormat="1" ht="14.1" customHeight="1" x14ac:dyDescent="0.2">
      <c r="A112" s="22"/>
      <c r="C112" s="432"/>
      <c r="D112" s="424"/>
      <c r="E112" s="424"/>
      <c r="F112" s="424"/>
    </row>
    <row r="113" spans="1:3" ht="12.95" customHeight="1" x14ac:dyDescent="0.25">
      <c r="A113" s="433"/>
      <c r="C113" s="374"/>
    </row>
    <row r="114" spans="1:3" ht="12.95" customHeight="1" x14ac:dyDescent="0.25">
      <c r="C114" s="353"/>
    </row>
    <row r="115" spans="1:3" ht="12.95" customHeight="1" x14ac:dyDescent="0.25">
      <c r="C115" s="353"/>
    </row>
    <row r="116" spans="1:3" ht="12.95" customHeight="1" x14ac:dyDescent="0.25">
      <c r="C116" s="353"/>
    </row>
    <row r="117" spans="1:3" ht="12.95" customHeight="1" x14ac:dyDescent="0.25">
      <c r="C117" s="353"/>
    </row>
    <row r="118" spans="1:3" ht="12.95" customHeight="1" x14ac:dyDescent="0.25">
      <c r="C118" s="353"/>
    </row>
    <row r="119" spans="1:3" ht="12.95" customHeight="1" x14ac:dyDescent="0.25">
      <c r="C119" s="353"/>
    </row>
  </sheetData>
  <mergeCells count="2">
    <mergeCell ref="C1:D1"/>
    <mergeCell ref="L5:R5"/>
  </mergeCells>
  <printOptions horizontalCentered="1"/>
  <pageMargins left="0" right="0" top="0.27" bottom="0.25" header="0.75" footer="0.5"/>
  <pageSetup scale="37" orientation="portrait" r:id="rId1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44</vt:i4>
      </vt:variant>
    </vt:vector>
  </HeadingPairs>
  <TitlesOfParts>
    <vt:vector size="58" baseType="lpstr">
      <vt:lpstr>Supplies</vt:lpstr>
      <vt:lpstr>EOLSupplies</vt:lpstr>
      <vt:lpstr>BaseloadMarkets</vt:lpstr>
      <vt:lpstr>SwingMarkets</vt:lpstr>
      <vt:lpstr>EOLMarkets</vt:lpstr>
      <vt:lpstr>OCCMarkets</vt:lpstr>
      <vt:lpstr>EES</vt:lpstr>
      <vt:lpstr>Border</vt:lpstr>
      <vt:lpstr>Summary</vt:lpstr>
      <vt:lpstr>Harbor Cogen</vt:lpstr>
      <vt:lpstr>5 Day</vt:lpstr>
      <vt:lpstr>Hub</vt:lpstr>
      <vt:lpstr>Oxy</vt:lpstr>
      <vt:lpstr>Smurfit</vt:lpstr>
      <vt:lpstr>BaseloadMarkets</vt:lpstr>
      <vt:lpstr>EOLMarkets!CanFibre</vt:lpstr>
      <vt:lpstr>EOLSupplies!CanFibre</vt:lpstr>
      <vt:lpstr>SwingMarkets!CanFibre</vt:lpstr>
      <vt:lpstr>CanFibre</vt:lpstr>
      <vt:lpstr>Summary!EES</vt:lpstr>
      <vt:lpstr>EES</vt:lpstr>
      <vt:lpstr>EOLMarkets</vt:lpstr>
      <vt:lpstr>EOLSupplies</vt:lpstr>
      <vt:lpstr>EOLMarkets!Filtrol</vt:lpstr>
      <vt:lpstr>EOLSupplies!Filtrol</vt:lpstr>
      <vt:lpstr>SwingMarkets!Filtrol</vt:lpstr>
      <vt:lpstr>Filtrol</vt:lpstr>
      <vt:lpstr>Harbor</vt:lpstr>
      <vt:lpstr>Hub</vt:lpstr>
      <vt:lpstr>Hub!Oxy</vt:lpstr>
      <vt:lpstr>Summary!Oxy</vt:lpstr>
      <vt:lpstr>Oxy</vt:lpstr>
      <vt:lpstr>EOLMarkets!Pasadena</vt:lpstr>
      <vt:lpstr>EOLSupplies!Pasadena</vt:lpstr>
      <vt:lpstr>SwingMarkets!Pasadena</vt:lpstr>
      <vt:lpstr>Pasadena</vt:lpstr>
      <vt:lpstr>Border!Print_Area</vt:lpstr>
      <vt:lpstr>EOLMarkets!Print_Area</vt:lpstr>
      <vt:lpstr>EOLSupplies!Print_Area</vt:lpstr>
      <vt:lpstr>Summary!Print_Area</vt:lpstr>
      <vt:lpstr>BaseloadMarkets!Print_Titles</vt:lpstr>
      <vt:lpstr>Border!Print_Titles</vt:lpstr>
      <vt:lpstr>EOLMarkets!Print_Titles</vt:lpstr>
      <vt:lpstr>EOLSupplies!Print_Titles</vt:lpstr>
      <vt:lpstr>OCCMarkets!Print_Titles</vt:lpstr>
      <vt:lpstr>SwingMarkets!Print_Titles</vt:lpstr>
      <vt:lpstr>EOLMarkets!Smurfit</vt:lpstr>
      <vt:lpstr>EOLSupplies!Smurfit</vt:lpstr>
      <vt:lpstr>'Harbor Cogen'!Smurfit</vt:lpstr>
      <vt:lpstr>OCCMarkets!Smurfit</vt:lpstr>
      <vt:lpstr>SwingMarkets!Smurfit</vt:lpstr>
      <vt:lpstr>Smurfit</vt:lpstr>
      <vt:lpstr>Supplies</vt:lpstr>
      <vt:lpstr>EOLMarkets!Top</vt:lpstr>
      <vt:lpstr>EOLSupplies!Top</vt:lpstr>
      <vt:lpstr>OCCMarkets!Top</vt:lpstr>
      <vt:lpstr>SwingMarkets!Top</vt:lpstr>
      <vt:lpstr>Top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msharif</dc:creator>
  <cp:lastModifiedBy>Jan Havlíček</cp:lastModifiedBy>
  <cp:lastPrinted>2000-07-31T13:04:09Z</cp:lastPrinted>
  <dcterms:created xsi:type="dcterms:W3CDTF">2000-07-14T17:27:33Z</dcterms:created>
  <dcterms:modified xsi:type="dcterms:W3CDTF">2023-09-16T21:29:04Z</dcterms:modified>
</cp:coreProperties>
</file>