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DE65D9-2CB7-466B-91D1-BD520DE4C3B4}" xr6:coauthVersionLast="47" xr6:coauthVersionMax="47" xr10:uidLastSave="{00000000-0000-0000-0000-000000000000}"/>
  <bookViews>
    <workbookView xWindow="-120" yWindow="-120" windowWidth="38640" windowHeight="15720" tabRatio="734" activeTab="6"/>
  </bookViews>
  <sheets>
    <sheet name="Austin" sheetId="2" r:id="rId1"/>
    <sheet name="Coral" sheetId="1" r:id="rId2"/>
    <sheet name="ESA" sheetId="3" r:id="rId3"/>
    <sheet name="PSCO" sheetId="4" r:id="rId4"/>
    <sheet name="LV Cogen" sheetId="6" r:id="rId5"/>
    <sheet name="Summary By Project" sheetId="5" r:id="rId6"/>
    <sheet name="Summary By Unit" sheetId="7" r:id="rId7"/>
    <sheet name="XNPV Payments" sheetId="8" r:id="rId8"/>
    <sheet name="ABB Amounts" sheetId="9" r:id="rId9"/>
  </sheets>
  <definedNames>
    <definedName name="Interest">Coral!$E$3</definedName>
    <definedName name="_xlnm.Print_Area" localSheetId="5">'Summary By Project'!$A$1:$K$11</definedName>
  </definedNames>
  <calcPr calcId="0"/>
</workbook>
</file>

<file path=xl/calcChain.xml><?xml version="1.0" encoding="utf-8"?>
<calcChain xmlns="http://schemas.openxmlformats.org/spreadsheetml/2006/main">
  <c r="C3" i="9" l="1"/>
  <c r="C5" i="9"/>
  <c r="C7" i="9"/>
  <c r="D4" i="2"/>
  <c r="E8" i="2"/>
  <c r="F8" i="2"/>
  <c r="E9" i="2"/>
  <c r="F9" i="2"/>
  <c r="E10" i="2"/>
  <c r="F10" i="2"/>
  <c r="E11" i="2"/>
  <c r="F11" i="2"/>
  <c r="D4" i="1"/>
  <c r="E8" i="1"/>
  <c r="F8" i="1"/>
  <c r="F9" i="1"/>
  <c r="F10" i="1"/>
  <c r="F11" i="1"/>
  <c r="E12" i="1"/>
  <c r="F12" i="1"/>
  <c r="E13" i="1"/>
  <c r="F13" i="1"/>
  <c r="F15" i="1"/>
  <c r="D4" i="3"/>
  <c r="E8" i="3"/>
  <c r="F8" i="3"/>
  <c r="E9" i="3"/>
  <c r="F9" i="3"/>
  <c r="F10" i="3"/>
  <c r="F12" i="3"/>
  <c r="D4" i="6"/>
  <c r="E8" i="6"/>
  <c r="F8" i="6"/>
  <c r="E9" i="6"/>
  <c r="F9" i="6"/>
  <c r="E10" i="6"/>
  <c r="F10" i="6"/>
  <c r="E11" i="6"/>
  <c r="F11" i="6"/>
  <c r="E12" i="6"/>
  <c r="F12" i="6"/>
  <c r="E13" i="6"/>
  <c r="F13" i="6"/>
  <c r="F15" i="6"/>
  <c r="D4" i="4"/>
  <c r="E8" i="4"/>
  <c r="F8" i="4"/>
  <c r="E9" i="4"/>
  <c r="F9" i="4"/>
  <c r="E10" i="4"/>
  <c r="F10" i="4"/>
  <c r="E11" i="4"/>
  <c r="F11" i="4"/>
  <c r="E12" i="4"/>
  <c r="F12" i="4"/>
  <c r="E13" i="4"/>
  <c r="F13" i="4"/>
  <c r="F15" i="4"/>
  <c r="C3" i="5"/>
  <c r="E3" i="5"/>
  <c r="F3" i="5"/>
  <c r="G3" i="5"/>
  <c r="J3" i="5"/>
  <c r="K3" i="5"/>
  <c r="C4" i="5"/>
  <c r="D4" i="5"/>
  <c r="E4" i="5"/>
  <c r="F4" i="5"/>
  <c r="G4" i="5"/>
  <c r="H4" i="5"/>
  <c r="I4" i="5"/>
  <c r="J4" i="5"/>
  <c r="K4" i="5"/>
  <c r="C5" i="5"/>
  <c r="D5" i="5"/>
  <c r="E5" i="5"/>
  <c r="J5" i="5"/>
  <c r="K5" i="5"/>
  <c r="C6" i="5"/>
  <c r="D6" i="5"/>
  <c r="E6" i="5"/>
  <c r="F6" i="5"/>
  <c r="G6" i="5"/>
  <c r="H6" i="5"/>
  <c r="I6" i="5"/>
  <c r="J6" i="5"/>
  <c r="K6" i="5"/>
  <c r="C7" i="5"/>
  <c r="D7" i="5"/>
  <c r="E7" i="5"/>
  <c r="F7" i="5"/>
  <c r="G7" i="5"/>
  <c r="H7" i="5"/>
  <c r="I7" i="5"/>
  <c r="J7" i="5"/>
  <c r="K7" i="5"/>
  <c r="B8" i="5"/>
  <c r="C8" i="5"/>
  <c r="D8" i="5"/>
  <c r="J8" i="5"/>
  <c r="K8" i="5"/>
  <c r="F6" i="7"/>
  <c r="G6" i="7"/>
  <c r="I6" i="7"/>
  <c r="E7" i="7"/>
  <c r="F7" i="7"/>
  <c r="G7" i="7"/>
  <c r="I7" i="7"/>
  <c r="E8" i="7"/>
  <c r="F8" i="7"/>
  <c r="G8" i="7"/>
  <c r="H8" i="7"/>
  <c r="I8" i="7"/>
  <c r="E9" i="7"/>
  <c r="F9" i="7"/>
  <c r="G9" i="7"/>
  <c r="H9" i="7"/>
  <c r="I9" i="7"/>
  <c r="E10" i="7"/>
  <c r="F10" i="7"/>
  <c r="G10" i="7"/>
  <c r="H10" i="7"/>
  <c r="I10" i="7"/>
  <c r="E11" i="7"/>
  <c r="F11" i="7"/>
  <c r="G11" i="7"/>
  <c r="H11" i="7"/>
  <c r="I11" i="7"/>
  <c r="E12" i="7"/>
  <c r="F12" i="7"/>
  <c r="H12" i="7"/>
  <c r="I12" i="7"/>
  <c r="E13" i="7"/>
  <c r="F13" i="7"/>
  <c r="H13" i="7"/>
  <c r="I13" i="7"/>
  <c r="E14" i="7"/>
  <c r="F14" i="7"/>
  <c r="G14" i="7"/>
  <c r="H14" i="7"/>
  <c r="I14" i="7"/>
  <c r="E15" i="7"/>
  <c r="F15" i="7"/>
  <c r="G15" i="7"/>
  <c r="H15" i="7"/>
  <c r="I15" i="7"/>
  <c r="D16" i="7"/>
  <c r="E16" i="7"/>
  <c r="F16" i="7"/>
  <c r="G16" i="7"/>
  <c r="H16" i="7"/>
  <c r="I16" i="7"/>
  <c r="C19" i="7"/>
  <c r="C21" i="7"/>
  <c r="C22" i="7"/>
  <c r="C23" i="7"/>
  <c r="A4" i="8"/>
  <c r="B4" i="8"/>
  <c r="C4" i="8"/>
  <c r="E4" i="8"/>
  <c r="G4" i="8"/>
  <c r="H4" i="8"/>
  <c r="I4" i="8"/>
  <c r="L4" i="8"/>
  <c r="B13" i="8"/>
  <c r="B14" i="8"/>
  <c r="B15" i="8"/>
</calcChain>
</file>

<file path=xl/comments1.xml><?xml version="1.0" encoding="utf-8"?>
<comments xmlns="http://schemas.openxmlformats.org/spreadsheetml/2006/main">
  <authors>
    <author>rwalker2</author>
  </authors>
  <commentList>
    <comment ref="E9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GE over-invoiced Enron for the 10% progress payment.</t>
        </r>
      </text>
    </comment>
    <comment ref="E10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This payment is less than 25% of the total contract price in order to reimburse Enron for being over-billed for the first milestone payment.</t>
        </r>
      </text>
    </comment>
    <comment ref="E11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Already invoiced.</t>
        </r>
      </text>
    </comment>
  </commentList>
</comments>
</file>

<file path=xl/comments2.xml><?xml version="1.0" encoding="utf-8"?>
<comments xmlns="http://schemas.openxmlformats.org/spreadsheetml/2006/main">
  <authors>
    <author>rwalker2</author>
  </authors>
  <commentList>
    <comment ref="E9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Enron was over-invoiced for the 10% progress payment.</t>
        </r>
      </text>
    </comment>
  </commentList>
</comments>
</file>

<file path=xl/comments3.xml><?xml version="1.0" encoding="utf-8"?>
<comments xmlns="http://schemas.openxmlformats.org/spreadsheetml/2006/main">
  <authors>
    <author>rwalker2</author>
  </authors>
  <commentList>
    <comment ref="E9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Enron was over-invoiced for the 10% progress payment.</t>
        </r>
      </text>
    </comment>
    <comment ref="E10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25% progress payment adjusted by the over-payment in September, 2000 -- already invoiced.</t>
        </r>
      </text>
    </comment>
  </commentList>
</comments>
</file>

<file path=xl/comments4.xml><?xml version="1.0" encoding="utf-8"?>
<comments xmlns="http://schemas.openxmlformats.org/spreadsheetml/2006/main">
  <authors>
    <author>rwalker2</author>
  </authors>
  <commentList>
    <comment ref="E9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Enron was over-invoiced for the 10% progress payment.</t>
        </r>
      </text>
    </comment>
    <comment ref="E10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25% progress payment adjusted by the over-payment in September, 2000.</t>
        </r>
      </text>
    </comment>
  </commentList>
</comments>
</file>

<file path=xl/comments5.xml><?xml version="1.0" encoding="utf-8"?>
<comments xmlns="http://schemas.openxmlformats.org/spreadsheetml/2006/main">
  <authors>
    <author>rwalker2</author>
  </authors>
  <commentList>
    <comment ref="G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Already invoiced -- scheduled to be paid by 12/13/00.</t>
        </r>
      </text>
    </comment>
    <comment ref="F6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Already invoiced -- scheduled to be paid by 12/13/00.</t>
        </r>
      </text>
    </comment>
  </commentList>
</comments>
</file>

<file path=xl/comments6.xml><?xml version="1.0" encoding="utf-8"?>
<comments xmlns="http://schemas.openxmlformats.org/spreadsheetml/2006/main">
  <authors>
    <author>rwalker2</author>
  </authors>
  <commentList>
    <comment ref="F6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Extra $7,000 charge for Spare bushings.</t>
        </r>
      </text>
    </comment>
  </commentList>
</comments>
</file>

<file path=xl/comments7.xml><?xml version="1.0" encoding="utf-8"?>
<comments xmlns="http://schemas.openxmlformats.org/spreadsheetml/2006/main">
  <authors>
    <author>rwalker2</author>
  </authors>
  <commentList>
    <comment ref="A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ESA Cancellation Charges.</t>
        </r>
      </text>
    </comment>
    <comment ref="B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Already invoiced -- Coral Payment #3 and PSCO Payment #2.</t>
        </r>
      </text>
    </comment>
    <comment ref="C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 PSCO #3.</t>
        </r>
      </text>
    </comment>
    <comment ref="E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Coral #4.</t>
        </r>
      </text>
    </comment>
    <comment ref="G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PSCO #4.</t>
        </r>
      </text>
    </comment>
    <comment ref="H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LV Cogen #2.</t>
        </r>
      </text>
    </comment>
    <comment ref="I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LV Cogen #3.</t>
        </r>
      </text>
    </comment>
    <comment ref="L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LV Cogen #4.</t>
        </r>
      </text>
    </comment>
  </commentList>
</comments>
</file>

<file path=xl/sharedStrings.xml><?xml version="1.0" encoding="utf-8"?>
<sst xmlns="http://schemas.openxmlformats.org/spreadsheetml/2006/main" count="219" uniqueCount="103">
  <si>
    <t>Option Premium</t>
  </si>
  <si>
    <t>Quantity</t>
  </si>
  <si>
    <t>Contract Price</t>
  </si>
  <si>
    <t>Funding Request</t>
  </si>
  <si>
    <t>Percent</t>
  </si>
  <si>
    <t>Drawdown</t>
  </si>
  <si>
    <t>Amount</t>
  </si>
  <si>
    <t>Balance</t>
  </si>
  <si>
    <t>As of</t>
  </si>
  <si>
    <t>Date</t>
  </si>
  <si>
    <t>Milestone Payment #1</t>
  </si>
  <si>
    <t>Sale of Transformers</t>
  </si>
  <si>
    <t>ABB Transformers - Austin</t>
  </si>
  <si>
    <t>ABB Transformers - Coral</t>
  </si>
  <si>
    <t>Milestone Payment #2</t>
  </si>
  <si>
    <t>Milestone Payment #3</t>
  </si>
  <si>
    <t>Milestone Payment #4</t>
  </si>
  <si>
    <t>Milestone Payment #5</t>
  </si>
  <si>
    <t>N/A</t>
  </si>
  <si>
    <t>Payments</t>
  </si>
  <si>
    <t>To Date</t>
  </si>
  <si>
    <t>Due</t>
  </si>
  <si>
    <t>Balance Due as of 12/05/00</t>
  </si>
  <si>
    <t>Made</t>
  </si>
  <si>
    <t>Total Price</t>
  </si>
  <si>
    <t>ABB Transformers - ESA</t>
  </si>
  <si>
    <t>Made To Date</t>
  </si>
  <si>
    <t>Project</t>
  </si>
  <si>
    <t>Payments Due</t>
  </si>
  <si>
    <t>Austin</t>
  </si>
  <si>
    <t>Coral</t>
  </si>
  <si>
    <t>ESA</t>
  </si>
  <si>
    <t>PSCO</t>
  </si>
  <si>
    <t>ABB Transformers - PSCO</t>
  </si>
  <si>
    <t>ABB Transformers - LV Cogen</t>
  </si>
  <si>
    <t>LV Cogen</t>
  </si>
  <si>
    <t>Progress Payments</t>
  </si>
  <si>
    <t>Payment #1</t>
  </si>
  <si>
    <t>Payment #2</t>
  </si>
  <si>
    <t>Payment #3</t>
  </si>
  <si>
    <t>Payment #4</t>
  </si>
  <si>
    <t>Payment #5</t>
  </si>
  <si>
    <t>SOLD</t>
  </si>
  <si>
    <t>Transformers</t>
  </si>
  <si>
    <t>Number of</t>
  </si>
  <si>
    <t xml:space="preserve">Contract </t>
  </si>
  <si>
    <t>Price</t>
  </si>
  <si>
    <t xml:space="preserve">Option </t>
  </si>
  <si>
    <t>Premium</t>
  </si>
  <si>
    <t>Progress Payment has been made</t>
  </si>
  <si>
    <t>Progress Payment due</t>
  </si>
  <si>
    <t>TOTALS</t>
  </si>
  <si>
    <t>Cancellation Fees</t>
  </si>
  <si>
    <t>Total Amount</t>
  </si>
  <si>
    <t>Amount Due</t>
  </si>
  <si>
    <t>Amount Paid</t>
  </si>
  <si>
    <t xml:space="preserve">Total </t>
  </si>
  <si>
    <t>Unit/ABB Item #</t>
  </si>
  <si>
    <t>lNL 9521-1</t>
  </si>
  <si>
    <t>LNL 9521-2</t>
  </si>
  <si>
    <t>LNL 9517-1</t>
  </si>
  <si>
    <t>LNL 9517-2</t>
  </si>
  <si>
    <t>LNL 9517-3</t>
  </si>
  <si>
    <t>LNL 9517-4</t>
  </si>
  <si>
    <t>LNL 9517-5</t>
  </si>
  <si>
    <t>LNL 9517-6</t>
  </si>
  <si>
    <t>LNL 9518-1</t>
  </si>
  <si>
    <t>LNL 9518-2</t>
  </si>
  <si>
    <t>Project Designation</t>
  </si>
  <si>
    <t>ABB Transformers</t>
  </si>
  <si>
    <t>Premium Paid</t>
  </si>
  <si>
    <t>Contract</t>
  </si>
  <si>
    <t>Purchase Price</t>
  </si>
  <si>
    <t>XNPV</t>
  </si>
  <si>
    <t>Nominal Value</t>
  </si>
  <si>
    <t>Guaranteed Unit</t>
  </si>
  <si>
    <t>Delivery Date</t>
  </si>
  <si>
    <t>PSCO Pymt. #3</t>
  </si>
  <si>
    <t>PSCO Pymt #2</t>
  </si>
  <si>
    <t>Coral Pymt #3</t>
  </si>
  <si>
    <t>Coral Pymt #4</t>
  </si>
  <si>
    <t>ESA Cancellation</t>
  </si>
  <si>
    <t>PSCO Pymt #4</t>
  </si>
  <si>
    <t>LV Pymt #2</t>
  </si>
  <si>
    <t>LV Pymt #3</t>
  </si>
  <si>
    <t>LV Pymt #4</t>
  </si>
  <si>
    <t>ABB Tranformer Payments Due</t>
  </si>
  <si>
    <t>Discount Rate</t>
  </si>
  <si>
    <t>Discount</t>
  </si>
  <si>
    <r>
      <t>1</t>
    </r>
    <r>
      <rPr>
        <sz val="10"/>
        <rFont val="Arial"/>
        <family val="2"/>
      </rPr>
      <t xml:space="preserve"> Payment #5 for each set of transformers represents the 10% retainment amount to be paid the earlier of 36 months after Acceptance or 24 months after COD and is not shown in these calculations.</t>
    </r>
  </si>
  <si>
    <t>Total</t>
  </si>
  <si>
    <t>Pymts. Made</t>
  </si>
  <si>
    <t xml:space="preserve">Progress </t>
  </si>
  <si>
    <t>Pymts. Due</t>
  </si>
  <si>
    <t xml:space="preserve">Progress Payments Due </t>
  </si>
  <si>
    <t>Less Discount</t>
  </si>
  <si>
    <t>Less Retainage</t>
  </si>
  <si>
    <t>Retainage</t>
  </si>
  <si>
    <r>
      <t>1</t>
    </r>
    <r>
      <rPr>
        <sz val="10"/>
        <rFont val="Arial"/>
        <family val="2"/>
      </rPr>
      <t xml:space="preserve"> The two units designated for ESA have been cancelled -- the progress payments due for these units are cancellation charges.</t>
    </r>
  </si>
  <si>
    <t>Total Amount Due</t>
  </si>
  <si>
    <r>
      <t>1</t>
    </r>
    <r>
      <rPr>
        <sz val="10"/>
        <rFont val="Arial"/>
        <family val="2"/>
      </rPr>
      <t xml:space="preserve"> Retainage amount per section 6.1.3 of the Agreement.</t>
    </r>
  </si>
  <si>
    <r>
      <t>2</t>
    </r>
    <r>
      <rPr>
        <sz val="10"/>
        <rFont val="Arial"/>
        <family val="2"/>
      </rPr>
      <t xml:space="preserve"> Retainage amount per section 6.1.3 of the Agreement.</t>
    </r>
  </si>
  <si>
    <t>Excludes ESA transformers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</si>
</sst>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6" formatCode="_(* #,##0_);_(* \(#,##0\);_(* &quot;-&quot;??_);_(@_)"/>
    <numFmt numFmtId="170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2"/>
      <name val="Arial"/>
      <family val="2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b/>
      <u val="singleAccounting"/>
      <sz val="1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u val="singleAccounting"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166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164" fontId="2" fillId="0" borderId="0" xfId="1" applyNumberFormat="1" applyFont="1" applyAlignment="1">
      <alignment horizontal="left"/>
    </xf>
    <xf numFmtId="166" fontId="1" fillId="0" borderId="0" xfId="1" applyNumberForma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66" fontId="1" fillId="0" borderId="5" xfId="1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38" fontId="1" fillId="0" borderId="0" xfId="1" applyNumberFormat="1" applyFill="1" applyBorder="1"/>
    <xf numFmtId="38" fontId="0" fillId="0" borderId="3" xfId="0" applyNumberFormat="1" applyFill="1" applyBorder="1"/>
    <xf numFmtId="0" fontId="0" fillId="0" borderId="2" xfId="0" applyFill="1" applyBorder="1"/>
    <xf numFmtId="0" fontId="0" fillId="0" borderId="0" xfId="0" applyFill="1" applyBorder="1"/>
    <xf numFmtId="15" fontId="0" fillId="0" borderId="0" xfId="0" applyNumberFormat="1" applyFill="1" applyBorder="1"/>
    <xf numFmtId="9" fontId="0" fillId="0" borderId="0" xfId="3" applyFont="1" applyFill="1" applyBorder="1"/>
    <xf numFmtId="38" fontId="0" fillId="0" borderId="0" xfId="0" applyNumberFormat="1" applyFill="1" applyBorder="1"/>
    <xf numFmtId="38" fontId="1" fillId="0" borderId="0" xfId="1" applyNumberFormat="1" applyFont="1" applyFill="1" applyBorder="1"/>
    <xf numFmtId="38" fontId="1" fillId="0" borderId="7" xfId="1" applyNumberFormat="1" applyFill="1" applyBorder="1"/>
    <xf numFmtId="38" fontId="0" fillId="0" borderId="8" xfId="0" applyNumberFormat="1" applyFill="1" applyBorder="1"/>
    <xf numFmtId="0" fontId="2" fillId="0" borderId="0" xfId="0" applyFont="1" applyBorder="1"/>
    <xf numFmtId="166" fontId="1" fillId="0" borderId="0" xfId="1" applyNumberFormat="1" applyBorder="1"/>
    <xf numFmtId="0" fontId="0" fillId="0" borderId="0" xfId="0" applyBorder="1" applyAlignment="1">
      <alignment horizontal="right"/>
    </xf>
    <xf numFmtId="15" fontId="0" fillId="0" borderId="7" xfId="0" applyNumberFormat="1" applyFill="1" applyBorder="1"/>
    <xf numFmtId="166" fontId="0" fillId="0" borderId="0" xfId="0" applyNumberFormat="1" applyBorder="1" applyAlignment="1">
      <alignment horizontal="center"/>
    </xf>
    <xf numFmtId="9" fontId="0" fillId="0" borderId="0" xfId="0" applyNumberFormat="1" applyBorder="1"/>
    <xf numFmtId="9" fontId="0" fillId="0" borderId="7" xfId="0" applyNumberFormat="1" applyBorder="1"/>
    <xf numFmtId="9" fontId="0" fillId="0" borderId="5" xfId="0" applyNumberFormat="1" applyBorder="1"/>
    <xf numFmtId="38" fontId="0" fillId="0" borderId="6" xfId="0" applyNumberFormat="1" applyFill="1" applyBorder="1"/>
    <xf numFmtId="0" fontId="0" fillId="0" borderId="7" xfId="0" applyBorder="1" applyAlignment="1">
      <alignment horizontal="right"/>
    </xf>
    <xf numFmtId="0" fontId="2" fillId="0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38" fontId="1" fillId="0" borderId="5" xfId="1" applyNumberFormat="1" applyFill="1" applyBorder="1"/>
    <xf numFmtId="0" fontId="2" fillId="0" borderId="4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66" fontId="0" fillId="0" borderId="6" xfId="1" applyNumberFormat="1" applyFont="1" applyBorder="1"/>
    <xf numFmtId="166" fontId="0" fillId="0" borderId="8" xfId="0" applyNumberFormat="1" applyBorder="1"/>
    <xf numFmtId="166" fontId="0" fillId="0" borderId="0" xfId="0" applyNumberFormat="1" applyBorder="1"/>
    <xf numFmtId="166" fontId="0" fillId="0" borderId="7" xfId="0" applyNumberFormat="1" applyBorder="1"/>
    <xf numFmtId="166" fontId="0" fillId="0" borderId="0" xfId="0" applyNumberFormat="1"/>
    <xf numFmtId="38" fontId="0" fillId="0" borderId="0" xfId="0" applyNumberFormat="1"/>
    <xf numFmtId="164" fontId="1" fillId="0" borderId="0" xfId="1" applyNumberFormat="1" applyBorder="1" applyAlignment="1">
      <alignment horizontal="center"/>
    </xf>
    <xf numFmtId="0" fontId="0" fillId="0" borderId="10" xfId="0" applyBorder="1"/>
    <xf numFmtId="15" fontId="0" fillId="0" borderId="5" xfId="0" applyNumberFormat="1" applyFill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66" fontId="1" fillId="0" borderId="6" xfId="1" applyNumberFormat="1" applyBorder="1"/>
    <xf numFmtId="9" fontId="1" fillId="0" borderId="0" xfId="3" applyFill="1" applyBorder="1"/>
    <xf numFmtId="43" fontId="0" fillId="0" borderId="0" xfId="0" applyNumberFormat="1"/>
    <xf numFmtId="0" fontId="2" fillId="0" borderId="12" xfId="0" applyFont="1" applyBorder="1" applyAlignment="1">
      <alignment horizontal="center"/>
    </xf>
    <xf numFmtId="0" fontId="0" fillId="0" borderId="12" xfId="0" applyBorder="1"/>
    <xf numFmtId="166" fontId="0" fillId="0" borderId="12" xfId="1" applyNumberFormat="1" applyFont="1" applyBorder="1"/>
    <xf numFmtId="38" fontId="0" fillId="0" borderId="12" xfId="0" applyNumberForma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6" fontId="0" fillId="0" borderId="10" xfId="1" applyNumberFormat="1" applyFont="1" applyBorder="1"/>
    <xf numFmtId="0" fontId="3" fillId="0" borderId="1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38" fontId="0" fillId="2" borderId="12" xfId="0" applyNumberFormat="1" applyFill="1" applyBorder="1"/>
    <xf numFmtId="38" fontId="0" fillId="3" borderId="12" xfId="0" applyNumberFormat="1" applyFill="1" applyBorder="1"/>
    <xf numFmtId="0" fontId="0" fillId="2" borderId="12" xfId="0" applyFill="1" applyBorder="1"/>
    <xf numFmtId="0" fontId="0" fillId="3" borderId="12" xfId="0" applyFill="1" applyBorder="1"/>
    <xf numFmtId="38" fontId="0" fillId="0" borderId="12" xfId="0" applyNumberFormat="1" applyFill="1" applyBorder="1"/>
    <xf numFmtId="0" fontId="0" fillId="0" borderId="13" xfId="0" applyBorder="1"/>
    <xf numFmtId="15" fontId="0" fillId="0" borderId="15" xfId="0" applyNumberFormat="1" applyFill="1" applyBorder="1" applyAlignment="1">
      <alignment horizontal="right"/>
    </xf>
    <xf numFmtId="9" fontId="0" fillId="0" borderId="15" xfId="0" applyNumberFormat="1" applyBorder="1"/>
    <xf numFmtId="38" fontId="1" fillId="0" borderId="15" xfId="1" applyNumberFormat="1" applyFill="1" applyBorder="1"/>
    <xf numFmtId="38" fontId="0" fillId="0" borderId="14" xfId="0" applyNumberFormat="1" applyFill="1" applyBorder="1"/>
    <xf numFmtId="38" fontId="2" fillId="0" borderId="12" xfId="0" applyNumberFormat="1" applyFont="1" applyFill="1" applyBorder="1"/>
    <xf numFmtId="38" fontId="0" fillId="0" borderId="10" xfId="0" applyNumberFormat="1" applyBorder="1"/>
    <xf numFmtId="0" fontId="2" fillId="0" borderId="12" xfId="0" applyFont="1" applyBorder="1"/>
    <xf numFmtId="166" fontId="2" fillId="0" borderId="12" xfId="0" applyNumberFormat="1" applyFont="1" applyBorder="1"/>
    <xf numFmtId="38" fontId="2" fillId="0" borderId="12" xfId="0" applyNumberFormat="1" applyFont="1" applyBorder="1"/>
    <xf numFmtId="38" fontId="2" fillId="0" borderId="12" xfId="0" applyNumberFormat="1" applyFont="1" applyBorder="1" applyAlignment="1">
      <alignment horizontal="left"/>
    </xf>
    <xf numFmtId="0" fontId="0" fillId="0" borderId="12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0" xfId="0" applyFont="1"/>
    <xf numFmtId="0" fontId="0" fillId="0" borderId="11" xfId="0" applyBorder="1"/>
    <xf numFmtId="170" fontId="0" fillId="0" borderId="11" xfId="2" applyNumberFormat="1" applyFont="1" applyBorder="1"/>
    <xf numFmtId="170" fontId="0" fillId="0" borderId="10" xfId="2" applyNumberFormat="1" applyFont="1" applyBorder="1"/>
    <xf numFmtId="0" fontId="2" fillId="0" borderId="10" xfId="0" applyFont="1" applyBorder="1"/>
    <xf numFmtId="170" fontId="2" fillId="0" borderId="11" xfId="2" applyNumberFormat="1" applyFont="1" applyBorder="1" applyAlignment="1">
      <alignment horizontal="right"/>
    </xf>
    <xf numFmtId="170" fontId="2" fillId="0" borderId="8" xfId="0" applyNumberFormat="1" applyFont="1" applyBorder="1"/>
    <xf numFmtId="0" fontId="0" fillId="0" borderId="9" xfId="0" applyBorder="1"/>
    <xf numFmtId="170" fontId="2" fillId="0" borderId="10" xfId="0" applyNumberFormat="1" applyFont="1" applyBorder="1"/>
    <xf numFmtId="0" fontId="7" fillId="0" borderId="0" xfId="0" applyFont="1"/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/>
    <xf numFmtId="14" fontId="0" fillId="0" borderId="2" xfId="0" applyNumberFormat="1" applyBorder="1" applyAlignment="1">
      <alignment horizontal="right"/>
    </xf>
    <xf numFmtId="14" fontId="0" fillId="0" borderId="4" xfId="0" applyNumberFormat="1" applyBorder="1" applyAlignment="1">
      <alignment horizontal="right"/>
    </xf>
    <xf numFmtId="170" fontId="0" fillId="0" borderId="0" xfId="0" applyNumberFormat="1"/>
    <xf numFmtId="14" fontId="8" fillId="0" borderId="1" xfId="0" applyNumberFormat="1" applyFont="1" applyFill="1" applyBorder="1" applyAlignment="1">
      <alignment horizontal="center"/>
    </xf>
    <xf numFmtId="14" fontId="8" fillId="0" borderId="5" xfId="0" applyNumberFormat="1" applyFont="1" applyFill="1" applyBorder="1" applyAlignment="1">
      <alignment horizontal="center"/>
    </xf>
    <xf numFmtId="14" fontId="8" fillId="0" borderId="6" xfId="0" applyNumberFormat="1" applyFont="1" applyFill="1" applyBorder="1" applyAlignment="1">
      <alignment horizontal="center"/>
    </xf>
    <xf numFmtId="38" fontId="0" fillId="0" borderId="4" xfId="0" applyNumberFormat="1" applyFill="1" applyBorder="1"/>
    <xf numFmtId="38" fontId="0" fillId="0" borderId="7" xfId="0" applyNumberFormat="1" applyFill="1" applyBorder="1"/>
    <xf numFmtId="14" fontId="8" fillId="0" borderId="0" xfId="0" applyNumberFormat="1" applyFont="1" applyFill="1" applyBorder="1" applyAlignment="1">
      <alignment horizontal="center"/>
    </xf>
    <xf numFmtId="0" fontId="0" fillId="0" borderId="7" xfId="0" applyFill="1" applyBorder="1"/>
    <xf numFmtId="38" fontId="0" fillId="2" borderId="0" xfId="0" applyNumberFormat="1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8" fillId="0" borderId="2" xfId="0" applyFont="1" applyBorder="1"/>
    <xf numFmtId="0" fontId="7" fillId="0" borderId="0" xfId="0" applyFont="1" applyBorder="1"/>
    <xf numFmtId="9" fontId="2" fillId="0" borderId="6" xfId="0" applyNumberFormat="1" applyFont="1" applyBorder="1"/>
    <xf numFmtId="38" fontId="2" fillId="0" borderId="3" xfId="0" applyNumberFormat="1" applyFont="1" applyBorder="1"/>
    <xf numFmtId="166" fontId="9" fillId="0" borderId="3" xfId="1" applyNumberFormat="1" applyFont="1" applyBorder="1"/>
    <xf numFmtId="0" fontId="2" fillId="0" borderId="4" xfId="0" applyFont="1" applyBorder="1"/>
    <xf numFmtId="166" fontId="2" fillId="0" borderId="8" xfId="0" applyNumberFormat="1" applyFont="1" applyBorder="1"/>
    <xf numFmtId="170" fontId="2" fillId="0" borderId="0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0" fontId="0" fillId="0" borderId="9" xfId="2" applyNumberFormat="1" applyFont="1" applyBorder="1"/>
    <xf numFmtId="0" fontId="6" fillId="0" borderId="0" xfId="0" applyFont="1" applyBorder="1"/>
    <xf numFmtId="170" fontId="6" fillId="0" borderId="0" xfId="0" applyNumberFormat="1" applyFont="1" applyBorder="1"/>
    <xf numFmtId="0" fontId="10" fillId="0" borderId="0" xfId="0" applyFont="1"/>
    <xf numFmtId="0" fontId="10" fillId="0" borderId="0" xfId="0" applyFont="1" applyBorder="1"/>
    <xf numFmtId="170" fontId="10" fillId="0" borderId="0" xfId="0" applyNumberFormat="1" applyFont="1" applyBorder="1"/>
    <xf numFmtId="0" fontId="11" fillId="0" borderId="0" xfId="0" applyFont="1" applyBorder="1"/>
    <xf numFmtId="170" fontId="12" fillId="0" borderId="0" xfId="0" applyNumberFormat="1" applyFont="1" applyBorder="1"/>
    <xf numFmtId="0" fontId="2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1" sqref="E11"/>
    </sheetView>
  </sheetViews>
  <sheetFormatPr defaultRowHeight="12.75" x14ac:dyDescent="0.2"/>
  <cols>
    <col min="1" max="1" width="23.85546875" bestFit="1" customWidth="1"/>
    <col min="2" max="2" width="19.5703125" bestFit="1" customWidth="1"/>
    <col min="3" max="3" width="27.28515625" customWidth="1"/>
    <col min="4" max="4" width="10.28515625" bestFit="1" customWidth="1"/>
    <col min="5" max="5" width="25.140625" bestFit="1" customWidth="1"/>
    <col min="6" max="6" width="11.5703125" bestFit="1" customWidth="1"/>
  </cols>
  <sheetData>
    <row r="1" spans="1:6" x14ac:dyDescent="0.2">
      <c r="A1" s="8" t="s">
        <v>12</v>
      </c>
      <c r="F1" s="5"/>
    </row>
    <row r="2" spans="1:6" x14ac:dyDescent="0.2">
      <c r="A2" s="8" t="s">
        <v>8</v>
      </c>
      <c r="B2" s="25"/>
      <c r="C2" s="47" t="s">
        <v>2</v>
      </c>
      <c r="D2" s="49">
        <v>562300</v>
      </c>
    </row>
    <row r="3" spans="1:6" x14ac:dyDescent="0.2">
      <c r="A3" s="9">
        <v>36865</v>
      </c>
      <c r="B3" s="5"/>
      <c r="C3" s="48" t="s">
        <v>1</v>
      </c>
      <c r="D3" s="6">
        <v>2</v>
      </c>
    </row>
    <row r="4" spans="1:6" x14ac:dyDescent="0.2">
      <c r="B4" s="55"/>
      <c r="C4" s="46" t="s">
        <v>24</v>
      </c>
      <c r="D4" s="50">
        <f>D3*D2</f>
        <v>1124600</v>
      </c>
    </row>
    <row r="5" spans="1:6" x14ac:dyDescent="0.2">
      <c r="B5" s="9"/>
      <c r="C5" s="10"/>
      <c r="D5" s="10"/>
      <c r="E5" s="10"/>
      <c r="F5" s="5"/>
    </row>
    <row r="6" spans="1:6" x14ac:dyDescent="0.2">
      <c r="C6" s="2" t="s">
        <v>3</v>
      </c>
      <c r="D6" s="2" t="s">
        <v>5</v>
      </c>
      <c r="E6" s="2" t="s">
        <v>5</v>
      </c>
    </row>
    <row r="7" spans="1:6" x14ac:dyDescent="0.2">
      <c r="C7" s="11" t="s">
        <v>9</v>
      </c>
      <c r="D7" s="11" t="s">
        <v>4</v>
      </c>
      <c r="E7" s="11" t="s">
        <v>6</v>
      </c>
      <c r="F7" s="11" t="s">
        <v>7</v>
      </c>
    </row>
    <row r="8" spans="1:6" x14ac:dyDescent="0.2">
      <c r="A8" s="35" t="s">
        <v>19</v>
      </c>
      <c r="B8" s="3" t="s">
        <v>0</v>
      </c>
      <c r="C8" s="12"/>
      <c r="D8" s="12"/>
      <c r="E8" s="13">
        <f>'Summary By Unit'!E6+'Summary By Unit'!E7</f>
        <v>880000</v>
      </c>
      <c r="F8" s="14">
        <f>E8</f>
        <v>880000</v>
      </c>
    </row>
    <row r="9" spans="1:6" x14ac:dyDescent="0.2">
      <c r="A9" s="37" t="s">
        <v>23</v>
      </c>
      <c r="B9" s="17" t="s">
        <v>10</v>
      </c>
      <c r="C9" s="19">
        <v>36783</v>
      </c>
      <c r="D9" s="20">
        <v>0.1</v>
      </c>
      <c r="E9" s="15">
        <f>76800*2</f>
        <v>153600</v>
      </c>
      <c r="F9" s="16">
        <f>F8+E9</f>
        <v>1033600</v>
      </c>
    </row>
    <row r="10" spans="1:6" x14ac:dyDescent="0.2">
      <c r="A10" s="37" t="s">
        <v>20</v>
      </c>
      <c r="B10" s="17" t="s">
        <v>14</v>
      </c>
      <c r="C10" s="19"/>
      <c r="D10" s="20">
        <v>0.25</v>
      </c>
      <c r="E10" s="15">
        <f>120005*2</f>
        <v>240010</v>
      </c>
      <c r="F10" s="16">
        <f>F9+E10</f>
        <v>1273610</v>
      </c>
    </row>
    <row r="11" spans="1:6" x14ac:dyDescent="0.2">
      <c r="A11" s="37"/>
      <c r="B11" s="17" t="s">
        <v>15</v>
      </c>
      <c r="C11" s="19"/>
      <c r="D11" s="20">
        <v>0.65</v>
      </c>
      <c r="E11" s="15">
        <f>372495+365495</f>
        <v>737990</v>
      </c>
      <c r="F11" s="16">
        <f>F10+E11</f>
        <v>2011600</v>
      </c>
    </row>
    <row r="12" spans="1:6" x14ac:dyDescent="0.2">
      <c r="A12" s="56"/>
      <c r="B12" s="7" t="s">
        <v>11</v>
      </c>
      <c r="C12" s="28">
        <v>36826</v>
      </c>
      <c r="D12" s="31"/>
      <c r="E12" s="23"/>
      <c r="F12" s="24"/>
    </row>
    <row r="14" spans="1:6" x14ac:dyDescent="0.2">
      <c r="E14" s="8" t="s">
        <v>22</v>
      </c>
      <c r="F14" s="54">
        <v>0</v>
      </c>
    </row>
    <row r="17" spans="3:6" x14ac:dyDescent="0.2">
      <c r="C17" s="53"/>
      <c r="E17" s="54"/>
    </row>
    <row r="18" spans="3:6" x14ac:dyDescent="0.2">
      <c r="E18" s="53"/>
    </row>
    <row r="19" spans="3:6" x14ac:dyDescent="0.2">
      <c r="E19" s="54"/>
    </row>
    <row r="20" spans="3:6" x14ac:dyDescent="0.2">
      <c r="E20" s="53"/>
      <c r="F20" s="5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"/>
  <sheetViews>
    <sheetView topLeftCell="B1" workbookViewId="0">
      <selection activeCell="E26" sqref="E26"/>
    </sheetView>
  </sheetViews>
  <sheetFormatPr defaultRowHeight="12.75" x14ac:dyDescent="0.2"/>
  <cols>
    <col min="1" max="1" width="23.85546875" bestFit="1" customWidth="1"/>
    <col min="2" max="2" width="19.5703125" bestFit="1" customWidth="1"/>
    <col min="3" max="3" width="28" customWidth="1"/>
    <col min="4" max="4" width="29.85546875" bestFit="1" customWidth="1"/>
    <col min="5" max="5" width="25.140625" bestFit="1" customWidth="1"/>
    <col min="6" max="6" width="10.28515625" bestFit="1" customWidth="1"/>
    <col min="7" max="7" width="13.85546875" bestFit="1" customWidth="1"/>
    <col min="8" max="9" width="10.7109375" bestFit="1" customWidth="1"/>
  </cols>
  <sheetData>
    <row r="1" spans="1:9" x14ac:dyDescent="0.2">
      <c r="A1" s="8" t="s">
        <v>13</v>
      </c>
      <c r="F1" s="5"/>
      <c r="G1" s="5"/>
      <c r="H1" s="5"/>
      <c r="I1" s="5"/>
    </row>
    <row r="2" spans="1:9" x14ac:dyDescent="0.2">
      <c r="A2" s="8" t="s">
        <v>8</v>
      </c>
      <c r="B2" s="25"/>
      <c r="C2" s="47" t="s">
        <v>2</v>
      </c>
      <c r="D2" s="49">
        <v>786000</v>
      </c>
      <c r="G2" s="25"/>
      <c r="H2" s="22"/>
      <c r="I2" s="5"/>
    </row>
    <row r="3" spans="1:9" x14ac:dyDescent="0.2">
      <c r="A3" s="9">
        <v>36865</v>
      </c>
      <c r="B3" s="5"/>
      <c r="C3" s="48" t="s">
        <v>1</v>
      </c>
      <c r="D3" s="6">
        <v>1</v>
      </c>
      <c r="G3" s="5"/>
      <c r="H3" s="5"/>
      <c r="I3" s="5"/>
    </row>
    <row r="4" spans="1:9" x14ac:dyDescent="0.2">
      <c r="B4" s="55"/>
      <c r="C4" s="46" t="s">
        <v>24</v>
      </c>
      <c r="D4" s="50">
        <f>D3*D2</f>
        <v>786000</v>
      </c>
      <c r="G4" s="5"/>
      <c r="H4" s="5"/>
      <c r="I4" s="5"/>
    </row>
    <row r="5" spans="1:9" x14ac:dyDescent="0.2">
      <c r="B5" s="9"/>
      <c r="C5" s="10"/>
      <c r="D5" s="10"/>
      <c r="E5" s="10"/>
      <c r="F5" s="5"/>
      <c r="G5" s="26"/>
      <c r="H5" s="27"/>
      <c r="I5" s="5"/>
    </row>
    <row r="6" spans="1:9" x14ac:dyDescent="0.2">
      <c r="C6" s="2" t="s">
        <v>3</v>
      </c>
      <c r="D6" s="2" t="s">
        <v>5</v>
      </c>
      <c r="E6" s="2" t="s">
        <v>5</v>
      </c>
      <c r="G6" s="11"/>
      <c r="H6" s="26"/>
      <c r="I6" s="5"/>
    </row>
    <row r="7" spans="1:9" x14ac:dyDescent="0.2">
      <c r="C7" s="11" t="s">
        <v>9</v>
      </c>
      <c r="D7" s="11" t="s">
        <v>4</v>
      </c>
      <c r="E7" s="11" t="s">
        <v>6</v>
      </c>
      <c r="F7" s="11" t="s">
        <v>7</v>
      </c>
      <c r="G7" s="11"/>
      <c r="H7" s="11"/>
      <c r="I7" s="11"/>
    </row>
    <row r="8" spans="1:9" x14ac:dyDescent="0.2">
      <c r="A8" s="40" t="s">
        <v>19</v>
      </c>
      <c r="B8" s="3" t="s">
        <v>0</v>
      </c>
      <c r="C8" s="12"/>
      <c r="D8" s="12"/>
      <c r="E8" s="13">
        <f>1088000/6</f>
        <v>181333.33333333334</v>
      </c>
      <c r="F8" s="14">
        <f>E8</f>
        <v>181333.33333333334</v>
      </c>
      <c r="G8" s="11"/>
      <c r="H8" s="11"/>
      <c r="I8" s="29"/>
    </row>
    <row r="9" spans="1:9" x14ac:dyDescent="0.2">
      <c r="A9" s="41" t="s">
        <v>23</v>
      </c>
      <c r="B9" s="17" t="s">
        <v>10</v>
      </c>
      <c r="C9" s="19">
        <v>36783</v>
      </c>
      <c r="D9" s="20">
        <v>0.1</v>
      </c>
      <c r="E9" s="15">
        <v>88400</v>
      </c>
      <c r="F9" s="16">
        <f>F8+E9</f>
        <v>269733.33333333337</v>
      </c>
      <c r="G9" s="19"/>
      <c r="H9" s="21"/>
      <c r="I9" s="21"/>
    </row>
    <row r="10" spans="1:9" x14ac:dyDescent="0.2">
      <c r="A10" s="41" t="s">
        <v>20</v>
      </c>
      <c r="B10" s="7" t="s">
        <v>14</v>
      </c>
      <c r="C10" s="28">
        <v>36852</v>
      </c>
      <c r="D10" s="31">
        <v>0.25</v>
      </c>
      <c r="E10" s="23">
        <v>186700</v>
      </c>
      <c r="F10" s="24">
        <f>F9+E10</f>
        <v>456433.33333333337</v>
      </c>
      <c r="G10" s="15"/>
      <c r="H10" s="21"/>
      <c r="I10" s="21"/>
    </row>
    <row r="11" spans="1:9" x14ac:dyDescent="0.2">
      <c r="A11" s="42"/>
      <c r="B11" s="3" t="s">
        <v>15</v>
      </c>
      <c r="C11" s="19">
        <v>36873</v>
      </c>
      <c r="D11" s="32">
        <v>0.4</v>
      </c>
      <c r="E11" s="45">
        <v>314400</v>
      </c>
      <c r="F11" s="33">
        <f>F10+E11</f>
        <v>770833.33333333337</v>
      </c>
      <c r="G11" s="5"/>
      <c r="H11" s="18"/>
      <c r="I11" s="21"/>
    </row>
    <row r="12" spans="1:9" x14ac:dyDescent="0.2">
      <c r="A12" s="43" t="s">
        <v>19</v>
      </c>
      <c r="B12" s="4" t="s">
        <v>16</v>
      </c>
      <c r="C12" s="27" t="s">
        <v>18</v>
      </c>
      <c r="D12" s="30">
        <v>0.15</v>
      </c>
      <c r="E12" s="51">
        <f>D12*D4</f>
        <v>117900</v>
      </c>
      <c r="F12" s="16">
        <f>F11+E12</f>
        <v>888733.33333333337</v>
      </c>
      <c r="G12" s="5"/>
      <c r="H12" s="5"/>
      <c r="I12" s="5"/>
    </row>
    <row r="13" spans="1:9" x14ac:dyDescent="0.2">
      <c r="A13" s="44" t="s">
        <v>21</v>
      </c>
      <c r="B13" s="7" t="s">
        <v>17</v>
      </c>
      <c r="C13" s="34" t="s">
        <v>18</v>
      </c>
      <c r="D13" s="31">
        <v>0.1</v>
      </c>
      <c r="E13" s="52">
        <f>D13*D4</f>
        <v>78600</v>
      </c>
      <c r="F13" s="24">
        <f>F12+E13</f>
        <v>967333.33333333337</v>
      </c>
      <c r="G13" s="5"/>
      <c r="H13" s="5"/>
      <c r="I13" s="5"/>
    </row>
    <row r="14" spans="1:9" x14ac:dyDescent="0.2">
      <c r="G14" s="5"/>
      <c r="H14" s="5"/>
      <c r="I14" s="5"/>
    </row>
    <row r="15" spans="1:9" x14ac:dyDescent="0.2">
      <c r="E15" s="8" t="s">
        <v>22</v>
      </c>
      <c r="F15" s="54">
        <f>SUM(E11:E13)</f>
        <v>510900</v>
      </c>
      <c r="G15" s="5"/>
      <c r="H15" s="5"/>
      <c r="I15" s="5"/>
    </row>
    <row r="16" spans="1:9" x14ac:dyDescent="0.2">
      <c r="B16" s="5"/>
      <c r="C16" s="5"/>
      <c r="D16" s="5"/>
      <c r="E16" s="5"/>
      <c r="F16" s="5"/>
      <c r="G16" s="5"/>
      <c r="H16" s="5"/>
      <c r="I16" s="5"/>
    </row>
    <row r="17" spans="2:9" x14ac:dyDescent="0.2">
      <c r="B17" s="5"/>
      <c r="C17" s="5"/>
      <c r="D17" s="5"/>
      <c r="E17" s="5"/>
      <c r="F17" s="5"/>
      <c r="G17" s="5"/>
      <c r="H17" s="5"/>
      <c r="I17" s="5"/>
    </row>
    <row r="18" spans="2:9" x14ac:dyDescent="0.2">
      <c r="B18" s="5"/>
      <c r="C18" s="5"/>
      <c r="D18" s="5"/>
      <c r="E18" s="5"/>
      <c r="F18" s="5"/>
      <c r="G18" s="5"/>
      <c r="H18" s="5"/>
      <c r="I18" s="5"/>
    </row>
    <row r="19" spans="2:9" x14ac:dyDescent="0.2">
      <c r="B19" s="5"/>
      <c r="C19" s="5"/>
      <c r="D19" s="5"/>
      <c r="E19" s="5"/>
      <c r="F19" s="5"/>
      <c r="G19" s="5"/>
      <c r="H19" s="5"/>
      <c r="I19" s="5"/>
    </row>
    <row r="20" spans="2:9" x14ac:dyDescent="0.2">
      <c r="E20" s="54"/>
    </row>
    <row r="21" spans="2:9" x14ac:dyDescent="0.2">
      <c r="D21" s="53"/>
    </row>
    <row r="23" spans="2:9" x14ac:dyDescent="0.2">
      <c r="E23" s="54"/>
    </row>
    <row r="24" spans="2:9" x14ac:dyDescent="0.2">
      <c r="F24" s="54"/>
    </row>
    <row r="25" spans="2:9" x14ac:dyDescent="0.2">
      <c r="E25" s="53"/>
    </row>
    <row r="26" spans="2:9" x14ac:dyDescent="0.2">
      <c r="E26" s="53"/>
      <c r="F26" s="53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workbookViewId="0">
      <selection activeCell="A16" sqref="A16"/>
    </sheetView>
  </sheetViews>
  <sheetFormatPr defaultRowHeight="12.75" x14ac:dyDescent="0.2"/>
  <cols>
    <col min="1" max="1" width="23.85546875" bestFit="1" customWidth="1"/>
    <col min="2" max="2" width="19.5703125" bestFit="1" customWidth="1"/>
    <col min="3" max="3" width="22.42578125" customWidth="1"/>
    <col min="4" max="4" width="10.28515625" bestFit="1" customWidth="1"/>
    <col min="5" max="5" width="25.140625" bestFit="1" customWidth="1"/>
    <col min="6" max="6" width="10.28515625" bestFit="1" customWidth="1"/>
  </cols>
  <sheetData>
    <row r="1" spans="1:6" x14ac:dyDescent="0.2">
      <c r="A1" s="8" t="s">
        <v>25</v>
      </c>
      <c r="F1" s="5"/>
    </row>
    <row r="2" spans="1:6" x14ac:dyDescent="0.2">
      <c r="A2" s="8" t="s">
        <v>8</v>
      </c>
      <c r="B2" s="25"/>
      <c r="C2" s="47" t="s">
        <v>2</v>
      </c>
      <c r="D2" s="49">
        <v>786000</v>
      </c>
    </row>
    <row r="3" spans="1:6" x14ac:dyDescent="0.2">
      <c r="A3" s="9">
        <v>36865</v>
      </c>
      <c r="B3" s="5"/>
      <c r="C3" s="48" t="s">
        <v>1</v>
      </c>
      <c r="D3" s="6">
        <v>2</v>
      </c>
    </row>
    <row r="4" spans="1:6" x14ac:dyDescent="0.2">
      <c r="B4" s="55"/>
      <c r="C4" s="46" t="s">
        <v>24</v>
      </c>
      <c r="D4" s="50">
        <f>D3*D2</f>
        <v>1572000</v>
      </c>
    </row>
    <row r="5" spans="1:6" x14ac:dyDescent="0.2">
      <c r="B5" s="9"/>
      <c r="C5" s="10"/>
      <c r="D5" s="10"/>
      <c r="E5" s="10"/>
      <c r="F5" s="5"/>
    </row>
    <row r="6" spans="1:6" x14ac:dyDescent="0.2">
      <c r="C6" s="2" t="s">
        <v>3</v>
      </c>
      <c r="D6" s="2" t="s">
        <v>5</v>
      </c>
      <c r="E6" s="2" t="s">
        <v>5</v>
      </c>
    </row>
    <row r="7" spans="1:6" x14ac:dyDescent="0.2">
      <c r="C7" s="11" t="s">
        <v>9</v>
      </c>
      <c r="D7" s="11" t="s">
        <v>4</v>
      </c>
      <c r="E7" s="11" t="s">
        <v>6</v>
      </c>
      <c r="F7" s="11" t="s">
        <v>7</v>
      </c>
    </row>
    <row r="8" spans="1:6" x14ac:dyDescent="0.2">
      <c r="A8" s="35" t="s">
        <v>19</v>
      </c>
      <c r="B8" s="3" t="s">
        <v>0</v>
      </c>
      <c r="C8" s="12"/>
      <c r="D8" s="12"/>
      <c r="E8" s="13">
        <f>(1088000/6)*2</f>
        <v>362666.66666666669</v>
      </c>
      <c r="F8" s="14">
        <f>E8</f>
        <v>362666.66666666669</v>
      </c>
    </row>
    <row r="9" spans="1:6" x14ac:dyDescent="0.2">
      <c r="A9" s="37" t="s">
        <v>26</v>
      </c>
      <c r="B9" s="17" t="s">
        <v>10</v>
      </c>
      <c r="C9" s="19">
        <v>36783</v>
      </c>
      <c r="D9" s="20">
        <v>0.1</v>
      </c>
      <c r="E9" s="15">
        <f>88400*2</f>
        <v>176800</v>
      </c>
      <c r="F9" s="16">
        <f>F8+E9</f>
        <v>539466.66666666674</v>
      </c>
    </row>
    <row r="10" spans="1:6" x14ac:dyDescent="0.2">
      <c r="A10" s="66" t="s">
        <v>28</v>
      </c>
      <c r="B10" s="78" t="s">
        <v>52</v>
      </c>
      <c r="C10" s="79" t="s">
        <v>18</v>
      </c>
      <c r="D10" s="80"/>
      <c r="E10" s="81">
        <v>323200</v>
      </c>
      <c r="F10" s="82">
        <f>F9+E10</f>
        <v>862666.66666666674</v>
      </c>
    </row>
    <row r="12" spans="1:6" x14ac:dyDescent="0.2">
      <c r="E12" s="8" t="s">
        <v>22</v>
      </c>
      <c r="F12" s="54">
        <f>E10</f>
        <v>323200</v>
      </c>
    </row>
    <row r="13" spans="1:6" x14ac:dyDescent="0.2">
      <c r="F13" s="54"/>
    </row>
    <row r="17" spans="3:5" x14ac:dyDescent="0.2">
      <c r="C17" s="53"/>
    </row>
    <row r="18" spans="3:5" x14ac:dyDescent="0.2">
      <c r="E18" s="61"/>
    </row>
    <row r="19" spans="3:5" x14ac:dyDescent="0.2">
      <c r="E19" s="53"/>
    </row>
    <row r="22" spans="3:5" x14ac:dyDescent="0.2">
      <c r="E22" s="53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E9" sqref="E9"/>
    </sheetView>
  </sheetViews>
  <sheetFormatPr defaultRowHeight="12.75" x14ac:dyDescent="0.2"/>
  <cols>
    <col min="1" max="1" width="22.7109375" bestFit="1" customWidth="1"/>
    <col min="2" max="2" width="19.5703125" bestFit="1" customWidth="1"/>
    <col min="3" max="3" width="19" customWidth="1"/>
    <col min="4" max="4" width="10.28515625" bestFit="1" customWidth="1"/>
    <col min="5" max="5" width="25.140625" bestFit="1" customWidth="1"/>
    <col min="6" max="6" width="10.28515625" bestFit="1" customWidth="1"/>
  </cols>
  <sheetData>
    <row r="1" spans="1:6" x14ac:dyDescent="0.2">
      <c r="A1" s="8" t="s">
        <v>33</v>
      </c>
      <c r="F1" s="5"/>
    </row>
    <row r="2" spans="1:6" x14ac:dyDescent="0.2">
      <c r="A2" s="8" t="s">
        <v>8</v>
      </c>
      <c r="B2" s="25"/>
      <c r="C2" s="47" t="s">
        <v>2</v>
      </c>
      <c r="D2" s="49">
        <v>786000</v>
      </c>
    </row>
    <row r="3" spans="1:6" x14ac:dyDescent="0.2">
      <c r="A3" s="9">
        <v>36865</v>
      </c>
      <c r="B3" s="5"/>
      <c r="C3" s="48" t="s">
        <v>1</v>
      </c>
      <c r="D3" s="6">
        <v>3</v>
      </c>
    </row>
    <row r="4" spans="1:6" x14ac:dyDescent="0.2">
      <c r="B4" s="55"/>
      <c r="C4" s="46" t="s">
        <v>24</v>
      </c>
      <c r="D4" s="50">
        <f>D3*D2</f>
        <v>2358000</v>
      </c>
    </row>
    <row r="5" spans="1:6" x14ac:dyDescent="0.2">
      <c r="B5" s="9"/>
      <c r="C5" s="10"/>
      <c r="D5" s="10"/>
      <c r="E5" s="10"/>
      <c r="F5" s="5"/>
    </row>
    <row r="6" spans="1:6" x14ac:dyDescent="0.2">
      <c r="C6" s="2" t="s">
        <v>3</v>
      </c>
      <c r="D6" s="2" t="s">
        <v>5</v>
      </c>
      <c r="E6" s="2" t="s">
        <v>5</v>
      </c>
    </row>
    <row r="7" spans="1:6" x14ac:dyDescent="0.2">
      <c r="C7" s="11" t="s">
        <v>9</v>
      </c>
      <c r="D7" s="11" t="s">
        <v>4</v>
      </c>
      <c r="E7" s="11" t="s">
        <v>6</v>
      </c>
      <c r="F7" s="11" t="s">
        <v>7</v>
      </c>
    </row>
    <row r="8" spans="1:6" x14ac:dyDescent="0.2">
      <c r="A8" s="35" t="s">
        <v>19</v>
      </c>
      <c r="B8" s="3" t="s">
        <v>0</v>
      </c>
      <c r="C8" s="12"/>
      <c r="D8" s="12"/>
      <c r="E8" s="13">
        <f>(1088000/6)*3</f>
        <v>544000</v>
      </c>
      <c r="F8" s="14">
        <f>E8</f>
        <v>544000</v>
      </c>
    </row>
    <row r="9" spans="1:6" x14ac:dyDescent="0.2">
      <c r="A9" s="37" t="s">
        <v>26</v>
      </c>
      <c r="B9" s="17" t="s">
        <v>10</v>
      </c>
      <c r="C9" s="19">
        <v>36783</v>
      </c>
      <c r="D9" s="20">
        <v>0.1</v>
      </c>
      <c r="E9" s="15">
        <f>88400*3</f>
        <v>265200</v>
      </c>
      <c r="F9" s="16">
        <f>F8+E9</f>
        <v>809200</v>
      </c>
    </row>
    <row r="10" spans="1:6" x14ac:dyDescent="0.2">
      <c r="A10" s="42"/>
      <c r="B10" s="3" t="s">
        <v>14</v>
      </c>
      <c r="C10" s="57" t="s">
        <v>18</v>
      </c>
      <c r="D10" s="32">
        <v>0.25</v>
      </c>
      <c r="E10" s="45">
        <f>186700*3</f>
        <v>560100</v>
      </c>
      <c r="F10" s="33">
        <f>F9+E10</f>
        <v>1369300</v>
      </c>
    </row>
    <row r="11" spans="1:6" x14ac:dyDescent="0.2">
      <c r="A11" s="43" t="s">
        <v>19</v>
      </c>
      <c r="B11" s="4" t="s">
        <v>15</v>
      </c>
      <c r="C11" s="58" t="s">
        <v>18</v>
      </c>
      <c r="D11" s="30">
        <v>0.4</v>
      </c>
      <c r="E11" s="15">
        <f>D11*D4</f>
        <v>943200</v>
      </c>
      <c r="F11" s="16">
        <f>F10+E11</f>
        <v>2312500</v>
      </c>
    </row>
    <row r="12" spans="1:6" x14ac:dyDescent="0.2">
      <c r="A12" s="43" t="s">
        <v>21</v>
      </c>
      <c r="B12" s="4" t="s">
        <v>16</v>
      </c>
      <c r="C12" s="27" t="s">
        <v>18</v>
      </c>
      <c r="D12" s="30">
        <v>0.15</v>
      </c>
      <c r="E12" s="51">
        <f>D12*D4</f>
        <v>353700</v>
      </c>
      <c r="F12" s="16">
        <f>F11+E12</f>
        <v>2666200</v>
      </c>
    </row>
    <row r="13" spans="1:6" x14ac:dyDescent="0.2">
      <c r="A13" s="7"/>
      <c r="B13" s="7" t="s">
        <v>17</v>
      </c>
      <c r="C13" s="34" t="s">
        <v>18</v>
      </c>
      <c r="D13" s="31">
        <v>0.1</v>
      </c>
      <c r="E13" s="52">
        <f>D13*D4</f>
        <v>235800</v>
      </c>
      <c r="F13" s="24">
        <f>F12+E13</f>
        <v>2902000</v>
      </c>
    </row>
    <row r="15" spans="1:6" x14ac:dyDescent="0.2">
      <c r="E15" s="8" t="s">
        <v>22</v>
      </c>
      <c r="F15" s="54">
        <f>E10+E11+E12+E13</f>
        <v>2092800</v>
      </c>
    </row>
    <row r="16" spans="1:6" x14ac:dyDescent="0.2">
      <c r="F16" s="54"/>
    </row>
    <row r="17" spans="5:6" x14ac:dyDescent="0.2">
      <c r="F17" s="54"/>
    </row>
    <row r="19" spans="5:6" x14ac:dyDescent="0.2">
      <c r="E19" s="53"/>
    </row>
    <row r="20" spans="5:6" x14ac:dyDescent="0.2">
      <c r="E20" s="53"/>
    </row>
  </sheetData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C10" sqref="C10"/>
    </sheetView>
  </sheetViews>
  <sheetFormatPr defaultRowHeight="12.75" x14ac:dyDescent="0.2"/>
  <cols>
    <col min="1" max="1" width="22.7109375" bestFit="1" customWidth="1"/>
    <col min="2" max="2" width="19.5703125" bestFit="1" customWidth="1"/>
    <col min="3" max="3" width="19" customWidth="1"/>
    <col min="4" max="4" width="10.28515625" bestFit="1" customWidth="1"/>
    <col min="5" max="5" width="25.140625" bestFit="1" customWidth="1"/>
    <col min="6" max="6" width="10.28515625" bestFit="1" customWidth="1"/>
  </cols>
  <sheetData>
    <row r="1" spans="1:6" x14ac:dyDescent="0.2">
      <c r="A1" s="8" t="s">
        <v>34</v>
      </c>
      <c r="F1" s="5"/>
    </row>
    <row r="2" spans="1:6" x14ac:dyDescent="0.2">
      <c r="A2" s="8" t="s">
        <v>8</v>
      </c>
      <c r="B2" s="25"/>
      <c r="C2" s="47" t="s">
        <v>2</v>
      </c>
      <c r="D2" s="59">
        <v>782000</v>
      </c>
    </row>
    <row r="3" spans="1:6" x14ac:dyDescent="0.2">
      <c r="A3" s="9">
        <v>36865</v>
      </c>
      <c r="B3" s="5"/>
      <c r="C3" s="48" t="s">
        <v>1</v>
      </c>
      <c r="D3" s="6">
        <v>2</v>
      </c>
    </row>
    <row r="4" spans="1:6" x14ac:dyDescent="0.2">
      <c r="B4" s="55"/>
      <c r="C4" s="46" t="s">
        <v>24</v>
      </c>
      <c r="D4" s="50">
        <f>D3*D2</f>
        <v>1564000</v>
      </c>
    </row>
    <row r="5" spans="1:6" x14ac:dyDescent="0.2">
      <c r="B5" s="9"/>
      <c r="C5" s="10"/>
      <c r="D5" s="10"/>
      <c r="E5" s="10"/>
      <c r="F5" s="5"/>
    </row>
    <row r="6" spans="1:6" x14ac:dyDescent="0.2">
      <c r="C6" s="2" t="s">
        <v>3</v>
      </c>
      <c r="D6" s="2" t="s">
        <v>5</v>
      </c>
      <c r="E6" s="2" t="s">
        <v>5</v>
      </c>
    </row>
    <row r="7" spans="1:6" x14ac:dyDescent="0.2">
      <c r="C7" s="11" t="s">
        <v>9</v>
      </c>
      <c r="D7" s="11" t="s">
        <v>4</v>
      </c>
      <c r="E7" s="11" t="s">
        <v>6</v>
      </c>
      <c r="F7" s="11" t="s">
        <v>7</v>
      </c>
    </row>
    <row r="8" spans="1:6" x14ac:dyDescent="0.2">
      <c r="A8" s="35" t="s">
        <v>19</v>
      </c>
      <c r="B8" s="3" t="s">
        <v>0</v>
      </c>
      <c r="C8" s="12"/>
      <c r="D8" s="12"/>
      <c r="E8" s="13">
        <f>346000</f>
        <v>346000</v>
      </c>
      <c r="F8" s="14">
        <f>E8</f>
        <v>346000</v>
      </c>
    </row>
    <row r="9" spans="1:6" x14ac:dyDescent="0.2">
      <c r="A9" s="37" t="s">
        <v>26</v>
      </c>
      <c r="B9" s="17" t="s">
        <v>10</v>
      </c>
      <c r="C9" s="19">
        <v>36783</v>
      </c>
      <c r="D9" s="60">
        <v>0.1</v>
      </c>
      <c r="E9" s="15">
        <f>88000*2</f>
        <v>176000</v>
      </c>
      <c r="F9" s="16">
        <f>F8+E9</f>
        <v>522000</v>
      </c>
    </row>
    <row r="10" spans="1:6" x14ac:dyDescent="0.2">
      <c r="A10" s="42"/>
      <c r="B10" s="3" t="s">
        <v>14</v>
      </c>
      <c r="C10" s="57" t="s">
        <v>18</v>
      </c>
      <c r="D10" s="32">
        <v>0.25</v>
      </c>
      <c r="E10" s="45">
        <f>D10*D4-19600</f>
        <v>371400</v>
      </c>
      <c r="F10" s="33">
        <f>F9+E10</f>
        <v>893400</v>
      </c>
    </row>
    <row r="11" spans="1:6" x14ac:dyDescent="0.2">
      <c r="A11" s="43" t="s">
        <v>19</v>
      </c>
      <c r="B11" s="4" t="s">
        <v>15</v>
      </c>
      <c r="C11" s="58" t="s">
        <v>18</v>
      </c>
      <c r="D11" s="30">
        <v>0.4</v>
      </c>
      <c r="E11" s="15">
        <f>D11*D4</f>
        <v>625600</v>
      </c>
      <c r="F11" s="16">
        <f>F10+E11</f>
        <v>1519000</v>
      </c>
    </row>
    <row r="12" spans="1:6" x14ac:dyDescent="0.2">
      <c r="A12" s="43" t="s">
        <v>21</v>
      </c>
      <c r="B12" s="4" t="s">
        <v>16</v>
      </c>
      <c r="C12" s="27" t="s">
        <v>18</v>
      </c>
      <c r="D12" s="30">
        <v>0.15</v>
      </c>
      <c r="E12" s="51">
        <f>D12*D4</f>
        <v>234600</v>
      </c>
      <c r="F12" s="16">
        <f>F11+E12</f>
        <v>1753600</v>
      </c>
    </row>
    <row r="13" spans="1:6" x14ac:dyDescent="0.2">
      <c r="A13" s="7"/>
      <c r="B13" s="7" t="s">
        <v>17</v>
      </c>
      <c r="C13" s="34" t="s">
        <v>18</v>
      </c>
      <c r="D13" s="31">
        <v>0.1</v>
      </c>
      <c r="E13" s="52">
        <f>D13*D4</f>
        <v>156400</v>
      </c>
      <c r="F13" s="24">
        <f>F12+E13</f>
        <v>1910000</v>
      </c>
    </row>
    <row r="15" spans="1:6" x14ac:dyDescent="0.2">
      <c r="E15" s="8" t="s">
        <v>22</v>
      </c>
      <c r="F15" s="54">
        <f>E10+E11+E12+E13</f>
        <v>1388000</v>
      </c>
    </row>
    <row r="16" spans="1:6" x14ac:dyDescent="0.2">
      <c r="F16" s="54"/>
    </row>
    <row r="17" spans="5:6" x14ac:dyDescent="0.2">
      <c r="F17" s="54"/>
    </row>
    <row r="18" spans="5:6" x14ac:dyDescent="0.2">
      <c r="E18" s="53"/>
    </row>
    <row r="19" spans="5:6" x14ac:dyDescent="0.2">
      <c r="E19" s="53"/>
    </row>
    <row r="20" spans="5:6" x14ac:dyDescent="0.2">
      <c r="E20" s="53"/>
      <c r="F20" s="53"/>
    </row>
  </sheetData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workbookViewId="0">
      <selection activeCell="G3" sqref="G3"/>
    </sheetView>
  </sheetViews>
  <sheetFormatPr defaultRowHeight="12.75" x14ac:dyDescent="0.2"/>
  <cols>
    <col min="2" max="2" width="12.85546875" bestFit="1" customWidth="1"/>
    <col min="3" max="3" width="10.28515625" bestFit="1" customWidth="1"/>
    <col min="4" max="4" width="12" bestFit="1" customWidth="1"/>
    <col min="5" max="5" width="11.5703125" bestFit="1" customWidth="1"/>
    <col min="6" max="6" width="12.85546875" customWidth="1"/>
    <col min="7" max="7" width="13" customWidth="1"/>
    <col min="8" max="9" width="11.5703125" bestFit="1" customWidth="1"/>
    <col min="10" max="10" width="12.7109375" bestFit="1" customWidth="1"/>
    <col min="11" max="11" width="13.140625" bestFit="1" customWidth="1"/>
    <col min="12" max="12" width="12.7109375" bestFit="1" customWidth="1"/>
    <col min="13" max="13" width="13.140625" bestFit="1" customWidth="1"/>
  </cols>
  <sheetData>
    <row r="1" spans="1:11" x14ac:dyDescent="0.2">
      <c r="A1" s="69"/>
      <c r="B1" s="39" t="s">
        <v>44</v>
      </c>
      <c r="C1" s="71" t="s">
        <v>45</v>
      </c>
      <c r="D1" s="39" t="s">
        <v>47</v>
      </c>
      <c r="E1" s="138" t="s">
        <v>36</v>
      </c>
      <c r="F1" s="139"/>
      <c r="G1" s="139"/>
      <c r="H1" s="139"/>
      <c r="I1" s="140"/>
      <c r="J1" s="42" t="s">
        <v>56</v>
      </c>
      <c r="K1" s="39" t="s">
        <v>53</v>
      </c>
    </row>
    <row r="2" spans="1:11" x14ac:dyDescent="0.2">
      <c r="A2" s="70" t="s">
        <v>27</v>
      </c>
      <c r="B2" s="38" t="s">
        <v>43</v>
      </c>
      <c r="C2" s="72" t="s">
        <v>46</v>
      </c>
      <c r="D2" s="38" t="s">
        <v>48</v>
      </c>
      <c r="E2" s="67" t="s">
        <v>37</v>
      </c>
      <c r="F2" s="62" t="s">
        <v>38</v>
      </c>
      <c r="G2" s="62" t="s">
        <v>39</v>
      </c>
      <c r="H2" s="62" t="s">
        <v>40</v>
      </c>
      <c r="I2" s="62" t="s">
        <v>41</v>
      </c>
      <c r="J2" s="70" t="s">
        <v>55</v>
      </c>
      <c r="K2" s="38" t="s">
        <v>54</v>
      </c>
    </row>
    <row r="3" spans="1:11" x14ac:dyDescent="0.2">
      <c r="A3" s="56" t="s">
        <v>29</v>
      </c>
      <c r="B3" s="36">
        <v>2</v>
      </c>
      <c r="C3" s="68">
        <f>Austin!D4</f>
        <v>1124600</v>
      </c>
      <c r="D3" s="68">
        <v>561400</v>
      </c>
      <c r="E3" s="73">
        <f>Austin!E9</f>
        <v>153600</v>
      </c>
      <c r="F3" s="116">
        <f>Austin!E10</f>
        <v>240010</v>
      </c>
      <c r="G3" s="73">
        <f>Austin!E11</f>
        <v>737990</v>
      </c>
      <c r="H3" s="88" t="s">
        <v>42</v>
      </c>
      <c r="I3" s="63"/>
      <c r="J3" s="84">
        <f>SUM(E3:G3)</f>
        <v>1131600</v>
      </c>
      <c r="K3" s="56">
        <f>0</f>
        <v>0</v>
      </c>
    </row>
    <row r="4" spans="1:11" x14ac:dyDescent="0.2">
      <c r="A4" s="63" t="s">
        <v>30</v>
      </c>
      <c r="B4" s="89">
        <v>1</v>
      </c>
      <c r="C4" s="64">
        <f>Coral!D4</f>
        <v>786000</v>
      </c>
      <c r="D4" s="64">
        <f>Coral!E8</f>
        <v>181333.33333333334</v>
      </c>
      <c r="E4" s="73">
        <f>Coral!E9</f>
        <v>88400</v>
      </c>
      <c r="F4" s="73">
        <f>Coral!E10</f>
        <v>186700</v>
      </c>
      <c r="G4" s="74">
        <f>Coral!E11</f>
        <v>314400</v>
      </c>
      <c r="H4" s="74">
        <f>Coral!E12</f>
        <v>117900</v>
      </c>
      <c r="I4" s="74">
        <f>Coral!E13</f>
        <v>78600</v>
      </c>
      <c r="J4" s="65">
        <f>E4+F4</f>
        <v>275100</v>
      </c>
      <c r="K4" s="65">
        <f>G4+H4+I4</f>
        <v>510900</v>
      </c>
    </row>
    <row r="5" spans="1:11" x14ac:dyDescent="0.2">
      <c r="A5" s="63" t="s">
        <v>31</v>
      </c>
      <c r="B5" s="89">
        <v>2</v>
      </c>
      <c r="C5" s="64">
        <f>ESA!D4</f>
        <v>1572000</v>
      </c>
      <c r="D5" s="64">
        <f>ESA!E8</f>
        <v>362666.66666666669</v>
      </c>
      <c r="E5" s="73">
        <f>ESA!E9</f>
        <v>176800</v>
      </c>
      <c r="F5" s="74">
        <v>323200</v>
      </c>
      <c r="G5" s="83" t="s">
        <v>52</v>
      </c>
      <c r="H5" s="77"/>
      <c r="I5" s="77"/>
      <c r="J5" s="65">
        <f>E5</f>
        <v>176800</v>
      </c>
      <c r="K5" s="65">
        <f>F5</f>
        <v>323200</v>
      </c>
    </row>
    <row r="6" spans="1:11" x14ac:dyDescent="0.2">
      <c r="A6" s="63" t="s">
        <v>32</v>
      </c>
      <c r="B6" s="89">
        <v>3</v>
      </c>
      <c r="C6" s="64">
        <f>PSCO!D4</f>
        <v>2358000</v>
      </c>
      <c r="D6" s="64">
        <f>PSCO!E8</f>
        <v>544000</v>
      </c>
      <c r="E6" s="73">
        <f>PSCO!$E9</f>
        <v>265200</v>
      </c>
      <c r="F6" s="74">
        <f>PSCO!$E10</f>
        <v>560100</v>
      </c>
      <c r="G6" s="74">
        <f>PSCO!$E11</f>
        <v>943200</v>
      </c>
      <c r="H6" s="74">
        <f>PSCO!$E12</f>
        <v>353700</v>
      </c>
      <c r="I6" s="74">
        <f>PSCO!$E13</f>
        <v>235800</v>
      </c>
      <c r="J6" s="65">
        <f>E6</f>
        <v>265200</v>
      </c>
      <c r="K6" s="65">
        <f>F6+G6+H6+I6</f>
        <v>2092800</v>
      </c>
    </row>
    <row r="7" spans="1:11" x14ac:dyDescent="0.2">
      <c r="A7" s="63" t="s">
        <v>35</v>
      </c>
      <c r="B7" s="90">
        <v>2</v>
      </c>
      <c r="C7" s="64">
        <f>'LV Cogen'!D4</f>
        <v>1564000</v>
      </c>
      <c r="D7" s="64">
        <f>'LV Cogen'!E8</f>
        <v>346000</v>
      </c>
      <c r="E7" s="73">
        <f>'LV Cogen'!$E9</f>
        <v>176000</v>
      </c>
      <c r="F7" s="74">
        <f>'LV Cogen'!$E10</f>
        <v>371400</v>
      </c>
      <c r="G7" s="74">
        <f>'LV Cogen'!$E11</f>
        <v>625600</v>
      </c>
      <c r="H7" s="74">
        <f>'LV Cogen'!$E12</f>
        <v>234600</v>
      </c>
      <c r="I7" s="74">
        <f>'LV Cogen'!$E13</f>
        <v>156400</v>
      </c>
      <c r="J7" s="65">
        <f>E7</f>
        <v>176000</v>
      </c>
      <c r="K7" s="65">
        <f>F7+G7+H7+I7</f>
        <v>1388000</v>
      </c>
    </row>
    <row r="8" spans="1:11" x14ac:dyDescent="0.2">
      <c r="A8" s="85" t="s">
        <v>51</v>
      </c>
      <c r="B8" s="62">
        <f>SUM(B3:B7)</f>
        <v>10</v>
      </c>
      <c r="C8" s="86">
        <f>SUM(C3:C7)</f>
        <v>7404600</v>
      </c>
      <c r="D8" s="86">
        <f>SUM(D3:D7)</f>
        <v>1995400</v>
      </c>
      <c r="E8" s="86"/>
      <c r="F8" s="86"/>
      <c r="G8" s="86"/>
      <c r="H8" s="86"/>
      <c r="I8" s="86"/>
      <c r="J8" s="87">
        <f>SUM(J3:J7)</f>
        <v>2024700</v>
      </c>
      <c r="K8" s="87">
        <f>SUM(K3:K7)</f>
        <v>4314900</v>
      </c>
    </row>
    <row r="10" spans="1:11" x14ac:dyDescent="0.2">
      <c r="D10" s="61"/>
      <c r="E10" s="75"/>
      <c r="F10" t="s">
        <v>49</v>
      </c>
    </row>
    <row r="11" spans="1:11" x14ac:dyDescent="0.2">
      <c r="D11" s="53"/>
      <c r="E11" s="76"/>
      <c r="F11" t="s">
        <v>50</v>
      </c>
    </row>
    <row r="16" spans="1:11" x14ac:dyDescent="0.2">
      <c r="D16" s="61"/>
    </row>
    <row r="23" spans="5:5" x14ac:dyDescent="0.2">
      <c r="E23" s="1"/>
    </row>
  </sheetData>
  <mergeCells count="1">
    <mergeCell ref="E1:I1"/>
  </mergeCells>
  <pageMargins left="0.75" right="0.75" top="1" bottom="1" header="0.5" footer="0.5"/>
  <pageSetup scale="94" orientation="landscape" verticalDpi="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tabSelected="1" workbookViewId="0">
      <selection activeCell="G20" sqref="G20"/>
    </sheetView>
  </sheetViews>
  <sheetFormatPr defaultRowHeight="12.75" x14ac:dyDescent="0.2"/>
  <cols>
    <col min="1" max="1" width="15.140625" bestFit="1" customWidth="1"/>
    <col min="2" max="2" width="18.7109375" bestFit="1" customWidth="1"/>
    <col min="3" max="3" width="15.85546875" bestFit="1" customWidth="1"/>
    <col min="4" max="4" width="14.7109375" customWidth="1"/>
    <col min="5" max="5" width="14" bestFit="1" customWidth="1"/>
    <col min="6" max="6" width="12.5703125" bestFit="1" customWidth="1"/>
    <col min="7" max="8" width="11.28515625" bestFit="1" customWidth="1"/>
    <col min="9" max="9" width="14.7109375" customWidth="1"/>
  </cols>
  <sheetData>
    <row r="1" spans="1:10" ht="15.75" x14ac:dyDescent="0.25">
      <c r="A1" s="91" t="s">
        <v>69</v>
      </c>
    </row>
    <row r="2" spans="1:10" ht="15.75" x14ac:dyDescent="0.25">
      <c r="A2" s="91"/>
    </row>
    <row r="4" spans="1:10" x14ac:dyDescent="0.2">
      <c r="A4" s="98"/>
      <c r="B4" s="98"/>
      <c r="C4" s="39" t="s">
        <v>75</v>
      </c>
      <c r="D4" s="39" t="s">
        <v>71</v>
      </c>
      <c r="E4" s="39" t="s">
        <v>47</v>
      </c>
      <c r="F4" s="39" t="s">
        <v>92</v>
      </c>
      <c r="G4" s="39"/>
      <c r="H4" s="39" t="s">
        <v>92</v>
      </c>
      <c r="I4" s="128" t="s">
        <v>56</v>
      </c>
    </row>
    <row r="5" spans="1:10" x14ac:dyDescent="0.2">
      <c r="A5" s="38" t="s">
        <v>57</v>
      </c>
      <c r="B5" s="38" t="s">
        <v>68</v>
      </c>
      <c r="C5" s="38" t="s">
        <v>76</v>
      </c>
      <c r="D5" s="38" t="s">
        <v>72</v>
      </c>
      <c r="E5" s="38" t="s">
        <v>70</v>
      </c>
      <c r="F5" s="38" t="s">
        <v>91</v>
      </c>
      <c r="G5" s="38" t="s">
        <v>97</v>
      </c>
      <c r="H5" s="38" t="s">
        <v>93</v>
      </c>
      <c r="I5" s="129" t="s">
        <v>72</v>
      </c>
    </row>
    <row r="6" spans="1:10" x14ac:dyDescent="0.2">
      <c r="A6" s="92" t="s">
        <v>58</v>
      </c>
      <c r="B6" s="4" t="s">
        <v>29</v>
      </c>
      <c r="C6" s="106">
        <v>36819</v>
      </c>
      <c r="D6" s="93">
        <v>562300</v>
      </c>
      <c r="E6" s="130">
        <v>440000</v>
      </c>
      <c r="F6" s="93">
        <f>372495+Austin!$E$10/2+Austin!$E$9/2</f>
        <v>569300</v>
      </c>
      <c r="G6" s="93">
        <f t="shared" ref="G6:G11" si="0">0.1*D6</f>
        <v>56230</v>
      </c>
      <c r="H6" s="96" t="s">
        <v>42</v>
      </c>
      <c r="I6" s="130">
        <f>E6+F6</f>
        <v>1009300</v>
      </c>
      <c r="J6" s="53"/>
    </row>
    <row r="7" spans="1:10" x14ac:dyDescent="0.2">
      <c r="A7" s="92" t="s">
        <v>59</v>
      </c>
      <c r="B7" s="4" t="s">
        <v>29</v>
      </c>
      <c r="C7" s="106">
        <v>36819</v>
      </c>
      <c r="D7" s="93">
        <v>562300</v>
      </c>
      <c r="E7" s="93">
        <f>E6</f>
        <v>440000</v>
      </c>
      <c r="F7" s="93">
        <f>365495+Austin!$E$10/2+Austin!$E$9/2</f>
        <v>562300</v>
      </c>
      <c r="G7" s="93">
        <f t="shared" si="0"/>
        <v>56230</v>
      </c>
      <c r="H7" s="96" t="s">
        <v>42</v>
      </c>
      <c r="I7" s="93">
        <f>F7+E7</f>
        <v>1002300</v>
      </c>
    </row>
    <row r="8" spans="1:10" x14ac:dyDescent="0.2">
      <c r="A8" s="92" t="s">
        <v>60</v>
      </c>
      <c r="B8" s="4" t="s">
        <v>32</v>
      </c>
      <c r="C8" s="106">
        <v>36861</v>
      </c>
      <c r="D8" s="93">
        <v>786000</v>
      </c>
      <c r="E8" s="93">
        <f>0.05*D8</f>
        <v>39300</v>
      </c>
      <c r="F8" s="93">
        <f>'Summary By Project'!$J$6/3</f>
        <v>88400</v>
      </c>
      <c r="G8" s="93">
        <f t="shared" si="0"/>
        <v>78600</v>
      </c>
      <c r="H8" s="93">
        <f>D8-F8</f>
        <v>697600</v>
      </c>
      <c r="I8" s="93">
        <f>E8+F8+H8</f>
        <v>825300</v>
      </c>
      <c r="J8" s="53"/>
    </row>
    <row r="9" spans="1:10" x14ac:dyDescent="0.2">
      <c r="A9" s="92" t="s">
        <v>61</v>
      </c>
      <c r="B9" s="4" t="s">
        <v>32</v>
      </c>
      <c r="C9" s="106">
        <v>36847</v>
      </c>
      <c r="D9" s="93">
        <v>786000</v>
      </c>
      <c r="E9" s="93">
        <f t="shared" ref="E9:E15" si="1">0.05*D9</f>
        <v>39300</v>
      </c>
      <c r="F9" s="93">
        <f>'Summary By Project'!$J$6/3</f>
        <v>88400</v>
      </c>
      <c r="G9" s="93">
        <f t="shared" si="0"/>
        <v>78600</v>
      </c>
      <c r="H9" s="93">
        <f>D9-F9</f>
        <v>697600</v>
      </c>
      <c r="I9" s="93">
        <f t="shared" ref="I9:I15" si="2">E9+F9+H9</f>
        <v>825300</v>
      </c>
      <c r="J9" s="53"/>
    </row>
    <row r="10" spans="1:10" x14ac:dyDescent="0.2">
      <c r="A10" s="92" t="s">
        <v>62</v>
      </c>
      <c r="B10" s="4" t="s">
        <v>32</v>
      </c>
      <c r="C10" s="106">
        <v>36861</v>
      </c>
      <c r="D10" s="93">
        <v>786000</v>
      </c>
      <c r="E10" s="93">
        <f t="shared" si="1"/>
        <v>39300</v>
      </c>
      <c r="F10" s="93">
        <f>'Summary By Project'!$J$6/3</f>
        <v>88400</v>
      </c>
      <c r="G10" s="93">
        <f t="shared" si="0"/>
        <v>78600</v>
      </c>
      <c r="H10" s="93">
        <f>D10-F10</f>
        <v>697600</v>
      </c>
      <c r="I10" s="93">
        <f t="shared" si="2"/>
        <v>825300</v>
      </c>
      <c r="J10" s="53"/>
    </row>
    <row r="11" spans="1:10" x14ac:dyDescent="0.2">
      <c r="A11" s="92" t="s">
        <v>63</v>
      </c>
      <c r="B11" s="4" t="s">
        <v>30</v>
      </c>
      <c r="C11" s="106">
        <v>36847</v>
      </c>
      <c r="D11" s="93">
        <v>786000</v>
      </c>
      <c r="E11" s="93">
        <f t="shared" si="1"/>
        <v>39300</v>
      </c>
      <c r="F11" s="93">
        <f>'Summary By Project'!J4</f>
        <v>275100</v>
      </c>
      <c r="G11" s="93">
        <f t="shared" si="0"/>
        <v>78600</v>
      </c>
      <c r="H11" s="93">
        <f>D11-F11</f>
        <v>510900</v>
      </c>
      <c r="I11" s="93">
        <f>E11+F11+H11</f>
        <v>825300</v>
      </c>
      <c r="J11" s="53"/>
    </row>
    <row r="12" spans="1:10" x14ac:dyDescent="0.2">
      <c r="A12" s="92" t="s">
        <v>64</v>
      </c>
      <c r="B12" s="4" t="s">
        <v>31</v>
      </c>
      <c r="C12" s="106">
        <v>36875</v>
      </c>
      <c r="D12" s="93">
        <v>786000</v>
      </c>
      <c r="E12" s="93">
        <f>E6</f>
        <v>440000</v>
      </c>
      <c r="F12" s="93">
        <f>'Summary By Project'!$J$5/2</f>
        <v>88400</v>
      </c>
      <c r="G12" s="96" t="s">
        <v>18</v>
      </c>
      <c r="H12" s="93">
        <f>'Summary By Project'!$K$5/2</f>
        <v>161600</v>
      </c>
      <c r="I12" s="93">
        <f t="shared" si="2"/>
        <v>690000</v>
      </c>
      <c r="J12" s="53"/>
    </row>
    <row r="13" spans="1:10" x14ac:dyDescent="0.2">
      <c r="A13" s="92" t="s">
        <v>65</v>
      </c>
      <c r="B13" s="4" t="s">
        <v>31</v>
      </c>
      <c r="C13" s="106">
        <v>36875</v>
      </c>
      <c r="D13" s="93">
        <v>786000</v>
      </c>
      <c r="E13" s="93">
        <f>E6</f>
        <v>440000</v>
      </c>
      <c r="F13" s="93">
        <f>'Summary By Project'!$J$5/2</f>
        <v>88400</v>
      </c>
      <c r="G13" s="96" t="s">
        <v>18</v>
      </c>
      <c r="H13" s="93">
        <f>'Summary By Project'!$K$5/2</f>
        <v>161600</v>
      </c>
      <c r="I13" s="93">
        <f t="shared" si="2"/>
        <v>690000</v>
      </c>
      <c r="J13" s="53"/>
    </row>
    <row r="14" spans="1:10" x14ac:dyDescent="0.2">
      <c r="A14" s="92" t="s">
        <v>66</v>
      </c>
      <c r="B14" s="4" t="s">
        <v>35</v>
      </c>
      <c r="C14" s="106">
        <v>37104</v>
      </c>
      <c r="D14" s="93">
        <v>782000</v>
      </c>
      <c r="E14" s="93">
        <f t="shared" si="1"/>
        <v>39100</v>
      </c>
      <c r="F14" s="93">
        <f>'Summary By Project'!$J$7/2</f>
        <v>88000</v>
      </c>
      <c r="G14" s="93">
        <f>0.1*D14</f>
        <v>78200</v>
      </c>
      <c r="H14" s="93">
        <f>D14-F14</f>
        <v>694000</v>
      </c>
      <c r="I14" s="93">
        <f t="shared" si="2"/>
        <v>821100</v>
      </c>
      <c r="J14" s="53"/>
    </row>
    <row r="15" spans="1:10" x14ac:dyDescent="0.2">
      <c r="A15" s="56" t="s">
        <v>67</v>
      </c>
      <c r="B15" s="7" t="s">
        <v>35</v>
      </c>
      <c r="C15" s="107">
        <v>37104</v>
      </c>
      <c r="D15" s="94">
        <v>782000</v>
      </c>
      <c r="E15" s="94">
        <f t="shared" si="1"/>
        <v>39100</v>
      </c>
      <c r="F15" s="94">
        <f>'Summary By Project'!$J$7/2</f>
        <v>88000</v>
      </c>
      <c r="G15" s="94">
        <f>0.1*D15</f>
        <v>78200</v>
      </c>
      <c r="H15" s="94">
        <f>D15-F15</f>
        <v>694000</v>
      </c>
      <c r="I15" s="94">
        <f t="shared" si="2"/>
        <v>821100</v>
      </c>
      <c r="J15" s="53"/>
    </row>
    <row r="16" spans="1:10" x14ac:dyDescent="0.2">
      <c r="A16" s="95" t="s">
        <v>90</v>
      </c>
      <c r="B16" s="95"/>
      <c r="C16" s="95"/>
      <c r="D16" s="99">
        <f t="shared" ref="D16:I16" si="3">SUM(D6:D15)</f>
        <v>7404600</v>
      </c>
      <c r="E16" s="99">
        <f t="shared" si="3"/>
        <v>1995400</v>
      </c>
      <c r="F16" s="99">
        <f>SUM(F6:F15)</f>
        <v>2024700</v>
      </c>
      <c r="G16" s="97">
        <f>SUM(G6:G15)</f>
        <v>583260</v>
      </c>
      <c r="H16" s="97">
        <f>SUM(H8:H15)</f>
        <v>4314900</v>
      </c>
      <c r="I16" s="97">
        <f t="shared" si="3"/>
        <v>8335000</v>
      </c>
    </row>
    <row r="17" spans="1:9" x14ac:dyDescent="0.2">
      <c r="A17" s="25"/>
      <c r="B17" s="25"/>
      <c r="C17" s="25"/>
      <c r="D17" s="127"/>
      <c r="E17" s="127"/>
      <c r="F17" s="127"/>
      <c r="G17" s="127"/>
      <c r="H17" s="127"/>
      <c r="I17" s="127"/>
    </row>
    <row r="18" spans="1:9" x14ac:dyDescent="0.2">
      <c r="A18" s="25"/>
      <c r="B18" s="25"/>
      <c r="C18" s="25"/>
      <c r="D18" s="127"/>
      <c r="E18" s="127"/>
      <c r="F18" s="127"/>
      <c r="G18" s="127"/>
      <c r="H18" s="127"/>
      <c r="I18" s="127"/>
    </row>
    <row r="19" spans="1:9" ht="15" x14ac:dyDescent="0.2">
      <c r="A19" s="134" t="s">
        <v>94</v>
      </c>
      <c r="B19" s="134"/>
      <c r="C19" s="135">
        <f>H16</f>
        <v>4314900</v>
      </c>
      <c r="D19" s="127"/>
      <c r="E19" s="108"/>
      <c r="F19" s="127"/>
      <c r="G19" s="127"/>
      <c r="H19" s="127"/>
      <c r="I19" s="127"/>
    </row>
    <row r="20" spans="1:9" ht="17.25" x14ac:dyDescent="0.35">
      <c r="A20" s="136" t="s">
        <v>95</v>
      </c>
      <c r="B20" s="134"/>
      <c r="C20" s="137">
        <v>-30000</v>
      </c>
      <c r="D20" s="137"/>
      <c r="E20" s="127"/>
      <c r="F20" s="127"/>
      <c r="G20" s="127"/>
      <c r="H20" s="127"/>
      <c r="I20" s="127"/>
    </row>
    <row r="21" spans="1:9" ht="15" x14ac:dyDescent="0.2">
      <c r="A21" s="134" t="s">
        <v>94</v>
      </c>
      <c r="B21" s="134"/>
      <c r="C21" s="135">
        <f>C19+C20</f>
        <v>4284900</v>
      </c>
      <c r="D21" s="135"/>
      <c r="E21" s="127"/>
      <c r="F21" s="127"/>
      <c r="G21" s="108"/>
      <c r="H21" s="127"/>
      <c r="I21" s="127"/>
    </row>
    <row r="22" spans="1:9" ht="17.25" x14ac:dyDescent="0.35">
      <c r="A22" s="136" t="s">
        <v>96</v>
      </c>
      <c r="B22" s="134"/>
      <c r="C22" s="137">
        <f>-G16</f>
        <v>-583260</v>
      </c>
      <c r="D22" s="127" t="s">
        <v>102</v>
      </c>
      <c r="E22" s="127"/>
      <c r="F22" s="127"/>
      <c r="G22" s="127"/>
      <c r="H22" s="127"/>
      <c r="I22" s="127"/>
    </row>
    <row r="23" spans="1:9" ht="15.75" x14ac:dyDescent="0.25">
      <c r="A23" s="131" t="s">
        <v>99</v>
      </c>
      <c r="B23" s="131"/>
      <c r="C23" s="132">
        <f>C21+C22</f>
        <v>3701640</v>
      </c>
      <c r="D23" s="132"/>
      <c r="E23" s="127"/>
      <c r="F23" s="127"/>
      <c r="G23" s="127"/>
      <c r="H23" s="127"/>
      <c r="I23" s="127"/>
    </row>
    <row r="24" spans="1:9" x14ac:dyDescent="0.2">
      <c r="H24" s="127"/>
      <c r="I24" s="108"/>
    </row>
    <row r="25" spans="1:9" ht="14.25" x14ac:dyDescent="0.2">
      <c r="A25" s="100" t="s">
        <v>98</v>
      </c>
      <c r="H25" s="127"/>
      <c r="I25" s="108"/>
    </row>
    <row r="26" spans="1:9" ht="14.25" x14ac:dyDescent="0.2">
      <c r="A26" s="100" t="s">
        <v>101</v>
      </c>
      <c r="H26" s="127"/>
    </row>
    <row r="29" spans="1:9" x14ac:dyDescent="0.2">
      <c r="H29" s="108"/>
    </row>
    <row r="31" spans="1:9" x14ac:dyDescent="0.2">
      <c r="F31" s="108"/>
      <c r="G31" s="108"/>
      <c r="H31" s="108"/>
    </row>
    <row r="33" spans="1:9" x14ac:dyDescent="0.2">
      <c r="H33" s="108"/>
      <c r="I33" s="108"/>
    </row>
    <row r="34" spans="1:9" ht="15" x14ac:dyDescent="0.2">
      <c r="A34" s="133"/>
      <c r="B34" s="133"/>
      <c r="C34" s="133"/>
    </row>
    <row r="35" spans="1:9" ht="15" x14ac:dyDescent="0.2">
      <c r="B35" s="133"/>
      <c r="C35" s="133"/>
      <c r="H35" s="108"/>
    </row>
  </sheetData>
  <pageMargins left="0.75" right="0.75" top="1" bottom="1" header="0.5" footer="0.5"/>
  <pageSetup scale="96" orientation="landscape" verticalDpi="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zoomScale="80" workbookViewId="0">
      <selection activeCell="F29" sqref="F29"/>
    </sheetView>
  </sheetViews>
  <sheetFormatPr defaultRowHeight="12.75" x14ac:dyDescent="0.2"/>
  <cols>
    <col min="1" max="1" width="16.42578125" customWidth="1"/>
    <col min="2" max="2" width="13.85546875" bestFit="1" customWidth="1"/>
    <col min="3" max="3" width="15.5703125" bestFit="1" customWidth="1"/>
    <col min="4" max="4" width="12.85546875" bestFit="1" customWidth="1"/>
    <col min="5" max="5" width="13.85546875" bestFit="1" customWidth="1"/>
    <col min="6" max="7" width="13.85546875" customWidth="1"/>
    <col min="8" max="8" width="13.85546875" bestFit="1" customWidth="1"/>
    <col min="9" max="9" width="13.85546875" customWidth="1"/>
    <col min="10" max="10" width="10.85546875" bestFit="1" customWidth="1"/>
    <col min="11" max="11" width="10.85546875" customWidth="1"/>
    <col min="12" max="13" width="11" bestFit="1" customWidth="1"/>
    <col min="14" max="14" width="9.7109375" bestFit="1" customWidth="1"/>
  </cols>
  <sheetData>
    <row r="1" spans="1:13" ht="15.75" x14ac:dyDescent="0.25">
      <c r="A1" s="91" t="s">
        <v>86</v>
      </c>
    </row>
    <row r="2" spans="1:13" x14ac:dyDescent="0.2">
      <c r="M2" s="18"/>
    </row>
    <row r="3" spans="1:13" x14ac:dyDescent="0.2">
      <c r="A3" s="109">
        <v>36868</v>
      </c>
      <c r="B3" s="110">
        <v>36873</v>
      </c>
      <c r="C3" s="110">
        <v>36904</v>
      </c>
      <c r="D3" s="110">
        <v>36935</v>
      </c>
      <c r="E3" s="110">
        <v>36963</v>
      </c>
      <c r="F3" s="110">
        <v>36994</v>
      </c>
      <c r="G3" s="110">
        <v>37012</v>
      </c>
      <c r="H3" s="110">
        <v>37043</v>
      </c>
      <c r="I3" s="110">
        <v>37073</v>
      </c>
      <c r="J3" s="110">
        <v>37104</v>
      </c>
      <c r="K3" s="110">
        <v>37135</v>
      </c>
      <c r="L3" s="111">
        <v>37165</v>
      </c>
      <c r="M3" s="114"/>
    </row>
    <row r="4" spans="1:13" x14ac:dyDescent="0.2">
      <c r="A4" s="112">
        <f>ESA!E10</f>
        <v>323200</v>
      </c>
      <c r="B4" s="113">
        <f>(PSCO!E10+Coral!E11)</f>
        <v>874500</v>
      </c>
      <c r="C4" s="113">
        <f>(PSCO!E11)</f>
        <v>943200</v>
      </c>
      <c r="D4" s="115">
        <v>0</v>
      </c>
      <c r="E4" s="113">
        <f>(Coral!E12)</f>
        <v>117900</v>
      </c>
      <c r="F4" s="113">
        <v>0</v>
      </c>
      <c r="G4" s="113">
        <f>PSCO!E12</f>
        <v>353700</v>
      </c>
      <c r="H4" s="113">
        <f>('LV Cogen'!E10)</f>
        <v>371400</v>
      </c>
      <c r="I4" s="113">
        <f>'LV Cogen'!E11</f>
        <v>625600</v>
      </c>
      <c r="J4" s="115">
        <v>0</v>
      </c>
      <c r="K4" s="115">
        <v>0</v>
      </c>
      <c r="L4" s="24">
        <f>'LV Cogen'!E12</f>
        <v>234600</v>
      </c>
      <c r="M4" s="21"/>
    </row>
    <row r="5" spans="1:13" x14ac:dyDescent="0.2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18"/>
    </row>
    <row r="6" spans="1:13" x14ac:dyDescent="0.2">
      <c r="A6" s="101" t="s">
        <v>81</v>
      </c>
    </row>
    <row r="7" spans="1:13" x14ac:dyDescent="0.2">
      <c r="B7" s="102" t="s">
        <v>79</v>
      </c>
      <c r="C7" s="102"/>
      <c r="D7" s="102"/>
      <c r="E7" s="102" t="s">
        <v>80</v>
      </c>
      <c r="F7" s="18"/>
      <c r="G7" s="105"/>
    </row>
    <row r="8" spans="1:13" x14ac:dyDescent="0.2">
      <c r="B8" s="103" t="s">
        <v>78</v>
      </c>
      <c r="C8" s="103" t="s">
        <v>77</v>
      </c>
      <c r="D8" s="103"/>
      <c r="E8" s="103"/>
      <c r="F8" s="103"/>
      <c r="G8" s="103" t="s">
        <v>82</v>
      </c>
      <c r="H8" s="18"/>
    </row>
    <row r="9" spans="1:13" x14ac:dyDescent="0.2">
      <c r="H9" s="104" t="s">
        <v>83</v>
      </c>
      <c r="I9" s="104" t="s">
        <v>84</v>
      </c>
      <c r="J9" s="104"/>
      <c r="K9" s="104"/>
      <c r="L9" s="104" t="s">
        <v>85</v>
      </c>
      <c r="M9" s="105"/>
    </row>
    <row r="11" spans="1:13" x14ac:dyDescent="0.2">
      <c r="A11" s="117" t="s">
        <v>87</v>
      </c>
      <c r="B11" s="122">
        <v>0.08</v>
      </c>
      <c r="C11" s="25"/>
      <c r="D11" s="25"/>
      <c r="E11" s="25"/>
    </row>
    <row r="12" spans="1:13" x14ac:dyDescent="0.2">
      <c r="A12" s="118"/>
      <c r="B12" s="119"/>
      <c r="C12" s="25"/>
      <c r="D12" s="25"/>
      <c r="E12" s="25"/>
    </row>
    <row r="13" spans="1:13" x14ac:dyDescent="0.2">
      <c r="A13" s="118" t="s">
        <v>74</v>
      </c>
      <c r="B13" s="123">
        <f>SUM(A4:M4)</f>
        <v>3844100</v>
      </c>
      <c r="C13" s="25"/>
      <c r="D13" s="25"/>
      <c r="E13" s="25"/>
    </row>
    <row r="14" spans="1:13" ht="15" x14ac:dyDescent="0.35">
      <c r="A14" s="120" t="s">
        <v>73</v>
      </c>
      <c r="B14" s="124">
        <f>XNPV(B11,A4:L4,A3:L3)</f>
        <v>3768969.3931077863</v>
      </c>
      <c r="C14" s="25"/>
      <c r="D14" s="25"/>
      <c r="E14" s="25"/>
    </row>
    <row r="15" spans="1:13" x14ac:dyDescent="0.2">
      <c r="A15" s="125" t="s">
        <v>88</v>
      </c>
      <c r="B15" s="126">
        <f>B13-B14</f>
        <v>75130.606892213691</v>
      </c>
      <c r="C15" s="25"/>
      <c r="D15" s="25"/>
      <c r="E15" s="25"/>
    </row>
    <row r="16" spans="1:13" x14ac:dyDescent="0.2">
      <c r="A16" s="25"/>
      <c r="B16" s="25"/>
      <c r="C16" s="25"/>
      <c r="D16" s="25"/>
      <c r="E16" s="25"/>
    </row>
    <row r="17" spans="1:9" ht="14.25" x14ac:dyDescent="0.2">
      <c r="A17" s="121" t="s">
        <v>89</v>
      </c>
      <c r="B17" s="25"/>
      <c r="C17" s="25"/>
      <c r="D17" s="25"/>
      <c r="E17" s="25"/>
    </row>
    <row r="21" spans="1:9" x14ac:dyDescent="0.2">
      <c r="G21" s="54"/>
      <c r="I21" s="54"/>
    </row>
    <row r="33" spans="7:7" x14ac:dyDescent="0.2">
      <c r="G33" s="54"/>
    </row>
  </sheetData>
  <pageMargins left="0.75" right="0.75" top="1" bottom="1" header="0.5" footer="0.5"/>
  <pageSetup scale="75" orientation="landscape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5" sqref="E15"/>
    </sheetView>
  </sheetViews>
  <sheetFormatPr defaultRowHeight="12.75" x14ac:dyDescent="0.2"/>
  <cols>
    <col min="1" max="1" width="23" bestFit="1" customWidth="1"/>
    <col min="3" max="3" width="14.140625" bestFit="1" customWidth="1"/>
  </cols>
  <sheetData>
    <row r="1" spans="1:4" ht="15.75" x14ac:dyDescent="0.25">
      <c r="A1" s="91" t="s">
        <v>69</v>
      </c>
    </row>
    <row r="3" spans="1:4" ht="15" x14ac:dyDescent="0.2">
      <c r="A3" s="134" t="s">
        <v>94</v>
      </c>
      <c r="B3" s="134"/>
      <c r="C3" s="135">
        <f>4307900</f>
        <v>4307900</v>
      </c>
      <c r="D3" s="133"/>
    </row>
    <row r="4" spans="1:4" ht="17.25" x14ac:dyDescent="0.35">
      <c r="A4" s="136" t="s">
        <v>95</v>
      </c>
      <c r="B4" s="134"/>
      <c r="C4" s="137">
        <v>-30000</v>
      </c>
      <c r="D4" s="133"/>
    </row>
    <row r="5" spans="1:4" ht="15" x14ac:dyDescent="0.2">
      <c r="A5" s="134" t="s">
        <v>94</v>
      </c>
      <c r="B5" s="134"/>
      <c r="C5" s="135">
        <f>C3+C4</f>
        <v>4277900</v>
      </c>
      <c r="D5" s="133"/>
    </row>
    <row r="6" spans="1:4" ht="17.25" x14ac:dyDescent="0.35">
      <c r="A6" s="136" t="s">
        <v>96</v>
      </c>
      <c r="B6" s="134"/>
      <c r="C6" s="137">
        <v>-470800</v>
      </c>
      <c r="D6" s="133"/>
    </row>
    <row r="7" spans="1:4" ht="15.75" x14ac:dyDescent="0.25">
      <c r="A7" s="131" t="s">
        <v>99</v>
      </c>
      <c r="B7" s="131"/>
      <c r="C7" s="132">
        <f>C5+C6</f>
        <v>3807100</v>
      </c>
      <c r="D7" s="133"/>
    </row>
    <row r="8" spans="1:4" ht="15" x14ac:dyDescent="0.2">
      <c r="A8" s="133"/>
      <c r="B8" s="133"/>
      <c r="C8" s="133"/>
      <c r="D8" s="133"/>
    </row>
    <row r="9" spans="1:4" ht="15" x14ac:dyDescent="0.2">
      <c r="A9" s="100" t="s">
        <v>100</v>
      </c>
      <c r="B9" s="133"/>
      <c r="C9" s="133"/>
      <c r="D9" s="133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Austin</vt:lpstr>
      <vt:lpstr>Coral</vt:lpstr>
      <vt:lpstr>ESA</vt:lpstr>
      <vt:lpstr>PSCO</vt:lpstr>
      <vt:lpstr>LV Cogen</vt:lpstr>
      <vt:lpstr>Summary By Project</vt:lpstr>
      <vt:lpstr>Summary By Unit</vt:lpstr>
      <vt:lpstr>XNPV Payments</vt:lpstr>
      <vt:lpstr>ABB Amounts</vt:lpstr>
      <vt:lpstr>Interest</vt:lpstr>
      <vt:lpstr>'Summary By Project'!Print_Area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rwalker2</dc:creator>
  <cp:lastModifiedBy>Jan Havlíček</cp:lastModifiedBy>
  <cp:lastPrinted>2000-12-11T16:11:44Z</cp:lastPrinted>
  <dcterms:created xsi:type="dcterms:W3CDTF">2000-12-05T15:44:42Z</dcterms:created>
  <dcterms:modified xsi:type="dcterms:W3CDTF">2023-09-16T21:52:19Z</dcterms:modified>
</cp:coreProperties>
</file>