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3BD27E-F752-4D53-AF96-31814F90D9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Sheet1!$A$65:$I$90</definedName>
  </definedNames>
  <calcPr calcId="0"/>
</workbook>
</file>

<file path=xl/calcChain.xml><?xml version="1.0" encoding="utf-8"?>
<calcChain xmlns="http://schemas.openxmlformats.org/spreadsheetml/2006/main">
  <c r="D4" i="1" l="1"/>
  <c r="D5" i="1"/>
  <c r="B11" i="1"/>
  <c r="C11" i="1"/>
  <c r="B18" i="1"/>
  <c r="C18" i="1"/>
  <c r="B25" i="1"/>
  <c r="C25" i="1"/>
  <c r="B32" i="1"/>
  <c r="C32" i="1"/>
  <c r="B39" i="1"/>
  <c r="C39" i="1"/>
  <c r="B44" i="1"/>
  <c r="C44" i="1"/>
  <c r="B45" i="1"/>
  <c r="C45" i="1"/>
  <c r="B46" i="1"/>
  <c r="C46" i="1"/>
  <c r="B47" i="1"/>
  <c r="C47" i="1"/>
  <c r="B48" i="1"/>
  <c r="C48" i="1"/>
  <c r="B54" i="1"/>
  <c r="B59" i="1"/>
  <c r="C59" i="1"/>
  <c r="B60" i="1"/>
  <c r="C60" i="1"/>
  <c r="B61" i="1"/>
  <c r="C61" i="1"/>
  <c r="B62" i="1"/>
  <c r="C62" i="1"/>
  <c r="B63" i="1"/>
  <c r="C63" i="1"/>
  <c r="B67" i="1"/>
  <c r="C67" i="1"/>
  <c r="D67" i="1"/>
  <c r="I67" i="1"/>
  <c r="J67" i="1"/>
  <c r="K67" i="1"/>
  <c r="B68" i="1"/>
  <c r="C68" i="1"/>
  <c r="D68" i="1"/>
  <c r="E68" i="1"/>
  <c r="I68" i="1"/>
  <c r="J68" i="1"/>
  <c r="K68" i="1"/>
  <c r="B69" i="1"/>
  <c r="C69" i="1"/>
  <c r="D69" i="1"/>
  <c r="E69" i="1"/>
  <c r="I69" i="1"/>
  <c r="J69" i="1"/>
  <c r="K69" i="1"/>
  <c r="B70" i="1"/>
  <c r="C70" i="1"/>
  <c r="D70" i="1"/>
  <c r="E70" i="1"/>
  <c r="I70" i="1"/>
  <c r="J70" i="1"/>
  <c r="B71" i="1"/>
  <c r="C71" i="1"/>
  <c r="D71" i="1"/>
  <c r="E71" i="1"/>
  <c r="I71" i="1"/>
  <c r="J71" i="1"/>
  <c r="B72" i="1"/>
  <c r="C72" i="1"/>
  <c r="D72" i="1"/>
  <c r="E72" i="1"/>
  <c r="I72" i="1"/>
  <c r="J72" i="1"/>
  <c r="K72" i="1"/>
  <c r="B73" i="1"/>
  <c r="C73" i="1"/>
  <c r="D73" i="1"/>
  <c r="E73" i="1"/>
  <c r="I73" i="1"/>
  <c r="J73" i="1"/>
  <c r="K73" i="1"/>
  <c r="B74" i="1"/>
  <c r="C74" i="1"/>
  <c r="I74" i="1"/>
  <c r="J74" i="1"/>
  <c r="K74" i="1"/>
  <c r="B75" i="1"/>
  <c r="C75" i="1"/>
  <c r="D75" i="1"/>
  <c r="E75" i="1"/>
  <c r="F75" i="1"/>
  <c r="G75" i="1"/>
  <c r="H75" i="1"/>
  <c r="I75" i="1"/>
  <c r="B76" i="1"/>
  <c r="C76" i="1"/>
  <c r="C78" i="1"/>
  <c r="D78" i="1"/>
  <c r="B80" i="1"/>
  <c r="C80" i="1"/>
  <c r="D80" i="1"/>
  <c r="E80" i="1"/>
  <c r="F80" i="1"/>
  <c r="G80" i="1"/>
  <c r="H80" i="1"/>
  <c r="I80" i="1"/>
  <c r="C81" i="1"/>
  <c r="D81" i="1"/>
  <c r="E81" i="1"/>
  <c r="F81" i="1"/>
  <c r="E83" i="1"/>
  <c r="F86" i="1"/>
  <c r="G86" i="1"/>
  <c r="H86" i="1"/>
  <c r="E87" i="1"/>
  <c r="E88" i="1"/>
  <c r="C89" i="1"/>
  <c r="E89" i="1"/>
</calcChain>
</file>

<file path=xl/sharedStrings.xml><?xml version="1.0" encoding="utf-8"?>
<sst xmlns="http://schemas.openxmlformats.org/spreadsheetml/2006/main" count="78" uniqueCount="43">
  <si>
    <t>LM 6000 Contract Price Allocation</t>
  </si>
  <si>
    <t>Contract #1 - Austin</t>
  </si>
  <si>
    <t>Total Contract Value</t>
  </si>
  <si>
    <t>Value per Unit</t>
  </si>
  <si>
    <t># Turbines</t>
  </si>
  <si>
    <t>Turbine #s</t>
  </si>
  <si>
    <t>Retainage %</t>
  </si>
  <si>
    <t>Retainage $s</t>
  </si>
  <si>
    <t>Retainage Payment Date</t>
  </si>
  <si>
    <t>Contract #2 - PSCO</t>
  </si>
  <si>
    <t>7,8, 13 to 16</t>
  </si>
  <si>
    <t>9 to 12</t>
  </si>
  <si>
    <t>Contract #3 - Cal ISO 1</t>
  </si>
  <si>
    <t>Contract #4 - Cal ISO 2</t>
  </si>
  <si>
    <t>Contract #5 - ESA</t>
  </si>
  <si>
    <t>1 to 6, 21,22</t>
  </si>
  <si>
    <t>Turbines Paid in Full as of Nov. 16</t>
  </si>
  <si>
    <t>1 to 6</t>
  </si>
  <si>
    <t>Remaining Payment Obligations on Units 21, 22 (as of Nov. 16)</t>
  </si>
  <si>
    <t>Date</t>
  </si>
  <si>
    <t>$s</t>
  </si>
  <si>
    <t>Total</t>
  </si>
  <si>
    <t>Retainage - Aug 15, 2001</t>
  </si>
  <si>
    <t>Contract #6 - LV Cogen</t>
  </si>
  <si>
    <t>19,20,23,24</t>
  </si>
  <si>
    <t>Contract Payment Summary</t>
  </si>
  <si>
    <t>Cal ISO 1</t>
  </si>
  <si>
    <t>Cal ISO 2</t>
  </si>
  <si>
    <t>Per Turbine</t>
  </si>
  <si>
    <t>Total Contract Payments Remaining as of Nov. 16 (%,$s)</t>
  </si>
  <si>
    <t>Contract Value</t>
  </si>
  <si>
    <t>Paid YTD</t>
  </si>
  <si>
    <t>Austin #4</t>
  </si>
  <si>
    <t>LV Cogen #4</t>
  </si>
  <si>
    <t>PSCO #4</t>
  </si>
  <si>
    <t>PSCO #2</t>
  </si>
  <si>
    <t>ESA - Brazil #6</t>
  </si>
  <si>
    <t>ESA - Brazil #2</t>
  </si>
  <si>
    <t xml:space="preserve">Nov. Pym </t>
  </si>
  <si>
    <t>Check</t>
  </si>
  <si>
    <t>CV * 75 %</t>
  </si>
  <si>
    <t>PM Database</t>
  </si>
  <si>
    <t>Change Order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</si>
</sst>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2" applyNumberFormat="1" applyFont="1"/>
    <xf numFmtId="16" fontId="0" fillId="0" borderId="0" xfId="0" applyNumberFormat="1" applyAlignment="1">
      <alignment horizontal="right"/>
    </xf>
    <xf numFmtId="9" fontId="0" fillId="0" borderId="0" xfId="3" applyFont="1"/>
    <xf numFmtId="165" fontId="0" fillId="0" borderId="0" xfId="0" applyNumberFormat="1"/>
    <xf numFmtId="15" fontId="0" fillId="0" borderId="0" xfId="0" applyNumberFormat="1"/>
    <xf numFmtId="0" fontId="2" fillId="0" borderId="0" xfId="0" applyFont="1"/>
    <xf numFmtId="167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67" fontId="0" fillId="0" borderId="0" xfId="1" applyNumberFormat="1" applyFont="1"/>
    <xf numFmtId="165" fontId="2" fillId="0" borderId="0" xfId="2" applyNumberFormat="1" applyFont="1"/>
    <xf numFmtId="0" fontId="3" fillId="0" borderId="0" xfId="0" applyFont="1" applyAlignment="1">
      <alignment horizontal="center"/>
    </xf>
    <xf numFmtId="167" fontId="0" fillId="0" borderId="0" xfId="0" applyNumberFormat="1"/>
    <xf numFmtId="43" fontId="0" fillId="0" borderId="0" xfId="1" applyNumberFormat="1" applyFont="1"/>
    <xf numFmtId="167" fontId="0" fillId="2" borderId="0" xfId="1" applyNumberFormat="1" applyFont="1" applyFill="1"/>
    <xf numFmtId="0" fontId="4" fillId="0" borderId="0" xfId="0" applyFont="1"/>
    <xf numFmtId="0" fontId="0" fillId="2" borderId="0" xfId="0" applyFill="1" applyAlignment="1">
      <alignment horizontal="center"/>
    </xf>
    <xf numFmtId="167" fontId="4" fillId="0" borderId="0" xfId="1" applyNumberFormat="1" applyFont="1"/>
    <xf numFmtId="167" fontId="0" fillId="2" borderId="0" xfId="0" applyNumberFormat="1" applyFill="1"/>
    <xf numFmtId="167" fontId="0" fillId="0" borderId="0" xfId="0" applyNumberFormat="1" applyFill="1"/>
    <xf numFmtId="0" fontId="0" fillId="0" borderId="0" xfId="0" applyFill="1"/>
    <xf numFmtId="168" fontId="0" fillId="0" borderId="0" xfId="3" applyNumberFormat="1" applyFont="1"/>
    <xf numFmtId="167" fontId="2" fillId="0" borderId="0" xfId="1" applyNumberFormat="1" applyFont="1"/>
    <xf numFmtId="14" fontId="0" fillId="0" borderId="0" xfId="0" applyNumberFormat="1"/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npv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tabSelected="1" topLeftCell="A62" workbookViewId="0">
      <pane xSplit="7050" topLeftCell="E1"/>
      <selection activeCell="A65" sqref="A65:I90"/>
      <selection pane="topRight" activeCell="C89" sqref="C89"/>
    </sheetView>
  </sheetViews>
  <sheetFormatPr defaultRowHeight="12.75" x14ac:dyDescent="0.2"/>
  <cols>
    <col min="1" max="1" width="29.42578125" customWidth="1"/>
    <col min="2" max="2" width="19.28515625" customWidth="1"/>
    <col min="3" max="3" width="14.7109375" customWidth="1"/>
    <col min="4" max="4" width="15.85546875" bestFit="1" customWidth="1"/>
    <col min="5" max="5" width="14.7109375" customWidth="1"/>
    <col min="6" max="6" width="12.28515625" customWidth="1"/>
    <col min="7" max="8" width="12.28515625" bestFit="1" customWidth="1"/>
    <col min="9" max="9" width="13.28515625" bestFit="1" customWidth="1"/>
    <col min="10" max="10" width="11.85546875" bestFit="1" customWidth="1"/>
    <col min="11" max="11" width="12.28515625" bestFit="1" customWidth="1"/>
  </cols>
  <sheetData>
    <row r="1" spans="1:5" ht="18" x14ac:dyDescent="0.25">
      <c r="A1" s="25" t="s">
        <v>0</v>
      </c>
      <c r="B1" s="25"/>
      <c r="C1" s="25"/>
      <c r="D1" s="25"/>
      <c r="E1" s="25"/>
    </row>
    <row r="2" spans="1:5" ht="18" x14ac:dyDescent="0.25">
      <c r="A2" s="12"/>
      <c r="B2" s="12"/>
      <c r="C2" s="12"/>
      <c r="D2" s="12"/>
      <c r="E2" s="12"/>
    </row>
    <row r="3" spans="1:5" x14ac:dyDescent="0.2">
      <c r="A3" t="s">
        <v>2</v>
      </c>
      <c r="D3" s="1">
        <v>337728000</v>
      </c>
    </row>
    <row r="4" spans="1:5" x14ac:dyDescent="0.2">
      <c r="A4" t="s">
        <v>3</v>
      </c>
      <c r="D4" s="1">
        <f>D3/24</f>
        <v>14072000</v>
      </c>
    </row>
    <row r="5" spans="1:5" x14ac:dyDescent="0.2">
      <c r="A5" t="s">
        <v>29</v>
      </c>
      <c r="C5" s="9">
        <v>0.25</v>
      </c>
      <c r="D5" s="1">
        <f>C5*D3</f>
        <v>84432000</v>
      </c>
    </row>
    <row r="6" spans="1:5" x14ac:dyDescent="0.2">
      <c r="D6" s="1"/>
    </row>
    <row r="7" spans="1:5" x14ac:dyDescent="0.2">
      <c r="A7" s="6" t="s">
        <v>1</v>
      </c>
      <c r="C7" t="s">
        <v>28</v>
      </c>
    </row>
    <row r="8" spans="1:5" x14ac:dyDescent="0.2">
      <c r="A8" t="s">
        <v>4</v>
      </c>
      <c r="B8">
        <v>4</v>
      </c>
    </row>
    <row r="9" spans="1:5" x14ac:dyDescent="0.2">
      <c r="A9" t="s">
        <v>5</v>
      </c>
      <c r="B9" s="2" t="s">
        <v>11</v>
      </c>
    </row>
    <row r="10" spans="1:5" x14ac:dyDescent="0.2">
      <c r="A10" t="s">
        <v>6</v>
      </c>
      <c r="B10" s="3">
        <v>0.05</v>
      </c>
    </row>
    <row r="11" spans="1:5" x14ac:dyDescent="0.2">
      <c r="A11" t="s">
        <v>7</v>
      </c>
      <c r="B11" s="4">
        <f>B10*D4*B8</f>
        <v>2814400</v>
      </c>
      <c r="C11" s="4">
        <f>B11/B8</f>
        <v>703600</v>
      </c>
    </row>
    <row r="12" spans="1:5" x14ac:dyDescent="0.2">
      <c r="A12" t="s">
        <v>8</v>
      </c>
      <c r="B12" s="5">
        <v>37118</v>
      </c>
    </row>
    <row r="14" spans="1:5" x14ac:dyDescent="0.2">
      <c r="A14" s="6" t="s">
        <v>9</v>
      </c>
    </row>
    <row r="15" spans="1:5" x14ac:dyDescent="0.2">
      <c r="A15" t="s">
        <v>4</v>
      </c>
      <c r="B15">
        <v>6</v>
      </c>
    </row>
    <row r="16" spans="1:5" x14ac:dyDescent="0.2">
      <c r="A16" t="s">
        <v>5</v>
      </c>
      <c r="B16" s="2" t="s">
        <v>10</v>
      </c>
    </row>
    <row r="17" spans="1:3" x14ac:dyDescent="0.2">
      <c r="A17" t="s">
        <v>6</v>
      </c>
      <c r="B17" s="3">
        <v>0.05</v>
      </c>
    </row>
    <row r="18" spans="1:3" x14ac:dyDescent="0.2">
      <c r="A18" t="s">
        <v>7</v>
      </c>
      <c r="B18" s="4">
        <f>B17*$D$4*B15</f>
        <v>4221600</v>
      </c>
      <c r="C18" s="4">
        <f>B18/B15</f>
        <v>703600</v>
      </c>
    </row>
    <row r="19" spans="1:3" x14ac:dyDescent="0.2">
      <c r="A19" t="s">
        <v>8</v>
      </c>
      <c r="B19" s="5">
        <v>37118</v>
      </c>
    </row>
    <row r="21" spans="1:3" x14ac:dyDescent="0.2">
      <c r="A21" s="6" t="s">
        <v>12</v>
      </c>
    </row>
    <row r="22" spans="1:3" x14ac:dyDescent="0.2">
      <c r="A22" t="s">
        <v>4</v>
      </c>
      <c r="B22">
        <v>1</v>
      </c>
    </row>
    <row r="23" spans="1:3" x14ac:dyDescent="0.2">
      <c r="A23" t="s">
        <v>5</v>
      </c>
      <c r="B23" s="7">
        <v>17</v>
      </c>
    </row>
    <row r="24" spans="1:3" x14ac:dyDescent="0.2">
      <c r="A24" t="s">
        <v>6</v>
      </c>
      <c r="B24" s="3">
        <v>0.05</v>
      </c>
    </row>
    <row r="25" spans="1:3" x14ac:dyDescent="0.2">
      <c r="A25" t="s">
        <v>7</v>
      </c>
      <c r="B25" s="4">
        <f>B24*$D$4*B22</f>
        <v>703600</v>
      </c>
      <c r="C25" s="4">
        <f>B25/B22</f>
        <v>703600</v>
      </c>
    </row>
    <row r="26" spans="1:3" x14ac:dyDescent="0.2">
      <c r="A26" t="s">
        <v>8</v>
      </c>
      <c r="B26" s="5">
        <v>37118</v>
      </c>
    </row>
    <row r="28" spans="1:3" x14ac:dyDescent="0.2">
      <c r="A28" s="6" t="s">
        <v>13</v>
      </c>
    </row>
    <row r="29" spans="1:3" x14ac:dyDescent="0.2">
      <c r="A29" t="s">
        <v>4</v>
      </c>
      <c r="B29">
        <v>1</v>
      </c>
    </row>
    <row r="30" spans="1:3" x14ac:dyDescent="0.2">
      <c r="A30" t="s">
        <v>5</v>
      </c>
      <c r="B30" s="7">
        <v>17</v>
      </c>
    </row>
    <row r="31" spans="1:3" x14ac:dyDescent="0.2">
      <c r="A31" t="s">
        <v>6</v>
      </c>
      <c r="B31" s="3">
        <v>0.05</v>
      </c>
    </row>
    <row r="32" spans="1:3" x14ac:dyDescent="0.2">
      <c r="A32" t="s">
        <v>7</v>
      </c>
      <c r="B32" s="4">
        <f>B31*$D$4*B29</f>
        <v>703600</v>
      </c>
      <c r="C32" s="4">
        <f>B32/B29</f>
        <v>703600</v>
      </c>
    </row>
    <row r="33" spans="1:3" x14ac:dyDescent="0.2">
      <c r="A33" t="s">
        <v>8</v>
      </c>
      <c r="B33" s="5">
        <v>37118</v>
      </c>
    </row>
    <row r="35" spans="1:3" x14ac:dyDescent="0.2">
      <c r="A35" s="6" t="s">
        <v>14</v>
      </c>
    </row>
    <row r="36" spans="1:3" x14ac:dyDescent="0.2">
      <c r="A36" t="s">
        <v>4</v>
      </c>
      <c r="B36">
        <v>8</v>
      </c>
    </row>
    <row r="37" spans="1:3" x14ac:dyDescent="0.2">
      <c r="A37" t="s">
        <v>5</v>
      </c>
      <c r="B37" s="7" t="s">
        <v>15</v>
      </c>
    </row>
    <row r="38" spans="1:3" x14ac:dyDescent="0.2">
      <c r="A38" t="s">
        <v>6</v>
      </c>
      <c r="B38" s="3">
        <v>0.05</v>
      </c>
    </row>
    <row r="39" spans="1:3" x14ac:dyDescent="0.2">
      <c r="A39" t="s">
        <v>7</v>
      </c>
      <c r="B39" s="4">
        <f>B38*$D$4*B36</f>
        <v>5628800</v>
      </c>
      <c r="C39" s="4">
        <f>B39/B36</f>
        <v>703600</v>
      </c>
    </row>
    <row r="40" spans="1:3" x14ac:dyDescent="0.2">
      <c r="A40" t="s">
        <v>8</v>
      </c>
      <c r="B40" s="5">
        <v>37118</v>
      </c>
    </row>
    <row r="41" spans="1:3" x14ac:dyDescent="0.2">
      <c r="A41" t="s">
        <v>16</v>
      </c>
      <c r="B41" t="s">
        <v>17</v>
      </c>
    </row>
    <row r="42" spans="1:3" x14ac:dyDescent="0.2">
      <c r="A42" t="s">
        <v>18</v>
      </c>
    </row>
    <row r="43" spans="1:3" x14ac:dyDescent="0.2">
      <c r="A43" s="8" t="s">
        <v>19</v>
      </c>
      <c r="B43" s="8" t="s">
        <v>20</v>
      </c>
    </row>
    <row r="44" spans="1:3" x14ac:dyDescent="0.2">
      <c r="A44" s="5">
        <v>36906</v>
      </c>
      <c r="B44" s="4">
        <f>0.1*D3/6*2</f>
        <v>11257600</v>
      </c>
      <c r="C44" s="4">
        <f>B44/B36</f>
        <v>1407200</v>
      </c>
    </row>
    <row r="45" spans="1:3" x14ac:dyDescent="0.2">
      <c r="A45" s="5">
        <v>37026</v>
      </c>
      <c r="B45" s="4">
        <f>0.05*D3/6*2</f>
        <v>5628800</v>
      </c>
      <c r="C45" s="4">
        <f>B45/B36</f>
        <v>703600</v>
      </c>
    </row>
    <row r="46" spans="1:3" x14ac:dyDescent="0.2">
      <c r="A46" s="5">
        <v>37102</v>
      </c>
      <c r="B46" s="4">
        <f>B45</f>
        <v>5628800</v>
      </c>
      <c r="C46" s="4">
        <f>B46/B36</f>
        <v>703600</v>
      </c>
    </row>
    <row r="47" spans="1:3" x14ac:dyDescent="0.2">
      <c r="A47" s="8" t="s">
        <v>22</v>
      </c>
      <c r="B47" s="4">
        <f>B39</f>
        <v>5628800</v>
      </c>
      <c r="C47" s="4">
        <f>B47/B36</f>
        <v>703600</v>
      </c>
    </row>
    <row r="48" spans="1:3" x14ac:dyDescent="0.2">
      <c r="A48" s="8" t="s">
        <v>21</v>
      </c>
      <c r="B48" s="4">
        <f>SUM(B44:B47)</f>
        <v>28144000</v>
      </c>
      <c r="C48" s="4">
        <f>B48/B36</f>
        <v>3518000</v>
      </c>
    </row>
    <row r="50" spans="1:3" x14ac:dyDescent="0.2">
      <c r="A50" s="6" t="s">
        <v>23</v>
      </c>
    </row>
    <row r="51" spans="1:3" x14ac:dyDescent="0.2">
      <c r="A51" t="s">
        <v>4</v>
      </c>
      <c r="B51">
        <v>4</v>
      </c>
    </row>
    <row r="52" spans="1:3" x14ac:dyDescent="0.2">
      <c r="A52" t="s">
        <v>5</v>
      </c>
      <c r="B52" s="7" t="s">
        <v>24</v>
      </c>
    </row>
    <row r="53" spans="1:3" x14ac:dyDescent="0.2">
      <c r="A53" t="s">
        <v>6</v>
      </c>
      <c r="B53" s="3">
        <v>0.05</v>
      </c>
    </row>
    <row r="54" spans="1:3" x14ac:dyDescent="0.2">
      <c r="A54" t="s">
        <v>7</v>
      </c>
      <c r="B54" s="4">
        <f>B53*$D$4*B51</f>
        <v>2814400</v>
      </c>
    </row>
    <row r="55" spans="1:3" x14ac:dyDescent="0.2">
      <c r="A55" t="s">
        <v>8</v>
      </c>
      <c r="B55" s="5">
        <v>37118</v>
      </c>
    </row>
    <row r="56" spans="1:3" x14ac:dyDescent="0.2">
      <c r="A56" t="s">
        <v>16</v>
      </c>
      <c r="B56" t="s">
        <v>17</v>
      </c>
    </row>
    <row r="57" spans="1:3" x14ac:dyDescent="0.2">
      <c r="A57" t="s">
        <v>18</v>
      </c>
    </row>
    <row r="58" spans="1:3" x14ac:dyDescent="0.2">
      <c r="A58" s="8" t="s">
        <v>19</v>
      </c>
      <c r="B58" s="8" t="s">
        <v>20</v>
      </c>
    </row>
    <row r="59" spans="1:3" x14ac:dyDescent="0.2">
      <c r="A59" s="5">
        <v>36906</v>
      </c>
      <c r="B59" s="4">
        <f>B44*2</f>
        <v>22515200</v>
      </c>
      <c r="C59" s="4">
        <f>B59/B51</f>
        <v>5628800</v>
      </c>
    </row>
    <row r="60" spans="1:3" x14ac:dyDescent="0.2">
      <c r="A60" s="5">
        <v>37026</v>
      </c>
      <c r="B60" s="4">
        <f>B45*2</f>
        <v>11257600</v>
      </c>
      <c r="C60" s="4">
        <f>B60/B51</f>
        <v>2814400</v>
      </c>
    </row>
    <row r="61" spans="1:3" x14ac:dyDescent="0.2">
      <c r="A61" s="5">
        <v>37102</v>
      </c>
      <c r="B61" s="4">
        <f>B46*2</f>
        <v>11257600</v>
      </c>
      <c r="C61" s="4">
        <f>B61/B51</f>
        <v>2814400</v>
      </c>
    </row>
    <row r="62" spans="1:3" x14ac:dyDescent="0.2">
      <c r="A62" s="8" t="s">
        <v>22</v>
      </c>
      <c r="B62" s="4">
        <f>B54</f>
        <v>2814400</v>
      </c>
      <c r="C62" s="4">
        <f>B62/B51</f>
        <v>703600</v>
      </c>
    </row>
    <row r="63" spans="1:3" x14ac:dyDescent="0.2">
      <c r="A63" s="8" t="s">
        <v>21</v>
      </c>
      <c r="B63" s="4">
        <f>SUM(B59:B62)</f>
        <v>47844800</v>
      </c>
      <c r="C63" s="4">
        <f>B63/B51</f>
        <v>11961200</v>
      </c>
    </row>
    <row r="66" spans="1:11" x14ac:dyDescent="0.2">
      <c r="A66" s="6" t="s">
        <v>25</v>
      </c>
      <c r="B66" t="s">
        <v>30</v>
      </c>
      <c r="C66" t="s">
        <v>31</v>
      </c>
      <c r="D66" t="s">
        <v>38</v>
      </c>
      <c r="E66" s="5">
        <v>36906</v>
      </c>
      <c r="F66" s="5">
        <v>37026</v>
      </c>
      <c r="G66" s="5">
        <v>37102</v>
      </c>
      <c r="H66" s="5">
        <v>37118</v>
      </c>
      <c r="I66" s="8" t="s">
        <v>21</v>
      </c>
      <c r="J66" t="s">
        <v>39</v>
      </c>
    </row>
    <row r="67" spans="1:11" x14ac:dyDescent="0.2">
      <c r="A67" t="s">
        <v>32</v>
      </c>
      <c r="B67" s="10">
        <f>4*(14072000+0)</f>
        <v>56288000</v>
      </c>
      <c r="C67" s="10">
        <f t="shared" ref="C67:C72" si="0">+B67*0.75</f>
        <v>42216000</v>
      </c>
      <c r="D67" s="14">
        <f>+B67-C67</f>
        <v>14072000</v>
      </c>
      <c r="E67" s="10"/>
      <c r="F67">
        <v>0</v>
      </c>
      <c r="G67">
        <v>0</v>
      </c>
      <c r="H67" s="4">
        <v>0</v>
      </c>
      <c r="I67" s="1">
        <f>SUM(C67:H67)</f>
        <v>56288000</v>
      </c>
      <c r="J67" s="13">
        <f>+I67-B67</f>
        <v>0</v>
      </c>
      <c r="K67" s="4">
        <f>I67/4</f>
        <v>14072000</v>
      </c>
    </row>
    <row r="68" spans="1:11" x14ac:dyDescent="0.2">
      <c r="A68" t="s">
        <v>34</v>
      </c>
      <c r="B68" s="10">
        <f>4*(14072000+229875*0)</f>
        <v>56288000</v>
      </c>
      <c r="C68" s="10">
        <f t="shared" si="0"/>
        <v>42216000</v>
      </c>
      <c r="D68" s="14">
        <f>+B68-C68-0.125*B68</f>
        <v>7036000</v>
      </c>
      <c r="E68" s="10">
        <f>+B68-C68-D68</f>
        <v>7036000</v>
      </c>
      <c r="F68" s="10">
        <v>0</v>
      </c>
      <c r="G68" s="10">
        <v>0</v>
      </c>
      <c r="H68" s="10">
        <v>0</v>
      </c>
      <c r="I68" s="1">
        <f t="shared" ref="I68:I74" si="1">SUM(C68:H68)</f>
        <v>56288000</v>
      </c>
      <c r="J68" s="13">
        <f t="shared" ref="J68:J74" si="2">+I68-B68</f>
        <v>0</v>
      </c>
      <c r="K68" s="4">
        <f>I68/4</f>
        <v>14072000</v>
      </c>
    </row>
    <row r="69" spans="1:11" x14ac:dyDescent="0.2">
      <c r="A69" t="s">
        <v>35</v>
      </c>
      <c r="B69" s="10">
        <f>2*(14072000+509875*0)</f>
        <v>28144000</v>
      </c>
      <c r="C69" s="10">
        <f t="shared" si="0"/>
        <v>21108000</v>
      </c>
      <c r="D69" s="14">
        <f>+B69-C69-0.125*B69</f>
        <v>3518000</v>
      </c>
      <c r="E69" s="10">
        <f>+B69-C69-D69</f>
        <v>3518000</v>
      </c>
      <c r="F69" s="10">
        <v>0</v>
      </c>
      <c r="G69" s="10">
        <v>0</v>
      </c>
      <c r="H69" s="10">
        <v>0</v>
      </c>
      <c r="I69" s="1">
        <f t="shared" si="1"/>
        <v>28144000</v>
      </c>
      <c r="J69" s="13">
        <f t="shared" si="2"/>
        <v>0</v>
      </c>
      <c r="K69" s="13">
        <f>I69/2</f>
        <v>14072000</v>
      </c>
    </row>
    <row r="70" spans="1:11" x14ac:dyDescent="0.2">
      <c r="A70" t="s">
        <v>26</v>
      </c>
      <c r="B70" s="10">
        <f>(14072000+280000*0+505000/2*0)</f>
        <v>14072000</v>
      </c>
      <c r="C70" s="10">
        <f t="shared" si="0"/>
        <v>10554000</v>
      </c>
      <c r="D70" s="14">
        <f>+B70-C70-0.125*B70</f>
        <v>1759000</v>
      </c>
      <c r="E70" s="10">
        <f>+B70-C70-D70</f>
        <v>1759000</v>
      </c>
      <c r="F70" s="10">
        <v>0</v>
      </c>
      <c r="G70" s="10">
        <v>0</v>
      </c>
      <c r="H70" s="10">
        <v>0</v>
      </c>
      <c r="I70" s="1">
        <f t="shared" si="1"/>
        <v>14072000</v>
      </c>
      <c r="J70" s="13">
        <f t="shared" si="2"/>
        <v>0</v>
      </c>
    </row>
    <row r="71" spans="1:11" x14ac:dyDescent="0.2">
      <c r="A71" t="s">
        <v>27</v>
      </c>
      <c r="B71" s="10">
        <f>(14072000+280000*0+505000/2*0)</f>
        <v>14072000</v>
      </c>
      <c r="C71" s="10">
        <f t="shared" si="0"/>
        <v>10554000</v>
      </c>
      <c r="D71" s="14">
        <f>+B71-C71-0.125*B71</f>
        <v>1759000</v>
      </c>
      <c r="E71" s="10">
        <f>+B71-C71-D71</f>
        <v>1759000</v>
      </c>
      <c r="F71" s="10">
        <v>0</v>
      </c>
      <c r="G71" s="10">
        <v>0</v>
      </c>
      <c r="H71" s="10">
        <v>0</v>
      </c>
      <c r="I71" s="1">
        <f t="shared" si="1"/>
        <v>14072000</v>
      </c>
      <c r="J71" s="13">
        <f t="shared" si="2"/>
        <v>0</v>
      </c>
    </row>
    <row r="72" spans="1:11" x14ac:dyDescent="0.2">
      <c r="A72" t="s">
        <v>36</v>
      </c>
      <c r="B72" s="10">
        <f>6*(14072000+1581175*0)</f>
        <v>84432000</v>
      </c>
      <c r="C72" s="10">
        <f t="shared" si="0"/>
        <v>63324000</v>
      </c>
      <c r="D72" s="14">
        <f>+B72*0.05</f>
        <v>4221600</v>
      </c>
      <c r="E72" s="10">
        <f>+B72-C72-D72</f>
        <v>16886400</v>
      </c>
      <c r="F72" s="10">
        <v>0</v>
      </c>
      <c r="G72" s="10">
        <v>0</v>
      </c>
      <c r="H72" s="10">
        <v>0</v>
      </c>
      <c r="I72" s="1">
        <f t="shared" si="1"/>
        <v>84432000</v>
      </c>
      <c r="J72" s="13">
        <f t="shared" si="2"/>
        <v>0</v>
      </c>
      <c r="K72" s="4">
        <f>I72/6</f>
        <v>14072000</v>
      </c>
    </row>
    <row r="73" spans="1:11" x14ac:dyDescent="0.2">
      <c r="A73" t="s">
        <v>37</v>
      </c>
      <c r="B73" s="10">
        <f>2*(14072000+1581175*0)</f>
        <v>28144000</v>
      </c>
      <c r="C73" s="10">
        <f>217620000-195600800</f>
        <v>22019200</v>
      </c>
      <c r="D73" s="10">
        <f>253296000-249985600</f>
        <v>3310400</v>
      </c>
      <c r="E73" s="10">
        <f>-SUM(E67:E72)+33772800</f>
        <v>2814400</v>
      </c>
      <c r="F73" s="10"/>
      <c r="G73" s="10"/>
      <c r="H73" s="10"/>
      <c r="I73" s="1">
        <f t="shared" si="1"/>
        <v>28144000</v>
      </c>
      <c r="J73" s="13">
        <f t="shared" si="2"/>
        <v>0</v>
      </c>
      <c r="K73" s="4">
        <f>I73/2</f>
        <v>14072000</v>
      </c>
    </row>
    <row r="74" spans="1:11" x14ac:dyDescent="0.2">
      <c r="A74" t="s">
        <v>33</v>
      </c>
      <c r="B74" s="10">
        <f>4*(14072000+0)</f>
        <v>56288000</v>
      </c>
      <c r="C74" s="10">
        <f>+B74*0.1</f>
        <v>5628800</v>
      </c>
      <c r="E74" s="10">
        <v>0</v>
      </c>
      <c r="F74" s="10">
        <v>16886400</v>
      </c>
      <c r="G74" s="10">
        <v>16886400</v>
      </c>
      <c r="H74" s="10">
        <v>16886400</v>
      </c>
      <c r="I74" s="1">
        <f t="shared" si="1"/>
        <v>56288000</v>
      </c>
      <c r="J74" s="13">
        <f t="shared" si="2"/>
        <v>0</v>
      </c>
      <c r="K74" s="4">
        <f>I74/4</f>
        <v>14072000</v>
      </c>
    </row>
    <row r="75" spans="1:11" x14ac:dyDescent="0.2">
      <c r="A75" s="6" t="s">
        <v>21</v>
      </c>
      <c r="B75" s="23">
        <f t="shared" ref="B75:I75" si="3">SUM(B67:B74)</f>
        <v>337728000</v>
      </c>
      <c r="C75" s="10">
        <f t="shared" si="3"/>
        <v>217620000</v>
      </c>
      <c r="D75" s="10">
        <f t="shared" si="3"/>
        <v>35676000</v>
      </c>
      <c r="E75" s="11">
        <f t="shared" si="3"/>
        <v>33772800</v>
      </c>
      <c r="F75" s="11">
        <f t="shared" si="3"/>
        <v>16886400</v>
      </c>
      <c r="G75" s="11">
        <f t="shared" si="3"/>
        <v>16886400</v>
      </c>
      <c r="H75" s="11">
        <f t="shared" si="3"/>
        <v>16886400</v>
      </c>
      <c r="I75" s="11">
        <f t="shared" si="3"/>
        <v>337728000</v>
      </c>
    </row>
    <row r="76" spans="1:11" x14ac:dyDescent="0.2">
      <c r="A76" t="s">
        <v>42</v>
      </c>
      <c r="B76" s="13">
        <f>+B75-353381650</f>
        <v>-15653650</v>
      </c>
      <c r="C76" s="10">
        <f>+C75+D75</f>
        <v>253296000</v>
      </c>
      <c r="D76" s="20"/>
      <c r="E76" s="13"/>
    </row>
    <row r="77" spans="1:11" x14ac:dyDescent="0.2">
      <c r="B77" s="17" t="s">
        <v>41</v>
      </c>
      <c r="C77" s="15">
        <v>217620000</v>
      </c>
      <c r="D77" s="15">
        <v>33480000</v>
      </c>
      <c r="E77" s="21"/>
    </row>
    <row r="78" spans="1:11" x14ac:dyDescent="0.2">
      <c r="C78" s="19">
        <f>+C77+D77</f>
        <v>251100000</v>
      </c>
      <c r="D78" s="18">
        <f>+B75*0.75</f>
        <v>253296000</v>
      </c>
      <c r="E78" s="16" t="s">
        <v>40</v>
      </c>
    </row>
    <row r="80" spans="1:11" x14ac:dyDescent="0.2">
      <c r="A80" t="s">
        <v>37</v>
      </c>
      <c r="B80" s="13">
        <f>+B73+B72</f>
        <v>112576000</v>
      </c>
      <c r="C80" s="13">
        <f t="shared" ref="C80:I80" si="4">+C73+C72</f>
        <v>85343200</v>
      </c>
      <c r="D80" s="13">
        <f t="shared" si="4"/>
        <v>7532000</v>
      </c>
      <c r="E80" s="13">
        <f t="shared" si="4"/>
        <v>19700800</v>
      </c>
      <c r="F80" s="13">
        <f t="shared" si="4"/>
        <v>0</v>
      </c>
      <c r="G80" s="13">
        <f t="shared" si="4"/>
        <v>0</v>
      </c>
      <c r="H80" s="13">
        <f t="shared" si="4"/>
        <v>0</v>
      </c>
      <c r="I80" s="13">
        <f t="shared" si="4"/>
        <v>112576000</v>
      </c>
    </row>
    <row r="81" spans="3:8" x14ac:dyDescent="0.2">
      <c r="C81" s="22">
        <f>+C80/$B$80</f>
        <v>0.75809408754974417</v>
      </c>
      <c r="D81" s="22">
        <f>+D80/$B$80</f>
        <v>6.6905912450255831E-2</v>
      </c>
      <c r="E81" s="22">
        <f>+E80/$B$80</f>
        <v>0.17499999999999999</v>
      </c>
      <c r="F81" s="22">
        <f>+F80/$B$80</f>
        <v>0</v>
      </c>
    </row>
    <row r="83" spans="3:8" x14ac:dyDescent="0.2">
      <c r="E83" s="13">
        <f>SUM(E68:E71)</f>
        <v>14072000</v>
      </c>
    </row>
    <row r="85" spans="3:8" x14ac:dyDescent="0.2">
      <c r="E85" s="5">
        <v>37012</v>
      </c>
      <c r="F85" s="5">
        <v>37026</v>
      </c>
      <c r="G85" s="5">
        <v>37102</v>
      </c>
      <c r="H85" s="5">
        <v>37118</v>
      </c>
    </row>
    <row r="86" spans="3:8" x14ac:dyDescent="0.2">
      <c r="D86">
        <v>0.08</v>
      </c>
      <c r="E86" s="1">
        <v>8281230.8220395371</v>
      </c>
      <c r="F86" s="13">
        <f>F74</f>
        <v>16886400</v>
      </c>
      <c r="G86" s="13">
        <f>G74</f>
        <v>16886400</v>
      </c>
      <c r="H86" s="13">
        <f>H74</f>
        <v>16886400</v>
      </c>
    </row>
    <row r="87" spans="3:8" x14ac:dyDescent="0.2">
      <c r="E87" s="1">
        <f>[1]!_xludf.xnpv(D86,E86:H86,E85:H85)/4</f>
        <v>14550000</v>
      </c>
    </row>
    <row r="88" spans="3:8" x14ac:dyDescent="0.2">
      <c r="D88" s="24">
        <v>36922</v>
      </c>
      <c r="E88" s="5">
        <f>E85</f>
        <v>37012</v>
      </c>
    </row>
    <row r="89" spans="3:8" x14ac:dyDescent="0.2">
      <c r="C89" s="1">
        <f>[1]!_xludf.xnpv(0.08,D89:E89,D88:E88)</f>
        <v>2031390.5349916664</v>
      </c>
      <c r="D89">
        <v>0</v>
      </c>
      <c r="E89" s="13">
        <f>E86/4</f>
        <v>2070307.7055098843</v>
      </c>
    </row>
  </sheetData>
  <mergeCells count="1">
    <mergeCell ref="A1:E1"/>
  </mergeCells>
  <pageMargins left="0.75" right="0.75" top="1" bottom="1" header="0.5" footer="0.5"/>
  <pageSetup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Sony Customer</dc:creator>
  <cp:lastModifiedBy>Jan Havlíček</cp:lastModifiedBy>
  <cp:lastPrinted>2000-11-10T16:33:16Z</cp:lastPrinted>
  <dcterms:created xsi:type="dcterms:W3CDTF">2000-11-04T23:36:25Z</dcterms:created>
  <dcterms:modified xsi:type="dcterms:W3CDTF">2023-09-16T21:54:33Z</dcterms:modified>
</cp:coreProperties>
</file>