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89BD5AA-F8A7-4800-A0D1-107D72134930}" xr6:coauthVersionLast="47" xr6:coauthVersionMax="47" xr10:uidLastSave="{00000000-0000-0000-0000-000000000000}"/>
  <bookViews>
    <workbookView xWindow="-120" yWindow="-120" windowWidth="38640" windowHeight="15720"/>
  </bookViews>
  <sheets>
    <sheet name="EBIT" sheetId="4" r:id="rId1"/>
    <sheet name="GrossMargin" sheetId="1" r:id="rId2"/>
    <sheet name="Expenses" sheetId="2" r:id="rId3"/>
    <sheet name="Cap Charge" sheetId="3" r:id="rId4"/>
    <sheet name="Explanations" sheetId="5" r:id="rId5"/>
  </sheets>
  <externalReferences>
    <externalReference r:id="rId6"/>
  </externalReferences>
  <definedNames>
    <definedName name="_xlnm.Print_Area" localSheetId="3">'Cap Charge'!$A$1:$I$93</definedName>
    <definedName name="_xlnm.Print_Area" localSheetId="0">EBIT!$A$1:$I$101</definedName>
    <definedName name="_xlnm.Print_Area" localSheetId="2">Expenses!$A$1:$I$98</definedName>
    <definedName name="_xlnm.Print_Area" localSheetId="1">GrossMargin!$A$1:$I$97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3" l="1"/>
  <c r="G10" i="3"/>
  <c r="I10" i="3"/>
  <c r="A11" i="3"/>
  <c r="G11" i="3"/>
  <c r="I11" i="3"/>
  <c r="A12" i="3"/>
  <c r="G12" i="3"/>
  <c r="I12" i="3"/>
  <c r="A13" i="3"/>
  <c r="G13" i="3"/>
  <c r="I13" i="3"/>
  <c r="A14" i="3"/>
  <c r="G14" i="3"/>
  <c r="I14" i="3"/>
  <c r="A15" i="3"/>
  <c r="G15" i="3"/>
  <c r="I15" i="3"/>
  <c r="A16" i="3"/>
  <c r="G16" i="3"/>
  <c r="I16" i="3"/>
  <c r="A17" i="3"/>
  <c r="G17" i="3"/>
  <c r="I17" i="3"/>
  <c r="A18" i="3"/>
  <c r="G18" i="3"/>
  <c r="I18" i="3"/>
  <c r="A19" i="3"/>
  <c r="G19" i="3"/>
  <c r="I19" i="3"/>
  <c r="A20" i="3"/>
  <c r="G20" i="3"/>
  <c r="I20" i="3"/>
  <c r="A21" i="3"/>
  <c r="G21" i="3"/>
  <c r="I21" i="3"/>
  <c r="A22" i="3"/>
  <c r="G22" i="3"/>
  <c r="I22" i="3"/>
  <c r="A23" i="3"/>
  <c r="G23" i="3"/>
  <c r="I23" i="3"/>
  <c r="C24" i="3"/>
  <c r="D24" i="3"/>
  <c r="E24" i="3"/>
  <c r="F24" i="3"/>
  <c r="G24" i="3"/>
  <c r="H24" i="3"/>
  <c r="I24" i="3"/>
  <c r="A25" i="3"/>
  <c r="G25" i="3"/>
  <c r="I25" i="3"/>
  <c r="A26" i="3"/>
  <c r="G26" i="3"/>
  <c r="I26" i="3"/>
  <c r="A27" i="3"/>
  <c r="G27" i="3"/>
  <c r="I27" i="3"/>
  <c r="A28" i="3"/>
  <c r="G28" i="3"/>
  <c r="I28" i="3"/>
  <c r="A29" i="3"/>
  <c r="G29" i="3"/>
  <c r="I29" i="3"/>
  <c r="A30" i="3"/>
  <c r="G30" i="3"/>
  <c r="I30" i="3"/>
  <c r="A31" i="3"/>
  <c r="G31" i="3"/>
  <c r="I31" i="3"/>
  <c r="C32" i="3"/>
  <c r="D32" i="3"/>
  <c r="E32" i="3"/>
  <c r="F32" i="3"/>
  <c r="G32" i="3"/>
  <c r="H32" i="3"/>
  <c r="I32" i="3"/>
  <c r="A33" i="3"/>
  <c r="G33" i="3"/>
  <c r="I33" i="3"/>
  <c r="A34" i="3"/>
  <c r="G34" i="3"/>
  <c r="I34" i="3"/>
  <c r="A35" i="3"/>
  <c r="G35" i="3"/>
  <c r="I35" i="3"/>
  <c r="A36" i="3"/>
  <c r="G36" i="3"/>
  <c r="I36" i="3"/>
  <c r="A37" i="3"/>
  <c r="G37" i="3"/>
  <c r="I37" i="3"/>
  <c r="A38" i="3"/>
  <c r="G38" i="3"/>
  <c r="I38" i="3"/>
  <c r="A39" i="3"/>
  <c r="G39" i="3"/>
  <c r="I39" i="3"/>
  <c r="A40" i="3"/>
  <c r="G40" i="3"/>
  <c r="I40" i="3"/>
  <c r="A41" i="3"/>
  <c r="G41" i="3"/>
  <c r="I41" i="3"/>
  <c r="A42" i="3"/>
  <c r="G42" i="3"/>
  <c r="I42" i="3"/>
  <c r="A43" i="3"/>
  <c r="G43" i="3"/>
  <c r="I43" i="3"/>
  <c r="A44" i="3"/>
  <c r="G44" i="3"/>
  <c r="I44" i="3"/>
  <c r="A45" i="3"/>
  <c r="G45" i="3"/>
  <c r="I45" i="3"/>
  <c r="C46" i="3"/>
  <c r="D46" i="3"/>
  <c r="E46" i="3"/>
  <c r="F46" i="3"/>
  <c r="G46" i="3"/>
  <c r="H46" i="3"/>
  <c r="I46" i="3"/>
  <c r="A47" i="3"/>
  <c r="G47" i="3"/>
  <c r="I47" i="3"/>
  <c r="A48" i="3"/>
  <c r="G48" i="3"/>
  <c r="I48" i="3"/>
  <c r="A49" i="3"/>
  <c r="G49" i="3"/>
  <c r="I49" i="3"/>
  <c r="A50" i="3"/>
  <c r="G50" i="3"/>
  <c r="I50" i="3"/>
  <c r="A51" i="3"/>
  <c r="G51" i="3"/>
  <c r="I51" i="3"/>
  <c r="A52" i="3"/>
  <c r="G52" i="3"/>
  <c r="I52" i="3"/>
  <c r="A53" i="3"/>
  <c r="G53" i="3"/>
  <c r="I53" i="3"/>
  <c r="C54" i="3"/>
  <c r="D54" i="3"/>
  <c r="E54" i="3"/>
  <c r="F54" i="3"/>
  <c r="G54" i="3"/>
  <c r="H54" i="3"/>
  <c r="I54" i="3"/>
  <c r="A55" i="3"/>
  <c r="G55" i="3"/>
  <c r="I55" i="3"/>
  <c r="A56" i="3"/>
  <c r="G56" i="3"/>
  <c r="I56" i="3"/>
  <c r="A57" i="3"/>
  <c r="G57" i="3"/>
  <c r="I57" i="3"/>
  <c r="A58" i="3"/>
  <c r="G58" i="3"/>
  <c r="I58" i="3"/>
  <c r="A59" i="3"/>
  <c r="G59" i="3"/>
  <c r="H59" i="3"/>
  <c r="I59" i="3"/>
  <c r="A60" i="3"/>
  <c r="G60" i="3"/>
  <c r="I60" i="3"/>
  <c r="A61" i="3"/>
  <c r="G61" i="3"/>
  <c r="I61" i="3"/>
  <c r="A62" i="3"/>
  <c r="G62" i="3"/>
  <c r="I62" i="3"/>
  <c r="A63" i="3"/>
  <c r="G63" i="3"/>
  <c r="I63" i="3"/>
  <c r="A64" i="3"/>
  <c r="G64" i="3"/>
  <c r="I64" i="3"/>
  <c r="A65" i="3"/>
  <c r="G65" i="3"/>
  <c r="I65" i="3"/>
  <c r="A66" i="3"/>
  <c r="G66" i="3"/>
  <c r="I66" i="3"/>
  <c r="A67" i="3"/>
  <c r="G67" i="3"/>
  <c r="I67" i="3"/>
  <c r="A68" i="3"/>
  <c r="G68" i="3"/>
  <c r="I68" i="3"/>
  <c r="C69" i="3"/>
  <c r="D69" i="3"/>
  <c r="E69" i="3"/>
  <c r="F69" i="3"/>
  <c r="G69" i="3"/>
  <c r="H69" i="3"/>
  <c r="I69" i="3"/>
  <c r="G71" i="3"/>
  <c r="I71" i="3"/>
  <c r="G72" i="3"/>
  <c r="I72" i="3"/>
  <c r="G73" i="3"/>
  <c r="I73" i="3"/>
  <c r="G74" i="3"/>
  <c r="I74" i="3"/>
  <c r="G75" i="3"/>
  <c r="I75" i="3"/>
  <c r="G76" i="3"/>
  <c r="I76" i="3"/>
  <c r="G77" i="3"/>
  <c r="I77" i="3"/>
  <c r="G78" i="3"/>
  <c r="I78" i="3"/>
  <c r="G79" i="3"/>
  <c r="I79" i="3"/>
  <c r="G80" i="3"/>
  <c r="I80" i="3"/>
  <c r="G81" i="3"/>
  <c r="I81" i="3"/>
  <c r="G82" i="3"/>
  <c r="I82" i="3"/>
  <c r="G83" i="3"/>
  <c r="I83" i="3"/>
  <c r="G84" i="3"/>
  <c r="I84" i="3"/>
  <c r="C85" i="3"/>
  <c r="D85" i="3"/>
  <c r="E85" i="3"/>
  <c r="F85" i="3"/>
  <c r="G85" i="3"/>
  <c r="H85" i="3"/>
  <c r="I85" i="3"/>
  <c r="A86" i="3"/>
  <c r="G86" i="3"/>
  <c r="I86" i="3"/>
  <c r="A87" i="3"/>
  <c r="G87" i="3"/>
  <c r="I87" i="3"/>
  <c r="A88" i="3"/>
  <c r="G88" i="3"/>
  <c r="I88" i="3"/>
  <c r="A89" i="3"/>
  <c r="C89" i="3"/>
  <c r="D89" i="3"/>
  <c r="E89" i="3"/>
  <c r="F89" i="3"/>
  <c r="G89" i="3"/>
  <c r="H89" i="3"/>
  <c r="I89" i="3"/>
  <c r="C90" i="3"/>
  <c r="D90" i="3"/>
  <c r="E90" i="3"/>
  <c r="F90" i="3"/>
  <c r="G90" i="3"/>
  <c r="H90" i="3"/>
  <c r="I90" i="3"/>
  <c r="G92" i="3"/>
  <c r="I92" i="3"/>
  <c r="C93" i="3"/>
  <c r="D93" i="3"/>
  <c r="E93" i="3"/>
  <c r="F93" i="3"/>
  <c r="G93" i="3"/>
  <c r="H93" i="3"/>
  <c r="I93" i="3"/>
  <c r="A10" i="4"/>
  <c r="C10" i="4"/>
  <c r="D10" i="4"/>
  <c r="E10" i="4"/>
  <c r="F10" i="4"/>
  <c r="G10" i="4"/>
  <c r="H10" i="4"/>
  <c r="I10" i="4"/>
  <c r="A11" i="4"/>
  <c r="C11" i="4"/>
  <c r="D11" i="4"/>
  <c r="E11" i="4"/>
  <c r="F11" i="4"/>
  <c r="G11" i="4"/>
  <c r="H11" i="4"/>
  <c r="I11" i="4"/>
  <c r="A12" i="4"/>
  <c r="C12" i="4"/>
  <c r="D12" i="4"/>
  <c r="E12" i="4"/>
  <c r="F12" i="4"/>
  <c r="G12" i="4"/>
  <c r="H12" i="4"/>
  <c r="I12" i="4"/>
  <c r="A13" i="4"/>
  <c r="C13" i="4"/>
  <c r="D13" i="4"/>
  <c r="E13" i="4"/>
  <c r="F13" i="4"/>
  <c r="G13" i="4"/>
  <c r="H13" i="4"/>
  <c r="I13" i="4"/>
  <c r="A14" i="4"/>
  <c r="C14" i="4"/>
  <c r="D14" i="4"/>
  <c r="E14" i="4"/>
  <c r="F14" i="4"/>
  <c r="G14" i="4"/>
  <c r="H14" i="4"/>
  <c r="I14" i="4"/>
  <c r="A15" i="4"/>
  <c r="C15" i="4"/>
  <c r="D15" i="4"/>
  <c r="E15" i="4"/>
  <c r="F15" i="4"/>
  <c r="G15" i="4"/>
  <c r="H15" i="4"/>
  <c r="I15" i="4"/>
  <c r="A16" i="4"/>
  <c r="C16" i="4"/>
  <c r="D16" i="4"/>
  <c r="E16" i="4"/>
  <c r="F16" i="4"/>
  <c r="G16" i="4"/>
  <c r="H16" i="4"/>
  <c r="I16" i="4"/>
  <c r="A17" i="4"/>
  <c r="C17" i="4"/>
  <c r="D17" i="4"/>
  <c r="E17" i="4"/>
  <c r="F17" i="4"/>
  <c r="G17" i="4"/>
  <c r="H17" i="4"/>
  <c r="I17" i="4"/>
  <c r="A18" i="4"/>
  <c r="C18" i="4"/>
  <c r="D18" i="4"/>
  <c r="E18" i="4"/>
  <c r="F18" i="4"/>
  <c r="G18" i="4"/>
  <c r="H18" i="4"/>
  <c r="I18" i="4"/>
  <c r="A19" i="4"/>
  <c r="C19" i="4"/>
  <c r="D19" i="4"/>
  <c r="E19" i="4"/>
  <c r="F19" i="4"/>
  <c r="G19" i="4"/>
  <c r="H19" i="4"/>
  <c r="I19" i="4"/>
  <c r="A20" i="4"/>
  <c r="C20" i="4"/>
  <c r="D20" i="4"/>
  <c r="E20" i="4"/>
  <c r="F20" i="4"/>
  <c r="G20" i="4"/>
  <c r="H20" i="4"/>
  <c r="I20" i="4"/>
  <c r="A21" i="4"/>
  <c r="C21" i="4"/>
  <c r="D21" i="4"/>
  <c r="E21" i="4"/>
  <c r="F21" i="4"/>
  <c r="G21" i="4"/>
  <c r="H21" i="4"/>
  <c r="I21" i="4"/>
  <c r="A22" i="4"/>
  <c r="C22" i="4"/>
  <c r="D22" i="4"/>
  <c r="E22" i="4"/>
  <c r="F22" i="4"/>
  <c r="G22" i="4"/>
  <c r="H22" i="4"/>
  <c r="I22" i="4"/>
  <c r="A23" i="4"/>
  <c r="C23" i="4"/>
  <c r="D23" i="4"/>
  <c r="E23" i="4"/>
  <c r="F23" i="4"/>
  <c r="G23" i="4"/>
  <c r="H23" i="4"/>
  <c r="I23" i="4"/>
  <c r="C24" i="4"/>
  <c r="D24" i="4"/>
  <c r="E24" i="4"/>
  <c r="F24" i="4"/>
  <c r="G24" i="4"/>
  <c r="H24" i="4"/>
  <c r="I24" i="4"/>
  <c r="A25" i="4"/>
  <c r="C25" i="4"/>
  <c r="D25" i="4"/>
  <c r="E25" i="4"/>
  <c r="F25" i="4"/>
  <c r="G25" i="4"/>
  <c r="H25" i="4"/>
  <c r="I25" i="4"/>
  <c r="A26" i="4"/>
  <c r="C26" i="4"/>
  <c r="D26" i="4"/>
  <c r="E26" i="4"/>
  <c r="F26" i="4"/>
  <c r="G26" i="4"/>
  <c r="H26" i="4"/>
  <c r="I26" i="4"/>
  <c r="A27" i="4"/>
  <c r="C27" i="4"/>
  <c r="D27" i="4"/>
  <c r="E27" i="4"/>
  <c r="F27" i="4"/>
  <c r="G27" i="4"/>
  <c r="H27" i="4"/>
  <c r="I27" i="4"/>
  <c r="A28" i="4"/>
  <c r="C28" i="4"/>
  <c r="D28" i="4"/>
  <c r="E28" i="4"/>
  <c r="F28" i="4"/>
  <c r="G28" i="4"/>
  <c r="H28" i="4"/>
  <c r="I28" i="4"/>
  <c r="A29" i="4"/>
  <c r="C29" i="4"/>
  <c r="D29" i="4"/>
  <c r="E29" i="4"/>
  <c r="F29" i="4"/>
  <c r="G29" i="4"/>
  <c r="H29" i="4"/>
  <c r="I29" i="4"/>
  <c r="A30" i="4"/>
  <c r="C30" i="4"/>
  <c r="D30" i="4"/>
  <c r="E30" i="4"/>
  <c r="F30" i="4"/>
  <c r="G30" i="4"/>
  <c r="H30" i="4"/>
  <c r="I30" i="4"/>
  <c r="A31" i="4"/>
  <c r="C31" i="4"/>
  <c r="D31" i="4"/>
  <c r="E31" i="4"/>
  <c r="F31" i="4"/>
  <c r="G31" i="4"/>
  <c r="H31" i="4"/>
  <c r="I31" i="4"/>
  <c r="C32" i="4"/>
  <c r="D32" i="4"/>
  <c r="E32" i="4"/>
  <c r="F32" i="4"/>
  <c r="G32" i="4"/>
  <c r="H32" i="4"/>
  <c r="I32" i="4"/>
  <c r="A33" i="4"/>
  <c r="C33" i="4"/>
  <c r="D33" i="4"/>
  <c r="E33" i="4"/>
  <c r="F33" i="4"/>
  <c r="G33" i="4"/>
  <c r="H33" i="4"/>
  <c r="I33" i="4"/>
  <c r="A34" i="4"/>
  <c r="C34" i="4"/>
  <c r="D34" i="4"/>
  <c r="E34" i="4"/>
  <c r="F34" i="4"/>
  <c r="G34" i="4"/>
  <c r="H34" i="4"/>
  <c r="I34" i="4"/>
  <c r="A35" i="4"/>
  <c r="C35" i="4"/>
  <c r="D35" i="4"/>
  <c r="E35" i="4"/>
  <c r="F35" i="4"/>
  <c r="G35" i="4"/>
  <c r="H35" i="4"/>
  <c r="I35" i="4"/>
  <c r="A36" i="4"/>
  <c r="C36" i="4"/>
  <c r="D36" i="4"/>
  <c r="E36" i="4"/>
  <c r="F36" i="4"/>
  <c r="G36" i="4"/>
  <c r="H36" i="4"/>
  <c r="I36" i="4"/>
  <c r="A37" i="4"/>
  <c r="C37" i="4"/>
  <c r="D37" i="4"/>
  <c r="E37" i="4"/>
  <c r="F37" i="4"/>
  <c r="G37" i="4"/>
  <c r="H37" i="4"/>
  <c r="I37" i="4"/>
  <c r="A38" i="4"/>
  <c r="C38" i="4"/>
  <c r="D38" i="4"/>
  <c r="E38" i="4"/>
  <c r="F38" i="4"/>
  <c r="G38" i="4"/>
  <c r="H38" i="4"/>
  <c r="I38" i="4"/>
  <c r="A39" i="4"/>
  <c r="C39" i="4"/>
  <c r="D39" i="4"/>
  <c r="E39" i="4"/>
  <c r="F39" i="4"/>
  <c r="G39" i="4"/>
  <c r="H39" i="4"/>
  <c r="I39" i="4"/>
  <c r="A40" i="4"/>
  <c r="C40" i="4"/>
  <c r="D40" i="4"/>
  <c r="E40" i="4"/>
  <c r="F40" i="4"/>
  <c r="G40" i="4"/>
  <c r="H40" i="4"/>
  <c r="I40" i="4"/>
  <c r="A41" i="4"/>
  <c r="C41" i="4"/>
  <c r="D41" i="4"/>
  <c r="E41" i="4"/>
  <c r="F41" i="4"/>
  <c r="G41" i="4"/>
  <c r="H41" i="4"/>
  <c r="I41" i="4"/>
  <c r="A42" i="4"/>
  <c r="C42" i="4"/>
  <c r="D42" i="4"/>
  <c r="E42" i="4"/>
  <c r="F42" i="4"/>
  <c r="G42" i="4"/>
  <c r="H42" i="4"/>
  <c r="I42" i="4"/>
  <c r="A43" i="4"/>
  <c r="C43" i="4"/>
  <c r="D43" i="4"/>
  <c r="E43" i="4"/>
  <c r="F43" i="4"/>
  <c r="G43" i="4"/>
  <c r="H43" i="4"/>
  <c r="I43" i="4"/>
  <c r="A44" i="4"/>
  <c r="C44" i="4"/>
  <c r="D44" i="4"/>
  <c r="E44" i="4"/>
  <c r="F44" i="4"/>
  <c r="G44" i="4"/>
  <c r="H44" i="4"/>
  <c r="I44" i="4"/>
  <c r="A45" i="4"/>
  <c r="C45" i="4"/>
  <c r="D45" i="4"/>
  <c r="E45" i="4"/>
  <c r="F45" i="4"/>
  <c r="G45" i="4"/>
  <c r="H45" i="4"/>
  <c r="I45" i="4"/>
  <c r="C46" i="4"/>
  <c r="D46" i="4"/>
  <c r="E46" i="4"/>
  <c r="F46" i="4"/>
  <c r="G46" i="4"/>
  <c r="H46" i="4"/>
  <c r="I46" i="4"/>
  <c r="A47" i="4"/>
  <c r="C47" i="4"/>
  <c r="D47" i="4"/>
  <c r="E47" i="4"/>
  <c r="F47" i="4"/>
  <c r="G47" i="4"/>
  <c r="H47" i="4"/>
  <c r="I47" i="4"/>
  <c r="A48" i="4"/>
  <c r="C48" i="4"/>
  <c r="D48" i="4"/>
  <c r="E48" i="4"/>
  <c r="F48" i="4"/>
  <c r="G48" i="4"/>
  <c r="H48" i="4"/>
  <c r="I48" i="4"/>
  <c r="A49" i="4"/>
  <c r="C49" i="4"/>
  <c r="D49" i="4"/>
  <c r="E49" i="4"/>
  <c r="F49" i="4"/>
  <c r="G49" i="4"/>
  <c r="H49" i="4"/>
  <c r="I49" i="4"/>
  <c r="A50" i="4"/>
  <c r="C50" i="4"/>
  <c r="D50" i="4"/>
  <c r="E50" i="4"/>
  <c r="F50" i="4"/>
  <c r="G50" i="4"/>
  <c r="H50" i="4"/>
  <c r="I50" i="4"/>
  <c r="A51" i="4"/>
  <c r="C51" i="4"/>
  <c r="D51" i="4"/>
  <c r="E51" i="4"/>
  <c r="F51" i="4"/>
  <c r="G51" i="4"/>
  <c r="H51" i="4"/>
  <c r="I51" i="4"/>
  <c r="A52" i="4"/>
  <c r="C52" i="4"/>
  <c r="D52" i="4"/>
  <c r="E52" i="4"/>
  <c r="F52" i="4"/>
  <c r="G52" i="4"/>
  <c r="H52" i="4"/>
  <c r="I52" i="4"/>
  <c r="A53" i="4"/>
  <c r="C53" i="4"/>
  <c r="D53" i="4"/>
  <c r="E53" i="4"/>
  <c r="F53" i="4"/>
  <c r="G53" i="4"/>
  <c r="H53" i="4"/>
  <c r="I53" i="4"/>
  <c r="C54" i="4"/>
  <c r="D54" i="4"/>
  <c r="E54" i="4"/>
  <c r="F54" i="4"/>
  <c r="G54" i="4"/>
  <c r="H54" i="4"/>
  <c r="I54" i="4"/>
  <c r="A55" i="4"/>
  <c r="C55" i="4"/>
  <c r="D55" i="4"/>
  <c r="E55" i="4"/>
  <c r="F55" i="4"/>
  <c r="G55" i="4"/>
  <c r="H55" i="4"/>
  <c r="I55" i="4"/>
  <c r="A56" i="4"/>
  <c r="C56" i="4"/>
  <c r="D56" i="4"/>
  <c r="E56" i="4"/>
  <c r="F56" i="4"/>
  <c r="G56" i="4"/>
  <c r="H56" i="4"/>
  <c r="I56" i="4"/>
  <c r="A57" i="4"/>
  <c r="C57" i="4"/>
  <c r="D57" i="4"/>
  <c r="E57" i="4"/>
  <c r="F57" i="4"/>
  <c r="G57" i="4"/>
  <c r="H57" i="4"/>
  <c r="I57" i="4"/>
  <c r="A58" i="4"/>
  <c r="C58" i="4"/>
  <c r="D58" i="4"/>
  <c r="E58" i="4"/>
  <c r="F58" i="4"/>
  <c r="G58" i="4"/>
  <c r="H58" i="4"/>
  <c r="I58" i="4"/>
  <c r="A59" i="4"/>
  <c r="C59" i="4"/>
  <c r="D59" i="4"/>
  <c r="E59" i="4"/>
  <c r="F59" i="4"/>
  <c r="G59" i="4"/>
  <c r="H59" i="4"/>
  <c r="I59" i="4"/>
  <c r="A60" i="4"/>
  <c r="C60" i="4"/>
  <c r="D60" i="4"/>
  <c r="E60" i="4"/>
  <c r="F60" i="4"/>
  <c r="G60" i="4"/>
  <c r="H60" i="4"/>
  <c r="I60" i="4"/>
  <c r="A61" i="4"/>
  <c r="C61" i="4"/>
  <c r="D61" i="4"/>
  <c r="E61" i="4"/>
  <c r="F61" i="4"/>
  <c r="G61" i="4"/>
  <c r="H61" i="4"/>
  <c r="I61" i="4"/>
  <c r="A62" i="4"/>
  <c r="C62" i="4"/>
  <c r="D62" i="4"/>
  <c r="E62" i="4"/>
  <c r="F62" i="4"/>
  <c r="G62" i="4"/>
  <c r="H62" i="4"/>
  <c r="I62" i="4"/>
  <c r="A63" i="4"/>
  <c r="C63" i="4"/>
  <c r="D63" i="4"/>
  <c r="E63" i="4"/>
  <c r="F63" i="4"/>
  <c r="G63" i="4"/>
  <c r="H63" i="4"/>
  <c r="I63" i="4"/>
  <c r="A64" i="4"/>
  <c r="C64" i="4"/>
  <c r="D64" i="4"/>
  <c r="E64" i="4"/>
  <c r="F64" i="4"/>
  <c r="G64" i="4"/>
  <c r="H64" i="4"/>
  <c r="I64" i="4"/>
  <c r="A65" i="4"/>
  <c r="C65" i="4"/>
  <c r="D65" i="4"/>
  <c r="E65" i="4"/>
  <c r="F65" i="4"/>
  <c r="G65" i="4"/>
  <c r="H65" i="4"/>
  <c r="I65" i="4"/>
  <c r="A66" i="4"/>
  <c r="C66" i="4"/>
  <c r="D66" i="4"/>
  <c r="E66" i="4"/>
  <c r="F66" i="4"/>
  <c r="G66" i="4"/>
  <c r="H66" i="4"/>
  <c r="I66" i="4"/>
  <c r="A67" i="4"/>
  <c r="C67" i="4"/>
  <c r="D67" i="4"/>
  <c r="E67" i="4"/>
  <c r="F67" i="4"/>
  <c r="G67" i="4"/>
  <c r="H67" i="4"/>
  <c r="I67" i="4"/>
  <c r="A68" i="4"/>
  <c r="C68" i="4"/>
  <c r="D68" i="4"/>
  <c r="E68" i="4"/>
  <c r="F68" i="4"/>
  <c r="G68" i="4"/>
  <c r="H68" i="4"/>
  <c r="I68" i="4"/>
  <c r="C69" i="4"/>
  <c r="D69" i="4"/>
  <c r="E69" i="4"/>
  <c r="F69" i="4"/>
  <c r="G69" i="4"/>
  <c r="H69" i="4"/>
  <c r="I69" i="4"/>
  <c r="C71" i="4"/>
  <c r="D71" i="4"/>
  <c r="E71" i="4"/>
  <c r="F71" i="4"/>
  <c r="G71" i="4"/>
  <c r="H71" i="4"/>
  <c r="I71" i="4"/>
  <c r="C72" i="4"/>
  <c r="D72" i="4"/>
  <c r="E72" i="4"/>
  <c r="F72" i="4"/>
  <c r="G72" i="4"/>
  <c r="H72" i="4"/>
  <c r="I72" i="4"/>
  <c r="C73" i="4"/>
  <c r="D73" i="4"/>
  <c r="E73" i="4"/>
  <c r="F73" i="4"/>
  <c r="G73" i="4"/>
  <c r="H73" i="4"/>
  <c r="I73" i="4"/>
  <c r="C74" i="4"/>
  <c r="D74" i="4"/>
  <c r="E74" i="4"/>
  <c r="F74" i="4"/>
  <c r="G74" i="4"/>
  <c r="H74" i="4"/>
  <c r="I74" i="4"/>
  <c r="C75" i="4"/>
  <c r="D75" i="4"/>
  <c r="E75" i="4"/>
  <c r="F75" i="4"/>
  <c r="G75" i="4"/>
  <c r="H75" i="4"/>
  <c r="I75" i="4"/>
  <c r="C76" i="4"/>
  <c r="D76" i="4"/>
  <c r="E76" i="4"/>
  <c r="F76" i="4"/>
  <c r="G76" i="4"/>
  <c r="H76" i="4"/>
  <c r="I76" i="4"/>
  <c r="C77" i="4"/>
  <c r="D77" i="4"/>
  <c r="E77" i="4"/>
  <c r="F77" i="4"/>
  <c r="G77" i="4"/>
  <c r="H77" i="4"/>
  <c r="I77" i="4"/>
  <c r="C78" i="4"/>
  <c r="D78" i="4"/>
  <c r="E78" i="4"/>
  <c r="F78" i="4"/>
  <c r="G78" i="4"/>
  <c r="H78" i="4"/>
  <c r="I78" i="4"/>
  <c r="C79" i="4"/>
  <c r="D79" i="4"/>
  <c r="E79" i="4"/>
  <c r="F79" i="4"/>
  <c r="G79" i="4"/>
  <c r="H79" i="4"/>
  <c r="I79" i="4"/>
  <c r="C80" i="4"/>
  <c r="D80" i="4"/>
  <c r="E80" i="4"/>
  <c r="F80" i="4"/>
  <c r="G80" i="4"/>
  <c r="H80" i="4"/>
  <c r="I80" i="4"/>
  <c r="C81" i="4"/>
  <c r="D81" i="4"/>
  <c r="E81" i="4"/>
  <c r="F81" i="4"/>
  <c r="G81" i="4"/>
  <c r="H81" i="4"/>
  <c r="I81" i="4"/>
  <c r="C82" i="4"/>
  <c r="D82" i="4"/>
  <c r="E82" i="4"/>
  <c r="F82" i="4"/>
  <c r="G82" i="4"/>
  <c r="H82" i="4"/>
  <c r="I82" i="4"/>
  <c r="C83" i="4"/>
  <c r="D83" i="4"/>
  <c r="E83" i="4"/>
  <c r="F83" i="4"/>
  <c r="G83" i="4"/>
  <c r="H83" i="4"/>
  <c r="I83" i="4"/>
  <c r="C84" i="4"/>
  <c r="D84" i="4"/>
  <c r="E84" i="4"/>
  <c r="F84" i="4"/>
  <c r="G84" i="4"/>
  <c r="H84" i="4"/>
  <c r="I84" i="4"/>
  <c r="C85" i="4"/>
  <c r="D85" i="4"/>
  <c r="E85" i="4"/>
  <c r="F85" i="4"/>
  <c r="G85" i="4"/>
  <c r="H85" i="4"/>
  <c r="I85" i="4"/>
  <c r="A86" i="4"/>
  <c r="C86" i="4"/>
  <c r="D86" i="4"/>
  <c r="E86" i="4"/>
  <c r="F86" i="4"/>
  <c r="G86" i="4"/>
  <c r="H86" i="4"/>
  <c r="I86" i="4"/>
  <c r="A87" i="4"/>
  <c r="C87" i="4"/>
  <c r="D87" i="4"/>
  <c r="E87" i="4"/>
  <c r="F87" i="4"/>
  <c r="G87" i="4"/>
  <c r="H87" i="4"/>
  <c r="I87" i="4"/>
  <c r="A88" i="4"/>
  <c r="C88" i="4"/>
  <c r="D88" i="4"/>
  <c r="E88" i="4"/>
  <c r="F88" i="4"/>
  <c r="G88" i="4"/>
  <c r="H88" i="4"/>
  <c r="I88" i="4"/>
  <c r="A89" i="4"/>
  <c r="C89" i="4"/>
  <c r="D89" i="4"/>
  <c r="E89" i="4"/>
  <c r="F89" i="4"/>
  <c r="G89" i="4"/>
  <c r="H89" i="4"/>
  <c r="I89" i="4"/>
  <c r="C90" i="4"/>
  <c r="D90" i="4"/>
  <c r="E90" i="4"/>
  <c r="F90" i="4"/>
  <c r="G90" i="4"/>
  <c r="H90" i="4"/>
  <c r="I90" i="4"/>
  <c r="C92" i="4"/>
  <c r="D92" i="4"/>
  <c r="E92" i="4"/>
  <c r="F92" i="4"/>
  <c r="G92" i="4"/>
  <c r="H92" i="4"/>
  <c r="I92" i="4"/>
  <c r="C94" i="4"/>
  <c r="D94" i="4"/>
  <c r="E94" i="4"/>
  <c r="F94" i="4"/>
  <c r="G94" i="4"/>
  <c r="H94" i="4"/>
  <c r="I94" i="4"/>
  <c r="C95" i="4"/>
  <c r="D95" i="4"/>
  <c r="E95" i="4"/>
  <c r="F95" i="4"/>
  <c r="G95" i="4"/>
  <c r="H95" i="4"/>
  <c r="I95" i="4"/>
  <c r="C96" i="4"/>
  <c r="D96" i="4"/>
  <c r="E96" i="4"/>
  <c r="F96" i="4"/>
  <c r="G96" i="4"/>
  <c r="H96" i="4"/>
  <c r="I96" i="4"/>
  <c r="A10" i="2"/>
  <c r="G10" i="2"/>
  <c r="I10" i="2"/>
  <c r="A11" i="2"/>
  <c r="G11" i="2"/>
  <c r="I11" i="2"/>
  <c r="A12" i="2"/>
  <c r="G12" i="2"/>
  <c r="I12" i="2"/>
  <c r="A13" i="2"/>
  <c r="G13" i="2"/>
  <c r="I13" i="2"/>
  <c r="A14" i="2"/>
  <c r="G14" i="2"/>
  <c r="I14" i="2"/>
  <c r="A15" i="2"/>
  <c r="G15" i="2"/>
  <c r="I15" i="2"/>
  <c r="A16" i="2"/>
  <c r="G16" i="2"/>
  <c r="I16" i="2"/>
  <c r="A17" i="2"/>
  <c r="G17" i="2"/>
  <c r="I17" i="2"/>
  <c r="A18" i="2"/>
  <c r="G18" i="2"/>
  <c r="I18" i="2"/>
  <c r="A19" i="2"/>
  <c r="C19" i="2"/>
  <c r="G19" i="2"/>
  <c r="I19" i="2"/>
  <c r="A20" i="2"/>
  <c r="G20" i="2"/>
  <c r="I20" i="2"/>
  <c r="A21" i="2"/>
  <c r="G21" i="2"/>
  <c r="I21" i="2"/>
  <c r="A22" i="2"/>
  <c r="G22" i="2"/>
  <c r="I22" i="2"/>
  <c r="A23" i="2"/>
  <c r="D23" i="2"/>
  <c r="F23" i="2"/>
  <c r="G23" i="2"/>
  <c r="I23" i="2"/>
  <c r="C24" i="2"/>
  <c r="D24" i="2"/>
  <c r="E24" i="2"/>
  <c r="F24" i="2"/>
  <c r="G24" i="2"/>
  <c r="H24" i="2"/>
  <c r="I24" i="2"/>
  <c r="A25" i="2"/>
  <c r="G25" i="2"/>
  <c r="I25" i="2"/>
  <c r="A26" i="2"/>
  <c r="G26" i="2"/>
  <c r="I26" i="2"/>
  <c r="A27" i="2"/>
  <c r="G27" i="2"/>
  <c r="I27" i="2"/>
  <c r="A28" i="2"/>
  <c r="G28" i="2"/>
  <c r="I28" i="2"/>
  <c r="A29" i="2"/>
  <c r="G29" i="2"/>
  <c r="I29" i="2"/>
  <c r="A30" i="2"/>
  <c r="G30" i="2"/>
  <c r="I30" i="2"/>
  <c r="A31" i="2"/>
  <c r="G31" i="2"/>
  <c r="I31" i="2"/>
  <c r="C32" i="2"/>
  <c r="D32" i="2"/>
  <c r="E32" i="2"/>
  <c r="F32" i="2"/>
  <c r="G32" i="2"/>
  <c r="H32" i="2"/>
  <c r="I32" i="2"/>
  <c r="A33" i="2"/>
  <c r="G33" i="2"/>
  <c r="I33" i="2"/>
  <c r="A34" i="2"/>
  <c r="G34" i="2"/>
  <c r="I34" i="2"/>
  <c r="A35" i="2"/>
  <c r="G35" i="2"/>
  <c r="I35" i="2"/>
  <c r="A36" i="2"/>
  <c r="G36" i="2"/>
  <c r="I36" i="2"/>
  <c r="A37" i="2"/>
  <c r="G37" i="2"/>
  <c r="I37" i="2"/>
  <c r="A38" i="2"/>
  <c r="G38" i="2"/>
  <c r="I38" i="2"/>
  <c r="A39" i="2"/>
  <c r="G39" i="2"/>
  <c r="I39" i="2"/>
  <c r="A40" i="2"/>
  <c r="G40" i="2"/>
  <c r="I40" i="2"/>
  <c r="A41" i="2"/>
  <c r="G41" i="2"/>
  <c r="I41" i="2"/>
  <c r="A42" i="2"/>
  <c r="G42" i="2"/>
  <c r="I42" i="2"/>
  <c r="A43" i="2"/>
  <c r="G43" i="2"/>
  <c r="I43" i="2"/>
  <c r="A44" i="2"/>
  <c r="G44" i="2"/>
  <c r="I44" i="2"/>
  <c r="A45" i="2"/>
  <c r="G45" i="2"/>
  <c r="I45" i="2"/>
  <c r="C46" i="2"/>
  <c r="D46" i="2"/>
  <c r="E46" i="2"/>
  <c r="F46" i="2"/>
  <c r="G46" i="2"/>
  <c r="H46" i="2"/>
  <c r="I46" i="2"/>
  <c r="A47" i="2"/>
  <c r="G47" i="2"/>
  <c r="I47" i="2"/>
  <c r="A48" i="2"/>
  <c r="G48" i="2"/>
  <c r="I48" i="2"/>
  <c r="A49" i="2"/>
  <c r="G49" i="2"/>
  <c r="I49" i="2"/>
  <c r="A50" i="2"/>
  <c r="G50" i="2"/>
  <c r="I50" i="2"/>
  <c r="A51" i="2"/>
  <c r="G51" i="2"/>
  <c r="I51" i="2"/>
  <c r="A52" i="2"/>
  <c r="G52" i="2"/>
  <c r="I52" i="2"/>
  <c r="A53" i="2"/>
  <c r="C53" i="2"/>
  <c r="G53" i="2"/>
  <c r="I53" i="2"/>
  <c r="C54" i="2"/>
  <c r="D54" i="2"/>
  <c r="E54" i="2"/>
  <c r="F54" i="2"/>
  <c r="G54" i="2"/>
  <c r="H54" i="2"/>
  <c r="I54" i="2"/>
  <c r="A55" i="2"/>
  <c r="C55" i="2"/>
  <c r="F55" i="2"/>
  <c r="G55" i="2"/>
  <c r="I55" i="2"/>
  <c r="A56" i="2"/>
  <c r="G56" i="2"/>
  <c r="I56" i="2"/>
  <c r="A57" i="2"/>
  <c r="C57" i="2"/>
  <c r="D57" i="2"/>
  <c r="G57" i="2"/>
  <c r="I57" i="2"/>
  <c r="A58" i="2"/>
  <c r="G58" i="2"/>
  <c r="I58" i="2"/>
  <c r="A59" i="2"/>
  <c r="G59" i="2"/>
  <c r="I59" i="2"/>
  <c r="A60" i="2"/>
  <c r="G60" i="2"/>
  <c r="I60" i="2"/>
  <c r="A61" i="2"/>
  <c r="G61" i="2"/>
  <c r="I61" i="2"/>
  <c r="A62" i="2"/>
  <c r="G62" i="2"/>
  <c r="I62" i="2"/>
  <c r="A63" i="2"/>
  <c r="G63" i="2"/>
  <c r="I63" i="2"/>
  <c r="A64" i="2"/>
  <c r="C64" i="2"/>
  <c r="G64" i="2"/>
  <c r="I64" i="2"/>
  <c r="A65" i="2"/>
  <c r="G65" i="2"/>
  <c r="I65" i="2"/>
  <c r="A66" i="2"/>
  <c r="F66" i="2"/>
  <c r="G66" i="2"/>
  <c r="I66" i="2"/>
  <c r="A67" i="2"/>
  <c r="G67" i="2"/>
  <c r="I67" i="2"/>
  <c r="A68" i="2"/>
  <c r="C68" i="2"/>
  <c r="D68" i="2"/>
  <c r="F68" i="2"/>
  <c r="G68" i="2"/>
  <c r="I68" i="2"/>
  <c r="C69" i="2"/>
  <c r="D69" i="2"/>
  <c r="E69" i="2"/>
  <c r="F69" i="2"/>
  <c r="G69" i="2"/>
  <c r="H69" i="2"/>
  <c r="I69" i="2"/>
  <c r="G71" i="2"/>
  <c r="I71" i="2"/>
  <c r="G72" i="2"/>
  <c r="I72" i="2"/>
  <c r="G73" i="2"/>
  <c r="I73" i="2"/>
  <c r="G74" i="2"/>
  <c r="I74" i="2"/>
  <c r="G75" i="2"/>
  <c r="I75" i="2"/>
  <c r="G76" i="2"/>
  <c r="I76" i="2"/>
  <c r="G77" i="2"/>
  <c r="I77" i="2"/>
  <c r="G78" i="2"/>
  <c r="I78" i="2"/>
  <c r="G79" i="2"/>
  <c r="I79" i="2"/>
  <c r="G80" i="2"/>
  <c r="I80" i="2"/>
  <c r="G81" i="2"/>
  <c r="I81" i="2"/>
  <c r="G82" i="2"/>
  <c r="I82" i="2"/>
  <c r="G83" i="2"/>
  <c r="I83" i="2"/>
  <c r="G84" i="2"/>
  <c r="I84" i="2"/>
  <c r="C85" i="2"/>
  <c r="D85" i="2"/>
  <c r="E85" i="2"/>
  <c r="F85" i="2"/>
  <c r="G85" i="2"/>
  <c r="H85" i="2"/>
  <c r="I85" i="2"/>
  <c r="A86" i="2"/>
  <c r="G86" i="2"/>
  <c r="I86" i="2"/>
  <c r="A87" i="2"/>
  <c r="G87" i="2"/>
  <c r="I87" i="2"/>
  <c r="A88" i="2"/>
  <c r="G88" i="2"/>
  <c r="I88" i="2"/>
  <c r="A89" i="2"/>
  <c r="G89" i="2"/>
  <c r="I89" i="2"/>
  <c r="C90" i="2"/>
  <c r="D90" i="2"/>
  <c r="E90" i="2"/>
  <c r="F90" i="2"/>
  <c r="G90" i="2"/>
  <c r="H90" i="2"/>
  <c r="I90" i="2"/>
  <c r="G92" i="2"/>
  <c r="I92" i="2"/>
  <c r="C94" i="2"/>
  <c r="D94" i="2"/>
  <c r="E94" i="2"/>
  <c r="F94" i="2"/>
  <c r="G94" i="2"/>
  <c r="H94" i="2"/>
  <c r="I94" i="2"/>
  <c r="G97" i="2"/>
  <c r="I97" i="2"/>
  <c r="C98" i="2"/>
  <c r="D98" i="2"/>
  <c r="E98" i="2"/>
  <c r="F98" i="2"/>
  <c r="G98" i="2"/>
  <c r="H98" i="2"/>
  <c r="I98" i="2"/>
  <c r="A10" i="1"/>
  <c r="G10" i="1"/>
  <c r="I10" i="1"/>
  <c r="A11" i="1"/>
  <c r="G11" i="1"/>
  <c r="I11" i="1"/>
  <c r="A12" i="1"/>
  <c r="G12" i="1"/>
  <c r="I12" i="1"/>
  <c r="A13" i="1"/>
  <c r="G13" i="1"/>
  <c r="I13" i="1"/>
  <c r="A14" i="1"/>
  <c r="D14" i="1"/>
  <c r="G14" i="1"/>
  <c r="I14" i="1"/>
  <c r="A15" i="1"/>
  <c r="C15" i="1"/>
  <c r="G15" i="1"/>
  <c r="I15" i="1"/>
  <c r="A16" i="1"/>
  <c r="G16" i="1"/>
  <c r="I16" i="1"/>
  <c r="A17" i="1"/>
  <c r="G17" i="1"/>
  <c r="I17" i="1"/>
  <c r="A18" i="1"/>
  <c r="G18" i="1"/>
  <c r="I18" i="1"/>
  <c r="A19" i="1"/>
  <c r="G19" i="1"/>
  <c r="I19" i="1"/>
  <c r="A20" i="1"/>
  <c r="G20" i="1"/>
  <c r="I20" i="1"/>
  <c r="A21" i="1"/>
  <c r="G21" i="1"/>
  <c r="I21" i="1"/>
  <c r="A22" i="1"/>
  <c r="G22" i="1"/>
  <c r="I22" i="1"/>
  <c r="A23" i="1"/>
  <c r="G23" i="1"/>
  <c r="I23" i="1"/>
  <c r="C24" i="1"/>
  <c r="D24" i="1"/>
  <c r="F24" i="1"/>
  <c r="G24" i="1"/>
  <c r="I24" i="1"/>
  <c r="A25" i="1"/>
  <c r="G25" i="1"/>
  <c r="I25" i="1"/>
  <c r="A26" i="1"/>
  <c r="G26" i="1"/>
  <c r="I26" i="1"/>
  <c r="A27" i="1"/>
  <c r="G27" i="1"/>
  <c r="I27" i="1"/>
  <c r="A28" i="1"/>
  <c r="G28" i="1"/>
  <c r="I28" i="1"/>
  <c r="A29" i="1"/>
  <c r="G29" i="1"/>
  <c r="I29" i="1"/>
  <c r="A30" i="1"/>
  <c r="G30" i="1"/>
  <c r="I30" i="1"/>
  <c r="A31" i="1"/>
  <c r="G31" i="1"/>
  <c r="I31" i="1"/>
  <c r="C32" i="1"/>
  <c r="D32" i="1"/>
  <c r="F32" i="1"/>
  <c r="G32" i="1"/>
  <c r="I32" i="1"/>
  <c r="A33" i="1"/>
  <c r="G33" i="1"/>
  <c r="I33" i="1"/>
  <c r="A34" i="1"/>
  <c r="G34" i="1"/>
  <c r="I34" i="1"/>
  <c r="A35" i="1"/>
  <c r="G35" i="1"/>
  <c r="I35" i="1"/>
  <c r="A36" i="1"/>
  <c r="D36" i="1"/>
  <c r="G36" i="1"/>
  <c r="I36" i="1"/>
  <c r="A37" i="1"/>
  <c r="G37" i="1"/>
  <c r="I37" i="1"/>
  <c r="A38" i="1"/>
  <c r="G38" i="1"/>
  <c r="I38" i="1"/>
  <c r="A39" i="1"/>
  <c r="G39" i="1"/>
  <c r="I39" i="1"/>
  <c r="A40" i="1"/>
  <c r="G40" i="1"/>
  <c r="I40" i="1"/>
  <c r="A41" i="1"/>
  <c r="G41" i="1"/>
  <c r="I41" i="1"/>
  <c r="A42" i="1"/>
  <c r="G42" i="1"/>
  <c r="I42" i="1"/>
  <c r="A43" i="1"/>
  <c r="G43" i="1"/>
  <c r="I43" i="1"/>
  <c r="A44" i="1"/>
  <c r="G44" i="1"/>
  <c r="I44" i="1"/>
  <c r="A45" i="1"/>
  <c r="G45" i="1"/>
  <c r="I45" i="1"/>
  <c r="C46" i="1"/>
  <c r="D46" i="1"/>
  <c r="F46" i="1"/>
  <c r="G46" i="1"/>
  <c r="I46" i="1"/>
  <c r="A47" i="1"/>
  <c r="D47" i="1"/>
  <c r="F47" i="1"/>
  <c r="G47" i="1"/>
  <c r="I47" i="1"/>
  <c r="A48" i="1"/>
  <c r="G48" i="1"/>
  <c r="I48" i="1"/>
  <c r="A49" i="1"/>
  <c r="F49" i="1"/>
  <c r="G49" i="1"/>
  <c r="I49" i="1"/>
  <c r="A50" i="1"/>
  <c r="F50" i="1"/>
  <c r="G50" i="1"/>
  <c r="I50" i="1"/>
  <c r="A51" i="1"/>
  <c r="G51" i="1"/>
  <c r="I51" i="1"/>
  <c r="A52" i="1"/>
  <c r="F52" i="1"/>
  <c r="G52" i="1"/>
  <c r="I52" i="1"/>
  <c r="A53" i="1"/>
  <c r="F53" i="1"/>
  <c r="G53" i="1"/>
  <c r="I53" i="1"/>
  <c r="C54" i="1"/>
  <c r="D54" i="1"/>
  <c r="F54" i="1"/>
  <c r="G54" i="1"/>
  <c r="I54" i="1"/>
  <c r="A55" i="1"/>
  <c r="G55" i="1"/>
  <c r="I55" i="1"/>
  <c r="A56" i="1"/>
  <c r="G56" i="1"/>
  <c r="I56" i="1"/>
  <c r="A57" i="1"/>
  <c r="C57" i="1"/>
  <c r="D57" i="1"/>
  <c r="F57" i="1"/>
  <c r="G57" i="1"/>
  <c r="I57" i="1"/>
  <c r="A58" i="1"/>
  <c r="F58" i="1"/>
  <c r="G58" i="1"/>
  <c r="I58" i="1"/>
  <c r="A59" i="1"/>
  <c r="G59" i="1"/>
  <c r="I59" i="1"/>
  <c r="A60" i="1"/>
  <c r="G60" i="1"/>
  <c r="I60" i="1"/>
  <c r="A61" i="1"/>
  <c r="G61" i="1"/>
  <c r="I61" i="1"/>
  <c r="A62" i="1"/>
  <c r="G62" i="1"/>
  <c r="I62" i="1"/>
  <c r="A63" i="1"/>
  <c r="G63" i="1"/>
  <c r="I63" i="1"/>
  <c r="A64" i="1"/>
  <c r="C64" i="1"/>
  <c r="G64" i="1"/>
  <c r="I64" i="1"/>
  <c r="A65" i="1"/>
  <c r="G65" i="1"/>
  <c r="I65" i="1"/>
  <c r="A66" i="1"/>
  <c r="F66" i="1"/>
  <c r="G66" i="1"/>
  <c r="I66" i="1"/>
  <c r="A67" i="1"/>
  <c r="G67" i="1"/>
  <c r="I67" i="1"/>
  <c r="A68" i="1"/>
  <c r="G68" i="1"/>
  <c r="I68" i="1"/>
  <c r="C69" i="1"/>
  <c r="D69" i="1"/>
  <c r="E69" i="1"/>
  <c r="F69" i="1"/>
  <c r="G69" i="1"/>
  <c r="H69" i="1"/>
  <c r="I69" i="1"/>
  <c r="G71" i="1"/>
  <c r="I71" i="1"/>
  <c r="G72" i="1"/>
  <c r="I72" i="1"/>
  <c r="G73" i="1"/>
  <c r="I73" i="1"/>
  <c r="G74" i="1"/>
  <c r="I74" i="1"/>
  <c r="G75" i="1"/>
  <c r="I75" i="1"/>
  <c r="G76" i="1"/>
  <c r="I76" i="1"/>
  <c r="G77" i="1"/>
  <c r="I77" i="1"/>
  <c r="G78" i="1"/>
  <c r="I78" i="1"/>
  <c r="G79" i="1"/>
  <c r="I79" i="1"/>
  <c r="G80" i="1"/>
  <c r="I80" i="1"/>
  <c r="G81" i="1"/>
  <c r="I81" i="1"/>
  <c r="G82" i="1"/>
  <c r="I82" i="1"/>
  <c r="G83" i="1"/>
  <c r="I83" i="1"/>
  <c r="G84" i="1"/>
  <c r="I84" i="1"/>
  <c r="C85" i="1"/>
  <c r="D85" i="1"/>
  <c r="F85" i="1"/>
  <c r="G85" i="1"/>
  <c r="H85" i="1"/>
  <c r="I85" i="1"/>
  <c r="A86" i="1"/>
  <c r="G86" i="1"/>
  <c r="I86" i="1"/>
  <c r="A87" i="1"/>
  <c r="G87" i="1"/>
  <c r="I87" i="1"/>
  <c r="A88" i="1"/>
  <c r="G88" i="1"/>
  <c r="I88" i="1"/>
  <c r="A89" i="1"/>
  <c r="G89" i="1"/>
  <c r="I89" i="1"/>
  <c r="C90" i="1"/>
  <c r="D90" i="1"/>
  <c r="E90" i="1"/>
  <c r="F90" i="1"/>
  <c r="G90" i="1"/>
  <c r="H90" i="1"/>
  <c r="I90" i="1"/>
  <c r="G92" i="1"/>
  <c r="I92" i="1"/>
  <c r="C94" i="1"/>
  <c r="D94" i="1"/>
  <c r="E94" i="1"/>
  <c r="F94" i="1"/>
  <c r="G94" i="1"/>
  <c r="H94" i="1"/>
  <c r="I94" i="1"/>
</calcChain>
</file>

<file path=xl/sharedStrings.xml><?xml version="1.0" encoding="utf-8"?>
<sst xmlns="http://schemas.openxmlformats.org/spreadsheetml/2006/main" count="161" uniqueCount="60">
  <si>
    <t>Enron North America</t>
  </si>
  <si>
    <t>Margin Detail</t>
  </si>
  <si>
    <t>Business Team</t>
  </si>
  <si>
    <t>Variance</t>
  </si>
  <si>
    <t xml:space="preserve">  Total East Power</t>
  </si>
  <si>
    <t xml:space="preserve">  Total West Power</t>
  </si>
  <si>
    <t xml:space="preserve">  Total Natural Gas</t>
  </si>
  <si>
    <t xml:space="preserve">  Total Canada </t>
  </si>
  <si>
    <t>Total Commercial</t>
  </si>
  <si>
    <t xml:space="preserve">    Business Analysis &amp; Reptg (Colwell)</t>
  </si>
  <si>
    <t xml:space="preserve">    Transaction Support (Colwell)</t>
  </si>
  <si>
    <t xml:space="preserve">    Canada Support (Milnthorp)</t>
  </si>
  <si>
    <t xml:space="preserve">    Energy Operations (Beck)</t>
  </si>
  <si>
    <t xml:space="preserve">    Human Resources (Oxley)</t>
  </si>
  <si>
    <t xml:space="preserve">    Legal (Haedicke)</t>
  </si>
  <si>
    <t xml:space="preserve">    Public Relations (Thoede)</t>
  </si>
  <si>
    <t xml:space="preserve">    Tax (Douglas)</t>
  </si>
  <si>
    <t xml:space="preserve">    Research (Kaminski)</t>
  </si>
  <si>
    <t xml:space="preserve">    Competitive Analysis (Tholan)</t>
  </si>
  <si>
    <t xml:space="preserve">    Treasury (Deffner)</t>
  </si>
  <si>
    <t xml:space="preserve">    Technical Services (Redmond))</t>
  </si>
  <si>
    <t xml:space="preserve">    Corp Charges and Non-Allocable</t>
  </si>
  <si>
    <t>Total Group</t>
  </si>
  <si>
    <t>North America Margin</t>
  </si>
  <si>
    <t>* LT Fundamentals, Special Assets</t>
  </si>
  <si>
    <t>Full Year Forecast</t>
  </si>
  <si>
    <t>Total</t>
  </si>
  <si>
    <t>Interest Expense/(Income)</t>
  </si>
  <si>
    <t>North America Pre-tax Income</t>
  </si>
  <si>
    <t>Expense Detail</t>
  </si>
  <si>
    <t>YTD Expenses</t>
  </si>
  <si>
    <t>YTD Margin</t>
  </si>
  <si>
    <t>Capital Charge Detail</t>
  </si>
  <si>
    <t>YTD Cap Charge</t>
  </si>
  <si>
    <t>Full Year Plan</t>
  </si>
  <si>
    <t>EBIT by Quarter</t>
  </si>
  <si>
    <t>Gross Margin by Quarter</t>
  </si>
  <si>
    <t>Expenses by Quarter</t>
  </si>
  <si>
    <t>Capital Charge by Quarter</t>
  </si>
  <si>
    <t>EBIT Detail</t>
  </si>
  <si>
    <t>YTD EBIT</t>
  </si>
  <si>
    <t>North America EBIT</t>
  </si>
  <si>
    <t>North America Cap Charge</t>
  </si>
  <si>
    <t>South America Margin</t>
  </si>
  <si>
    <t>Americas Margin</t>
  </si>
  <si>
    <t>South America EBIT</t>
  </si>
  <si>
    <t>Americas EBIT</t>
  </si>
  <si>
    <t>North America Expenses</t>
  </si>
  <si>
    <t>South America Expenses</t>
  </si>
  <si>
    <t>Americas Expenses</t>
  </si>
  <si>
    <t>Explanation of Expense Variances</t>
  </si>
  <si>
    <r>
      <t>West Power Trading</t>
    </r>
    <r>
      <rPr>
        <sz val="10"/>
        <rFont val="Arial"/>
      </rPr>
      <t>:  variance due legal fees associated with California</t>
    </r>
  </si>
  <si>
    <r>
      <t>Canada Natural Gas</t>
    </r>
    <r>
      <rPr>
        <sz val="10"/>
        <rFont val="Arial"/>
      </rPr>
      <t>:  variance due to letter of credit fees that were not included in plan</t>
    </r>
  </si>
  <si>
    <r>
      <t>East Gas Trading</t>
    </r>
    <r>
      <rPr>
        <sz val="10"/>
        <rFont val="Arial"/>
      </rPr>
      <t>:  variance due to  franchise taxes</t>
    </r>
  </si>
  <si>
    <t xml:space="preserve">    Information Technology (Pickering)</t>
  </si>
  <si>
    <t>(Without Origination Margin Plan 4Q)</t>
  </si>
  <si>
    <t>1Q Actual</t>
  </si>
  <si>
    <t>2Q Actual</t>
  </si>
  <si>
    <t>3Q Actual</t>
  </si>
  <si>
    <t>4Q Plan + known variances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</si>
</sst>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_(&quot;$&quot;* #,##0_);_(&quot;$&quot;* \(#,##0\);_(&quot;$&quot;* &quot;-&quot;??_);_(@_)"/>
    <numFmt numFmtId="166" formatCode="_(* #,##0_);_(* \(#,##0\);_(* &quot;-&quot;??_);_(@_)"/>
  </numFmts>
  <fonts count="22" x14ac:knownFonts="1">
    <font>
      <sz val="10"/>
      <name val="Arial"/>
    </font>
    <font>
      <sz val="10"/>
      <name val="Arial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sz val="8"/>
      <name val="Arial Narrow"/>
      <family val="2"/>
    </font>
    <font>
      <b/>
      <sz val="10"/>
      <color indexed="12"/>
      <name val="Arial Narrow"/>
      <family val="2"/>
    </font>
    <font>
      <b/>
      <sz val="8"/>
      <color indexed="12"/>
      <name val="Arial Narrow"/>
      <family val="2"/>
    </font>
    <font>
      <b/>
      <i/>
      <sz val="8"/>
      <name val="Arial Narrow"/>
      <family val="2"/>
    </font>
    <font>
      <b/>
      <sz val="9"/>
      <color indexed="12"/>
      <name val="Arial Narrow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sz val="9"/>
      <name val="Arial Narrow"/>
      <family val="2"/>
    </font>
    <font>
      <b/>
      <sz val="10"/>
      <name val="Arial Narrow"/>
      <family val="2"/>
    </font>
    <font>
      <sz val="12"/>
      <color indexed="8"/>
      <name val="Arial Narrow"/>
      <family val="2"/>
    </font>
    <font>
      <sz val="10"/>
      <name val="Arial"/>
    </font>
    <font>
      <sz val="11"/>
      <color indexed="8"/>
      <name val="Arial Narrow"/>
      <family val="2"/>
    </font>
    <font>
      <sz val="10"/>
      <color indexed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2">
    <xf numFmtId="0" fontId="0" fillId="0" borderId="0" xfId="0"/>
    <xf numFmtId="0" fontId="0" fillId="0" borderId="0" xfId="0" applyAlignment="1" applyProtection="1">
      <protection locked="0"/>
    </xf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0" fillId="0" borderId="0" xfId="0" applyAlignment="1"/>
    <xf numFmtId="0" fontId="3" fillId="0" borderId="0" xfId="0" applyFont="1" applyFill="1" applyAlignment="1"/>
    <xf numFmtId="0" fontId="5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0" fontId="9" fillId="2" borderId="1" xfId="0" applyFont="1" applyFill="1" applyBorder="1"/>
    <xf numFmtId="0" fontId="8" fillId="0" borderId="0" xfId="0" applyFont="1" applyAlignment="1">
      <alignment vertical="center"/>
    </xf>
    <xf numFmtId="0" fontId="9" fillId="2" borderId="2" xfId="0" applyFont="1" applyFill="1" applyBorder="1"/>
    <xf numFmtId="0" fontId="10" fillId="3" borderId="3" xfId="0" applyFont="1" applyFill="1" applyBorder="1" applyAlignment="1">
      <alignment horizontal="center"/>
    </xf>
    <xf numFmtId="0" fontId="9" fillId="2" borderId="4" xfId="0" applyFont="1" applyFill="1" applyBorder="1"/>
    <xf numFmtId="0" fontId="11" fillId="3" borderId="5" xfId="0" applyFont="1" applyFill="1" applyBorder="1" applyAlignment="1">
      <alignment horizontal="center"/>
    </xf>
    <xf numFmtId="0" fontId="11" fillId="3" borderId="6" xfId="0" applyFont="1" applyFill="1" applyBorder="1" applyAlignment="1" applyProtection="1">
      <alignment horizontal="center"/>
      <protection locked="0"/>
    </xf>
    <xf numFmtId="0" fontId="9" fillId="0" borderId="0" xfId="0" applyFont="1"/>
    <xf numFmtId="0" fontId="9" fillId="0" borderId="7" xfId="0" applyFont="1" applyBorder="1"/>
    <xf numFmtId="0" fontId="12" fillId="2" borderId="0" xfId="0" applyFont="1" applyFill="1" applyBorder="1"/>
    <xf numFmtId="165" fontId="9" fillId="0" borderId="2" xfId="2" applyNumberFormat="1" applyFont="1" applyBorder="1"/>
    <xf numFmtId="165" fontId="9" fillId="0" borderId="0" xfId="2" applyNumberFormat="1" applyFont="1" applyBorder="1"/>
    <xf numFmtId="165" fontId="9" fillId="0" borderId="8" xfId="2" applyNumberFormat="1" applyFont="1" applyBorder="1"/>
    <xf numFmtId="0" fontId="12" fillId="0" borderId="0" xfId="0" applyFont="1"/>
    <xf numFmtId="166" fontId="9" fillId="0" borderId="0" xfId="1" applyNumberFormat="1" applyFont="1" applyBorder="1"/>
    <xf numFmtId="166" fontId="9" fillId="0" borderId="2" xfId="1" applyNumberFormat="1" applyFont="1" applyBorder="1"/>
    <xf numFmtId="166" fontId="9" fillId="0" borderId="8" xfId="1" applyNumberFormat="1" applyFont="1" applyBorder="1"/>
    <xf numFmtId="0" fontId="9" fillId="2" borderId="0" xfId="0" applyFont="1" applyFill="1" applyBorder="1"/>
    <xf numFmtId="41" fontId="9" fillId="0" borderId="2" xfId="2" applyNumberFormat="1" applyFont="1" applyBorder="1" applyAlignment="1" applyProtection="1">
      <protection locked="0"/>
    </xf>
    <xf numFmtId="41" fontId="9" fillId="0" borderId="0" xfId="2" applyNumberFormat="1" applyFont="1" applyBorder="1" applyAlignment="1" applyProtection="1">
      <protection locked="0"/>
    </xf>
    <xf numFmtId="166" fontId="9" fillId="0" borderId="8" xfId="1" applyNumberFormat="1" applyFont="1" applyBorder="1" applyAlignment="1" applyProtection="1">
      <protection locked="0"/>
    </xf>
    <xf numFmtId="166" fontId="9" fillId="0" borderId="2" xfId="1" applyNumberFormat="1" applyFont="1" applyBorder="1" applyAlignment="1" applyProtection="1">
      <protection locked="0"/>
    </xf>
    <xf numFmtId="166" fontId="9" fillId="0" borderId="0" xfId="1" applyNumberFormat="1" applyFont="1" applyBorder="1" applyAlignment="1" applyProtection="1">
      <protection locked="0"/>
    </xf>
    <xf numFmtId="166" fontId="9" fillId="0" borderId="4" xfId="1" applyNumberFormat="1" applyFont="1" applyBorder="1" applyAlignment="1" applyProtection="1">
      <protection locked="0"/>
    </xf>
    <xf numFmtId="166" fontId="9" fillId="0" borderId="5" xfId="1" applyNumberFormat="1" applyFont="1" applyBorder="1" applyAlignment="1" applyProtection="1">
      <protection locked="0"/>
    </xf>
    <xf numFmtId="0" fontId="13" fillId="3" borderId="9" xfId="0" applyFont="1" applyFill="1" applyBorder="1" applyAlignment="1">
      <alignment horizontal="left" vertical="center" indent="1"/>
    </xf>
    <xf numFmtId="0" fontId="14" fillId="2" borderId="10" xfId="0" applyFont="1" applyFill="1" applyBorder="1" applyAlignment="1">
      <alignment vertical="center"/>
    </xf>
    <xf numFmtId="166" fontId="13" fillId="3" borderId="10" xfId="1" applyNumberFormat="1" applyFont="1" applyFill="1" applyBorder="1" applyAlignment="1">
      <alignment vertical="center"/>
    </xf>
    <xf numFmtId="166" fontId="13" fillId="3" borderId="11" xfId="1" applyNumberFormat="1" applyFont="1" applyFill="1" applyBorder="1" applyAlignment="1">
      <alignment vertical="center"/>
    </xf>
    <xf numFmtId="166" fontId="13" fillId="3" borderId="11" xfId="1" applyNumberFormat="1" applyFont="1" applyFill="1" applyBorder="1" applyAlignment="1" applyProtection="1">
      <alignment vertical="center"/>
      <protection locked="0"/>
    </xf>
    <xf numFmtId="166" fontId="13" fillId="3" borderId="12" xfId="1" applyNumberFormat="1" applyFont="1" applyFill="1" applyBorder="1" applyAlignment="1" applyProtection="1">
      <alignment vertical="center"/>
      <protection locked="0"/>
    </xf>
    <xf numFmtId="166" fontId="13" fillId="3" borderId="10" xfId="1" applyNumberFormat="1" applyFont="1" applyFill="1" applyBorder="1" applyAlignment="1" applyProtection="1">
      <alignment vertical="center"/>
      <protection locked="0"/>
    </xf>
    <xf numFmtId="0" fontId="15" fillId="0" borderId="0" xfId="0" applyFont="1"/>
    <xf numFmtId="41" fontId="9" fillId="0" borderId="0" xfId="2" applyNumberFormat="1" applyFont="1" applyBorder="1" applyAlignment="1" applyProtection="1">
      <alignment horizontal="left"/>
      <protection locked="0"/>
    </xf>
    <xf numFmtId="166" fontId="9" fillId="0" borderId="8" xfId="1" applyNumberFormat="1" applyFont="1" applyBorder="1" applyAlignment="1" applyProtection="1">
      <alignment horizontal="left"/>
      <protection locked="0"/>
    </xf>
    <xf numFmtId="41" fontId="9" fillId="0" borderId="2" xfId="2" applyNumberFormat="1" applyFont="1" applyBorder="1" applyAlignment="1" applyProtection="1">
      <alignment horizontal="left"/>
      <protection locked="0"/>
    </xf>
    <xf numFmtId="166" fontId="9" fillId="0" borderId="0" xfId="1" applyNumberFormat="1" applyFont="1" applyBorder="1" applyAlignment="1" applyProtection="1">
      <alignment horizontal="left"/>
      <protection locked="0"/>
    </xf>
    <xf numFmtId="166" fontId="9" fillId="0" borderId="0" xfId="0" applyNumberFormat="1" applyFont="1"/>
    <xf numFmtId="166" fontId="9" fillId="0" borderId="2" xfId="1" applyNumberFormat="1" applyFont="1" applyBorder="1" applyAlignment="1" applyProtection="1">
      <alignment horizontal="left"/>
      <protection locked="0"/>
    </xf>
    <xf numFmtId="166" fontId="13" fillId="3" borderId="12" xfId="1" applyNumberFormat="1" applyFont="1" applyFill="1" applyBorder="1" applyAlignment="1">
      <alignment vertical="center"/>
    </xf>
    <xf numFmtId="0" fontId="14" fillId="0" borderId="0" xfId="0" applyFont="1" applyAlignment="1">
      <alignment vertical="center"/>
    </xf>
    <xf numFmtId="166" fontId="16" fillId="0" borderId="0" xfId="0" applyNumberFormat="1" applyFont="1" applyAlignment="1">
      <alignment vertical="center"/>
    </xf>
    <xf numFmtId="0" fontId="9" fillId="0" borderId="7" xfId="0" applyFont="1" applyFill="1" applyBorder="1"/>
    <xf numFmtId="166" fontId="9" fillId="0" borderId="2" xfId="1" applyNumberFormat="1" applyFont="1" applyFill="1" applyBorder="1"/>
    <xf numFmtId="166" fontId="9" fillId="0" borderId="0" xfId="1" applyNumberFormat="1" applyFont="1" applyFill="1" applyBorder="1"/>
    <xf numFmtId="166" fontId="15" fillId="0" borderId="0" xfId="1" applyNumberFormat="1" applyFont="1" applyFill="1" applyBorder="1"/>
    <xf numFmtId="166" fontId="9" fillId="0" borderId="0" xfId="1" applyNumberFormat="1" applyFont="1" applyFill="1" applyBorder="1" applyAlignment="1" applyProtection="1">
      <protection locked="0"/>
    </xf>
    <xf numFmtId="166" fontId="9" fillId="0" borderId="2" xfId="1" applyNumberFormat="1" applyFont="1" applyFill="1" applyBorder="1" applyAlignment="1" applyProtection="1">
      <protection locked="0"/>
    </xf>
    <xf numFmtId="166" fontId="15" fillId="0" borderId="8" xfId="1" applyNumberFormat="1" applyFont="1" applyFill="1" applyBorder="1" applyAlignment="1" applyProtection="1">
      <protection locked="0"/>
    </xf>
    <xf numFmtId="0" fontId="9" fillId="0" borderId="13" xfId="0" applyFont="1" applyFill="1" applyBorder="1" applyAlignment="1" applyProtection="1">
      <protection locked="0"/>
    </xf>
    <xf numFmtId="0" fontId="16" fillId="0" borderId="0" xfId="0" applyFont="1" applyAlignment="1">
      <alignment vertical="center"/>
    </xf>
    <xf numFmtId="0" fontId="17" fillId="0" borderId="0" xfId="0" applyFont="1" applyAlignment="1">
      <alignment horizontal="right"/>
    </xf>
    <xf numFmtId="0" fontId="9" fillId="0" borderId="0" xfId="0" applyFont="1" applyAlignment="1" applyProtection="1">
      <protection locked="0"/>
    </xf>
    <xf numFmtId="166" fontId="0" fillId="0" borderId="0" xfId="1" applyNumberFormat="1" applyFont="1"/>
    <xf numFmtId="166" fontId="11" fillId="3" borderId="4" xfId="1" applyNumberFormat="1" applyFont="1" applyFill="1" applyBorder="1" applyAlignment="1">
      <alignment horizontal="center"/>
    </xf>
    <xf numFmtId="166" fontId="15" fillId="0" borderId="0" xfId="1" applyNumberFormat="1" applyFont="1"/>
    <xf numFmtId="166" fontId="9" fillId="0" borderId="0" xfId="1" applyNumberFormat="1" applyFont="1"/>
    <xf numFmtId="0" fontId="11" fillId="3" borderId="5" xfId="0" applyFont="1" applyFill="1" applyBorder="1" applyAlignment="1">
      <alignment horizontal="center" wrapText="1"/>
    </xf>
    <xf numFmtId="0" fontId="9" fillId="0" borderId="0" xfId="0" applyFont="1" applyBorder="1" applyAlignment="1" applyProtection="1">
      <protection locked="0"/>
    </xf>
    <xf numFmtId="166" fontId="1" fillId="0" borderId="0" xfId="1" applyNumberFormat="1"/>
    <xf numFmtId="0" fontId="1" fillId="0" borderId="0" xfId="0" applyFont="1"/>
    <xf numFmtId="0" fontId="18" fillId="0" borderId="0" xfId="0" applyFont="1" applyFill="1" applyAlignment="1">
      <alignment horizontal="center"/>
    </xf>
    <xf numFmtId="0" fontId="19" fillId="0" borderId="0" xfId="0" applyFont="1" applyAlignment="1"/>
    <xf numFmtId="0" fontId="20" fillId="0" borderId="0" xfId="0" applyFont="1" applyFill="1" applyAlignment="1">
      <alignment horizontal="center"/>
    </xf>
    <xf numFmtId="0" fontId="19" fillId="0" borderId="0" xfId="0" applyFont="1"/>
    <xf numFmtId="164" fontId="21" fillId="0" borderId="0" xfId="0" applyNumberFormat="1" applyFont="1" applyFill="1" applyAlignment="1">
      <alignment horizontal="center"/>
    </xf>
    <xf numFmtId="0" fontId="9" fillId="2" borderId="0" xfId="0" applyFont="1" applyFill="1"/>
    <xf numFmtId="166" fontId="15" fillId="0" borderId="1" xfId="1" applyNumberFormat="1" applyFont="1" applyBorder="1"/>
    <xf numFmtId="166" fontId="9" fillId="0" borderId="14" xfId="1" applyNumberFormat="1" applyFont="1" applyBorder="1"/>
    <xf numFmtId="0" fontId="17" fillId="0" borderId="14" xfId="0" applyFont="1" applyBorder="1" applyAlignment="1">
      <alignment horizontal="right"/>
    </xf>
    <xf numFmtId="0" fontId="9" fillId="0" borderId="14" xfId="0" applyFont="1" applyBorder="1" applyAlignment="1" applyProtection="1">
      <protection locked="0"/>
    </xf>
    <xf numFmtId="0" fontId="9" fillId="0" borderId="15" xfId="0" applyFont="1" applyBorder="1" applyAlignment="1" applyProtection="1">
      <protection locked="0"/>
    </xf>
    <xf numFmtId="0" fontId="9" fillId="0" borderId="8" xfId="0" applyFont="1" applyBorder="1" applyAlignment="1" applyProtection="1">
      <protection locked="0"/>
    </xf>
    <xf numFmtId="166" fontId="9" fillId="0" borderId="0" xfId="0" applyNumberFormat="1" applyFont="1" applyBorder="1" applyAlignment="1" applyProtection="1">
      <protection locked="0"/>
    </xf>
    <xf numFmtId="166" fontId="11" fillId="3" borderId="10" xfId="0" applyNumberFormat="1" applyFont="1" applyFill="1" applyBorder="1"/>
    <xf numFmtId="166" fontId="11" fillId="3" borderId="11" xfId="0" applyNumberFormat="1" applyFont="1" applyFill="1" applyBorder="1"/>
    <xf numFmtId="166" fontId="11" fillId="3" borderId="12" xfId="0" applyNumberFormat="1" applyFont="1" applyFill="1" applyBorder="1"/>
    <xf numFmtId="166" fontId="11" fillId="3" borderId="11" xfId="0" applyNumberFormat="1" applyFont="1" applyFill="1" applyBorder="1" applyAlignment="1" applyProtection="1">
      <protection locked="0"/>
    </xf>
    <xf numFmtId="166" fontId="11" fillId="3" borderId="12" xfId="0" applyNumberFormat="1" applyFont="1" applyFill="1" applyBorder="1" applyAlignment="1" applyProtection="1">
      <protection locked="0"/>
    </xf>
    <xf numFmtId="166" fontId="13" fillId="3" borderId="14" xfId="1" applyNumberFormat="1" applyFont="1" applyFill="1" applyBorder="1" applyAlignment="1" applyProtection="1">
      <alignment vertical="center"/>
      <protection locked="0"/>
    </xf>
    <xf numFmtId="166" fontId="13" fillId="3" borderId="4" xfId="1" applyNumberFormat="1" applyFont="1" applyFill="1" applyBorder="1" applyAlignment="1" applyProtection="1">
      <alignment vertical="center"/>
      <protection locked="0"/>
    </xf>
    <xf numFmtId="166" fontId="13" fillId="3" borderId="15" xfId="1" applyNumberFormat="1" applyFont="1" applyFill="1" applyBorder="1" applyAlignment="1" applyProtection="1">
      <alignment vertical="center"/>
      <protection locked="0"/>
    </xf>
    <xf numFmtId="166" fontId="13" fillId="3" borderId="5" xfId="1" applyNumberFormat="1" applyFont="1" applyFill="1" applyBorder="1" applyAlignment="1" applyProtection="1">
      <alignment vertical="center"/>
      <protection locked="0"/>
    </xf>
    <xf numFmtId="166" fontId="13" fillId="3" borderId="6" xfId="1" applyNumberFormat="1" applyFont="1" applyFill="1" applyBorder="1" applyAlignment="1" applyProtection="1">
      <alignment vertical="center"/>
      <protection locked="0"/>
    </xf>
    <xf numFmtId="166" fontId="9" fillId="0" borderId="1" xfId="1" applyNumberFormat="1" applyFont="1" applyFill="1" applyBorder="1" applyAlignment="1" applyProtection="1">
      <protection locked="0"/>
    </xf>
    <xf numFmtId="166" fontId="9" fillId="0" borderId="14" xfId="1" applyNumberFormat="1" applyFont="1" applyFill="1" applyBorder="1" applyAlignment="1" applyProtection="1">
      <protection locked="0"/>
    </xf>
    <xf numFmtId="166" fontId="15" fillId="0" borderId="15" xfId="1" applyNumberFormat="1" applyFont="1" applyFill="1" applyBorder="1" applyAlignment="1" applyProtection="1">
      <protection locked="0"/>
    </xf>
    <xf numFmtId="41" fontId="9" fillId="0" borderId="5" xfId="2" applyNumberFormat="1" applyFont="1" applyBorder="1" applyAlignment="1" applyProtection="1">
      <protection locked="0"/>
    </xf>
    <xf numFmtId="166" fontId="9" fillId="0" borderId="6" xfId="1" applyNumberFormat="1" applyFont="1" applyBorder="1" applyAlignment="1" applyProtection="1">
      <protection locked="0"/>
    </xf>
    <xf numFmtId="0" fontId="11" fillId="3" borderId="4" xfId="0" applyFont="1" applyFill="1" applyBorder="1" applyAlignment="1" applyProtection="1">
      <alignment horizontal="center" wrapText="1"/>
      <protection locked="0"/>
    </xf>
    <xf numFmtId="0" fontId="1" fillId="0" borderId="0" xfId="0" applyFont="1" applyAlignment="1"/>
    <xf numFmtId="166" fontId="9" fillId="0" borderId="16" xfId="1" applyNumberFormat="1" applyFont="1" applyBorder="1" applyAlignment="1" applyProtection="1">
      <protection locked="0"/>
    </xf>
    <xf numFmtId="166" fontId="13" fillId="3" borderId="17" xfId="1" applyNumberFormat="1" applyFont="1" applyFill="1" applyBorder="1" applyAlignment="1">
      <alignment vertical="center"/>
    </xf>
    <xf numFmtId="166" fontId="13" fillId="3" borderId="17" xfId="1" applyNumberFormat="1" applyFont="1" applyFill="1" applyBorder="1" applyAlignment="1" applyProtection="1">
      <alignment vertical="center"/>
      <protection locked="0"/>
    </xf>
    <xf numFmtId="166" fontId="9" fillId="0" borderId="18" xfId="1" applyNumberFormat="1" applyFont="1" applyBorder="1" applyAlignment="1" applyProtection="1">
      <protection locked="0"/>
    </xf>
    <xf numFmtId="166" fontId="9" fillId="0" borderId="19" xfId="1" applyNumberFormat="1" applyFont="1" applyFill="1" applyBorder="1" applyAlignment="1" applyProtection="1">
      <protection locked="0"/>
    </xf>
    <xf numFmtId="41" fontId="9" fillId="0" borderId="16" xfId="2" applyNumberFormat="1" applyFont="1" applyBorder="1" applyAlignment="1" applyProtection="1">
      <protection locked="0"/>
    </xf>
    <xf numFmtId="41" fontId="9" fillId="0" borderId="16" xfId="2" applyNumberFormat="1" applyFont="1" applyBorder="1" applyAlignment="1" applyProtection="1">
      <alignment horizontal="left"/>
      <protection locked="0"/>
    </xf>
    <xf numFmtId="41" fontId="9" fillId="0" borderId="18" xfId="2" applyNumberFormat="1" applyFont="1" applyBorder="1" applyAlignment="1" applyProtection="1">
      <protection locked="0"/>
    </xf>
    <xf numFmtId="166" fontId="13" fillId="3" borderId="18" xfId="1" applyNumberFormat="1" applyFont="1" applyFill="1" applyBorder="1" applyAlignment="1" applyProtection="1">
      <alignment vertical="center"/>
      <protection locked="0"/>
    </xf>
    <xf numFmtId="0" fontId="9" fillId="0" borderId="19" xfId="0" applyFont="1" applyBorder="1" applyAlignment="1" applyProtection="1">
      <protection locked="0"/>
    </xf>
    <xf numFmtId="0" fontId="11" fillId="3" borderId="5" xfId="0" applyFont="1" applyFill="1" applyBorder="1" applyAlignment="1" applyProtection="1">
      <alignment horizontal="center" wrapText="1"/>
      <protection locked="0"/>
    </xf>
    <xf numFmtId="166" fontId="9" fillId="0" borderId="16" xfId="1" applyNumberFormat="1" applyFont="1" applyBorder="1"/>
    <xf numFmtId="166" fontId="9" fillId="0" borderId="16" xfId="1" applyNumberFormat="1" applyFont="1" applyFill="1" applyBorder="1" applyAlignment="1" applyProtection="1">
      <protection locked="0"/>
    </xf>
    <xf numFmtId="165" fontId="9" fillId="0" borderId="16" xfId="2" applyNumberFormat="1" applyFont="1" applyBorder="1"/>
    <xf numFmtId="0" fontId="9" fillId="0" borderId="16" xfId="0" applyFont="1" applyBorder="1" applyAlignment="1" applyProtection="1">
      <protection locked="0"/>
    </xf>
    <xf numFmtId="166" fontId="11" fillId="3" borderId="10" xfId="0" applyNumberFormat="1" applyFont="1" applyFill="1" applyBorder="1" applyAlignment="1" applyProtection="1">
      <protection locked="0"/>
    </xf>
    <xf numFmtId="166" fontId="11" fillId="3" borderId="17" xfId="0" applyNumberFormat="1" applyFont="1" applyFill="1" applyBorder="1" applyAlignment="1" applyProtection="1">
      <protection locked="0"/>
    </xf>
    <xf numFmtId="0" fontId="17" fillId="0" borderId="2" xfId="0" applyFont="1" applyBorder="1" applyAlignment="1">
      <alignment horizontal="right"/>
    </xf>
    <xf numFmtId="0" fontId="9" fillId="0" borderId="0" xfId="0" applyFont="1" applyBorder="1"/>
    <xf numFmtId="166" fontId="15" fillId="0" borderId="0" xfId="1" applyNumberFormat="1" applyFont="1" applyBorder="1"/>
    <xf numFmtId="0" fontId="17" fillId="0" borderId="0" xfId="0" applyFont="1" applyBorder="1" applyAlignment="1">
      <alignment horizontal="right"/>
    </xf>
    <xf numFmtId="0" fontId="9" fillId="0" borderId="2" xfId="0" applyFont="1" applyBorder="1"/>
    <xf numFmtId="166" fontId="15" fillId="0" borderId="2" xfId="1" applyNumberFormat="1" applyFont="1" applyBorder="1"/>
    <xf numFmtId="0" fontId="13" fillId="0" borderId="0" xfId="0" applyFont="1" applyFill="1" applyBorder="1" applyAlignment="1">
      <alignment horizontal="left" vertical="center" indent="1"/>
    </xf>
    <xf numFmtId="0" fontId="14" fillId="0" borderId="0" xfId="0" applyFont="1" applyFill="1" applyBorder="1" applyAlignment="1">
      <alignment vertical="center"/>
    </xf>
    <xf numFmtId="166" fontId="13" fillId="0" borderId="1" xfId="1" applyNumberFormat="1" applyFont="1" applyFill="1" applyBorder="1" applyAlignment="1">
      <alignment vertical="center"/>
    </xf>
    <xf numFmtId="166" fontId="13" fillId="0" borderId="14" xfId="1" applyNumberFormat="1" applyFont="1" applyFill="1" applyBorder="1" applyAlignment="1">
      <alignment vertical="center"/>
    </xf>
    <xf numFmtId="166" fontId="13" fillId="0" borderId="15" xfId="1" applyNumberFormat="1" applyFont="1" applyFill="1" applyBorder="1" applyAlignment="1">
      <alignment vertical="center"/>
    </xf>
    <xf numFmtId="166" fontId="13" fillId="0" borderId="2" xfId="1" applyNumberFormat="1" applyFont="1" applyFill="1" applyBorder="1" applyAlignment="1">
      <alignment vertical="center"/>
    </xf>
    <xf numFmtId="166" fontId="13" fillId="0" borderId="0" xfId="1" applyNumberFormat="1" applyFont="1" applyFill="1" applyBorder="1" applyAlignment="1">
      <alignment vertical="center"/>
    </xf>
    <xf numFmtId="166" fontId="13" fillId="0" borderId="8" xfId="1" applyNumberFormat="1" applyFont="1" applyFill="1" applyBorder="1" applyAlignment="1">
      <alignment vertical="center"/>
    </xf>
    <xf numFmtId="0" fontId="14" fillId="2" borderId="5" xfId="0" applyFont="1" applyFill="1" applyBorder="1" applyAlignment="1">
      <alignment vertical="center"/>
    </xf>
    <xf numFmtId="0" fontId="14" fillId="2" borderId="11" xfId="0" applyFont="1" applyFill="1" applyBorder="1" applyAlignment="1">
      <alignment vertical="center"/>
    </xf>
    <xf numFmtId="0" fontId="13" fillId="0" borderId="7" xfId="0" applyFont="1" applyFill="1" applyBorder="1" applyAlignment="1">
      <alignment horizontal="left" vertical="center" indent="1"/>
    </xf>
    <xf numFmtId="0" fontId="14" fillId="2" borderId="0" xfId="0" applyFont="1" applyFill="1" applyBorder="1" applyAlignment="1">
      <alignment vertical="center"/>
    </xf>
    <xf numFmtId="0" fontId="6" fillId="0" borderId="0" xfId="0" applyFont="1"/>
    <xf numFmtId="0" fontId="9" fillId="2" borderId="11" xfId="0" applyFont="1" applyFill="1" applyBorder="1"/>
    <xf numFmtId="0" fontId="4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0" fillId="3" borderId="14" xfId="0" applyFont="1" applyFill="1" applyBorder="1" applyAlignment="1" applyProtection="1">
      <alignment horizontal="center" vertical="center"/>
      <protection locked="0"/>
    </xf>
    <xf numFmtId="0" fontId="10" fillId="3" borderId="15" xfId="0" applyFont="1" applyFill="1" applyBorder="1" applyAlignment="1" applyProtection="1">
      <alignment horizontal="center" vertical="center"/>
      <protection locked="0"/>
    </xf>
    <xf numFmtId="0" fontId="10" fillId="3" borderId="2" xfId="0" applyFont="1" applyFill="1" applyBorder="1" applyAlignment="1" applyProtection="1">
      <alignment horizontal="center" vertical="center"/>
      <protection locked="0"/>
    </xf>
    <xf numFmtId="0" fontId="10" fillId="3" borderId="0" xfId="0" applyFont="1" applyFill="1" applyBorder="1" applyAlignment="1" applyProtection="1">
      <alignment horizontal="center" vertical="center"/>
      <protection locked="0"/>
    </xf>
    <xf numFmtId="0" fontId="10" fillId="3" borderId="8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419100</xdr:colOff>
      <xdr:row>0</xdr:row>
      <xdr:rowOff>0</xdr:rowOff>
    </xdr:to>
    <xdr:sp macro="" textlink="">
      <xdr:nvSpPr>
        <xdr:cNvPr id="4097" name="Text Box 1">
          <a:extLst>
            <a:ext uri="{FF2B5EF4-FFF2-40B4-BE49-F238E27FC236}">
              <a16:creationId xmlns:a16="http://schemas.microsoft.com/office/drawing/2014/main" id="{387820A8-788F-0AC0-ED0A-D45D318F8853}"/>
            </a:ext>
          </a:extLst>
        </xdr:cNvPr>
        <xdr:cNvSpPr txBox="1">
          <a:spLocks noChangeArrowheads="1"/>
        </xdr:cNvSpPr>
      </xdr:nvSpPr>
      <xdr:spPr bwMode="auto">
        <a:xfrm>
          <a:off x="615315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28575</xdr:rowOff>
    </xdr:from>
    <xdr:to>
      <xdr:col>6</xdr:col>
      <xdr:colOff>0</xdr:colOff>
      <xdr:row>0</xdr:row>
      <xdr:rowOff>47625</xdr:rowOff>
    </xdr:to>
    <xdr:sp macro="" textlink="">
      <xdr:nvSpPr>
        <xdr:cNvPr id="4098" name="Line 2">
          <a:extLst>
            <a:ext uri="{FF2B5EF4-FFF2-40B4-BE49-F238E27FC236}">
              <a16:creationId xmlns:a16="http://schemas.microsoft.com/office/drawing/2014/main" id="{EE65F0AC-FB59-3E45-5A07-605123A3081C}"/>
            </a:ext>
          </a:extLst>
        </xdr:cNvPr>
        <xdr:cNvSpPr>
          <a:spLocks noChangeShapeType="1"/>
        </xdr:cNvSpPr>
      </xdr:nvSpPr>
      <xdr:spPr bwMode="auto">
        <a:xfrm flipH="1">
          <a:off x="9525" y="28575"/>
          <a:ext cx="4333875" cy="1905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16</xdr:col>
      <xdr:colOff>419100</xdr:colOff>
      <xdr:row>0</xdr:row>
      <xdr:rowOff>0</xdr:rowOff>
    </xdr:to>
    <xdr:sp macro="" textlink="">
      <xdr:nvSpPr>
        <xdr:cNvPr id="4099" name="Text Box 3">
          <a:extLst>
            <a:ext uri="{FF2B5EF4-FFF2-40B4-BE49-F238E27FC236}">
              <a16:creationId xmlns:a16="http://schemas.microsoft.com/office/drawing/2014/main" id="{AC5B1A12-5FB8-92C7-9465-FF81108601A1}"/>
            </a:ext>
          </a:extLst>
        </xdr:cNvPr>
        <xdr:cNvSpPr txBox="1">
          <a:spLocks noChangeArrowheads="1"/>
        </xdr:cNvSpPr>
      </xdr:nvSpPr>
      <xdr:spPr bwMode="auto">
        <a:xfrm>
          <a:off x="615315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2</xdr:col>
      <xdr:colOff>47625</xdr:colOff>
      <xdr:row>5</xdr:row>
      <xdr:rowOff>104775</xdr:rowOff>
    </xdr:from>
    <xdr:to>
      <xdr:col>8</xdr:col>
      <xdr:colOff>552450</xdr:colOff>
      <xdr:row>5</xdr:row>
      <xdr:rowOff>123825</xdr:rowOff>
    </xdr:to>
    <xdr:sp macro="" textlink="">
      <xdr:nvSpPr>
        <xdr:cNvPr id="4100" name="Line 4">
          <a:extLst>
            <a:ext uri="{FF2B5EF4-FFF2-40B4-BE49-F238E27FC236}">
              <a16:creationId xmlns:a16="http://schemas.microsoft.com/office/drawing/2014/main" id="{3D084370-3A1C-C1AC-CEC6-D4E6FFCEF53D}"/>
            </a:ext>
          </a:extLst>
        </xdr:cNvPr>
        <xdr:cNvSpPr>
          <a:spLocks noChangeShapeType="1"/>
        </xdr:cNvSpPr>
      </xdr:nvSpPr>
      <xdr:spPr bwMode="auto">
        <a:xfrm flipH="1">
          <a:off x="2038350" y="1200150"/>
          <a:ext cx="4019550" cy="1905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419100</xdr:colOff>
      <xdr:row>0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62D66EFD-C3F8-86F4-8AB5-53284367E200}"/>
            </a:ext>
          </a:extLst>
        </xdr:cNvPr>
        <xdr:cNvSpPr txBox="1">
          <a:spLocks noChangeArrowheads="1"/>
        </xdr:cNvSpPr>
      </xdr:nvSpPr>
      <xdr:spPr bwMode="auto">
        <a:xfrm>
          <a:off x="615315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28575</xdr:rowOff>
    </xdr:from>
    <xdr:to>
      <xdr:col>6</xdr:col>
      <xdr:colOff>0</xdr:colOff>
      <xdr:row>0</xdr:row>
      <xdr:rowOff>47625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0D814FB2-AC10-B1D7-59B7-18D779ECCC58}"/>
            </a:ext>
          </a:extLst>
        </xdr:cNvPr>
        <xdr:cNvSpPr>
          <a:spLocks noChangeShapeType="1"/>
        </xdr:cNvSpPr>
      </xdr:nvSpPr>
      <xdr:spPr bwMode="auto">
        <a:xfrm flipH="1">
          <a:off x="9525" y="28575"/>
          <a:ext cx="4333875" cy="1905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16</xdr:col>
      <xdr:colOff>419100</xdr:colOff>
      <xdr:row>0</xdr:row>
      <xdr:rowOff>0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3092071D-C76E-B055-37D8-4C9D8E21384E}"/>
            </a:ext>
          </a:extLst>
        </xdr:cNvPr>
        <xdr:cNvSpPr txBox="1">
          <a:spLocks noChangeArrowheads="1"/>
        </xdr:cNvSpPr>
      </xdr:nvSpPr>
      <xdr:spPr bwMode="auto">
        <a:xfrm>
          <a:off x="615315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2</xdr:col>
      <xdr:colOff>47625</xdr:colOff>
      <xdr:row>5</xdr:row>
      <xdr:rowOff>104775</xdr:rowOff>
    </xdr:from>
    <xdr:to>
      <xdr:col>8</xdr:col>
      <xdr:colOff>552450</xdr:colOff>
      <xdr:row>5</xdr:row>
      <xdr:rowOff>123825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F56005B5-C0B3-3842-6A7B-B3F57D3BF999}"/>
            </a:ext>
          </a:extLst>
        </xdr:cNvPr>
        <xdr:cNvSpPr>
          <a:spLocks noChangeShapeType="1"/>
        </xdr:cNvSpPr>
      </xdr:nvSpPr>
      <xdr:spPr bwMode="auto">
        <a:xfrm flipH="1">
          <a:off x="2038350" y="1200150"/>
          <a:ext cx="4019550" cy="1905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419100</xdr:colOff>
      <xdr:row>0</xdr:row>
      <xdr:rowOff>0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B5361D33-45C2-2429-0D3E-4CE0E8776B5F}"/>
            </a:ext>
          </a:extLst>
        </xdr:cNvPr>
        <xdr:cNvSpPr txBox="1">
          <a:spLocks noChangeArrowheads="1"/>
        </xdr:cNvSpPr>
      </xdr:nvSpPr>
      <xdr:spPr bwMode="auto">
        <a:xfrm>
          <a:off x="615315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28575</xdr:rowOff>
    </xdr:from>
    <xdr:to>
      <xdr:col>6</xdr:col>
      <xdr:colOff>0</xdr:colOff>
      <xdr:row>0</xdr:row>
      <xdr:rowOff>47625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51ED6E5A-6FCA-CBDD-D5CF-1FD2EB6F5837}"/>
            </a:ext>
          </a:extLst>
        </xdr:cNvPr>
        <xdr:cNvSpPr>
          <a:spLocks noChangeShapeType="1"/>
        </xdr:cNvSpPr>
      </xdr:nvSpPr>
      <xdr:spPr bwMode="auto">
        <a:xfrm flipH="1">
          <a:off x="9525" y="28575"/>
          <a:ext cx="4333875" cy="1905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16</xdr:col>
      <xdr:colOff>419100</xdr:colOff>
      <xdr:row>0</xdr:row>
      <xdr:rowOff>0</xdr:rowOff>
    </xdr:to>
    <xdr:sp macro="" textlink="">
      <xdr:nvSpPr>
        <xdr:cNvPr id="2051" name="Text Box 3">
          <a:extLst>
            <a:ext uri="{FF2B5EF4-FFF2-40B4-BE49-F238E27FC236}">
              <a16:creationId xmlns:a16="http://schemas.microsoft.com/office/drawing/2014/main" id="{8EA9A671-8F2B-4923-0CAE-AD9503290197}"/>
            </a:ext>
          </a:extLst>
        </xdr:cNvPr>
        <xdr:cNvSpPr txBox="1">
          <a:spLocks noChangeArrowheads="1"/>
        </xdr:cNvSpPr>
      </xdr:nvSpPr>
      <xdr:spPr bwMode="auto">
        <a:xfrm>
          <a:off x="615315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2</xdr:col>
      <xdr:colOff>47625</xdr:colOff>
      <xdr:row>5</xdr:row>
      <xdr:rowOff>104775</xdr:rowOff>
    </xdr:from>
    <xdr:to>
      <xdr:col>8</xdr:col>
      <xdr:colOff>552450</xdr:colOff>
      <xdr:row>5</xdr:row>
      <xdr:rowOff>123825</xdr:rowOff>
    </xdr:to>
    <xdr:sp macro="" textlink="">
      <xdr:nvSpPr>
        <xdr:cNvPr id="2052" name="Line 4">
          <a:extLst>
            <a:ext uri="{FF2B5EF4-FFF2-40B4-BE49-F238E27FC236}">
              <a16:creationId xmlns:a16="http://schemas.microsoft.com/office/drawing/2014/main" id="{AFFE6C68-7BBD-AE3D-C24F-6ADAF1B9E5A5}"/>
            </a:ext>
          </a:extLst>
        </xdr:cNvPr>
        <xdr:cNvSpPr>
          <a:spLocks noChangeShapeType="1"/>
        </xdr:cNvSpPr>
      </xdr:nvSpPr>
      <xdr:spPr bwMode="auto">
        <a:xfrm flipH="1">
          <a:off x="2038350" y="1200150"/>
          <a:ext cx="4019550" cy="1905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419100</xdr:colOff>
      <xdr:row>0</xdr:row>
      <xdr:rowOff>0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96612AC5-46A5-1368-2087-77650D2041F3}"/>
            </a:ext>
          </a:extLst>
        </xdr:cNvPr>
        <xdr:cNvSpPr txBox="1">
          <a:spLocks noChangeArrowheads="1"/>
        </xdr:cNvSpPr>
      </xdr:nvSpPr>
      <xdr:spPr bwMode="auto">
        <a:xfrm>
          <a:off x="615315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28575</xdr:rowOff>
    </xdr:from>
    <xdr:to>
      <xdr:col>6</xdr:col>
      <xdr:colOff>0</xdr:colOff>
      <xdr:row>0</xdr:row>
      <xdr:rowOff>47625</xdr:rowOff>
    </xdr:to>
    <xdr:sp macro="" textlink="">
      <xdr:nvSpPr>
        <xdr:cNvPr id="3074" name="Line 2">
          <a:extLst>
            <a:ext uri="{FF2B5EF4-FFF2-40B4-BE49-F238E27FC236}">
              <a16:creationId xmlns:a16="http://schemas.microsoft.com/office/drawing/2014/main" id="{6B423F97-1A32-89B8-93BF-D5706A11EB49}"/>
            </a:ext>
          </a:extLst>
        </xdr:cNvPr>
        <xdr:cNvSpPr>
          <a:spLocks noChangeShapeType="1"/>
        </xdr:cNvSpPr>
      </xdr:nvSpPr>
      <xdr:spPr bwMode="auto">
        <a:xfrm flipH="1">
          <a:off x="9525" y="28575"/>
          <a:ext cx="4333875" cy="1905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16</xdr:col>
      <xdr:colOff>419100</xdr:colOff>
      <xdr:row>0</xdr:row>
      <xdr:rowOff>0</xdr:rowOff>
    </xdr:to>
    <xdr:sp macro="" textlink="">
      <xdr:nvSpPr>
        <xdr:cNvPr id="3075" name="Text Box 3">
          <a:extLst>
            <a:ext uri="{FF2B5EF4-FFF2-40B4-BE49-F238E27FC236}">
              <a16:creationId xmlns:a16="http://schemas.microsoft.com/office/drawing/2014/main" id="{4FA8D884-297B-F100-BA22-ACEE01CB8576}"/>
            </a:ext>
          </a:extLst>
        </xdr:cNvPr>
        <xdr:cNvSpPr txBox="1">
          <a:spLocks noChangeArrowheads="1"/>
        </xdr:cNvSpPr>
      </xdr:nvSpPr>
      <xdr:spPr bwMode="auto">
        <a:xfrm>
          <a:off x="615315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2</xdr:col>
      <xdr:colOff>47625</xdr:colOff>
      <xdr:row>5</xdr:row>
      <xdr:rowOff>104775</xdr:rowOff>
    </xdr:from>
    <xdr:to>
      <xdr:col>8</xdr:col>
      <xdr:colOff>552450</xdr:colOff>
      <xdr:row>5</xdr:row>
      <xdr:rowOff>123825</xdr:rowOff>
    </xdr:to>
    <xdr:sp macro="" textlink="">
      <xdr:nvSpPr>
        <xdr:cNvPr id="3076" name="Line 4">
          <a:extLst>
            <a:ext uri="{FF2B5EF4-FFF2-40B4-BE49-F238E27FC236}">
              <a16:creationId xmlns:a16="http://schemas.microsoft.com/office/drawing/2014/main" id="{67EC1E5F-A84D-60AD-B67E-A748A8EA000F}"/>
            </a:ext>
          </a:extLst>
        </xdr:cNvPr>
        <xdr:cNvSpPr>
          <a:spLocks noChangeShapeType="1"/>
        </xdr:cNvSpPr>
      </xdr:nvSpPr>
      <xdr:spPr bwMode="auto">
        <a:xfrm flipH="1">
          <a:off x="2038350" y="1200150"/>
          <a:ext cx="4019550" cy="1905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3Q%202001/MgmtSum-3Q_2001_08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GM-WklyChnge"/>
      <sheetName val="GrossMargin"/>
      <sheetName val="WeeklyExpChange"/>
      <sheetName val="Expenses"/>
      <sheetName val="Cap Charge"/>
      <sheetName val="YTD Mgmt Summ"/>
      <sheetName val="YTD GrossMargin"/>
    </sheetNames>
    <sheetDataSet>
      <sheetData sheetId="0" refreshError="1"/>
      <sheetData sheetId="1">
        <row r="9">
          <cell r="A9" t="str">
            <v>Northeast Trading (Davis)</v>
          </cell>
        </row>
        <row r="10">
          <cell r="A10" t="str">
            <v>Northeast Origination (Llodra)</v>
          </cell>
        </row>
        <row r="11">
          <cell r="A11" t="str">
            <v>Midwest Trading (Sturm)</v>
          </cell>
        </row>
        <row r="12">
          <cell r="A12" t="str">
            <v>Midwest Origination (Baughman)</v>
          </cell>
        </row>
        <row r="13">
          <cell r="A13" t="str">
            <v xml:space="preserve">Southeast Trading (Carson) </v>
          </cell>
        </row>
        <row r="14">
          <cell r="A14" t="str">
            <v xml:space="preserve">Southeast Orig (Kroll) </v>
          </cell>
        </row>
        <row r="15">
          <cell r="A15" t="str">
            <v>ERCOT Trading (Curry)</v>
          </cell>
        </row>
        <row r="16">
          <cell r="A16" t="str">
            <v>ERCOT Orig (Curry/Smith)</v>
          </cell>
        </row>
        <row r="17">
          <cell r="A17" t="str">
            <v>Options (Arora)</v>
          </cell>
        </row>
        <row r="18">
          <cell r="A18" t="str">
            <v>Management  Book (Presto)</v>
          </cell>
        </row>
        <row r="19">
          <cell r="A19" t="str">
            <v>Services (Will)</v>
          </cell>
        </row>
        <row r="20">
          <cell r="A20" t="str">
            <v>Development (Jacoby)</v>
          </cell>
        </row>
        <row r="21">
          <cell r="A21" t="str">
            <v>Generation Investments (Duran)</v>
          </cell>
        </row>
        <row r="22">
          <cell r="A22" t="str">
            <v>Structuring/Fundamentals (Meyn/Will)</v>
          </cell>
        </row>
        <row r="24">
          <cell r="A24" t="str">
            <v>Trading (Belden)</v>
          </cell>
        </row>
        <row r="25">
          <cell r="A25" t="str">
            <v>Services (Foster/Wolfe)</v>
          </cell>
        </row>
        <row r="26">
          <cell r="A26" t="str">
            <v>Middle Market Originations (Foster)</v>
          </cell>
        </row>
        <row r="27">
          <cell r="A27" t="str">
            <v>Orginations (Thomas/McDonald)</v>
          </cell>
        </row>
        <row r="28">
          <cell r="A28" t="str">
            <v>Executive (Calger)</v>
          </cell>
        </row>
        <row r="29">
          <cell r="A29" t="str">
            <v>Generation (Parquet)</v>
          </cell>
        </row>
        <row r="30">
          <cell r="A30" t="str">
            <v>Fundamentals (Heizenreiker)</v>
          </cell>
        </row>
        <row r="32">
          <cell r="A32" t="str">
            <v>East Trading (Neal)</v>
          </cell>
        </row>
        <row r="33">
          <cell r="A33" t="str">
            <v>East Origination (Vickers)</v>
          </cell>
        </row>
        <row r="34">
          <cell r="A34" t="str">
            <v>Central Trading (Shively)</v>
          </cell>
        </row>
        <row r="35">
          <cell r="A35" t="str">
            <v>Central Origination (Luce)</v>
          </cell>
        </row>
        <row r="36">
          <cell r="A36" t="str">
            <v>Texas Trading (Martin)</v>
          </cell>
        </row>
        <row r="37">
          <cell r="A37" t="str">
            <v>Texas Origination (Redmond)</v>
          </cell>
        </row>
        <row r="38">
          <cell r="A38" t="str">
            <v>West Trading (Allen)</v>
          </cell>
        </row>
        <row r="39">
          <cell r="A39" t="str">
            <v>West Origination (Tycholiz)</v>
          </cell>
        </row>
        <row r="40">
          <cell r="A40" t="str">
            <v>Financial Gas (Arnold)</v>
          </cell>
        </row>
        <row r="41">
          <cell r="A41" t="str">
            <v>Derivative Origination (Lagrasta)</v>
          </cell>
        </row>
        <row r="42">
          <cell r="A42" t="str">
            <v>NG Structuring (McMichael)</v>
          </cell>
        </row>
        <row r="43">
          <cell r="A43" t="str">
            <v>NG Fundamentals (Gaskill)</v>
          </cell>
        </row>
        <row r="44">
          <cell r="A44" t="str">
            <v>Management</v>
          </cell>
        </row>
        <row r="46">
          <cell r="A46" t="str">
            <v>Natural Gas Trading (Zufferli)</v>
          </cell>
        </row>
        <row r="47">
          <cell r="A47" t="str">
            <v>Natural Gas Origination (LeDain)</v>
          </cell>
        </row>
        <row r="48">
          <cell r="A48" t="str">
            <v>Finance (Kitagawa)</v>
          </cell>
        </row>
        <row r="49">
          <cell r="A49" t="str">
            <v>Alberta Power Trading (Zufferli)</v>
          </cell>
        </row>
        <row r="50">
          <cell r="A50" t="str">
            <v>Alberta Power Orig (Davies)</v>
          </cell>
        </row>
        <row r="51">
          <cell r="A51" t="str">
            <v>Ontario Power (Devries)</v>
          </cell>
        </row>
        <row r="52">
          <cell r="A52" t="str">
            <v>Executive (Milnthorp)</v>
          </cell>
        </row>
        <row r="54">
          <cell r="A54" t="str">
            <v>Upstream Products (Mrha)</v>
          </cell>
        </row>
        <row r="55">
          <cell r="A55" t="str">
            <v>Bridgeline (Redmond)</v>
          </cell>
        </row>
        <row r="56">
          <cell r="A56" t="str">
            <v>HPL (Redmond)</v>
          </cell>
        </row>
        <row r="57">
          <cell r="A57" t="str">
            <v>Mexico (Irvin/Williams)</v>
          </cell>
        </row>
        <row r="58">
          <cell r="A58" t="str">
            <v>Energy Capital Svcs (Thompson/Josey)</v>
          </cell>
        </row>
        <row r="59">
          <cell r="A59" t="str">
            <v>Mariner</v>
          </cell>
        </row>
        <row r="60">
          <cell r="A60" t="str">
            <v>Asset Marketing (D. Miller)</v>
          </cell>
        </row>
        <row r="61">
          <cell r="A61" t="str">
            <v>Sold Peakers</v>
          </cell>
        </row>
        <row r="62">
          <cell r="A62" t="str">
            <v>Cross Commodity (Lavorato)</v>
          </cell>
        </row>
        <row r="63">
          <cell r="A63" t="str">
            <v>Office of the Chairman (Lavorato/Kitchen)</v>
          </cell>
        </row>
        <row r="64">
          <cell r="A64" t="str">
            <v>TVA Settlement</v>
          </cell>
        </row>
        <row r="65">
          <cell r="A65" t="str">
            <v>Other *</v>
          </cell>
        </row>
        <row r="83">
          <cell r="A83" t="str">
            <v>Prepay Expenses</v>
          </cell>
        </row>
        <row r="84">
          <cell r="A84" t="str">
            <v>U.S. Drift</v>
          </cell>
        </row>
        <row r="85">
          <cell r="A85" t="str">
            <v>Facility Costs</v>
          </cell>
        </row>
        <row r="86">
          <cell r="A86" t="str">
            <v>Capital Charge Offset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61">
          <cell r="A61" t="str">
            <v>Principal Investing (Miller)</v>
          </cell>
        </row>
        <row r="62">
          <cell r="A62" t="str">
            <v>Corporate Development (Detmering)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1"/>
  <sheetViews>
    <sheetView tabSelected="1" workbookViewId="0">
      <pane ySplit="9" topLeftCell="A10" activePane="bottomLeft" state="frozen"/>
      <selection activeCell="A5" sqref="A5"/>
      <selection pane="bottomLeft" activeCell="A6" sqref="A6"/>
    </sheetView>
  </sheetViews>
  <sheetFormatPr defaultRowHeight="12.75" x14ac:dyDescent="0.25"/>
  <cols>
    <col min="1" max="1" width="29" style="15" customWidth="1"/>
    <col min="2" max="2" width="0.85546875" style="15" customWidth="1"/>
    <col min="3" max="3" width="8.7109375" style="64" customWidth="1"/>
    <col min="4" max="4" width="8.7109375" style="15" customWidth="1"/>
    <col min="5" max="5" width="8.5703125" style="15" customWidth="1"/>
    <col min="6" max="6" width="9.28515625" style="60" customWidth="1"/>
    <col min="7" max="8" width="8.7109375" style="60" customWidth="1"/>
    <col min="9" max="9" width="8.85546875" style="60" customWidth="1"/>
    <col min="10" max="10" width="0.85546875" style="15" customWidth="1"/>
    <col min="11" max="11" width="8.7109375" style="15" customWidth="1"/>
    <col min="12" max="15" width="7.7109375" style="15" customWidth="1"/>
    <col min="16" max="17" width="8.7109375" style="15" customWidth="1"/>
    <col min="18" max="18" width="0.85546875" style="15" customWidth="1"/>
    <col min="19" max="16384" width="9.140625" style="15"/>
  </cols>
  <sheetData>
    <row r="1" spans="1:18" s="3" customFormat="1" ht="9.9499999999999993" customHeight="1" x14ac:dyDescent="0.25">
      <c r="A1"/>
      <c r="B1"/>
      <c r="C1" s="67"/>
      <c r="D1"/>
      <c r="E1"/>
      <c r="F1" s="1"/>
      <c r="G1" s="1"/>
      <c r="H1" s="1"/>
      <c r="I1" s="1"/>
      <c r="J1"/>
      <c r="K1"/>
      <c r="L1"/>
      <c r="M1"/>
      <c r="N1"/>
      <c r="O1"/>
      <c r="P1"/>
      <c r="Q1"/>
      <c r="R1" s="2"/>
    </row>
    <row r="2" spans="1:18" s="5" customFormat="1" ht="29.25" customHeight="1" x14ac:dyDescent="0.4">
      <c r="A2" s="136" t="s">
        <v>0</v>
      </c>
      <c r="B2" s="136"/>
      <c r="C2" s="136"/>
      <c r="D2" s="136"/>
      <c r="E2" s="136"/>
      <c r="F2" s="136"/>
      <c r="G2" s="136"/>
      <c r="H2" s="136"/>
      <c r="I2" s="136"/>
      <c r="J2" s="4"/>
      <c r="K2" s="4"/>
      <c r="L2" s="4"/>
      <c r="M2" s="4"/>
      <c r="N2" s="4"/>
      <c r="O2" s="4"/>
      <c r="P2" s="4"/>
      <c r="R2" s="6"/>
    </row>
    <row r="3" spans="1:18" s="3" customFormat="1" ht="15.75" customHeight="1" x14ac:dyDescent="0.3">
      <c r="A3" s="137" t="s">
        <v>35</v>
      </c>
      <c r="B3" s="137"/>
      <c r="C3" s="137"/>
      <c r="D3" s="137"/>
      <c r="E3" s="137"/>
      <c r="F3" s="137"/>
      <c r="G3" s="137"/>
      <c r="H3" s="137"/>
      <c r="I3" s="137"/>
      <c r="J3"/>
      <c r="K3"/>
      <c r="L3"/>
      <c r="M3"/>
      <c r="N3"/>
      <c r="O3"/>
      <c r="P3"/>
      <c r="R3" s="6"/>
    </row>
    <row r="4" spans="1:18" s="3" customFormat="1" ht="15.75" customHeight="1" x14ac:dyDescent="0.3">
      <c r="A4" s="137" t="s">
        <v>25</v>
      </c>
      <c r="B4" s="137"/>
      <c r="C4" s="137"/>
      <c r="D4" s="137"/>
      <c r="E4" s="137"/>
      <c r="F4" s="137"/>
      <c r="G4" s="137"/>
      <c r="H4" s="137"/>
      <c r="I4" s="137"/>
      <c r="J4"/>
      <c r="K4"/>
      <c r="L4"/>
      <c r="M4"/>
      <c r="N4"/>
      <c r="O4"/>
      <c r="P4"/>
      <c r="R4" s="6"/>
    </row>
    <row r="5" spans="1:18" s="3" customFormat="1" ht="15.75" customHeight="1" x14ac:dyDescent="0.3">
      <c r="A5" s="137" t="s">
        <v>55</v>
      </c>
      <c r="B5" s="137"/>
      <c r="C5" s="137"/>
      <c r="D5" s="137"/>
      <c r="E5" s="137"/>
      <c r="F5" s="137"/>
      <c r="G5" s="137"/>
      <c r="H5" s="137"/>
      <c r="I5" s="137"/>
      <c r="J5"/>
      <c r="K5"/>
      <c r="L5"/>
      <c r="M5"/>
      <c r="N5"/>
      <c r="O5"/>
      <c r="P5"/>
      <c r="R5" s="6"/>
    </row>
    <row r="6" spans="1:18" s="3" customFormat="1" ht="15" customHeight="1" thickBot="1" x14ac:dyDescent="0.3">
      <c r="A6"/>
      <c r="B6"/>
      <c r="C6" s="67"/>
      <c r="D6"/>
      <c r="E6"/>
      <c r="F6" s="1"/>
      <c r="G6" s="1"/>
      <c r="H6" s="1"/>
      <c r="I6" s="1"/>
      <c r="J6"/>
      <c r="K6"/>
      <c r="L6"/>
      <c r="M6"/>
      <c r="N6"/>
      <c r="O6"/>
      <c r="P6"/>
      <c r="Q6"/>
      <c r="R6" s="7"/>
    </row>
    <row r="7" spans="1:18" s="9" customFormat="1" ht="15" customHeight="1" x14ac:dyDescent="0.25">
      <c r="A7" s="150" t="s">
        <v>2</v>
      </c>
      <c r="B7" s="8"/>
      <c r="C7" s="138" t="s">
        <v>39</v>
      </c>
      <c r="D7" s="139"/>
      <c r="E7" s="139"/>
      <c r="F7" s="140"/>
      <c r="G7" s="144" t="s">
        <v>26</v>
      </c>
      <c r="H7" s="145"/>
      <c r="I7" s="146"/>
    </row>
    <row r="8" spans="1:18" s="9" customFormat="1" ht="6" customHeight="1" x14ac:dyDescent="0.25">
      <c r="A8" s="151"/>
      <c r="B8" s="10"/>
      <c r="C8" s="141"/>
      <c r="D8" s="142"/>
      <c r="E8" s="142"/>
      <c r="F8" s="143"/>
      <c r="G8" s="147"/>
      <c r="H8" s="148"/>
      <c r="I8" s="149"/>
    </row>
    <row r="9" spans="1:18" ht="42.75" customHeight="1" thickBot="1" x14ac:dyDescent="0.3">
      <c r="A9" s="11"/>
      <c r="B9" s="12"/>
      <c r="C9" s="62" t="s">
        <v>56</v>
      </c>
      <c r="D9" s="13" t="s">
        <v>57</v>
      </c>
      <c r="E9" s="65" t="s">
        <v>58</v>
      </c>
      <c r="F9" s="109" t="s">
        <v>59</v>
      </c>
      <c r="G9" s="97" t="s">
        <v>40</v>
      </c>
      <c r="H9" s="109" t="s">
        <v>34</v>
      </c>
      <c r="I9" s="14" t="s">
        <v>3</v>
      </c>
    </row>
    <row r="10" spans="1:18" s="21" customFormat="1" ht="12.75" customHeight="1" x14ac:dyDescent="0.25">
      <c r="A10" s="16" t="str">
        <f>'[1]QTD Mgmt Summary'!A9</f>
        <v>Northeast Trading (Davis)</v>
      </c>
      <c r="B10" s="17"/>
      <c r="C10" s="19">
        <f>GrossMargin!C10-Expenses!C10-'Cap Charge'!C10</f>
        <v>28657</v>
      </c>
      <c r="D10" s="19">
        <f>GrossMargin!D10-Expenses!D10-'Cap Charge'!D10</f>
        <v>123969</v>
      </c>
      <c r="E10" s="19">
        <f>GrossMargin!E10-Expenses!E10-'Cap Charge'!E10</f>
        <v>15486</v>
      </c>
      <c r="F10" s="19">
        <f>GrossMargin!F10-Expenses!F10-'Cap Charge'!F10</f>
        <v>11655</v>
      </c>
      <c r="G10" s="18">
        <f>GrossMargin!G10-Expenses!G10-'Cap Charge'!G10</f>
        <v>179767</v>
      </c>
      <c r="H10" s="112">
        <f>GrossMargin!H10-Expenses!H10-'Cap Charge'!H10</f>
        <v>46691</v>
      </c>
      <c r="I10" s="20">
        <f>G10-H10</f>
        <v>133076</v>
      </c>
    </row>
    <row r="11" spans="1:18" s="21" customFormat="1" ht="12.75" customHeight="1" x14ac:dyDescent="0.25">
      <c r="A11" s="16" t="str">
        <f>'[1]QTD Mgmt Summary'!A10</f>
        <v>Northeast Origination (Llodra)</v>
      </c>
      <c r="B11" s="17"/>
      <c r="C11" s="23">
        <f>GrossMargin!C11-Expenses!C11-'Cap Charge'!C11</f>
        <v>9142</v>
      </c>
      <c r="D11" s="22">
        <f>GrossMargin!D11-Expenses!D11-'Cap Charge'!D11</f>
        <v>-722</v>
      </c>
      <c r="E11" s="22">
        <f>GrossMargin!E11-Expenses!E11-'Cap Charge'!E11</f>
        <v>-261</v>
      </c>
      <c r="F11" s="22">
        <f>GrossMargin!F11-Expenses!F11-'Cap Charge'!F11</f>
        <v>-999</v>
      </c>
      <c r="G11" s="23">
        <f>GrossMargin!G11-Expenses!G11-'Cap Charge'!G11</f>
        <v>7160</v>
      </c>
      <c r="H11" s="110">
        <f>GrossMargin!H11-Expenses!H11-'Cap Charge'!H11</f>
        <v>25895</v>
      </c>
      <c r="I11" s="24">
        <f t="shared" ref="I11:I23" si="0">G11-H11</f>
        <v>-18735</v>
      </c>
    </row>
    <row r="12" spans="1:18" ht="12.75" customHeight="1" x14ac:dyDescent="0.25">
      <c r="A12" s="16" t="str">
        <f>'[1]QTD Mgmt Summary'!A11</f>
        <v>Midwest Trading (Sturm)</v>
      </c>
      <c r="B12" s="25"/>
      <c r="C12" s="29">
        <f>GrossMargin!C12-Expenses!C12-'Cap Charge'!C12</f>
        <v>300</v>
      </c>
      <c r="D12" s="22">
        <f>GrossMargin!D12-Expenses!D12-'Cap Charge'!D12</f>
        <v>124589</v>
      </c>
      <c r="E12" s="22">
        <f>GrossMargin!E12-Expenses!E12-'Cap Charge'!E12</f>
        <v>-31488</v>
      </c>
      <c r="F12" s="27">
        <f>GrossMargin!F12-Expenses!F12-'Cap Charge'!F12</f>
        <v>12000</v>
      </c>
      <c r="G12" s="29">
        <f>GrossMargin!G12-Expenses!G12-'Cap Charge'!G12</f>
        <v>105401</v>
      </c>
      <c r="H12" s="99">
        <f>GrossMargin!H12-Expenses!H12-'Cap Charge'!H12</f>
        <v>47820</v>
      </c>
      <c r="I12" s="24">
        <f t="shared" si="0"/>
        <v>57581</v>
      </c>
    </row>
    <row r="13" spans="1:18" ht="12.75" customHeight="1" x14ac:dyDescent="0.25">
      <c r="A13" s="16" t="str">
        <f>'[1]QTD Mgmt Summary'!A12</f>
        <v>Midwest Origination (Baughman)</v>
      </c>
      <c r="B13" s="25"/>
      <c r="C13" s="29">
        <f>GrossMargin!C13-Expenses!C13-'Cap Charge'!C13</f>
        <v>1317</v>
      </c>
      <c r="D13" s="22">
        <f>GrossMargin!D13-Expenses!D13-'Cap Charge'!D13</f>
        <v>2684</v>
      </c>
      <c r="E13" s="22">
        <f>GrossMargin!E13-Expenses!E13-'Cap Charge'!E13</f>
        <v>-50</v>
      </c>
      <c r="F13" s="27">
        <f>GrossMargin!F13-Expenses!F13-'Cap Charge'!F13</f>
        <v>-933</v>
      </c>
      <c r="G13" s="29">
        <f>GrossMargin!G13-Expenses!G13-'Cap Charge'!G13</f>
        <v>3018</v>
      </c>
      <c r="H13" s="99">
        <f>GrossMargin!H13-Expenses!H13-'Cap Charge'!H13</f>
        <v>26105</v>
      </c>
      <c r="I13" s="24">
        <f t="shared" si="0"/>
        <v>-23087</v>
      </c>
    </row>
    <row r="14" spans="1:18" ht="12.75" customHeight="1" x14ac:dyDescent="0.25">
      <c r="A14" s="16" t="str">
        <f>'[1]QTD Mgmt Summary'!A13</f>
        <v xml:space="preserve">Southeast Trading (Carson) </v>
      </c>
      <c r="B14" s="25"/>
      <c r="C14" s="29">
        <f>GrossMargin!C14-Expenses!C14-'Cap Charge'!C14</f>
        <v>9368</v>
      </c>
      <c r="D14" s="22">
        <f>GrossMargin!D14-Expenses!D14-'Cap Charge'!D14</f>
        <v>487</v>
      </c>
      <c r="E14" s="22">
        <f>GrossMargin!E14-Expenses!E14-'Cap Charge'!E14</f>
        <v>-3216.9110000000001</v>
      </c>
      <c r="F14" s="27">
        <f>GrossMargin!F14-Expenses!F14-'Cap Charge'!F14</f>
        <v>7025</v>
      </c>
      <c r="G14" s="29">
        <f>GrossMargin!G14-Expenses!G14-'Cap Charge'!G14</f>
        <v>13663.089</v>
      </c>
      <c r="H14" s="99">
        <f>GrossMargin!H14-Expenses!H14-'Cap Charge'!H14</f>
        <v>48107</v>
      </c>
      <c r="I14" s="24">
        <f t="shared" si="0"/>
        <v>-34443.911</v>
      </c>
    </row>
    <row r="15" spans="1:18" ht="12.75" customHeight="1" x14ac:dyDescent="0.25">
      <c r="A15" s="16" t="str">
        <f>'[1]QTD Mgmt Summary'!A14</f>
        <v xml:space="preserve">Southeast Orig (Kroll) </v>
      </c>
      <c r="B15" s="25"/>
      <c r="C15" s="29">
        <f>GrossMargin!C15-Expenses!C15-'Cap Charge'!C15</f>
        <v>7101</v>
      </c>
      <c r="D15" s="22">
        <f>GrossMargin!D15-Expenses!D15-'Cap Charge'!D15</f>
        <v>-976</v>
      </c>
      <c r="E15" s="22">
        <f>GrossMargin!E15-Expenses!E15-'Cap Charge'!E15</f>
        <v>792</v>
      </c>
      <c r="F15" s="27">
        <f>GrossMargin!F15-Expenses!F15-'Cap Charge'!F15</f>
        <v>-952</v>
      </c>
      <c r="G15" s="29">
        <f>GrossMargin!G15-Expenses!G15-'Cap Charge'!G15</f>
        <v>5965</v>
      </c>
      <c r="H15" s="99">
        <f>GrossMargin!H15-Expenses!H15-'Cap Charge'!H15</f>
        <v>26205</v>
      </c>
      <c r="I15" s="24">
        <f t="shared" si="0"/>
        <v>-20240</v>
      </c>
    </row>
    <row r="16" spans="1:18" ht="12.75" customHeight="1" x14ac:dyDescent="0.25">
      <c r="A16" s="16" t="str">
        <f>'[1]QTD Mgmt Summary'!A15</f>
        <v>ERCOT Trading (Curry)</v>
      </c>
      <c r="B16" s="25"/>
      <c r="C16" s="29">
        <f>GrossMargin!C16-Expenses!C16-'Cap Charge'!C16</f>
        <v>2852</v>
      </c>
      <c r="D16" s="22">
        <f>GrossMargin!D16-Expenses!D16-'Cap Charge'!D16</f>
        <v>2601</v>
      </c>
      <c r="E16" s="22">
        <f>GrossMargin!E16-Expenses!E16-'Cap Charge'!E16</f>
        <v>20878</v>
      </c>
      <c r="F16" s="27">
        <f>GrossMargin!F16-Expenses!F16-'Cap Charge'!F16</f>
        <v>4175</v>
      </c>
      <c r="G16" s="29">
        <f>GrossMargin!G16-Expenses!G16-'Cap Charge'!G16</f>
        <v>30506</v>
      </c>
      <c r="H16" s="99">
        <f>GrossMargin!H16-Expenses!H16-'Cap Charge'!H16</f>
        <v>16620</v>
      </c>
      <c r="I16" s="24">
        <f t="shared" si="0"/>
        <v>13886</v>
      </c>
    </row>
    <row r="17" spans="1:9" ht="12.75" customHeight="1" x14ac:dyDescent="0.25">
      <c r="A17" s="16" t="str">
        <f>'[1]QTD Mgmt Summary'!A16</f>
        <v>ERCOT Orig (Curry/Smith)</v>
      </c>
      <c r="B17" s="25"/>
      <c r="C17" s="29">
        <f>GrossMargin!C17-Expenses!C17-'Cap Charge'!C17</f>
        <v>-218</v>
      </c>
      <c r="D17" s="22">
        <f>GrossMargin!D17-Expenses!D17-'Cap Charge'!D17</f>
        <v>2066</v>
      </c>
      <c r="E17" s="22">
        <f>GrossMargin!E17-Expenses!E17-'Cap Charge'!E17</f>
        <v>17849</v>
      </c>
      <c r="F17" s="27">
        <f>GrossMargin!F17-Expenses!F17-'Cap Charge'!F17</f>
        <v>-727</v>
      </c>
      <c r="G17" s="29">
        <f>GrossMargin!G17-Expenses!G17-'Cap Charge'!G17</f>
        <v>18970</v>
      </c>
      <c r="H17" s="99">
        <f>GrossMargin!H17-Expenses!H17-'Cap Charge'!H17</f>
        <v>14422</v>
      </c>
      <c r="I17" s="24">
        <f t="shared" si="0"/>
        <v>4548</v>
      </c>
    </row>
    <row r="18" spans="1:9" ht="12.75" customHeight="1" x14ac:dyDescent="0.25">
      <c r="A18" s="16" t="str">
        <f>'[1]QTD Mgmt Summary'!A17</f>
        <v>Options (Arora)</v>
      </c>
      <c r="B18" s="25"/>
      <c r="C18" s="29">
        <f>GrossMargin!C18-Expenses!C18-'Cap Charge'!C18</f>
        <v>-54</v>
      </c>
      <c r="D18" s="22">
        <f>GrossMargin!D18-Expenses!D18-'Cap Charge'!D18</f>
        <v>21903</v>
      </c>
      <c r="E18" s="22">
        <f>GrossMargin!E18-Expenses!E18-'Cap Charge'!E18</f>
        <v>1539</v>
      </c>
      <c r="F18" s="27">
        <f>GrossMargin!F18-Expenses!F18-'Cap Charge'!F18</f>
        <v>0</v>
      </c>
      <c r="G18" s="29">
        <f>GrossMargin!G18-Expenses!G18-'Cap Charge'!G18</f>
        <v>23388</v>
      </c>
      <c r="H18" s="99">
        <f>GrossMargin!H18-Expenses!H18-'Cap Charge'!H18</f>
        <v>0</v>
      </c>
      <c r="I18" s="24">
        <f t="shared" si="0"/>
        <v>23388</v>
      </c>
    </row>
    <row r="19" spans="1:9" ht="12.75" customHeight="1" x14ac:dyDescent="0.25">
      <c r="A19" s="16" t="str">
        <f>'[1]QTD Mgmt Summary'!A18</f>
        <v>Management  Book (Presto)</v>
      </c>
      <c r="B19" s="25"/>
      <c r="C19" s="29">
        <f>GrossMargin!C19-Expenses!C19-'Cap Charge'!C19</f>
        <v>-5638</v>
      </c>
      <c r="D19" s="22">
        <f>GrossMargin!D19-Expenses!D19-'Cap Charge'!D19</f>
        <v>77970</v>
      </c>
      <c r="E19" s="22">
        <f>GrossMargin!E19-Expenses!E19-'Cap Charge'!E19</f>
        <v>-36856</v>
      </c>
      <c r="F19" s="27">
        <f>GrossMargin!F19-Expenses!F19-'Cap Charge'!F19</f>
        <v>-1372</v>
      </c>
      <c r="G19" s="29">
        <f>GrossMargin!G19-Expenses!G19-'Cap Charge'!G19</f>
        <v>34104</v>
      </c>
      <c r="H19" s="99">
        <f>GrossMargin!H19-Expenses!H19-'Cap Charge'!H19</f>
        <v>-5916</v>
      </c>
      <c r="I19" s="24">
        <f t="shared" si="0"/>
        <v>40020</v>
      </c>
    </row>
    <row r="20" spans="1:9" ht="12.75" customHeight="1" x14ac:dyDescent="0.25">
      <c r="A20" s="16" t="str">
        <f>'[1]QTD Mgmt Summary'!A19</f>
        <v>Services (Will)</v>
      </c>
      <c r="B20" s="25"/>
      <c r="C20" s="29">
        <f>GrossMargin!C20-Expenses!C20-'Cap Charge'!C20</f>
        <v>0</v>
      </c>
      <c r="D20" s="22">
        <f>GrossMargin!D20-Expenses!D20-'Cap Charge'!D20</f>
        <v>1078</v>
      </c>
      <c r="E20" s="22">
        <f>GrossMargin!E20-Expenses!E20-'Cap Charge'!E20</f>
        <v>48</v>
      </c>
      <c r="F20" s="27">
        <f>GrossMargin!F20-Expenses!F20-'Cap Charge'!F20</f>
        <v>0</v>
      </c>
      <c r="G20" s="29">
        <f>GrossMargin!G20-Expenses!G20-'Cap Charge'!G20</f>
        <v>1126</v>
      </c>
      <c r="H20" s="99">
        <f>GrossMargin!H20-Expenses!H20-'Cap Charge'!H20</f>
        <v>0</v>
      </c>
      <c r="I20" s="24">
        <f t="shared" si="0"/>
        <v>1126</v>
      </c>
    </row>
    <row r="21" spans="1:9" ht="12.75" customHeight="1" x14ac:dyDescent="0.25">
      <c r="A21" s="16" t="str">
        <f>'[1]QTD Mgmt Summary'!A20</f>
        <v>Development (Jacoby)</v>
      </c>
      <c r="B21" s="25"/>
      <c r="C21" s="29">
        <f>GrossMargin!C21-Expenses!C21-'Cap Charge'!C21</f>
        <v>3703</v>
      </c>
      <c r="D21" s="22">
        <f>GrossMargin!D21-Expenses!D21-'Cap Charge'!D21</f>
        <v>6094</v>
      </c>
      <c r="E21" s="22">
        <f>GrossMargin!E21-Expenses!E21-'Cap Charge'!E21</f>
        <v>234.72499999999999</v>
      </c>
      <c r="F21" s="27">
        <f>GrossMargin!F21-Expenses!F21-'Cap Charge'!F21</f>
        <v>3502</v>
      </c>
      <c r="G21" s="29">
        <f>GrossMargin!G21-Expenses!G21-'Cap Charge'!G21</f>
        <v>13533.725</v>
      </c>
      <c r="H21" s="99">
        <f>GrossMargin!H21-Expenses!H21-'Cap Charge'!H21</f>
        <v>14630</v>
      </c>
      <c r="I21" s="24">
        <f t="shared" si="0"/>
        <v>-1096.2749999999996</v>
      </c>
    </row>
    <row r="22" spans="1:9" ht="12.75" customHeight="1" x14ac:dyDescent="0.25">
      <c r="A22" s="16" t="str">
        <f>'[1]QTD Mgmt Summary'!A21</f>
        <v>Generation Investments (Duran)</v>
      </c>
      <c r="B22" s="25"/>
      <c r="C22" s="29">
        <f>GrossMargin!C22-Expenses!C22-'Cap Charge'!C22</f>
        <v>-10674</v>
      </c>
      <c r="D22" s="22">
        <f>GrossMargin!D22-Expenses!D22-'Cap Charge'!D22</f>
        <v>-10551</v>
      </c>
      <c r="E22" s="22">
        <f>GrossMargin!E22-Expenses!E22-'Cap Charge'!E22</f>
        <v>-24616</v>
      </c>
      <c r="F22" s="27">
        <f>GrossMargin!F22-Expenses!F22-'Cap Charge'!F22</f>
        <v>1916</v>
      </c>
      <c r="G22" s="29">
        <f>GrossMargin!G22-Expenses!G22-'Cap Charge'!G22</f>
        <v>-43925</v>
      </c>
      <c r="H22" s="99">
        <f>GrossMargin!H22-Expenses!H22-'Cap Charge'!H22</f>
        <v>9134</v>
      </c>
      <c r="I22" s="24">
        <f t="shared" si="0"/>
        <v>-53059</v>
      </c>
    </row>
    <row r="23" spans="1:9" ht="12.75" customHeight="1" thickBot="1" x14ac:dyDescent="0.3">
      <c r="A23" s="16" t="str">
        <f>'[1]QTD Mgmt Summary'!A22</f>
        <v>Structuring/Fundamentals (Meyn/Will)</v>
      </c>
      <c r="B23" s="25"/>
      <c r="C23" s="29">
        <f>GrossMargin!C23-Expenses!C23-'Cap Charge'!C23</f>
        <v>-1109</v>
      </c>
      <c r="D23" s="22">
        <f>GrossMargin!D23-Expenses!D23-'Cap Charge'!D23</f>
        <v>-1131</v>
      </c>
      <c r="E23" s="22">
        <f>GrossMargin!E23-Expenses!E23-'Cap Charge'!E23</f>
        <v>-1714</v>
      </c>
      <c r="F23" s="27">
        <f>GrossMargin!F23-Expenses!F23-'Cap Charge'!F23</f>
        <v>-1404</v>
      </c>
      <c r="G23" s="31">
        <f>GrossMargin!G23-Expenses!G23-'Cap Charge'!G23</f>
        <v>-5358</v>
      </c>
      <c r="H23" s="102">
        <f>GrossMargin!H23-Expenses!H23-'Cap Charge'!H23</f>
        <v>-5740</v>
      </c>
      <c r="I23" s="24">
        <f t="shared" si="0"/>
        <v>382</v>
      </c>
    </row>
    <row r="24" spans="1:9" s="40" customFormat="1" ht="12.75" customHeight="1" thickBot="1" x14ac:dyDescent="0.3">
      <c r="A24" s="33" t="s">
        <v>4</v>
      </c>
      <c r="B24" s="34"/>
      <c r="C24" s="35">
        <f>SUM(C10:C23)</f>
        <v>44747</v>
      </c>
      <c r="D24" s="36">
        <f t="shared" ref="D24:I24" si="1">SUM(D10:D23)</f>
        <v>350061</v>
      </c>
      <c r="E24" s="36">
        <f t="shared" si="1"/>
        <v>-41375.186000000002</v>
      </c>
      <c r="F24" s="37">
        <f t="shared" si="1"/>
        <v>33886</v>
      </c>
      <c r="G24" s="39">
        <f t="shared" si="1"/>
        <v>387318.81399999995</v>
      </c>
      <c r="H24" s="101">
        <f t="shared" si="1"/>
        <v>263973</v>
      </c>
      <c r="I24" s="38">
        <f t="shared" si="1"/>
        <v>123345.81400000001</v>
      </c>
    </row>
    <row r="25" spans="1:9" ht="12.75" customHeight="1" x14ac:dyDescent="0.25">
      <c r="A25" s="16" t="str">
        <f>'[1]QTD Mgmt Summary'!A24</f>
        <v>Trading (Belden)</v>
      </c>
      <c r="B25" s="10"/>
      <c r="C25" s="23">
        <f>GrossMargin!C25-Expenses!C25-'Cap Charge'!C25</f>
        <v>356341</v>
      </c>
      <c r="D25" s="27">
        <f>GrossMargin!D25-Expenses!D25-'Cap Charge'!D25</f>
        <v>210541</v>
      </c>
      <c r="E25" s="22">
        <f>GrossMargin!E25-Expenses!E25-'Cap Charge'!E25</f>
        <v>148557</v>
      </c>
      <c r="F25" s="27">
        <f>GrossMargin!F25-Expenses!F25-'Cap Charge'!F25</f>
        <v>59914</v>
      </c>
      <c r="G25" s="26">
        <f>GrossMargin!G25-Expenses!G25-'Cap Charge'!G25</f>
        <v>775353</v>
      </c>
      <c r="H25" s="99">
        <f>GrossMargin!H25-Expenses!H25-'Cap Charge'!H25</f>
        <v>239368</v>
      </c>
      <c r="I25" s="28">
        <f t="shared" ref="I25:I31" si="2">G25-H25</f>
        <v>535985</v>
      </c>
    </row>
    <row r="26" spans="1:9" ht="12.75" customHeight="1" x14ac:dyDescent="0.25">
      <c r="A26" s="16" t="str">
        <f>'[1]QTD Mgmt Summary'!A25</f>
        <v>Services (Foster/Wolfe)</v>
      </c>
      <c r="B26" s="10"/>
      <c r="C26" s="23">
        <f>GrossMargin!C26-Expenses!C26-'Cap Charge'!C26</f>
        <v>-115</v>
      </c>
      <c r="D26" s="27">
        <f>GrossMargin!D26-Expenses!D26-'Cap Charge'!D26</f>
        <v>-120</v>
      </c>
      <c r="E26" s="22">
        <f>GrossMargin!E26-Expenses!E26-'Cap Charge'!E26</f>
        <v>-92</v>
      </c>
      <c r="F26" s="27">
        <f>GrossMargin!F26-Expenses!F26-'Cap Charge'!F26</f>
        <v>-134</v>
      </c>
      <c r="G26" s="26">
        <f>GrossMargin!G26-Expenses!G26-'Cap Charge'!G26</f>
        <v>-461</v>
      </c>
      <c r="H26" s="99">
        <f>GrossMargin!H26-Expenses!H26-'Cap Charge'!H26</f>
        <v>-548</v>
      </c>
      <c r="I26" s="28">
        <f t="shared" si="2"/>
        <v>87</v>
      </c>
    </row>
    <row r="27" spans="1:9" ht="12.75" customHeight="1" x14ac:dyDescent="0.25">
      <c r="A27" s="16" t="str">
        <f>'[1]QTD Mgmt Summary'!A26</f>
        <v>Middle Market Originations (Foster)</v>
      </c>
      <c r="B27" s="10"/>
      <c r="C27" s="23">
        <f>GrossMargin!C27-Expenses!C27-'Cap Charge'!C27</f>
        <v>10416</v>
      </c>
      <c r="D27" s="27">
        <f>GrossMargin!D27-Expenses!D27-'Cap Charge'!D27</f>
        <v>26773</v>
      </c>
      <c r="E27" s="22">
        <f>GrossMargin!E27-Expenses!E27-'Cap Charge'!E27</f>
        <v>14560</v>
      </c>
      <c r="F27" s="27">
        <f>GrossMargin!F27-Expenses!F27-'Cap Charge'!F27</f>
        <v>-293</v>
      </c>
      <c r="G27" s="26">
        <f>GrossMargin!G27-Expenses!G27-'Cap Charge'!G27</f>
        <v>51456</v>
      </c>
      <c r="H27" s="99">
        <f>GrossMargin!H27-Expenses!H27-'Cap Charge'!H27</f>
        <v>48828</v>
      </c>
      <c r="I27" s="28">
        <f t="shared" si="2"/>
        <v>2628</v>
      </c>
    </row>
    <row r="28" spans="1:9" ht="12.75" customHeight="1" x14ac:dyDescent="0.25">
      <c r="A28" s="16" t="str">
        <f>'[1]QTD Mgmt Summary'!A27</f>
        <v>Orginations (Thomas/McDonald)</v>
      </c>
      <c r="B28" s="10"/>
      <c r="C28" s="23">
        <f>GrossMargin!C28-Expenses!C28-'Cap Charge'!C28</f>
        <v>-1131</v>
      </c>
      <c r="D28" s="27">
        <f>GrossMargin!D28-Expenses!D28-'Cap Charge'!D28</f>
        <v>34773</v>
      </c>
      <c r="E28" s="22">
        <f>GrossMargin!E28-Expenses!E28-'Cap Charge'!E28</f>
        <v>2426.46</v>
      </c>
      <c r="F28" s="27">
        <f>GrossMargin!F28-Expenses!F28-'Cap Charge'!F28</f>
        <v>-2421</v>
      </c>
      <c r="G28" s="26">
        <f>GrossMargin!G28-Expenses!G28-'Cap Charge'!G28</f>
        <v>33647.46</v>
      </c>
      <c r="H28" s="99">
        <f>GrossMargin!H28-Expenses!H28-'Cap Charge'!H28</f>
        <v>52094</v>
      </c>
      <c r="I28" s="28">
        <f t="shared" si="2"/>
        <v>-18446.54</v>
      </c>
    </row>
    <row r="29" spans="1:9" ht="12.75" customHeight="1" x14ac:dyDescent="0.25">
      <c r="A29" s="16" t="str">
        <f>'[1]QTD Mgmt Summary'!A28</f>
        <v>Executive (Calger)</v>
      </c>
      <c r="B29" s="10"/>
      <c r="C29" s="23">
        <f>GrossMargin!C29-Expenses!C29-'Cap Charge'!C29</f>
        <v>-5510</v>
      </c>
      <c r="D29" s="27">
        <f>GrossMargin!D29-Expenses!D29-'Cap Charge'!D29</f>
        <v>10330</v>
      </c>
      <c r="E29" s="22">
        <f>GrossMargin!E29-Expenses!E29-'Cap Charge'!E29</f>
        <v>430</v>
      </c>
      <c r="F29" s="27">
        <f>GrossMargin!F29-Expenses!F29-'Cap Charge'!F29</f>
        <v>4720</v>
      </c>
      <c r="G29" s="26">
        <f>GrossMargin!G29-Expenses!G29-'Cap Charge'!G29</f>
        <v>9970</v>
      </c>
      <c r="H29" s="99">
        <f>GrossMargin!H29-Expenses!H29-'Cap Charge'!H29</f>
        <v>11126</v>
      </c>
      <c r="I29" s="28">
        <f t="shared" si="2"/>
        <v>-1156</v>
      </c>
    </row>
    <row r="30" spans="1:9" ht="12.75" customHeight="1" x14ac:dyDescent="0.25">
      <c r="A30" s="16" t="str">
        <f>'[1]QTD Mgmt Summary'!A29</f>
        <v>Generation (Parquet)</v>
      </c>
      <c r="B30" s="10"/>
      <c r="C30" s="23">
        <f>GrossMargin!C30-Expenses!C30-'Cap Charge'!C30</f>
        <v>-3336</v>
      </c>
      <c r="D30" s="27">
        <f>GrossMargin!D30-Expenses!D30-'Cap Charge'!D30</f>
        <v>54050</v>
      </c>
      <c r="E30" s="22">
        <f>GrossMargin!E30-Expenses!E30-'Cap Charge'!E30</f>
        <v>-4358</v>
      </c>
      <c r="F30" s="27">
        <f>GrossMargin!F30-Expenses!F30-'Cap Charge'!F30</f>
        <v>-4965</v>
      </c>
      <c r="G30" s="26">
        <f>GrossMargin!G30-Expenses!G30-'Cap Charge'!G30</f>
        <v>41391</v>
      </c>
      <c r="H30" s="99">
        <f>GrossMargin!H30-Expenses!H30-'Cap Charge'!H30</f>
        <v>30784</v>
      </c>
      <c r="I30" s="28">
        <f t="shared" si="2"/>
        <v>10607</v>
      </c>
    </row>
    <row r="31" spans="1:9" ht="12.75" customHeight="1" thickBot="1" x14ac:dyDescent="0.3">
      <c r="A31" s="16" t="str">
        <f>'[1]QTD Mgmt Summary'!A30</f>
        <v>Fundamentals (Heizenreiker)</v>
      </c>
      <c r="B31" s="10"/>
      <c r="C31" s="23">
        <f>GrossMargin!C31-Expenses!C31-'Cap Charge'!C31</f>
        <v>-172</v>
      </c>
      <c r="D31" s="30">
        <f>GrossMargin!D31-Expenses!D31-'Cap Charge'!D31</f>
        <v>-187</v>
      </c>
      <c r="E31" s="22">
        <f>GrossMargin!E31-Expenses!E31-'Cap Charge'!E31</f>
        <v>-246</v>
      </c>
      <c r="F31" s="27">
        <f>GrossMargin!F31-Expenses!F31-'Cap Charge'!F31</f>
        <v>-261</v>
      </c>
      <c r="G31" s="26">
        <f>GrossMargin!G31-Expenses!G31-'Cap Charge'!G31</f>
        <v>-866</v>
      </c>
      <c r="H31" s="99">
        <f>GrossMargin!H31-Expenses!H31-'Cap Charge'!H31</f>
        <v>-1080</v>
      </c>
      <c r="I31" s="28">
        <f t="shared" si="2"/>
        <v>214</v>
      </c>
    </row>
    <row r="32" spans="1:9" s="40" customFormat="1" ht="12.75" customHeight="1" thickBot="1" x14ac:dyDescent="0.3">
      <c r="A32" s="33" t="s">
        <v>5</v>
      </c>
      <c r="B32" s="34"/>
      <c r="C32" s="35">
        <f t="shared" ref="C32:I32" si="3">SUM(C25:C31)</f>
        <v>356493</v>
      </c>
      <c r="D32" s="36">
        <f t="shared" si="3"/>
        <v>336160</v>
      </c>
      <c r="E32" s="36">
        <f t="shared" si="3"/>
        <v>161277.46</v>
      </c>
      <c r="F32" s="37">
        <f t="shared" si="3"/>
        <v>56560</v>
      </c>
      <c r="G32" s="39">
        <f t="shared" si="3"/>
        <v>910490.46</v>
      </c>
      <c r="H32" s="101">
        <f t="shared" si="3"/>
        <v>380572</v>
      </c>
      <c r="I32" s="38">
        <f t="shared" si="3"/>
        <v>529918.46</v>
      </c>
    </row>
    <row r="33" spans="1:12" ht="12.75" customHeight="1" x14ac:dyDescent="0.25">
      <c r="A33" s="16" t="str">
        <f>'[1]QTD Mgmt Summary'!A32</f>
        <v>East Trading (Neal)</v>
      </c>
      <c r="B33" s="10"/>
      <c r="C33" s="23">
        <f>GrossMargin!C33-Expenses!C33-'Cap Charge'!C33</f>
        <v>-59150</v>
      </c>
      <c r="D33" s="27">
        <f>GrossMargin!D33-Expenses!D33-'Cap Charge'!D33</f>
        <v>57687</v>
      </c>
      <c r="E33" s="22">
        <f>GrossMargin!E33-Expenses!E33-'Cap Charge'!E33</f>
        <v>6110</v>
      </c>
      <c r="F33" s="22">
        <f>GrossMargin!F33-Expenses!F33-'Cap Charge'!F33</f>
        <v>11524</v>
      </c>
      <c r="G33" s="43">
        <f>GrossMargin!G33-Expenses!G33-'Cap Charge'!G33</f>
        <v>16171</v>
      </c>
      <c r="H33" s="99">
        <f>GrossMargin!H33-Expenses!H33-'Cap Charge'!H33</f>
        <v>46047</v>
      </c>
      <c r="I33" s="42">
        <f t="shared" ref="I33:I45" si="4">G33-H33</f>
        <v>-29876</v>
      </c>
    </row>
    <row r="34" spans="1:12" ht="12.75" customHeight="1" x14ac:dyDescent="0.25">
      <c r="A34" s="16" t="str">
        <f>'[1]QTD Mgmt Summary'!A33</f>
        <v>East Origination (Vickers)</v>
      </c>
      <c r="B34" s="10"/>
      <c r="C34" s="23">
        <f>GrossMargin!C34-Expenses!C34-'Cap Charge'!C34</f>
        <v>3956</v>
      </c>
      <c r="D34" s="27">
        <f>GrossMargin!D34-Expenses!D34-'Cap Charge'!D34</f>
        <v>3142</v>
      </c>
      <c r="E34" s="22">
        <f>GrossMargin!E34-Expenses!E34-'Cap Charge'!E34</f>
        <v>34</v>
      </c>
      <c r="F34" s="22">
        <f>GrossMargin!F34-Expenses!F34-'Cap Charge'!F34</f>
        <v>-975</v>
      </c>
      <c r="G34" s="43">
        <f>GrossMargin!G34-Expenses!G34-'Cap Charge'!G34</f>
        <v>6157</v>
      </c>
      <c r="H34" s="99">
        <f>GrossMargin!H34-Expenses!H34-'Cap Charge'!H34</f>
        <v>16041</v>
      </c>
      <c r="I34" s="28">
        <f t="shared" si="4"/>
        <v>-9884</v>
      </c>
    </row>
    <row r="35" spans="1:12" ht="12.75" customHeight="1" x14ac:dyDescent="0.25">
      <c r="A35" s="16" t="str">
        <f>'[1]QTD Mgmt Summary'!A34</f>
        <v>Central Trading (Shively)</v>
      </c>
      <c r="B35" s="10"/>
      <c r="C35" s="23">
        <f>GrossMargin!C35-Expenses!C35-'Cap Charge'!C35</f>
        <v>-4887</v>
      </c>
      <c r="D35" s="27">
        <f>GrossMargin!D35-Expenses!D35-'Cap Charge'!D35</f>
        <v>171946</v>
      </c>
      <c r="E35" s="22">
        <f>GrossMargin!E35-Expenses!E35-'Cap Charge'!E35</f>
        <v>25002.732</v>
      </c>
      <c r="F35" s="22">
        <f>GrossMargin!F35-Expenses!F35-'Cap Charge'!F35</f>
        <v>13966</v>
      </c>
      <c r="G35" s="43">
        <f>GrossMargin!G35-Expenses!G35-'Cap Charge'!G35</f>
        <v>206027.73199999999</v>
      </c>
      <c r="H35" s="99">
        <f>GrossMargin!H35-Expenses!H35-'Cap Charge'!H35</f>
        <v>55758</v>
      </c>
      <c r="I35" s="42">
        <f t="shared" si="4"/>
        <v>150269.73199999999</v>
      </c>
    </row>
    <row r="36" spans="1:12" ht="12.75" customHeight="1" x14ac:dyDescent="0.25">
      <c r="A36" s="16" t="str">
        <f>'[1]QTD Mgmt Summary'!A35</f>
        <v>Central Origination (Luce)</v>
      </c>
      <c r="B36" s="10"/>
      <c r="C36" s="23">
        <f>GrossMargin!C36-Expenses!C36-'Cap Charge'!C36</f>
        <v>1030</v>
      </c>
      <c r="D36" s="27">
        <f>GrossMargin!D36-Expenses!D36-'Cap Charge'!D36</f>
        <v>387</v>
      </c>
      <c r="E36" s="22">
        <f>GrossMargin!E36-Expenses!E36-'Cap Charge'!E36</f>
        <v>1462</v>
      </c>
      <c r="F36" s="22">
        <f>GrossMargin!F36-Expenses!F36-'Cap Charge'!F36</f>
        <v>-813</v>
      </c>
      <c r="G36" s="43">
        <f>GrossMargin!G36-Expenses!G36-'Cap Charge'!G36</f>
        <v>2066</v>
      </c>
      <c r="H36" s="99">
        <f>GrossMargin!H36-Expenses!H36-'Cap Charge'!H36</f>
        <v>13585</v>
      </c>
      <c r="I36" s="28">
        <f t="shared" si="4"/>
        <v>-11519</v>
      </c>
    </row>
    <row r="37" spans="1:12" ht="12.75" customHeight="1" x14ac:dyDescent="0.25">
      <c r="A37" s="16" t="str">
        <f>'[1]QTD Mgmt Summary'!A36</f>
        <v>Texas Trading (Martin)</v>
      </c>
      <c r="B37" s="10"/>
      <c r="C37" s="29">
        <f>GrossMargin!C37-Expenses!C37-'Cap Charge'!C37</f>
        <v>55418</v>
      </c>
      <c r="D37" s="30">
        <f>GrossMargin!D37-Expenses!D37-'Cap Charge'!D37</f>
        <v>71204</v>
      </c>
      <c r="E37" s="22">
        <f>GrossMargin!E37-Expenses!E37-'Cap Charge'!E37</f>
        <v>32331</v>
      </c>
      <c r="F37" s="22">
        <f>GrossMargin!F37-Expenses!F37-'Cap Charge'!F37</f>
        <v>8918</v>
      </c>
      <c r="G37" s="43">
        <f>GrossMargin!G37-Expenses!G37-'Cap Charge'!G37</f>
        <v>167871</v>
      </c>
      <c r="H37" s="99">
        <f>GrossMargin!H37-Expenses!H37-'Cap Charge'!H37</f>
        <v>35099</v>
      </c>
      <c r="I37" s="28">
        <f t="shared" si="4"/>
        <v>132772</v>
      </c>
    </row>
    <row r="38" spans="1:12" ht="12.75" customHeight="1" x14ac:dyDescent="0.25">
      <c r="A38" s="16" t="str">
        <f>'[1]QTD Mgmt Summary'!A37</f>
        <v>Texas Origination (Redmond)</v>
      </c>
      <c r="B38" s="10"/>
      <c r="C38" s="29">
        <f>GrossMargin!C38-Expenses!C38-'Cap Charge'!C38</f>
        <v>0</v>
      </c>
      <c r="D38" s="30">
        <f>GrossMargin!D38-Expenses!D38-'Cap Charge'!D38</f>
        <v>0</v>
      </c>
      <c r="E38" s="22">
        <f>GrossMargin!E38-Expenses!E38-'Cap Charge'!E38</f>
        <v>-385</v>
      </c>
      <c r="F38" s="27">
        <f>GrossMargin!F38-Expenses!F38-'Cap Charge'!F38</f>
        <v>0</v>
      </c>
      <c r="G38" s="43">
        <f>GrossMargin!G38-Expenses!G38-'Cap Charge'!G38</f>
        <v>-385</v>
      </c>
      <c r="H38" s="99">
        <f>GrossMargin!H38-Expenses!H38-'Cap Charge'!H38</f>
        <v>0</v>
      </c>
      <c r="I38" s="28">
        <f t="shared" si="4"/>
        <v>-385</v>
      </c>
    </row>
    <row r="39" spans="1:12" ht="12.75" customHeight="1" x14ac:dyDescent="0.25">
      <c r="A39" s="16" t="str">
        <f>'[1]QTD Mgmt Summary'!A38</f>
        <v>West Trading (Allen)</v>
      </c>
      <c r="B39" s="10"/>
      <c r="C39" s="29">
        <f>GrossMargin!C39-Expenses!C39-'Cap Charge'!C39</f>
        <v>342979</v>
      </c>
      <c r="D39" s="30">
        <f>GrossMargin!D39-Expenses!D39-'Cap Charge'!D39</f>
        <v>-430633</v>
      </c>
      <c r="E39" s="22">
        <f>GrossMargin!E39-Expenses!E39-'Cap Charge'!E39</f>
        <v>-135469</v>
      </c>
      <c r="F39" s="27">
        <f>GrossMargin!F39-Expenses!F39-'Cap Charge'!F39</f>
        <v>25383</v>
      </c>
      <c r="G39" s="43">
        <f>GrossMargin!G39-Expenses!G39-'Cap Charge'!G39</f>
        <v>-197740</v>
      </c>
      <c r="H39" s="99">
        <f>GrossMargin!H39-Expenses!H39-'Cap Charge'!H39</f>
        <v>15515</v>
      </c>
      <c r="I39" s="28">
        <f t="shared" si="4"/>
        <v>-213255</v>
      </c>
    </row>
    <row r="40" spans="1:12" ht="12.75" customHeight="1" x14ac:dyDescent="0.25">
      <c r="A40" s="16" t="str">
        <f>'[1]QTD Mgmt Summary'!A39</f>
        <v>West Origination (Tycholiz)</v>
      </c>
      <c r="B40" s="10"/>
      <c r="C40" s="29">
        <f>GrossMargin!C40-Expenses!C40-'Cap Charge'!C40</f>
        <v>6693</v>
      </c>
      <c r="D40" s="30">
        <f>GrossMargin!D40-Expenses!D40-'Cap Charge'!D40</f>
        <v>32803</v>
      </c>
      <c r="E40" s="22">
        <f>GrossMargin!E40-Expenses!E40-'Cap Charge'!E40</f>
        <v>8440</v>
      </c>
      <c r="F40" s="27">
        <f>GrossMargin!F40-Expenses!F40-'Cap Charge'!F40</f>
        <v>-651</v>
      </c>
      <c r="G40" s="43">
        <f>GrossMargin!G40-Expenses!G40-'Cap Charge'!G40</f>
        <v>47285</v>
      </c>
      <c r="H40" s="99">
        <f>GrossMargin!H40-Expenses!H40-'Cap Charge'!H40</f>
        <v>103301</v>
      </c>
      <c r="I40" s="28">
        <f t="shared" si="4"/>
        <v>-56016</v>
      </c>
    </row>
    <row r="41" spans="1:12" ht="12.75" customHeight="1" x14ac:dyDescent="0.25">
      <c r="A41" s="16" t="str">
        <f>'[1]QTD Mgmt Summary'!A40</f>
        <v>Financial Gas (Arnold)</v>
      </c>
      <c r="B41" s="10"/>
      <c r="C41" s="29">
        <f>GrossMargin!C41-Expenses!C41-'Cap Charge'!C41</f>
        <v>230438</v>
      </c>
      <c r="D41" s="30">
        <f>GrossMargin!D41-Expenses!D41-'Cap Charge'!D41</f>
        <v>399215</v>
      </c>
      <c r="E41" s="22">
        <f>GrossMargin!E41-Expenses!E41-'Cap Charge'!E41</f>
        <v>115928</v>
      </c>
      <c r="F41" s="27">
        <f>GrossMargin!F41-Expenses!F41-'Cap Charge'!F41</f>
        <v>30848</v>
      </c>
      <c r="G41" s="43">
        <f>GrossMargin!G41-Expenses!G41-'Cap Charge'!G41</f>
        <v>776429</v>
      </c>
      <c r="H41" s="99">
        <f>GrossMargin!H41-Expenses!H41-'Cap Charge'!H41</f>
        <v>123347</v>
      </c>
      <c r="I41" s="28">
        <f t="shared" si="4"/>
        <v>653082</v>
      </c>
    </row>
    <row r="42" spans="1:12" ht="12.75" customHeight="1" x14ac:dyDescent="0.25">
      <c r="A42" s="16" t="str">
        <f>'[1]QTD Mgmt Summary'!A41</f>
        <v>Derivative Origination (Lagrasta)</v>
      </c>
      <c r="B42" s="10"/>
      <c r="C42" s="29">
        <f>GrossMargin!C42-Expenses!C42-'Cap Charge'!C42</f>
        <v>8501</v>
      </c>
      <c r="D42" s="30">
        <f>GrossMargin!D42-Expenses!D42-'Cap Charge'!D42</f>
        <v>9855</v>
      </c>
      <c r="E42" s="22">
        <f>GrossMargin!E42-Expenses!E42-'Cap Charge'!E42</f>
        <v>6819</v>
      </c>
      <c r="F42" s="27">
        <f>GrossMargin!F42-Expenses!F42-'Cap Charge'!F42</f>
        <v>5166</v>
      </c>
      <c r="G42" s="43">
        <f>GrossMargin!G42-Expenses!G42-'Cap Charge'!G42</f>
        <v>30341</v>
      </c>
      <c r="H42" s="99">
        <f>GrossMargin!H42-Expenses!H42-'Cap Charge'!H42</f>
        <v>20598</v>
      </c>
      <c r="I42" s="28">
        <f t="shared" si="4"/>
        <v>9743</v>
      </c>
    </row>
    <row r="43" spans="1:12" ht="12.75" customHeight="1" x14ac:dyDescent="0.25">
      <c r="A43" s="16" t="str">
        <f>'[1]QTD Mgmt Summary'!A42</f>
        <v>NG Structuring (McMichael)</v>
      </c>
      <c r="B43" s="10"/>
      <c r="C43" s="29">
        <f>GrossMargin!C43-Expenses!C43-'Cap Charge'!C43</f>
        <v>-497</v>
      </c>
      <c r="D43" s="30">
        <f>GrossMargin!D43-Expenses!D43-'Cap Charge'!D43</f>
        <v>-389</v>
      </c>
      <c r="E43" s="22">
        <f>GrossMargin!E43-Expenses!E43-'Cap Charge'!E43</f>
        <v>-542</v>
      </c>
      <c r="F43" s="27">
        <f>GrossMargin!F43-Expenses!F43-'Cap Charge'!F43</f>
        <v>-676</v>
      </c>
      <c r="G43" s="43">
        <f>GrossMargin!G43-Expenses!G43-'Cap Charge'!G43</f>
        <v>-2104</v>
      </c>
      <c r="H43" s="99">
        <f>GrossMargin!H43-Expenses!H43-'Cap Charge'!H43</f>
        <v>-2738</v>
      </c>
      <c r="I43" s="28">
        <f t="shared" si="4"/>
        <v>634</v>
      </c>
    </row>
    <row r="44" spans="1:12" ht="12.75" customHeight="1" x14ac:dyDescent="0.25">
      <c r="A44" s="16" t="str">
        <f>'[1]QTD Mgmt Summary'!A43</f>
        <v>NG Fundamentals (Gaskill)</v>
      </c>
      <c r="B44" s="10"/>
      <c r="C44" s="29">
        <f>GrossMargin!C44-Expenses!C44-'Cap Charge'!C44</f>
        <v>-272</v>
      </c>
      <c r="D44" s="30">
        <f>GrossMargin!D44-Expenses!D44-'Cap Charge'!D44</f>
        <v>-527</v>
      </c>
      <c r="E44" s="22">
        <f>GrossMargin!E44-Expenses!E44-'Cap Charge'!E44</f>
        <v>-690</v>
      </c>
      <c r="F44" s="27">
        <f>GrossMargin!F44-Expenses!F44-'Cap Charge'!F44</f>
        <v>-508</v>
      </c>
      <c r="G44" s="43">
        <f>GrossMargin!G44-Expenses!G44-'Cap Charge'!G44</f>
        <v>-1997</v>
      </c>
      <c r="H44" s="99">
        <f>GrossMargin!H44-Expenses!H44-'Cap Charge'!H44</f>
        <v>-2091</v>
      </c>
      <c r="I44" s="28">
        <f t="shared" si="4"/>
        <v>94</v>
      </c>
    </row>
    <row r="45" spans="1:12" ht="12.75" customHeight="1" thickBot="1" x14ac:dyDescent="0.3">
      <c r="A45" s="16" t="str">
        <f>'[1]QTD Mgmt Summary'!A44</f>
        <v>Management</v>
      </c>
      <c r="B45" s="10"/>
      <c r="C45" s="29">
        <f>GrossMargin!C45-Expenses!C45-'Cap Charge'!C45</f>
        <v>-40000</v>
      </c>
      <c r="D45" s="30">
        <f>GrossMargin!D45-Expenses!D45-'Cap Charge'!D45</f>
        <v>-207000</v>
      </c>
      <c r="E45" s="22">
        <f>GrossMargin!E45-Expenses!E45-'Cap Charge'!E45</f>
        <v>501000</v>
      </c>
      <c r="F45" s="27">
        <f>GrossMargin!F45-Expenses!F45-'Cap Charge'!F45</f>
        <v>0</v>
      </c>
      <c r="G45" s="43">
        <f>GrossMargin!G45-Expenses!G45-'Cap Charge'!G45</f>
        <v>254000</v>
      </c>
      <c r="H45" s="99">
        <f>GrossMargin!H45-Expenses!H45-'Cap Charge'!H45</f>
        <v>0</v>
      </c>
      <c r="I45" s="28">
        <f t="shared" si="4"/>
        <v>254000</v>
      </c>
    </row>
    <row r="46" spans="1:12" s="40" customFormat="1" ht="12.75" customHeight="1" thickBot="1" x14ac:dyDescent="0.3">
      <c r="A46" s="33" t="s">
        <v>6</v>
      </c>
      <c r="B46" s="34"/>
      <c r="C46" s="35">
        <f t="shared" ref="C46:I46" si="5">SUM(C33:C45)</f>
        <v>544209</v>
      </c>
      <c r="D46" s="36">
        <f t="shared" si="5"/>
        <v>107690</v>
      </c>
      <c r="E46" s="36">
        <f t="shared" si="5"/>
        <v>560040.73199999996</v>
      </c>
      <c r="F46" s="37">
        <f t="shared" si="5"/>
        <v>92182</v>
      </c>
      <c r="G46" s="39">
        <f t="shared" si="5"/>
        <v>1304121.7319999998</v>
      </c>
      <c r="H46" s="101">
        <f t="shared" si="5"/>
        <v>424462</v>
      </c>
      <c r="I46" s="38">
        <f t="shared" si="5"/>
        <v>879659.73199999996</v>
      </c>
      <c r="L46" s="45"/>
    </row>
    <row r="47" spans="1:12" ht="12.75" customHeight="1" x14ac:dyDescent="0.25">
      <c r="A47" s="16" t="str">
        <f>'[1]QTD Mgmt Summary'!A46</f>
        <v>Natural Gas Trading (Zufferli)</v>
      </c>
      <c r="B47" s="10"/>
      <c r="C47" s="23">
        <f>GrossMargin!C47-Expenses!C47-'Cap Charge'!C47</f>
        <v>-28440</v>
      </c>
      <c r="D47" s="27">
        <f>GrossMargin!D47-Expenses!D47-'Cap Charge'!D47</f>
        <v>-11914</v>
      </c>
      <c r="E47" s="22">
        <f>GrossMargin!E47-Expenses!E47-'Cap Charge'!E47</f>
        <v>-241</v>
      </c>
      <c r="F47" s="41">
        <f>GrossMargin!F47-Expenses!F47-'Cap Charge'!F47</f>
        <v>5421</v>
      </c>
      <c r="G47" s="43">
        <f>GrossMargin!G47-Expenses!G47-'Cap Charge'!G47</f>
        <v>-35174</v>
      </c>
      <c r="H47" s="99">
        <f>GrossMargin!H47-Expenses!H47-'Cap Charge'!H47</f>
        <v>22171</v>
      </c>
      <c r="I47" s="42">
        <f t="shared" ref="I47:I53" si="6">G47-H47</f>
        <v>-57345</v>
      </c>
    </row>
    <row r="48" spans="1:12" ht="12.75" customHeight="1" x14ac:dyDescent="0.25">
      <c r="A48" s="16" t="str">
        <f>'[1]QTD Mgmt Summary'!A47</f>
        <v>Natural Gas Origination (LeDain)</v>
      </c>
      <c r="B48" s="10"/>
      <c r="C48" s="23">
        <f>GrossMargin!C48-Expenses!C48-'Cap Charge'!C48</f>
        <v>6637</v>
      </c>
      <c r="D48" s="27">
        <f>GrossMargin!D48-Expenses!D48-'Cap Charge'!D48</f>
        <v>5117</v>
      </c>
      <c r="E48" s="22">
        <f>GrossMargin!E48-Expenses!E48-'Cap Charge'!E48</f>
        <v>1520</v>
      </c>
      <c r="F48" s="27">
        <f>GrossMargin!F48-Expenses!F48-'Cap Charge'!F48</f>
        <v>-487</v>
      </c>
      <c r="G48" s="29">
        <f>GrossMargin!G48-Expenses!G48-'Cap Charge'!G48</f>
        <v>12787</v>
      </c>
      <c r="H48" s="99">
        <f>GrossMargin!H48-Expenses!H48-'Cap Charge'!H48</f>
        <v>22567</v>
      </c>
      <c r="I48" s="28">
        <f t="shared" si="6"/>
        <v>-9780</v>
      </c>
    </row>
    <row r="49" spans="1:9" ht="12.75" customHeight="1" x14ac:dyDescent="0.25">
      <c r="A49" s="16" t="str">
        <f>'[1]QTD Mgmt Summary'!A48</f>
        <v>Finance (Kitagawa)</v>
      </c>
      <c r="B49" s="10"/>
      <c r="C49" s="23">
        <f>GrossMargin!C49-Expenses!C49-'Cap Charge'!C49</f>
        <v>1018</v>
      </c>
      <c r="D49" s="27">
        <f>GrossMargin!D49-Expenses!D49-'Cap Charge'!D49</f>
        <v>3229</v>
      </c>
      <c r="E49" s="22">
        <f>GrossMargin!E49-Expenses!E49-'Cap Charge'!E49</f>
        <v>-417</v>
      </c>
      <c r="F49" s="41">
        <f>GrossMargin!F49-Expenses!F49-'Cap Charge'!F49</f>
        <v>4171</v>
      </c>
      <c r="G49" s="46">
        <f>GrossMargin!G49-Expenses!G49-'Cap Charge'!G49</f>
        <v>8001</v>
      </c>
      <c r="H49" s="99">
        <f>GrossMargin!H49-Expenses!H49-'Cap Charge'!H49</f>
        <v>16899</v>
      </c>
      <c r="I49" s="42">
        <f t="shared" si="6"/>
        <v>-8898</v>
      </c>
    </row>
    <row r="50" spans="1:9" ht="12.75" customHeight="1" x14ac:dyDescent="0.25">
      <c r="A50" s="16" t="str">
        <f>'[1]QTD Mgmt Summary'!A49</f>
        <v>Alberta Power Trading (Zufferli)</v>
      </c>
      <c r="B50" s="10"/>
      <c r="C50" s="23">
        <f>GrossMargin!C50-Expenses!C50-'Cap Charge'!C50</f>
        <v>87117</v>
      </c>
      <c r="D50" s="27">
        <f>GrossMargin!D50-Expenses!D50-'Cap Charge'!D50</f>
        <v>81668</v>
      </c>
      <c r="E50" s="22">
        <f>GrossMargin!E50-Expenses!E50-'Cap Charge'!E50</f>
        <v>67393</v>
      </c>
      <c r="F50" s="27">
        <f>GrossMargin!F50-Expenses!F50-'Cap Charge'!F50</f>
        <v>16184</v>
      </c>
      <c r="G50" s="29">
        <f>GrossMargin!G50-Expenses!G50-'Cap Charge'!G50</f>
        <v>252362</v>
      </c>
      <c r="H50" s="99">
        <f>GrossMargin!H50-Expenses!H50-'Cap Charge'!H50</f>
        <v>76512</v>
      </c>
      <c r="I50" s="28">
        <f t="shared" si="6"/>
        <v>175850</v>
      </c>
    </row>
    <row r="51" spans="1:9" ht="12.75" customHeight="1" x14ac:dyDescent="0.25">
      <c r="A51" s="16" t="str">
        <f>'[1]QTD Mgmt Summary'!A50</f>
        <v>Alberta Power Orig (Davies)</v>
      </c>
      <c r="B51" s="10"/>
      <c r="C51" s="23">
        <f>GrossMargin!C51-Expenses!C51-'Cap Charge'!C51</f>
        <v>25915</v>
      </c>
      <c r="D51" s="27">
        <f>GrossMargin!D51-Expenses!D51-'Cap Charge'!D51</f>
        <v>3243</v>
      </c>
      <c r="E51" s="22">
        <f>GrossMargin!E51-Expenses!E51-'Cap Charge'!E51</f>
        <v>50061</v>
      </c>
      <c r="F51" s="27">
        <f>GrossMargin!F51-Expenses!F51-'Cap Charge'!F51</f>
        <v>-327</v>
      </c>
      <c r="G51" s="29">
        <f>GrossMargin!G51-Expenses!G51-'Cap Charge'!G51</f>
        <v>78892</v>
      </c>
      <c r="H51" s="99">
        <f>GrossMargin!H51-Expenses!H51-'Cap Charge'!H51</f>
        <v>76192</v>
      </c>
      <c r="I51" s="28">
        <f t="shared" si="6"/>
        <v>2700</v>
      </c>
    </row>
    <row r="52" spans="1:9" ht="12.75" customHeight="1" x14ac:dyDescent="0.25">
      <c r="A52" s="16" t="str">
        <f>'[1]QTD Mgmt Summary'!A51</f>
        <v>Ontario Power (Devries)</v>
      </c>
      <c r="B52" s="10"/>
      <c r="C52" s="23">
        <f>GrossMargin!C52-Expenses!C52-'Cap Charge'!C52</f>
        <v>-351</v>
      </c>
      <c r="D52" s="27">
        <f>GrossMargin!D52-Expenses!D52-'Cap Charge'!D52</f>
        <v>-1013</v>
      </c>
      <c r="E52" s="22">
        <f>GrossMargin!E52-Expenses!E52-'Cap Charge'!E52</f>
        <v>146</v>
      </c>
      <c r="F52" s="27">
        <f>GrossMargin!F52-Expenses!F52-'Cap Charge'!F52</f>
        <v>11574</v>
      </c>
      <c r="G52" s="29">
        <f>GrossMargin!G52-Expenses!G52-'Cap Charge'!G52</f>
        <v>10356</v>
      </c>
      <c r="H52" s="99">
        <f>GrossMargin!H52-Expenses!H52-'Cap Charge'!H52</f>
        <v>43591</v>
      </c>
      <c r="I52" s="28">
        <f t="shared" si="6"/>
        <v>-33235</v>
      </c>
    </row>
    <row r="53" spans="1:9" ht="12.75" customHeight="1" thickBot="1" x14ac:dyDescent="0.3">
      <c r="A53" s="16" t="str">
        <f>'[1]QTD Mgmt Summary'!A52</f>
        <v>Executive (Milnthorp)</v>
      </c>
      <c r="B53" s="10"/>
      <c r="C53" s="23">
        <f>GrossMargin!C53-Expenses!C53-'Cap Charge'!C53</f>
        <v>495</v>
      </c>
      <c r="D53" s="27">
        <f>GrossMargin!D53-Expenses!D53-'Cap Charge'!D53</f>
        <v>-396</v>
      </c>
      <c r="E53" s="22">
        <f>GrossMargin!E53-Expenses!E53-'Cap Charge'!E53</f>
        <v>-601</v>
      </c>
      <c r="F53" s="27">
        <f>GrossMargin!F53-Expenses!F53-'Cap Charge'!F53</f>
        <v>2506</v>
      </c>
      <c r="G53" s="29">
        <f>GrossMargin!G53-Expenses!G53-'Cap Charge'!G53</f>
        <v>2004</v>
      </c>
      <c r="H53" s="99">
        <f>GrossMargin!H53-Expenses!H53-'Cap Charge'!H53</f>
        <v>4745</v>
      </c>
      <c r="I53" s="28">
        <f t="shared" si="6"/>
        <v>-2741</v>
      </c>
    </row>
    <row r="54" spans="1:9" s="40" customFormat="1" ht="12.75" customHeight="1" thickBot="1" x14ac:dyDescent="0.3">
      <c r="A54" s="33" t="s">
        <v>7</v>
      </c>
      <c r="B54" s="34"/>
      <c r="C54" s="35">
        <f t="shared" ref="C54:I54" si="7">SUM(C47:C53)</f>
        <v>92391</v>
      </c>
      <c r="D54" s="36">
        <f t="shared" si="7"/>
        <v>79934</v>
      </c>
      <c r="E54" s="36">
        <f t="shared" si="7"/>
        <v>117861</v>
      </c>
      <c r="F54" s="36">
        <f t="shared" si="7"/>
        <v>39042</v>
      </c>
      <c r="G54" s="35">
        <f t="shared" si="7"/>
        <v>329228</v>
      </c>
      <c r="H54" s="100">
        <f t="shared" si="7"/>
        <v>262677</v>
      </c>
      <c r="I54" s="47">
        <f t="shared" si="7"/>
        <v>66551</v>
      </c>
    </row>
    <row r="55" spans="1:9" ht="12.75" customHeight="1" x14ac:dyDescent="0.25">
      <c r="A55" s="16" t="str">
        <f>'[1]QTD Mgmt Summary'!A54</f>
        <v>Upstream Products (Mrha)</v>
      </c>
      <c r="B55" s="10"/>
      <c r="C55" s="23">
        <f>GrossMargin!C55-Expenses!C55-'Cap Charge'!C55</f>
        <v>1929</v>
      </c>
      <c r="D55" s="22">
        <f>GrossMargin!D55-Expenses!D55-'Cap Charge'!D55</f>
        <v>10628</v>
      </c>
      <c r="E55" s="22">
        <f>GrossMargin!E55-Expenses!E55-'Cap Charge'!E55</f>
        <v>-3191</v>
      </c>
      <c r="F55" s="30">
        <f>GrossMargin!F55-Expenses!F55-'Cap Charge'!F55</f>
        <v>5378</v>
      </c>
      <c r="G55" s="29">
        <f>GrossMargin!G55-Expenses!G55-'Cap Charge'!G55</f>
        <v>14744</v>
      </c>
      <c r="H55" s="99">
        <f>GrossMargin!H55-Expenses!H55-'Cap Charge'!H55</f>
        <v>32187</v>
      </c>
      <c r="I55" s="28">
        <f t="shared" ref="I55:I68" si="8">G55-H55</f>
        <v>-17443</v>
      </c>
    </row>
    <row r="56" spans="1:9" ht="12.75" customHeight="1" x14ac:dyDescent="0.25">
      <c r="A56" s="16" t="str">
        <f>'[1]QTD Mgmt Summary'!A55</f>
        <v>Bridgeline (Redmond)</v>
      </c>
      <c r="B56" s="10"/>
      <c r="C56" s="29">
        <f>GrossMargin!C56-Expenses!C56-'Cap Charge'!C56</f>
        <v>1056</v>
      </c>
      <c r="D56" s="30">
        <f>GrossMargin!D56-Expenses!D56-'Cap Charge'!D56</f>
        <v>-8090</v>
      </c>
      <c r="E56" s="22">
        <f>GrossMargin!E56-Expenses!E56-'Cap Charge'!E56</f>
        <v>-9788.5659999999989</v>
      </c>
      <c r="F56" s="30">
        <f>GrossMargin!F56-Expenses!F56-'Cap Charge'!F56</f>
        <v>-3373</v>
      </c>
      <c r="G56" s="29">
        <f>GrossMargin!G56-Expenses!G56-'Cap Charge'!G56</f>
        <v>-20195.565999999999</v>
      </c>
      <c r="H56" s="99">
        <f>GrossMargin!H56-Expenses!H56-'Cap Charge'!H56</f>
        <v>-13491</v>
      </c>
      <c r="I56" s="28">
        <f t="shared" si="8"/>
        <v>-6704.5659999999989</v>
      </c>
    </row>
    <row r="57" spans="1:9" ht="12.75" customHeight="1" x14ac:dyDescent="0.25">
      <c r="A57" s="16" t="str">
        <f>'[1]QTD Mgmt Summary'!A56</f>
        <v>HPL (Redmond)</v>
      </c>
      <c r="B57" s="10"/>
      <c r="C57" s="29">
        <f>GrossMargin!C57-Expenses!C57-'Cap Charge'!C57</f>
        <v>-33259</v>
      </c>
      <c r="D57" s="30">
        <f>GrossMargin!D57-Expenses!D57-'Cap Charge'!D57</f>
        <v>-47734</v>
      </c>
      <c r="E57" s="22">
        <f>GrossMargin!E57-Expenses!E57-'Cap Charge'!E57</f>
        <v>-17139</v>
      </c>
      <c r="F57" s="30">
        <f>GrossMargin!F57-Expenses!F57-'Cap Charge'!F57</f>
        <v>1184</v>
      </c>
      <c r="G57" s="29">
        <f>GrossMargin!G57-Expenses!G57-'Cap Charge'!G57</f>
        <v>-96948</v>
      </c>
      <c r="H57" s="99">
        <f>GrossMargin!H57-Expenses!H57-'Cap Charge'!H57</f>
        <v>-91162</v>
      </c>
      <c r="I57" s="28">
        <f t="shared" si="8"/>
        <v>-5786</v>
      </c>
    </row>
    <row r="58" spans="1:9" ht="12.75" customHeight="1" x14ac:dyDescent="0.25">
      <c r="A58" s="16" t="str">
        <f>'[1]QTD Mgmt Summary'!A57</f>
        <v>Mexico (Irvin/Williams)</v>
      </c>
      <c r="B58" s="10"/>
      <c r="C58" s="29">
        <f>GrossMargin!C58-Expenses!C58-'Cap Charge'!C58</f>
        <v>-1041</v>
      </c>
      <c r="D58" s="30">
        <f>GrossMargin!D58-Expenses!D58-'Cap Charge'!D58</f>
        <v>415</v>
      </c>
      <c r="E58" s="22">
        <f>GrossMargin!E58-Expenses!E58-'Cap Charge'!E58</f>
        <v>-294.07499999999999</v>
      </c>
      <c r="F58" s="44">
        <f>GrossMargin!F58-Expenses!F58-'Cap Charge'!F58</f>
        <v>13714</v>
      </c>
      <c r="G58" s="46">
        <f>GrossMargin!G58-Expenses!G58-'Cap Charge'!G58</f>
        <v>12793.924999999999</v>
      </c>
      <c r="H58" s="99">
        <f>GrossMargin!H58-Expenses!H58-'Cap Charge'!H58</f>
        <v>54457</v>
      </c>
      <c r="I58" s="28">
        <f t="shared" si="8"/>
        <v>-41663.074999999997</v>
      </c>
    </row>
    <row r="59" spans="1:9" ht="12.75" customHeight="1" x14ac:dyDescent="0.25">
      <c r="A59" s="16" t="str">
        <f>'[1]QTD Mgmt Summary'!A58</f>
        <v>Energy Capital Svcs (Thompson/Josey)</v>
      </c>
      <c r="B59" s="10"/>
      <c r="C59" s="29">
        <f>GrossMargin!C59-Expenses!C59-'Cap Charge'!C59</f>
        <v>611</v>
      </c>
      <c r="D59" s="30">
        <f>GrossMargin!D59-Expenses!D59-'Cap Charge'!D59</f>
        <v>-2682</v>
      </c>
      <c r="E59" s="22">
        <f>GrossMargin!E59-Expenses!E59-'Cap Charge'!E59</f>
        <v>-5746</v>
      </c>
      <c r="F59" s="44">
        <f>GrossMargin!F59-Expenses!F59-'Cap Charge'!F59</f>
        <v>10233</v>
      </c>
      <c r="G59" s="46">
        <f>GrossMargin!G59-Expenses!G59-'Cap Charge'!G59</f>
        <v>2416</v>
      </c>
      <c r="H59" s="99">
        <f>GrossMargin!H59-Expenses!H59-'Cap Charge'!H59</f>
        <v>16834</v>
      </c>
      <c r="I59" s="28">
        <f t="shared" si="8"/>
        <v>-14418</v>
      </c>
    </row>
    <row r="60" spans="1:9" ht="12.75" customHeight="1" x14ac:dyDescent="0.25">
      <c r="A60" s="16" t="str">
        <f>'[1]QTD Mgmt Summary'!A59</f>
        <v>Mariner</v>
      </c>
      <c r="B60" s="10"/>
      <c r="C60" s="29">
        <f>GrossMargin!C60-Expenses!C60-'Cap Charge'!C60</f>
        <v>-9096</v>
      </c>
      <c r="D60" s="30">
        <f>GrossMargin!D60-Expenses!D60-'Cap Charge'!D60</f>
        <v>-10233</v>
      </c>
      <c r="E60" s="22">
        <f>GrossMargin!E60-Expenses!E60-'Cap Charge'!E60</f>
        <v>-12167</v>
      </c>
      <c r="F60" s="44">
        <f>GrossMargin!F60-Expenses!F60-'Cap Charge'!F60</f>
        <v>0</v>
      </c>
      <c r="G60" s="46">
        <f>GrossMargin!G60-Expenses!G60-'Cap Charge'!G60</f>
        <v>-31496</v>
      </c>
      <c r="H60" s="99">
        <f>GrossMargin!H60-Expenses!H60-'Cap Charge'!H60</f>
        <v>-24020</v>
      </c>
      <c r="I60" s="28">
        <f t="shared" si="8"/>
        <v>-7476</v>
      </c>
    </row>
    <row r="61" spans="1:9" ht="12.75" customHeight="1" x14ac:dyDescent="0.25">
      <c r="A61" s="16" t="str">
        <f>'[1]QTD Mgmt Summary'!A60</f>
        <v>Asset Marketing (D. Miller)</v>
      </c>
      <c r="B61" s="25"/>
      <c r="C61" s="29">
        <f>GrossMargin!C61-Expenses!C61-'Cap Charge'!C61</f>
        <v>0</v>
      </c>
      <c r="D61" s="30">
        <f>GrossMargin!D61-Expenses!D61-'Cap Charge'!D61</f>
        <v>2731</v>
      </c>
      <c r="E61" s="22">
        <f>GrossMargin!E61-Expenses!E61-'Cap Charge'!E61</f>
        <v>-252</v>
      </c>
      <c r="F61" s="30">
        <f>GrossMargin!F61-Expenses!F61-'Cap Charge'!F61</f>
        <v>4657</v>
      </c>
      <c r="G61" s="29">
        <f>GrossMargin!G61-Expenses!G61-'Cap Charge'!G61</f>
        <v>7136</v>
      </c>
      <c r="H61" s="99">
        <f>GrossMargin!H61-Expenses!H61-'Cap Charge'!H61</f>
        <v>18983</v>
      </c>
      <c r="I61" s="28">
        <f t="shared" si="8"/>
        <v>-11847</v>
      </c>
    </row>
    <row r="62" spans="1:9" ht="12.75" customHeight="1" x14ac:dyDescent="0.25">
      <c r="A62" s="16" t="str">
        <f>GrossMargin!A62</f>
        <v>Principal Investing (Miller)</v>
      </c>
      <c r="B62" s="25"/>
      <c r="C62" s="29">
        <f>GrossMargin!C62-Expenses!C62-'Cap Charge'!C62</f>
        <v>-9534</v>
      </c>
      <c r="D62" s="30">
        <f>GrossMargin!D62-Expenses!D62-'Cap Charge'!D62</f>
        <v>-8225</v>
      </c>
      <c r="E62" s="22">
        <f>GrossMargin!E62-Expenses!E62-'Cap Charge'!E62</f>
        <v>0</v>
      </c>
      <c r="F62" s="30">
        <f>GrossMargin!F62-Expenses!F62-'Cap Charge'!F62</f>
        <v>0</v>
      </c>
      <c r="G62" s="29">
        <f>GrossMargin!G62-Expenses!G62-'Cap Charge'!G62</f>
        <v>-17759</v>
      </c>
      <c r="H62" s="99">
        <f>GrossMargin!H62-Expenses!H62-'Cap Charge'!H62</f>
        <v>4702</v>
      </c>
      <c r="I62" s="28">
        <f>G62-H62</f>
        <v>-22461</v>
      </c>
    </row>
    <row r="63" spans="1:9" ht="12.75" customHeight="1" x14ac:dyDescent="0.25">
      <c r="A63" s="16" t="str">
        <f>GrossMargin!A63</f>
        <v>Corporate Development (Detmering)</v>
      </c>
      <c r="B63" s="25"/>
      <c r="C63" s="29">
        <f>GrossMargin!C63-Expenses!C63-'Cap Charge'!C63</f>
        <v>-700</v>
      </c>
      <c r="D63" s="30">
        <f>GrossMargin!D63-Expenses!D63-'Cap Charge'!D63</f>
        <v>0</v>
      </c>
      <c r="E63" s="22">
        <f>GrossMargin!E63-Expenses!E63-'Cap Charge'!E63</f>
        <v>0</v>
      </c>
      <c r="F63" s="30">
        <f>GrossMargin!F63-Expenses!F63-'Cap Charge'!F63</f>
        <v>0</v>
      </c>
      <c r="G63" s="29">
        <f>GrossMargin!G63-Expenses!G63-'Cap Charge'!G63</f>
        <v>-700</v>
      </c>
      <c r="H63" s="99">
        <f>GrossMargin!H63-Expenses!H63-'Cap Charge'!H63</f>
        <v>-9347</v>
      </c>
      <c r="I63" s="28">
        <f>G63-H63</f>
        <v>8647</v>
      </c>
    </row>
    <row r="64" spans="1:9" ht="12.75" customHeight="1" x14ac:dyDescent="0.25">
      <c r="A64" s="16" t="str">
        <f>'[1]QTD Mgmt Summary'!A61</f>
        <v>Sold Peakers</v>
      </c>
      <c r="B64" s="25"/>
      <c r="C64" s="29">
        <f>GrossMargin!C64-Expenses!C64-'Cap Charge'!C64</f>
        <v>182368</v>
      </c>
      <c r="D64" s="30">
        <f>GrossMargin!D64-Expenses!D64-'Cap Charge'!D64</f>
        <v>399071</v>
      </c>
      <c r="E64" s="22">
        <f>GrossMargin!E64-Expenses!E64-'Cap Charge'!E64</f>
        <v>19209</v>
      </c>
      <c r="F64" s="30">
        <f>GrossMargin!F64-Expenses!F64-'Cap Charge'!F64</f>
        <v>-15562</v>
      </c>
      <c r="G64" s="29">
        <f>GrossMargin!G64-Expenses!G64-'Cap Charge'!G64</f>
        <v>585086</v>
      </c>
      <c r="H64" s="99">
        <f>GrossMargin!H64-Expenses!H64-'Cap Charge'!H64</f>
        <v>-93403</v>
      </c>
      <c r="I64" s="28">
        <f t="shared" si="8"/>
        <v>678489</v>
      </c>
    </row>
    <row r="65" spans="1:12" ht="12.75" customHeight="1" x14ac:dyDescent="0.25">
      <c r="A65" s="16" t="str">
        <f>'[1]QTD Mgmt Summary'!A62</f>
        <v>Cross Commodity (Lavorato)</v>
      </c>
      <c r="B65" s="25"/>
      <c r="C65" s="29">
        <f>GrossMargin!C65-Expenses!C65-'Cap Charge'!C65</f>
        <v>-16596</v>
      </c>
      <c r="D65" s="30">
        <f>GrossMargin!D65-Expenses!D65-'Cap Charge'!D65</f>
        <v>37722</v>
      </c>
      <c r="E65" s="22">
        <f>GrossMargin!E65-Expenses!E65-'Cap Charge'!E65</f>
        <v>-22394</v>
      </c>
      <c r="F65" s="30">
        <f>GrossMargin!F65-Expenses!F65-'Cap Charge'!F65</f>
        <v>0</v>
      </c>
      <c r="G65" s="29">
        <f>GrossMargin!G65-Expenses!G65-'Cap Charge'!G65</f>
        <v>-1268</v>
      </c>
      <c r="H65" s="99">
        <f>GrossMargin!H65-Expenses!H65-'Cap Charge'!H65</f>
        <v>0</v>
      </c>
      <c r="I65" s="28">
        <f t="shared" si="8"/>
        <v>-1268</v>
      </c>
    </row>
    <row r="66" spans="1:12" ht="12.75" customHeight="1" x14ac:dyDescent="0.25">
      <c r="A66" s="16" t="str">
        <f>'[1]QTD Mgmt Summary'!A63</f>
        <v>Office of the Chairman (Lavorato/Kitchen)</v>
      </c>
      <c r="B66" s="10"/>
      <c r="C66" s="29">
        <f>GrossMargin!C66-Expenses!C66-'Cap Charge'!C66</f>
        <v>-24710</v>
      </c>
      <c r="D66" s="30">
        <f>GrossMargin!D66-Expenses!D66-'Cap Charge'!D66</f>
        <v>-725</v>
      </c>
      <c r="E66" s="22">
        <f>GrossMargin!E66-Expenses!E66-'Cap Charge'!E66</f>
        <v>-1207</v>
      </c>
      <c r="F66" s="30">
        <f>GrossMargin!F66-Expenses!F66-'Cap Charge'!F66</f>
        <v>-105450</v>
      </c>
      <c r="G66" s="29">
        <f>GrossMargin!G66-Expenses!G66-'Cap Charge'!G66</f>
        <v>-132092</v>
      </c>
      <c r="H66" s="99">
        <f>GrossMargin!H66-Expenses!H66-'Cap Charge'!H66</f>
        <v>-113596</v>
      </c>
      <c r="I66" s="28">
        <f t="shared" si="8"/>
        <v>-18496</v>
      </c>
    </row>
    <row r="67" spans="1:12" ht="12.75" customHeight="1" x14ac:dyDescent="0.25">
      <c r="A67" s="16" t="str">
        <f>'[1]QTD Mgmt Summary'!A64</f>
        <v>TVA Settlement</v>
      </c>
      <c r="B67" s="10"/>
      <c r="C67" s="29">
        <f>GrossMargin!C67-Expenses!C67-'Cap Charge'!C67</f>
        <v>-253300</v>
      </c>
      <c r="D67" s="30">
        <f>GrossMargin!D67-Expenses!D67-'Cap Charge'!D67</f>
        <v>0</v>
      </c>
      <c r="E67" s="22">
        <f>GrossMargin!E67-Expenses!E67-'Cap Charge'!E67</f>
        <v>0</v>
      </c>
      <c r="F67" s="30">
        <f>GrossMargin!F67-Expenses!F67-'Cap Charge'!F67</f>
        <v>0</v>
      </c>
      <c r="G67" s="29">
        <f>GrossMargin!G67-Expenses!G67-'Cap Charge'!G67</f>
        <v>-253300</v>
      </c>
      <c r="H67" s="99">
        <f>GrossMargin!H67-Expenses!H67-'Cap Charge'!H67</f>
        <v>0</v>
      </c>
      <c r="I67" s="28">
        <f t="shared" si="8"/>
        <v>-253300</v>
      </c>
    </row>
    <row r="68" spans="1:12" ht="12.75" customHeight="1" thickBot="1" x14ac:dyDescent="0.3">
      <c r="A68" s="16" t="str">
        <f>'[1]QTD Mgmt Summary'!A65</f>
        <v>Other *</v>
      </c>
      <c r="B68" s="10"/>
      <c r="C68" s="29">
        <f>GrossMargin!C68-Expenses!C68-'Cap Charge'!C68</f>
        <v>-31384</v>
      </c>
      <c r="D68" s="30">
        <f>GrossMargin!D68-Expenses!D68-'Cap Charge'!D68</f>
        <v>-6995</v>
      </c>
      <c r="E68" s="22">
        <f>GrossMargin!E68-Expenses!E68-'Cap Charge'!E68</f>
        <v>-290</v>
      </c>
      <c r="F68" s="44">
        <f>GrossMargin!F68-Expenses!F68-'Cap Charge'!F68</f>
        <v>-15593</v>
      </c>
      <c r="G68" s="46">
        <f>GrossMargin!G68-Expenses!G68-'Cap Charge'!G68</f>
        <v>-54262</v>
      </c>
      <c r="H68" s="99">
        <f>GrossMargin!H68-Expenses!H68-'Cap Charge'!H68</f>
        <v>-81550</v>
      </c>
      <c r="I68" s="28">
        <f t="shared" si="8"/>
        <v>27288</v>
      </c>
    </row>
    <row r="69" spans="1:12" s="48" customFormat="1" ht="12.75" customHeight="1" thickBot="1" x14ac:dyDescent="0.25">
      <c r="A69" s="33" t="s">
        <v>8</v>
      </c>
      <c r="B69" s="34"/>
      <c r="C69" s="35">
        <f>SUM(C55:C68)+C54+C46+C32+C24</f>
        <v>844184</v>
      </c>
      <c r="D69" s="36">
        <f>SUM(D55:D68)+D54+D46+D32+D24</f>
        <v>1239728</v>
      </c>
      <c r="E69" s="36">
        <f>SUM(E55:E68)+E54+E46+E32+E24</f>
        <v>744544.36499999999</v>
      </c>
      <c r="F69" s="36">
        <f>SUM(F55:F68)+F54+F46+F32+F24</f>
        <v>116858</v>
      </c>
      <c r="G69" s="39">
        <f>(SUM(G55:G68))+G24+G32+G46+G54</f>
        <v>2945314.3649999998</v>
      </c>
      <c r="H69" s="39">
        <f>(SUM(H55:H68))+H24+H32+H46+H54</f>
        <v>1032278</v>
      </c>
      <c r="I69" s="39">
        <f>(SUM(I55:I68))+I24+I32+I46+I54</f>
        <v>1913036.3649999998</v>
      </c>
      <c r="L69" s="49"/>
    </row>
    <row r="70" spans="1:12" ht="9" customHeight="1" x14ac:dyDescent="0.25">
      <c r="A70" s="50"/>
      <c r="B70" s="10"/>
      <c r="C70" s="51"/>
      <c r="D70" s="52"/>
      <c r="E70" s="53"/>
      <c r="F70" s="54"/>
      <c r="G70" s="55"/>
      <c r="H70" s="111"/>
      <c r="I70" s="56"/>
    </row>
    <row r="71" spans="1:12" ht="12.75" customHeight="1" x14ac:dyDescent="0.25">
      <c r="A71" s="50" t="s">
        <v>9</v>
      </c>
      <c r="B71" s="10"/>
      <c r="C71" s="29">
        <f>GrossMargin!C71-Expenses!C71-'Cap Charge'!C71</f>
        <v>-2119</v>
      </c>
      <c r="D71" s="30">
        <f>GrossMargin!D71-Expenses!D71-'Cap Charge'!D71</f>
        <v>-2418</v>
      </c>
      <c r="E71" s="22">
        <f>GrossMargin!E71-Expenses!E71-'Cap Charge'!E71</f>
        <v>-2232</v>
      </c>
      <c r="F71" s="27">
        <f>GrossMargin!F71-Expenses!F71-'Cap Charge'!F71</f>
        <v>-2374.2449999999999</v>
      </c>
      <c r="G71" s="29">
        <f>GrossMargin!G71-Expenses!G71-'Cap Charge'!G71</f>
        <v>-9143.244999999999</v>
      </c>
      <c r="H71" s="99">
        <f>GrossMargin!H71-Expenses!H71-'Cap Charge'!H71</f>
        <v>-10008</v>
      </c>
      <c r="I71" s="28">
        <f t="shared" ref="I71:I84" si="9">G71-H71</f>
        <v>864.75500000000102</v>
      </c>
    </row>
    <row r="72" spans="1:12" ht="12.75" customHeight="1" x14ac:dyDescent="0.25">
      <c r="A72" s="50" t="s">
        <v>10</v>
      </c>
      <c r="B72" s="10"/>
      <c r="C72" s="29">
        <f>GrossMargin!C72-Expenses!C72-'Cap Charge'!C72</f>
        <v>-767</v>
      </c>
      <c r="D72" s="30">
        <f>GrossMargin!D72-Expenses!D72-'Cap Charge'!D72</f>
        <v>-489</v>
      </c>
      <c r="E72" s="22">
        <f>GrossMargin!E72-Expenses!E72-'Cap Charge'!E72</f>
        <v>-521</v>
      </c>
      <c r="F72" s="27">
        <f>GrossMargin!F72-Expenses!F72-'Cap Charge'!F72</f>
        <v>-455.505</v>
      </c>
      <c r="G72" s="29">
        <f>GrossMargin!G72-Expenses!G72-'Cap Charge'!G72</f>
        <v>-2232.5050000000001</v>
      </c>
      <c r="H72" s="99">
        <f>GrossMargin!H72-Expenses!H72-'Cap Charge'!H72</f>
        <v>-1909</v>
      </c>
      <c r="I72" s="28">
        <f t="shared" si="9"/>
        <v>-323.50500000000011</v>
      </c>
    </row>
    <row r="73" spans="1:12" ht="12.75" customHeight="1" x14ac:dyDescent="0.25">
      <c r="A73" s="50" t="s">
        <v>11</v>
      </c>
      <c r="B73" s="10"/>
      <c r="C73" s="29">
        <f>GrossMargin!C73-Expenses!C73-'Cap Charge'!C73</f>
        <v>-1717</v>
      </c>
      <c r="D73" s="30">
        <f>GrossMargin!D73-Expenses!D73-'Cap Charge'!D73</f>
        <v>-545</v>
      </c>
      <c r="E73" s="22">
        <f>GrossMargin!E73-Expenses!E73-'Cap Charge'!E73</f>
        <v>-1117</v>
      </c>
      <c r="F73" s="27">
        <f>GrossMargin!F73-Expenses!F73-'Cap Charge'!F73</f>
        <v>-1418.8779999999999</v>
      </c>
      <c r="G73" s="29">
        <f>GrossMargin!G73-Expenses!G73-'Cap Charge'!G73</f>
        <v>-4797.8779999999997</v>
      </c>
      <c r="H73" s="99">
        <f>GrossMargin!H73-Expenses!H73-'Cap Charge'!H73</f>
        <v>-5667</v>
      </c>
      <c r="I73" s="28">
        <f t="shared" si="9"/>
        <v>869.1220000000003</v>
      </c>
    </row>
    <row r="74" spans="1:12" ht="12.75" customHeight="1" x14ac:dyDescent="0.25">
      <c r="A74" s="50" t="s">
        <v>12</v>
      </c>
      <c r="B74" s="10"/>
      <c r="C74" s="29">
        <f>GrossMargin!C74-Expenses!C74-'Cap Charge'!C74</f>
        <v>-10540</v>
      </c>
      <c r="D74" s="30">
        <f>GrossMargin!D74-Expenses!D74-'Cap Charge'!D74</f>
        <v>-9102</v>
      </c>
      <c r="E74" s="22">
        <f>GrossMargin!E74-Expenses!E74-'Cap Charge'!E74</f>
        <v>-10346</v>
      </c>
      <c r="F74" s="27">
        <f>GrossMargin!F74-Expenses!F74-'Cap Charge'!F74</f>
        <v>-11344</v>
      </c>
      <c r="G74" s="29">
        <f>GrossMargin!G74-Expenses!G74-'Cap Charge'!G74</f>
        <v>-41332</v>
      </c>
      <c r="H74" s="99">
        <f>GrossMargin!H74-Expenses!H74-'Cap Charge'!H74</f>
        <v>-40474</v>
      </c>
      <c r="I74" s="28">
        <f t="shared" si="9"/>
        <v>-858</v>
      </c>
    </row>
    <row r="75" spans="1:12" ht="12.75" customHeight="1" x14ac:dyDescent="0.25">
      <c r="A75" s="50" t="s">
        <v>13</v>
      </c>
      <c r="B75" s="10"/>
      <c r="C75" s="29">
        <f>GrossMargin!C75-Expenses!C75-'Cap Charge'!C75</f>
        <v>-936</v>
      </c>
      <c r="D75" s="30">
        <f>GrossMargin!D75-Expenses!D75-'Cap Charge'!D75</f>
        <v>-1180</v>
      </c>
      <c r="E75" s="22">
        <f>GrossMargin!E75-Expenses!E75-'Cap Charge'!E75</f>
        <v>-2035</v>
      </c>
      <c r="F75" s="27">
        <f>GrossMargin!F75-Expenses!F75-'Cap Charge'!F75</f>
        <v>-1144.0719999999999</v>
      </c>
      <c r="G75" s="29">
        <f>GrossMargin!G75-Expenses!G75-'Cap Charge'!G75</f>
        <v>-5295.0720000000001</v>
      </c>
      <c r="H75" s="99">
        <f>GrossMargin!H75-Expenses!H75-'Cap Charge'!H75</f>
        <v>-4696</v>
      </c>
      <c r="I75" s="28">
        <f t="shared" si="9"/>
        <v>-599.07200000000012</v>
      </c>
    </row>
    <row r="76" spans="1:12" ht="12.75" customHeight="1" x14ac:dyDescent="0.25">
      <c r="A76" s="50" t="s">
        <v>14</v>
      </c>
      <c r="B76" s="10"/>
      <c r="C76" s="29">
        <f>GrossMargin!C76-Expenses!C76-'Cap Charge'!C76</f>
        <v>-2483</v>
      </c>
      <c r="D76" s="30">
        <f>GrossMargin!D76-Expenses!D76-'Cap Charge'!D76</f>
        <v>-3634</v>
      </c>
      <c r="E76" s="22">
        <f>GrossMargin!E76-Expenses!E76-'Cap Charge'!E76</f>
        <v>-4034</v>
      </c>
      <c r="F76" s="27">
        <f>GrossMargin!F76-Expenses!F76-'Cap Charge'!F76</f>
        <v>-3385.4639999999999</v>
      </c>
      <c r="G76" s="29">
        <f>GrossMargin!G76-Expenses!G76-'Cap Charge'!G76</f>
        <v>-13536.464</v>
      </c>
      <c r="H76" s="99">
        <f>GrossMargin!H76-Expenses!H76-'Cap Charge'!H76</f>
        <v>-9967</v>
      </c>
      <c r="I76" s="28">
        <f t="shared" si="9"/>
        <v>-3569.4639999999999</v>
      </c>
    </row>
    <row r="77" spans="1:12" ht="12.75" customHeight="1" x14ac:dyDescent="0.25">
      <c r="A77" s="50" t="s">
        <v>15</v>
      </c>
      <c r="B77" s="10"/>
      <c r="C77" s="29">
        <f>GrossMargin!C77-Expenses!C77-'Cap Charge'!C77</f>
        <v>-10</v>
      </c>
      <c r="D77" s="30">
        <f>GrossMargin!D77-Expenses!D77-'Cap Charge'!D77</f>
        <v>-318</v>
      </c>
      <c r="E77" s="22">
        <f>GrossMargin!E77-Expenses!E77-'Cap Charge'!E77</f>
        <v>-571</v>
      </c>
      <c r="F77" s="27">
        <f>GrossMargin!F77-Expenses!F77-'Cap Charge'!F77</f>
        <v>-618.00900000000001</v>
      </c>
      <c r="G77" s="29">
        <f>GrossMargin!G77-Expenses!G77-'Cap Charge'!G77</f>
        <v>-1517.009</v>
      </c>
      <c r="H77" s="99">
        <f>GrossMargin!H77-Expenses!H77-'Cap Charge'!H77</f>
        <v>-1572</v>
      </c>
      <c r="I77" s="28">
        <f t="shared" si="9"/>
        <v>54.990999999999985</v>
      </c>
    </row>
    <row r="78" spans="1:12" ht="12.75" customHeight="1" x14ac:dyDescent="0.25">
      <c r="A78" s="50" t="s">
        <v>16</v>
      </c>
      <c r="B78" s="10"/>
      <c r="C78" s="29">
        <f>GrossMargin!C78-Expenses!C78-'Cap Charge'!C78</f>
        <v>-357</v>
      </c>
      <c r="D78" s="30">
        <f>GrossMargin!D78-Expenses!D78-'Cap Charge'!D78</f>
        <v>-700</v>
      </c>
      <c r="E78" s="22">
        <f>GrossMargin!E78-Expenses!E78-'Cap Charge'!E78</f>
        <v>-511</v>
      </c>
      <c r="F78" s="27">
        <f>GrossMargin!F78-Expenses!F78-'Cap Charge'!F78</f>
        <v>-400.589</v>
      </c>
      <c r="G78" s="29">
        <f>GrossMargin!G78-Expenses!G78-'Cap Charge'!G78</f>
        <v>-1968.5889999999999</v>
      </c>
      <c r="H78" s="99">
        <f>GrossMargin!H78-Expenses!H78-'Cap Charge'!H78</f>
        <v>-1986</v>
      </c>
      <c r="I78" s="28">
        <f t="shared" si="9"/>
        <v>17.411000000000058</v>
      </c>
    </row>
    <row r="79" spans="1:12" ht="12.75" customHeight="1" x14ac:dyDescent="0.25">
      <c r="A79" s="50" t="s">
        <v>17</v>
      </c>
      <c r="B79" s="10"/>
      <c r="C79" s="29">
        <f>GrossMargin!C79-Expenses!C79-'Cap Charge'!C79</f>
        <v>-200</v>
      </c>
      <c r="D79" s="30">
        <f>GrossMargin!D79-Expenses!D79-'Cap Charge'!D79</f>
        <v>-815</v>
      </c>
      <c r="E79" s="22">
        <f>GrossMargin!E79-Expenses!E79-'Cap Charge'!E79</f>
        <v>-395</v>
      </c>
      <c r="F79" s="27">
        <f>GrossMargin!F79-Expenses!F79-'Cap Charge'!F79</f>
        <v>-544.73099999999999</v>
      </c>
      <c r="G79" s="29">
        <f>GrossMargin!G79-Expenses!G79-'Cap Charge'!G79</f>
        <v>-1954.731</v>
      </c>
      <c r="H79" s="99">
        <f>GrossMargin!H79-Expenses!H79-'Cap Charge'!H79</f>
        <v>-2200</v>
      </c>
      <c r="I79" s="28">
        <f t="shared" si="9"/>
        <v>245.26900000000001</v>
      </c>
    </row>
    <row r="80" spans="1:12" ht="12.75" customHeight="1" x14ac:dyDescent="0.25">
      <c r="A80" s="50" t="s">
        <v>18</v>
      </c>
      <c r="B80" s="10"/>
      <c r="C80" s="29">
        <f>GrossMargin!C80-Expenses!C80-'Cap Charge'!C80</f>
        <v>-189</v>
      </c>
      <c r="D80" s="30">
        <f>GrossMargin!D80-Expenses!D80-'Cap Charge'!D80</f>
        <v>-282</v>
      </c>
      <c r="E80" s="22">
        <f>GrossMargin!E80-Expenses!E80-'Cap Charge'!E80</f>
        <v>-813</v>
      </c>
      <c r="F80" s="27">
        <f>GrossMargin!F80-Expenses!F80-'Cap Charge'!F80</f>
        <v>-197.58199999999999</v>
      </c>
      <c r="G80" s="29">
        <f>GrossMargin!G80-Expenses!G80-'Cap Charge'!G80</f>
        <v>-1481.5819999999999</v>
      </c>
      <c r="H80" s="99">
        <f>GrossMargin!H80-Expenses!H80-'Cap Charge'!H80</f>
        <v>-792</v>
      </c>
      <c r="I80" s="28">
        <f t="shared" si="9"/>
        <v>-689.58199999999988</v>
      </c>
    </row>
    <row r="81" spans="1:10" ht="12.75" customHeight="1" x14ac:dyDescent="0.25">
      <c r="A81" s="50" t="s">
        <v>19</v>
      </c>
      <c r="B81" s="10"/>
      <c r="C81" s="29">
        <f>GrossMargin!C81-Expenses!C81-'Cap Charge'!C81</f>
        <v>-471</v>
      </c>
      <c r="D81" s="30">
        <f>GrossMargin!D81-Expenses!D81-'Cap Charge'!D81</f>
        <v>-446</v>
      </c>
      <c r="E81" s="22">
        <f>GrossMargin!E81-Expenses!E81-'Cap Charge'!E81</f>
        <v>-356</v>
      </c>
      <c r="F81" s="27">
        <f>GrossMargin!F81-Expenses!F81-'Cap Charge'!F81</f>
        <v>-683.27099999999996</v>
      </c>
      <c r="G81" s="29">
        <f>GrossMargin!G81-Expenses!G81-'Cap Charge'!G81</f>
        <v>-1956.271</v>
      </c>
      <c r="H81" s="99">
        <f>GrossMargin!H81-Expenses!H81-'Cap Charge'!H81</f>
        <v>-2702</v>
      </c>
      <c r="I81" s="28">
        <f t="shared" si="9"/>
        <v>745.72900000000004</v>
      </c>
    </row>
    <row r="82" spans="1:10" ht="12.75" customHeight="1" x14ac:dyDescent="0.25">
      <c r="A82" s="50" t="s">
        <v>20</v>
      </c>
      <c r="B82" s="10"/>
      <c r="C82" s="29">
        <f>GrossMargin!C82-Expenses!C82-'Cap Charge'!C82</f>
        <v>-1119</v>
      </c>
      <c r="D82" s="30">
        <f>GrossMargin!D82-Expenses!D82-'Cap Charge'!D82</f>
        <v>-1029</v>
      </c>
      <c r="E82" s="22">
        <f>GrossMargin!E82-Expenses!E82-'Cap Charge'!E82</f>
        <v>-1038</v>
      </c>
      <c r="F82" s="27">
        <f>GrossMargin!F82-Expenses!F82-'Cap Charge'!F82</f>
        <v>-4169</v>
      </c>
      <c r="G82" s="29">
        <f>GrossMargin!G82-Expenses!G82-'Cap Charge'!G82</f>
        <v>-7355</v>
      </c>
      <c r="H82" s="99">
        <f>GrossMargin!H82-Expenses!H82-'Cap Charge'!H82</f>
        <v>-5676</v>
      </c>
      <c r="I82" s="28">
        <f t="shared" si="9"/>
        <v>-1679</v>
      </c>
    </row>
    <row r="83" spans="1:10" ht="12.75" customHeight="1" x14ac:dyDescent="0.25">
      <c r="A83" s="50" t="s">
        <v>54</v>
      </c>
      <c r="B83" s="10"/>
      <c r="C83" s="29">
        <f>GrossMargin!C83-Expenses!C83-'Cap Charge'!C83</f>
        <v>-26414</v>
      </c>
      <c r="D83" s="30">
        <f>GrossMargin!D83-Expenses!D83-'Cap Charge'!D83</f>
        <v>-35596</v>
      </c>
      <c r="E83" s="22">
        <f>GrossMargin!E83-Expenses!E83-'Cap Charge'!E83</f>
        <v>-34927</v>
      </c>
      <c r="F83" s="27">
        <f>GrossMargin!F83-Expenses!F83-'Cap Charge'!F83</f>
        <v>-22613.004000000001</v>
      </c>
      <c r="G83" s="29">
        <f>GrossMargin!G83-Expenses!G83-'Cap Charge'!G83</f>
        <v>-119550.004</v>
      </c>
      <c r="H83" s="99">
        <f>GrossMargin!H83-Expenses!H83-'Cap Charge'!H83</f>
        <v>-91376</v>
      </c>
      <c r="I83" s="28">
        <f t="shared" si="9"/>
        <v>-28174.004000000001</v>
      </c>
    </row>
    <row r="84" spans="1:10" ht="12.75" customHeight="1" thickBot="1" x14ac:dyDescent="0.3">
      <c r="A84" s="50" t="s">
        <v>21</v>
      </c>
      <c r="B84" s="10"/>
      <c r="C84" s="29">
        <f>GrossMargin!C84-Expenses!C84-'Cap Charge'!C84</f>
        <v>-48754</v>
      </c>
      <c r="D84" s="30">
        <f>GrossMargin!D84-Expenses!D84-'Cap Charge'!D84</f>
        <v>-43375</v>
      </c>
      <c r="E84" s="22">
        <f>GrossMargin!E84-Expenses!E84-'Cap Charge'!E84</f>
        <v>-47504</v>
      </c>
      <c r="F84" s="27">
        <f>GrossMargin!F84-Expenses!F84-'Cap Charge'!F84</f>
        <v>-48547</v>
      </c>
      <c r="G84" s="29">
        <f>GrossMargin!G84-Expenses!G84-'Cap Charge'!G84</f>
        <v>-188180</v>
      </c>
      <c r="H84" s="99">
        <f>GrossMargin!H84-Expenses!H84-'Cap Charge'!H84</f>
        <v>-186341</v>
      </c>
      <c r="I84" s="28">
        <f t="shared" si="9"/>
        <v>-1839</v>
      </c>
    </row>
    <row r="85" spans="1:10" s="48" customFormat="1" ht="12.75" customHeight="1" thickBot="1" x14ac:dyDescent="0.25">
      <c r="A85" s="33" t="s">
        <v>22</v>
      </c>
      <c r="B85" s="34"/>
      <c r="C85" s="35">
        <f t="shared" ref="C85:I85" si="10">SUM(C71:C84)</f>
        <v>-96076</v>
      </c>
      <c r="D85" s="36">
        <f t="shared" si="10"/>
        <v>-99929</v>
      </c>
      <c r="E85" s="36">
        <f t="shared" si="10"/>
        <v>-106400</v>
      </c>
      <c r="F85" s="37">
        <f t="shared" si="10"/>
        <v>-97895.35</v>
      </c>
      <c r="G85" s="39">
        <f t="shared" si="10"/>
        <v>-400300.35</v>
      </c>
      <c r="H85" s="101">
        <f t="shared" si="10"/>
        <v>-365366</v>
      </c>
      <c r="I85" s="38">
        <f t="shared" si="10"/>
        <v>-34934.35</v>
      </c>
    </row>
    <row r="86" spans="1:10" s="58" customFormat="1" ht="12.75" customHeight="1" x14ac:dyDescent="0.25">
      <c r="A86" s="57" t="str">
        <f>'[1]QTD Mgmt Summary'!A83</f>
        <v>Prepay Expenses</v>
      </c>
      <c r="B86" s="10"/>
      <c r="C86" s="29">
        <f>GrossMargin!C86-Expenses!C86-'Cap Charge'!C86</f>
        <v>-14566</v>
      </c>
      <c r="D86" s="30">
        <f>GrossMargin!D86-Expenses!D86-'Cap Charge'!D86</f>
        <v>-14204</v>
      </c>
      <c r="E86" s="22">
        <f>GrossMargin!E86-Expenses!E86-'Cap Charge'!E86</f>
        <v>-49802</v>
      </c>
      <c r="F86" s="27">
        <f>GrossMargin!F86-Expenses!F86-'Cap Charge'!F86</f>
        <v>-38127</v>
      </c>
      <c r="G86" s="29">
        <f>GrossMargin!G86-Expenses!G86-'Cap Charge'!G86</f>
        <v>-116699</v>
      </c>
      <c r="H86" s="99">
        <f>GrossMargin!H86-Expenses!H86-'Cap Charge'!H86</f>
        <v>-149780</v>
      </c>
      <c r="I86" s="28">
        <f>G86-H86</f>
        <v>33081</v>
      </c>
    </row>
    <row r="87" spans="1:10" s="58" customFormat="1" ht="12.75" customHeight="1" x14ac:dyDescent="0.25">
      <c r="A87" s="57" t="str">
        <f>'[1]QTD Mgmt Summary'!A84</f>
        <v>U.S. Drift</v>
      </c>
      <c r="B87" s="10"/>
      <c r="C87" s="51">
        <f>GrossMargin!C87-Expenses!C87-'Cap Charge'!C87</f>
        <v>47398</v>
      </c>
      <c r="D87" s="30">
        <f>GrossMargin!D87-Expenses!D87-'Cap Charge'!D87</f>
        <v>39916</v>
      </c>
      <c r="E87" s="22">
        <f>GrossMargin!E87-Expenses!E87-'Cap Charge'!E87</f>
        <v>31151</v>
      </c>
      <c r="F87" s="27">
        <f>GrossMargin!F87-Expenses!F87-'Cap Charge'!F87</f>
        <v>28010</v>
      </c>
      <c r="G87" s="29">
        <f>GrossMargin!G87-Expenses!G87-'Cap Charge'!G87</f>
        <v>146475</v>
      </c>
      <c r="H87" s="99">
        <f>GrossMargin!H87-Expenses!H87-'Cap Charge'!H87</f>
        <v>113845</v>
      </c>
      <c r="I87" s="28">
        <f>G87-H87</f>
        <v>32630</v>
      </c>
    </row>
    <row r="88" spans="1:10" s="58" customFormat="1" ht="12.75" customHeight="1" x14ac:dyDescent="0.25">
      <c r="A88" s="57" t="str">
        <f>'[1]QTD Mgmt Summary'!A85</f>
        <v>Facility Costs</v>
      </c>
      <c r="B88" s="10"/>
      <c r="C88" s="29">
        <f>GrossMargin!C88-Expenses!C88-'Cap Charge'!C88</f>
        <v>-24207</v>
      </c>
      <c r="D88" s="30">
        <f>GrossMargin!D88-Expenses!D88-'Cap Charge'!D88</f>
        <v>-12795</v>
      </c>
      <c r="E88" s="22">
        <f>GrossMargin!E88-Expenses!E88-'Cap Charge'!E88</f>
        <v>-10608</v>
      </c>
      <c r="F88" s="27">
        <f>GrossMargin!F88-Expenses!F88-'Cap Charge'!F88</f>
        <v>-13000</v>
      </c>
      <c r="G88" s="29">
        <f>GrossMargin!G88-Expenses!G88-'Cap Charge'!G88</f>
        <v>-60610</v>
      </c>
      <c r="H88" s="99">
        <f>GrossMargin!H88-Expenses!H88-'Cap Charge'!H88</f>
        <v>-52000</v>
      </c>
      <c r="I88" s="28">
        <f>G88-H88</f>
        <v>-8610</v>
      </c>
    </row>
    <row r="89" spans="1:10" ht="12.75" customHeight="1" thickBot="1" x14ac:dyDescent="0.3">
      <c r="A89" s="57" t="str">
        <f>'[1]QTD Mgmt Summary'!A86</f>
        <v>Capital Charge Offset</v>
      </c>
      <c r="B89" s="10"/>
      <c r="C89" s="29">
        <f>GrossMargin!C89-Expenses!C89-'Cap Charge'!C89</f>
        <v>99933</v>
      </c>
      <c r="D89" s="30">
        <f>GrossMargin!D89-Expenses!D89-'Cap Charge'!D89</f>
        <v>75687</v>
      </c>
      <c r="E89" s="22">
        <f>GrossMargin!E89-Expenses!E89-'Cap Charge'!E89</f>
        <v>51567.635000000002</v>
      </c>
      <c r="F89" s="27">
        <f>GrossMargin!F89-Expenses!F89-'Cap Charge'!F89</f>
        <v>57444</v>
      </c>
      <c r="G89" s="26">
        <f>GrossMargin!G89-Expenses!G89-'Cap Charge'!G89</f>
        <v>284631.63500000001</v>
      </c>
      <c r="H89" s="104">
        <f>GrossMargin!H89-Expenses!H89-'Cap Charge'!H89</f>
        <v>324322</v>
      </c>
      <c r="I89" s="28">
        <f>G89-H89</f>
        <v>-39690.364999999991</v>
      </c>
    </row>
    <row r="90" spans="1:10" s="48" customFormat="1" ht="12.75" customHeight="1" thickBot="1" x14ac:dyDescent="0.25">
      <c r="A90" s="33" t="s">
        <v>41</v>
      </c>
      <c r="B90" s="34"/>
      <c r="C90" s="35">
        <f>C69+C85+C86+C87+C88+C89</f>
        <v>856666</v>
      </c>
      <c r="D90" s="36">
        <f>D69+D85+D86+D87+D88+D89</f>
        <v>1228403</v>
      </c>
      <c r="E90" s="36">
        <f>E69+E85+E86+E87+E88+E89</f>
        <v>660453</v>
      </c>
      <c r="F90" s="36">
        <f>F69+F85+F86+F87+F88+F89</f>
        <v>53289.649999999994</v>
      </c>
      <c r="G90" s="35">
        <f>G69+G85+G86+G87+G88+G89</f>
        <v>2798811.6499999994</v>
      </c>
      <c r="H90" s="100">
        <f>SUM(H86:H89)+H85+H69</f>
        <v>903299</v>
      </c>
      <c r="I90" s="47">
        <f>G90-H90</f>
        <v>1895512.6499999994</v>
      </c>
    </row>
    <row r="91" spans="1:10" ht="13.5" customHeight="1" thickBot="1" x14ac:dyDescent="0.3">
      <c r="A91" s="59"/>
      <c r="B91" s="74"/>
      <c r="C91" s="75"/>
      <c r="D91" s="76"/>
      <c r="E91" s="77"/>
      <c r="F91" s="79"/>
      <c r="G91" s="66"/>
      <c r="H91" s="113"/>
      <c r="I91" s="80"/>
    </row>
    <row r="92" spans="1:10" s="48" customFormat="1" ht="12.75" customHeight="1" thickBot="1" x14ac:dyDescent="0.25">
      <c r="A92" s="33" t="s">
        <v>45</v>
      </c>
      <c r="B92" s="34"/>
      <c r="C92" s="35">
        <f>GrossMargin!C92-Expenses!C92</f>
        <v>-8803</v>
      </c>
      <c r="D92" s="36">
        <f>GrossMargin!D92-Expenses!D92</f>
        <v>10712</v>
      </c>
      <c r="E92" s="36">
        <f>GrossMargin!E92-Expenses!E92</f>
        <v>0</v>
      </c>
      <c r="F92" s="36">
        <f>GrossMargin!F92-Expenses!F92</f>
        <v>0</v>
      </c>
      <c r="G92" s="35">
        <f>SUM(C92:F92)</f>
        <v>1909</v>
      </c>
      <c r="H92" s="100">
        <f>GrossMargin!H92-Expenses!H92</f>
        <v>20582</v>
      </c>
      <c r="I92" s="47">
        <f>G92-H92</f>
        <v>-18673</v>
      </c>
    </row>
    <row r="93" spans="1:10" ht="12" customHeight="1" thickBot="1" x14ac:dyDescent="0.3">
      <c r="A93" s="59"/>
      <c r="B93" s="74"/>
      <c r="C93" s="121"/>
      <c r="D93" s="22"/>
      <c r="E93" s="119"/>
      <c r="F93" s="80"/>
      <c r="G93" s="66"/>
      <c r="H93" s="113"/>
      <c r="I93" s="80"/>
    </row>
    <row r="94" spans="1:10" s="48" customFormat="1" ht="12.75" customHeight="1" thickBot="1" x14ac:dyDescent="0.25">
      <c r="A94" s="33" t="s">
        <v>46</v>
      </c>
      <c r="B94" s="34"/>
      <c r="C94" s="35">
        <f>C90+C92</f>
        <v>847863</v>
      </c>
      <c r="D94" s="36">
        <f t="shared" ref="D94:I94" si="11">D90+D92</f>
        <v>1239115</v>
      </c>
      <c r="E94" s="36">
        <f t="shared" si="11"/>
        <v>660453</v>
      </c>
      <c r="F94" s="47">
        <f t="shared" si="11"/>
        <v>53289.649999999994</v>
      </c>
      <c r="G94" s="36">
        <f t="shared" si="11"/>
        <v>2800720.6499999994</v>
      </c>
      <c r="H94" s="100">
        <f t="shared" si="11"/>
        <v>923881</v>
      </c>
      <c r="I94" s="47">
        <f t="shared" si="11"/>
        <v>1876839.6499999994</v>
      </c>
    </row>
    <row r="95" spans="1:10" ht="13.5" hidden="1" thickBot="1" x14ac:dyDescent="0.3">
      <c r="A95" s="50" t="s">
        <v>27</v>
      </c>
      <c r="B95" s="74"/>
      <c r="C95" s="23">
        <f>GrossMargin!C92-Expenses!C97-'Cap Charge'!C92</f>
        <v>-43524</v>
      </c>
      <c r="D95" s="22">
        <f>GrossMargin!D92-Expenses!D97-'Cap Charge'!D92</f>
        <v>12109</v>
      </c>
      <c r="E95" s="22">
        <f>GrossMargin!E92-Expenses!E97-'Cap Charge'!E92</f>
        <v>-28772</v>
      </c>
      <c r="F95" s="24">
        <f>GrossMargin!F92-Expenses!F97-'Cap Charge'!F92</f>
        <v>-25828</v>
      </c>
      <c r="G95" s="81">
        <f>GrossMargin!G92-Expenses!G97-'Cap Charge'!G92</f>
        <v>-86015</v>
      </c>
      <c r="H95" s="99">
        <f>GrossMargin!H92-Expenses!H97-'Cap Charge'!H92</f>
        <v>-70284</v>
      </c>
      <c r="I95" s="28">
        <f>H95-G95</f>
        <v>15731</v>
      </c>
      <c r="J95" s="60"/>
    </row>
    <row r="96" spans="1:10" ht="14.25" hidden="1" thickBot="1" x14ac:dyDescent="0.3">
      <c r="A96" s="33" t="s">
        <v>28</v>
      </c>
      <c r="B96" s="74"/>
      <c r="C96" s="82">
        <f t="shared" ref="C96:I96" si="12">C90+C95</f>
        <v>813142</v>
      </c>
      <c r="D96" s="83">
        <f t="shared" si="12"/>
        <v>1240512</v>
      </c>
      <c r="E96" s="83">
        <f t="shared" si="12"/>
        <v>631681</v>
      </c>
      <c r="F96" s="84">
        <f t="shared" si="12"/>
        <v>27461.649999999994</v>
      </c>
      <c r="G96" s="114">
        <f t="shared" si="12"/>
        <v>2712796.6499999994</v>
      </c>
      <c r="H96" s="115">
        <f t="shared" si="12"/>
        <v>833015</v>
      </c>
      <c r="I96" s="86">
        <f t="shared" si="12"/>
        <v>1911243.6499999994</v>
      </c>
      <c r="J96" s="60"/>
    </row>
    <row r="97" spans="1:8" ht="3" customHeight="1" x14ac:dyDescent="0.25">
      <c r="A97" s="59"/>
      <c r="C97" s="63"/>
      <c r="D97" s="22"/>
      <c r="E97" s="59"/>
      <c r="H97" s="66"/>
    </row>
    <row r="98" spans="1:8" x14ac:dyDescent="0.25">
      <c r="H98" s="66"/>
    </row>
    <row r="99" spans="1:8" x14ac:dyDescent="0.25">
      <c r="H99" s="66"/>
    </row>
    <row r="100" spans="1:8" x14ac:dyDescent="0.25">
      <c r="H100" s="66"/>
    </row>
    <row r="101" spans="1:8" x14ac:dyDescent="0.25">
      <c r="A101" s="15" t="s">
        <v>24</v>
      </c>
      <c r="H101" s="66"/>
    </row>
  </sheetData>
  <mergeCells count="7">
    <mergeCell ref="A2:I2"/>
    <mergeCell ref="A3:I3"/>
    <mergeCell ref="A4:I4"/>
    <mergeCell ref="C7:F8"/>
    <mergeCell ref="G7:I8"/>
    <mergeCell ref="A7:A8"/>
    <mergeCell ref="A5:I5"/>
  </mergeCells>
  <phoneticPr fontId="0" type="noConversion"/>
  <printOptions horizontalCentered="1"/>
  <pageMargins left="0.25" right="0.25" top="0.2" bottom="0.16" header="0.17" footer="0.18"/>
  <pageSetup paperSize="5" scale="77" orientation="portrait" r:id="rId1"/>
  <headerFooter alignWithMargins="0">
    <oddFooter>&amp;L&amp;D&amp;T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7"/>
  <sheetViews>
    <sheetView workbookViewId="0">
      <pane ySplit="9" topLeftCell="A10" activePane="bottomLeft" state="frozen"/>
      <selection activeCell="A6" sqref="A6"/>
      <selection pane="bottomLeft" activeCell="A6" sqref="A6"/>
    </sheetView>
  </sheetViews>
  <sheetFormatPr defaultRowHeight="12.75" x14ac:dyDescent="0.25"/>
  <cols>
    <col min="1" max="1" width="29" style="15" customWidth="1"/>
    <col min="2" max="2" width="0.85546875" style="15" customWidth="1"/>
    <col min="3" max="3" width="8.7109375" style="64" customWidth="1"/>
    <col min="4" max="4" width="8.7109375" style="15" customWidth="1"/>
    <col min="5" max="5" width="8.5703125" style="15" customWidth="1"/>
    <col min="6" max="6" width="9.28515625" style="60" customWidth="1"/>
    <col min="7" max="8" width="8.7109375" style="60" customWidth="1"/>
    <col min="9" max="9" width="8.85546875" style="60" customWidth="1"/>
    <col min="10" max="10" width="0.85546875" style="15" customWidth="1"/>
    <col min="11" max="11" width="8.7109375" style="15" customWidth="1"/>
    <col min="12" max="15" width="7.7109375" style="15" customWidth="1"/>
    <col min="16" max="17" width="8.7109375" style="15" customWidth="1"/>
    <col min="18" max="18" width="0.85546875" style="15" customWidth="1"/>
    <col min="19" max="16384" width="9.140625" style="15"/>
  </cols>
  <sheetData>
    <row r="1" spans="1:18" s="3" customFormat="1" ht="9.9499999999999993" customHeight="1" x14ac:dyDescent="0.25">
      <c r="A1"/>
      <c r="B1"/>
      <c r="C1" s="61"/>
      <c r="D1"/>
      <c r="E1"/>
      <c r="F1" s="1"/>
      <c r="G1" s="1"/>
      <c r="H1" s="1"/>
      <c r="I1" s="1"/>
      <c r="J1"/>
      <c r="K1"/>
      <c r="L1"/>
      <c r="M1"/>
      <c r="N1"/>
      <c r="O1"/>
      <c r="P1"/>
      <c r="Q1"/>
      <c r="R1" s="2"/>
    </row>
    <row r="2" spans="1:18" s="5" customFormat="1" ht="29.25" customHeight="1" x14ac:dyDescent="0.4">
      <c r="A2" s="136" t="s">
        <v>0</v>
      </c>
      <c r="B2" s="136"/>
      <c r="C2" s="136"/>
      <c r="D2" s="136"/>
      <c r="E2" s="136"/>
      <c r="F2" s="136"/>
      <c r="G2" s="136"/>
      <c r="H2" s="136"/>
      <c r="I2" s="136"/>
      <c r="J2" s="4"/>
      <c r="K2" s="4"/>
      <c r="L2" s="4"/>
      <c r="M2" s="4"/>
      <c r="N2" s="4"/>
      <c r="O2" s="4"/>
      <c r="P2" s="4"/>
      <c r="R2" s="6"/>
    </row>
    <row r="3" spans="1:18" s="3" customFormat="1" ht="15.75" customHeight="1" x14ac:dyDescent="0.3">
      <c r="A3" s="137" t="s">
        <v>36</v>
      </c>
      <c r="B3" s="137"/>
      <c r="C3" s="137"/>
      <c r="D3" s="137"/>
      <c r="E3" s="137"/>
      <c r="F3" s="137"/>
      <c r="G3" s="137"/>
      <c r="H3" s="137"/>
      <c r="I3" s="137"/>
      <c r="J3"/>
      <c r="K3"/>
      <c r="L3"/>
      <c r="M3"/>
      <c r="N3"/>
      <c r="O3"/>
      <c r="P3"/>
      <c r="R3" s="6"/>
    </row>
    <row r="4" spans="1:18" s="3" customFormat="1" ht="15.75" customHeight="1" x14ac:dyDescent="0.3">
      <c r="A4" s="137" t="s">
        <v>25</v>
      </c>
      <c r="B4" s="137"/>
      <c r="C4" s="137"/>
      <c r="D4" s="137"/>
      <c r="E4" s="137"/>
      <c r="F4" s="137"/>
      <c r="G4" s="137"/>
      <c r="H4" s="137"/>
      <c r="I4" s="137"/>
      <c r="J4"/>
      <c r="K4"/>
      <c r="L4"/>
      <c r="M4"/>
      <c r="N4"/>
      <c r="O4"/>
      <c r="P4"/>
      <c r="R4" s="6"/>
    </row>
    <row r="5" spans="1:18" s="3" customFormat="1" ht="15.75" customHeight="1" x14ac:dyDescent="0.3">
      <c r="A5" s="137" t="s">
        <v>55</v>
      </c>
      <c r="B5" s="137"/>
      <c r="C5" s="137"/>
      <c r="D5" s="137"/>
      <c r="E5" s="137"/>
      <c r="F5" s="137"/>
      <c r="G5" s="137"/>
      <c r="H5" s="137"/>
      <c r="I5" s="137"/>
      <c r="J5"/>
      <c r="K5"/>
      <c r="L5"/>
      <c r="M5"/>
      <c r="N5"/>
      <c r="O5"/>
      <c r="P5"/>
      <c r="R5" s="6"/>
    </row>
    <row r="6" spans="1:18" s="3" customFormat="1" ht="15" customHeight="1" thickBot="1" x14ac:dyDescent="0.3">
      <c r="A6"/>
      <c r="B6"/>
      <c r="C6" s="61"/>
      <c r="D6"/>
      <c r="E6"/>
      <c r="F6" s="1"/>
      <c r="G6" s="1"/>
      <c r="H6" s="1"/>
      <c r="I6" s="1"/>
      <c r="J6"/>
      <c r="K6"/>
      <c r="L6"/>
      <c r="M6"/>
      <c r="N6"/>
      <c r="O6"/>
      <c r="P6"/>
      <c r="Q6"/>
      <c r="R6" s="7"/>
    </row>
    <row r="7" spans="1:18" s="9" customFormat="1" ht="15" customHeight="1" x14ac:dyDescent="0.25">
      <c r="A7" s="150" t="s">
        <v>2</v>
      </c>
      <c r="B7" s="8"/>
      <c r="C7" s="138" t="s">
        <v>1</v>
      </c>
      <c r="D7" s="139"/>
      <c r="E7" s="139"/>
      <c r="F7" s="140"/>
      <c r="G7" s="144" t="s">
        <v>26</v>
      </c>
      <c r="H7" s="145"/>
      <c r="I7" s="146"/>
    </row>
    <row r="8" spans="1:18" s="9" customFormat="1" ht="10.5" customHeight="1" x14ac:dyDescent="0.25">
      <c r="A8" s="151"/>
      <c r="B8" s="10"/>
      <c r="C8" s="141"/>
      <c r="D8" s="142"/>
      <c r="E8" s="142"/>
      <c r="F8" s="143"/>
      <c r="G8" s="147"/>
      <c r="H8" s="148"/>
      <c r="I8" s="149"/>
    </row>
    <row r="9" spans="1:18" ht="47.25" customHeight="1" thickBot="1" x14ac:dyDescent="0.3">
      <c r="A9" s="11"/>
      <c r="B9" s="12"/>
      <c r="C9" s="62" t="s">
        <v>56</v>
      </c>
      <c r="D9" s="13" t="s">
        <v>57</v>
      </c>
      <c r="E9" s="65" t="s">
        <v>58</v>
      </c>
      <c r="F9" s="109" t="s">
        <v>59</v>
      </c>
      <c r="G9" s="97" t="s">
        <v>31</v>
      </c>
      <c r="H9" s="109" t="s">
        <v>34</v>
      </c>
      <c r="I9" s="14" t="s">
        <v>3</v>
      </c>
    </row>
    <row r="10" spans="1:18" s="21" customFormat="1" ht="12.75" customHeight="1" x14ac:dyDescent="0.25">
      <c r="A10" s="16" t="str">
        <f>'[1]QTD Mgmt Summary'!A9</f>
        <v>Northeast Trading (Davis)</v>
      </c>
      <c r="B10" s="17"/>
      <c r="C10" s="19">
        <v>29328</v>
      </c>
      <c r="D10" s="19">
        <v>124775</v>
      </c>
      <c r="E10" s="19">
        <v>16103</v>
      </c>
      <c r="F10" s="19">
        <v>12500</v>
      </c>
      <c r="G10" s="18">
        <f t="shared" ref="G10:G23" si="0">SUM(C10:F10)</f>
        <v>182706</v>
      </c>
      <c r="H10" s="19">
        <v>50000</v>
      </c>
      <c r="I10" s="20">
        <f t="shared" ref="I10:I23" si="1">G10-H10</f>
        <v>132706</v>
      </c>
    </row>
    <row r="11" spans="1:18" s="21" customFormat="1" ht="12.75" customHeight="1" x14ac:dyDescent="0.25">
      <c r="A11" s="16" t="str">
        <f>'[1]QTD Mgmt Summary'!A10</f>
        <v>Northeast Origination (Llodra)</v>
      </c>
      <c r="B11" s="17"/>
      <c r="C11" s="23">
        <v>9710</v>
      </c>
      <c r="D11" s="22">
        <v>-225</v>
      </c>
      <c r="E11" s="22">
        <v>304</v>
      </c>
      <c r="F11" s="22">
        <v>0</v>
      </c>
      <c r="G11" s="23">
        <f t="shared" si="0"/>
        <v>9789</v>
      </c>
      <c r="H11" s="22">
        <v>30000</v>
      </c>
      <c r="I11" s="24">
        <f t="shared" si="1"/>
        <v>-20211</v>
      </c>
    </row>
    <row r="12" spans="1:18" ht="12.75" customHeight="1" x14ac:dyDescent="0.25">
      <c r="A12" s="16" t="str">
        <f>'[1]QTD Mgmt Summary'!A11</f>
        <v>Midwest Trading (Sturm)</v>
      </c>
      <c r="B12" s="25"/>
      <c r="C12" s="29">
        <v>782</v>
      </c>
      <c r="D12" s="22">
        <v>125001</v>
      </c>
      <c r="E12" s="22">
        <v>-31008</v>
      </c>
      <c r="F12" s="27">
        <v>12500</v>
      </c>
      <c r="G12" s="29">
        <f t="shared" si="0"/>
        <v>107275</v>
      </c>
      <c r="H12" s="30">
        <v>50000</v>
      </c>
      <c r="I12" s="24">
        <f t="shared" si="1"/>
        <v>57275</v>
      </c>
    </row>
    <row r="13" spans="1:18" ht="12.75" customHeight="1" x14ac:dyDescent="0.25">
      <c r="A13" s="16" t="str">
        <f>'[1]QTD Mgmt Summary'!A12</f>
        <v>Midwest Origination (Baughman)</v>
      </c>
      <c r="B13" s="25"/>
      <c r="C13" s="29">
        <v>1627</v>
      </c>
      <c r="D13" s="22">
        <v>3252</v>
      </c>
      <c r="E13" s="22">
        <v>307</v>
      </c>
      <c r="F13" s="27">
        <v>0</v>
      </c>
      <c r="G13" s="29">
        <f t="shared" si="0"/>
        <v>5186</v>
      </c>
      <c r="H13" s="30">
        <v>30000</v>
      </c>
      <c r="I13" s="24">
        <f t="shared" si="1"/>
        <v>-24814</v>
      </c>
    </row>
    <row r="14" spans="1:18" ht="12.75" customHeight="1" x14ac:dyDescent="0.25">
      <c r="A14" s="16" t="str">
        <f>'[1]QTD Mgmt Summary'!A13</f>
        <v xml:space="preserve">Southeast Trading (Carson) </v>
      </c>
      <c r="B14" s="25"/>
      <c r="C14" s="29">
        <v>9837</v>
      </c>
      <c r="D14" s="22">
        <f>1110-50</f>
        <v>1060</v>
      </c>
      <c r="E14" s="22">
        <v>-2750</v>
      </c>
      <c r="F14" s="27">
        <v>7500</v>
      </c>
      <c r="G14" s="29">
        <f t="shared" si="0"/>
        <v>15647</v>
      </c>
      <c r="H14" s="30">
        <v>50000</v>
      </c>
      <c r="I14" s="24">
        <f t="shared" si="1"/>
        <v>-34353</v>
      </c>
    </row>
    <row r="15" spans="1:18" ht="12.75" customHeight="1" x14ac:dyDescent="0.25">
      <c r="A15" s="16" t="str">
        <f>'[1]QTD Mgmt Summary'!A14</f>
        <v xml:space="preserve">Southeast Orig (Kroll) </v>
      </c>
      <c r="B15" s="25"/>
      <c r="C15" s="29">
        <f>364+7261</f>
        <v>7625</v>
      </c>
      <c r="D15" s="22">
        <v>428</v>
      </c>
      <c r="E15" s="22">
        <v>1696</v>
      </c>
      <c r="F15" s="27">
        <v>0</v>
      </c>
      <c r="G15" s="29">
        <f t="shared" si="0"/>
        <v>9749</v>
      </c>
      <c r="H15" s="30">
        <v>30000</v>
      </c>
      <c r="I15" s="24">
        <f t="shared" si="1"/>
        <v>-20251</v>
      </c>
    </row>
    <row r="16" spans="1:18" ht="12.75" customHeight="1" x14ac:dyDescent="0.25">
      <c r="A16" s="16" t="str">
        <f>'[1]QTD Mgmt Summary'!A15</f>
        <v>ERCOT Trading (Curry)</v>
      </c>
      <c r="B16" s="25"/>
      <c r="C16" s="29">
        <v>3099</v>
      </c>
      <c r="D16" s="22">
        <v>2911</v>
      </c>
      <c r="E16" s="22">
        <v>21305</v>
      </c>
      <c r="F16" s="27">
        <v>4375</v>
      </c>
      <c r="G16" s="29">
        <f t="shared" si="0"/>
        <v>31690</v>
      </c>
      <c r="H16" s="30">
        <v>17500</v>
      </c>
      <c r="I16" s="24">
        <f t="shared" si="1"/>
        <v>14190</v>
      </c>
    </row>
    <row r="17" spans="1:9" ht="12.75" customHeight="1" x14ac:dyDescent="0.25">
      <c r="A17" s="16" t="str">
        <f>'[1]QTD Mgmt Summary'!A16</f>
        <v>ERCOT Orig (Curry/Smith)</v>
      </c>
      <c r="B17" s="25"/>
      <c r="C17" s="29">
        <v>203</v>
      </c>
      <c r="D17" s="22">
        <v>2189</v>
      </c>
      <c r="E17" s="22">
        <v>18070</v>
      </c>
      <c r="F17" s="27">
        <v>0</v>
      </c>
      <c r="G17" s="29">
        <f t="shared" si="0"/>
        <v>20462</v>
      </c>
      <c r="H17" s="30">
        <v>17500</v>
      </c>
      <c r="I17" s="24">
        <f t="shared" si="1"/>
        <v>2962</v>
      </c>
    </row>
    <row r="18" spans="1:9" ht="12.75" customHeight="1" x14ac:dyDescent="0.25">
      <c r="A18" s="16" t="str">
        <f>'[1]QTD Mgmt Summary'!A17</f>
        <v>Options (Arora)</v>
      </c>
      <c r="B18" s="25"/>
      <c r="C18" s="29">
        <v>-54</v>
      </c>
      <c r="D18" s="22">
        <v>22157</v>
      </c>
      <c r="E18" s="22">
        <v>1764</v>
      </c>
      <c r="F18" s="27">
        <v>0</v>
      </c>
      <c r="G18" s="29">
        <f t="shared" si="0"/>
        <v>23867</v>
      </c>
      <c r="H18" s="30">
        <v>0</v>
      </c>
      <c r="I18" s="24">
        <f t="shared" si="1"/>
        <v>23867</v>
      </c>
    </row>
    <row r="19" spans="1:9" ht="12.75" customHeight="1" x14ac:dyDescent="0.25">
      <c r="A19" s="16" t="str">
        <f>'[1]QTD Mgmt Summary'!A18</f>
        <v>Management  Book (Presto)</v>
      </c>
      <c r="B19" s="25"/>
      <c r="C19" s="29">
        <v>-2347</v>
      </c>
      <c r="D19" s="22">
        <v>80975</v>
      </c>
      <c r="E19" s="22">
        <v>-34244</v>
      </c>
      <c r="F19" s="27">
        <v>1250</v>
      </c>
      <c r="G19" s="29">
        <f t="shared" si="0"/>
        <v>45634</v>
      </c>
      <c r="H19" s="30">
        <v>5000</v>
      </c>
      <c r="I19" s="24">
        <f t="shared" si="1"/>
        <v>40634</v>
      </c>
    </row>
    <row r="20" spans="1:9" ht="12.75" customHeight="1" x14ac:dyDescent="0.25">
      <c r="A20" s="16" t="str">
        <f>'[1]QTD Mgmt Summary'!A19</f>
        <v>Services (Will)</v>
      </c>
      <c r="B20" s="25"/>
      <c r="C20" s="29">
        <v>0</v>
      </c>
      <c r="D20" s="22">
        <v>1190</v>
      </c>
      <c r="E20" s="22">
        <v>214</v>
      </c>
      <c r="F20" s="27">
        <v>0</v>
      </c>
      <c r="G20" s="29">
        <f t="shared" si="0"/>
        <v>1404</v>
      </c>
      <c r="H20" s="30">
        <v>0</v>
      </c>
      <c r="I20" s="24">
        <f t="shared" si="1"/>
        <v>1404</v>
      </c>
    </row>
    <row r="21" spans="1:9" ht="12.75" customHeight="1" x14ac:dyDescent="0.25">
      <c r="A21" s="16" t="str">
        <f>'[1]QTD Mgmt Summary'!A20</f>
        <v>Development (Jacoby)</v>
      </c>
      <c r="B21" s="25"/>
      <c r="C21" s="29">
        <v>5711</v>
      </c>
      <c r="D21" s="22">
        <v>8484</v>
      </c>
      <c r="E21" s="22">
        <v>2580</v>
      </c>
      <c r="F21" s="27">
        <v>6000</v>
      </c>
      <c r="G21" s="29">
        <f t="shared" si="0"/>
        <v>22775</v>
      </c>
      <c r="H21" s="30">
        <v>24000</v>
      </c>
      <c r="I21" s="24">
        <f t="shared" si="1"/>
        <v>-1225</v>
      </c>
    </row>
    <row r="22" spans="1:9" ht="12.75" customHeight="1" x14ac:dyDescent="0.25">
      <c r="A22" s="16" t="str">
        <f>'[1]QTD Mgmt Summary'!A21</f>
        <v>Generation Investments (Duran)</v>
      </c>
      <c r="B22" s="25"/>
      <c r="C22" s="29">
        <v>10955</v>
      </c>
      <c r="D22" s="22">
        <v>3276</v>
      </c>
      <c r="E22" s="22">
        <v>-5677</v>
      </c>
      <c r="F22" s="27">
        <v>20000</v>
      </c>
      <c r="G22" s="29">
        <f t="shared" si="0"/>
        <v>28554</v>
      </c>
      <c r="H22" s="30">
        <v>80000</v>
      </c>
      <c r="I22" s="24">
        <f t="shared" si="1"/>
        <v>-51446</v>
      </c>
    </row>
    <row r="23" spans="1:9" ht="12.75" customHeight="1" thickBot="1" x14ac:dyDescent="0.3">
      <c r="A23" s="16" t="str">
        <f>'[1]QTD Mgmt Summary'!A22</f>
        <v>Structuring/Fundamentals (Meyn/Will)</v>
      </c>
      <c r="B23" s="25"/>
      <c r="C23" s="29">
        <v>0</v>
      </c>
      <c r="D23" s="22">
        <v>0</v>
      </c>
      <c r="E23" s="22">
        <v>0</v>
      </c>
      <c r="F23" s="27"/>
      <c r="G23" s="31">
        <f t="shared" si="0"/>
        <v>0</v>
      </c>
      <c r="H23" s="32">
        <v>0</v>
      </c>
      <c r="I23" s="24">
        <f t="shared" si="1"/>
        <v>0</v>
      </c>
    </row>
    <row r="24" spans="1:9" s="40" customFormat="1" ht="12.75" customHeight="1" thickBot="1" x14ac:dyDescent="0.3">
      <c r="A24" s="33" t="s">
        <v>4</v>
      </c>
      <c r="B24" s="34"/>
      <c r="C24" s="35">
        <f t="shared" ref="C24:I24" si="2">SUM(C10:C23)</f>
        <v>76476</v>
      </c>
      <c r="D24" s="36">
        <f t="shared" si="2"/>
        <v>375473</v>
      </c>
      <c r="E24" s="36">
        <v>-11336</v>
      </c>
      <c r="F24" s="37">
        <f t="shared" si="2"/>
        <v>64125</v>
      </c>
      <c r="G24" s="39">
        <f t="shared" si="2"/>
        <v>504738</v>
      </c>
      <c r="H24" s="37">
        <v>384000</v>
      </c>
      <c r="I24" s="38">
        <f t="shared" si="2"/>
        <v>120738</v>
      </c>
    </row>
    <row r="25" spans="1:9" ht="12.75" customHeight="1" x14ac:dyDescent="0.25">
      <c r="A25" s="16" t="str">
        <f>'[1]QTD Mgmt Summary'!A24</f>
        <v>Trading (Belden)</v>
      </c>
      <c r="B25" s="10"/>
      <c r="C25" s="23">
        <v>360460</v>
      </c>
      <c r="D25" s="27">
        <v>215662</v>
      </c>
      <c r="E25" s="22">
        <v>156011</v>
      </c>
      <c r="F25" s="27">
        <v>62501</v>
      </c>
      <c r="G25" s="26">
        <f t="shared" ref="G25:G31" si="3">SUM(C25:F25)</f>
        <v>794634</v>
      </c>
      <c r="H25" s="30">
        <v>250000</v>
      </c>
      <c r="I25" s="28">
        <f t="shared" ref="I25:I31" si="4">G25-H25</f>
        <v>544634</v>
      </c>
    </row>
    <row r="26" spans="1:9" ht="12.75" customHeight="1" x14ac:dyDescent="0.25">
      <c r="A26" s="16" t="str">
        <f>'[1]QTD Mgmt Summary'!A25</f>
        <v>Services (Foster/Wolfe)</v>
      </c>
      <c r="B26" s="10"/>
      <c r="C26" s="23">
        <v>0</v>
      </c>
      <c r="D26" s="27">
        <v>0</v>
      </c>
      <c r="E26" s="22">
        <v>0</v>
      </c>
      <c r="F26" s="27">
        <v>0</v>
      </c>
      <c r="G26" s="26">
        <f t="shared" si="3"/>
        <v>0</v>
      </c>
      <c r="H26" s="30">
        <v>0</v>
      </c>
      <c r="I26" s="28">
        <f t="shared" si="4"/>
        <v>0</v>
      </c>
    </row>
    <row r="27" spans="1:9" ht="12.75" customHeight="1" x14ac:dyDescent="0.25">
      <c r="A27" s="16" t="str">
        <f>'[1]QTD Mgmt Summary'!A26</f>
        <v>Middle Market Originations (Foster)</v>
      </c>
      <c r="B27" s="10"/>
      <c r="C27" s="23">
        <v>10647</v>
      </c>
      <c r="D27" s="27">
        <v>26994</v>
      </c>
      <c r="E27" s="22">
        <v>14774</v>
      </c>
      <c r="F27" s="27">
        <v>0</v>
      </c>
      <c r="G27" s="26">
        <f t="shared" si="3"/>
        <v>52415</v>
      </c>
      <c r="H27" s="30">
        <v>50000</v>
      </c>
      <c r="I27" s="28">
        <f t="shared" si="4"/>
        <v>2415</v>
      </c>
    </row>
    <row r="28" spans="1:9" ht="12.75" customHeight="1" x14ac:dyDescent="0.25">
      <c r="A28" s="16" t="str">
        <f>'[1]QTD Mgmt Summary'!A27</f>
        <v>Orginations (Thomas/McDonald)</v>
      </c>
      <c r="B28" s="10"/>
      <c r="C28" s="23">
        <v>733</v>
      </c>
      <c r="D28" s="27">
        <v>38361</v>
      </c>
      <c r="E28" s="22">
        <v>5328</v>
      </c>
      <c r="F28" s="27">
        <v>0</v>
      </c>
      <c r="G28" s="26">
        <f t="shared" si="3"/>
        <v>44422</v>
      </c>
      <c r="H28" s="30">
        <v>62988</v>
      </c>
      <c r="I28" s="28">
        <f t="shared" si="4"/>
        <v>-18566</v>
      </c>
    </row>
    <row r="29" spans="1:9" ht="12.75" customHeight="1" x14ac:dyDescent="0.25">
      <c r="A29" s="16" t="str">
        <f>'[1]QTD Mgmt Summary'!A28</f>
        <v>Executive (Calger)</v>
      </c>
      <c r="B29" s="10"/>
      <c r="C29" s="23">
        <v>-5195</v>
      </c>
      <c r="D29" s="27">
        <v>10500</v>
      </c>
      <c r="E29" s="22">
        <v>755</v>
      </c>
      <c r="F29" s="27">
        <v>5250</v>
      </c>
      <c r="G29" s="26">
        <f t="shared" si="3"/>
        <v>11310</v>
      </c>
      <c r="H29" s="30">
        <v>14000</v>
      </c>
      <c r="I29" s="28">
        <f t="shared" si="4"/>
        <v>-2690</v>
      </c>
    </row>
    <row r="30" spans="1:9" ht="12.75" customHeight="1" x14ac:dyDescent="0.25">
      <c r="A30" s="16" t="str">
        <f>'[1]QTD Mgmt Summary'!A29</f>
        <v>Generation (Parquet)</v>
      </c>
      <c r="B30" s="10"/>
      <c r="C30" s="23">
        <v>0</v>
      </c>
      <c r="D30" s="27">
        <v>56895</v>
      </c>
      <c r="E30" s="22">
        <v>-454</v>
      </c>
      <c r="F30" s="27">
        <v>-1001</v>
      </c>
      <c r="G30" s="26">
        <f t="shared" si="3"/>
        <v>55440</v>
      </c>
      <c r="H30" s="30">
        <v>46000</v>
      </c>
      <c r="I30" s="28">
        <f t="shared" si="4"/>
        <v>9440</v>
      </c>
    </row>
    <row r="31" spans="1:9" ht="12.75" customHeight="1" thickBot="1" x14ac:dyDescent="0.3">
      <c r="A31" s="16" t="str">
        <f>'[1]QTD Mgmt Summary'!A30</f>
        <v>Fundamentals (Heizenreiker)</v>
      </c>
      <c r="B31" s="10"/>
      <c r="C31" s="23">
        <v>0</v>
      </c>
      <c r="D31" s="30">
        <v>0</v>
      </c>
      <c r="E31" s="22">
        <v>0</v>
      </c>
      <c r="F31" s="27">
        <v>0</v>
      </c>
      <c r="G31" s="26">
        <f t="shared" si="3"/>
        <v>0</v>
      </c>
      <c r="H31" s="30">
        <v>0</v>
      </c>
      <c r="I31" s="28">
        <f t="shared" si="4"/>
        <v>0</v>
      </c>
    </row>
    <row r="32" spans="1:9" s="40" customFormat="1" ht="12.75" customHeight="1" thickBot="1" x14ac:dyDescent="0.3">
      <c r="A32" s="33" t="s">
        <v>5</v>
      </c>
      <c r="B32" s="34"/>
      <c r="C32" s="35">
        <f t="shared" ref="C32:I32" si="5">SUM(C25:C31)</f>
        <v>366645</v>
      </c>
      <c r="D32" s="36">
        <f t="shared" si="5"/>
        <v>348412</v>
      </c>
      <c r="E32" s="36">
        <v>176414</v>
      </c>
      <c r="F32" s="37">
        <f t="shared" si="5"/>
        <v>66750</v>
      </c>
      <c r="G32" s="39">
        <f t="shared" si="5"/>
        <v>958221</v>
      </c>
      <c r="H32" s="37">
        <v>422988</v>
      </c>
      <c r="I32" s="38">
        <f t="shared" si="5"/>
        <v>535233</v>
      </c>
    </row>
    <row r="33" spans="1:12" ht="12.75" customHeight="1" x14ac:dyDescent="0.25">
      <c r="A33" s="16" t="str">
        <f>'[1]QTD Mgmt Summary'!A32</f>
        <v>East Trading (Neal)</v>
      </c>
      <c r="B33" s="10"/>
      <c r="C33" s="23">
        <v>-56221</v>
      </c>
      <c r="D33" s="27">
        <v>62960</v>
      </c>
      <c r="E33" s="22">
        <v>8391</v>
      </c>
      <c r="F33" s="22">
        <v>15000</v>
      </c>
      <c r="G33" s="43">
        <f t="shared" ref="G33:G45" si="6">SUM(C33:F33)</f>
        <v>30130</v>
      </c>
      <c r="H33" s="30">
        <v>60000</v>
      </c>
      <c r="I33" s="42">
        <f t="shared" ref="I33:I45" si="7">G33-H33</f>
        <v>-29870</v>
      </c>
    </row>
    <row r="34" spans="1:12" ht="12.75" customHeight="1" x14ac:dyDescent="0.25">
      <c r="A34" s="16" t="str">
        <f>'[1]QTD Mgmt Summary'!A33</f>
        <v>East Origination (Vickers)</v>
      </c>
      <c r="B34" s="10"/>
      <c r="C34" s="23">
        <v>4714</v>
      </c>
      <c r="D34" s="27">
        <v>4075</v>
      </c>
      <c r="E34" s="22">
        <v>822</v>
      </c>
      <c r="F34" s="22">
        <v>0</v>
      </c>
      <c r="G34" s="43">
        <f t="shared" si="6"/>
        <v>9611</v>
      </c>
      <c r="H34" s="30">
        <v>20000</v>
      </c>
      <c r="I34" s="28">
        <f t="shared" si="7"/>
        <v>-10389</v>
      </c>
    </row>
    <row r="35" spans="1:12" ht="12.75" customHeight="1" x14ac:dyDescent="0.25">
      <c r="A35" s="16" t="str">
        <f>'[1]QTD Mgmt Summary'!A34</f>
        <v>Central Trading (Shively)</v>
      </c>
      <c r="B35" s="10"/>
      <c r="C35" s="23">
        <v>-3182</v>
      </c>
      <c r="D35" s="27">
        <v>174031</v>
      </c>
      <c r="E35" s="22">
        <v>26978</v>
      </c>
      <c r="F35" s="22">
        <v>15750</v>
      </c>
      <c r="G35" s="43">
        <f t="shared" si="6"/>
        <v>213577</v>
      </c>
      <c r="H35" s="30">
        <v>63000</v>
      </c>
      <c r="I35" s="42">
        <f t="shared" si="7"/>
        <v>150577</v>
      </c>
    </row>
    <row r="36" spans="1:12" ht="12.75" customHeight="1" x14ac:dyDescent="0.25">
      <c r="A36" s="16" t="str">
        <f>'[1]QTD Mgmt Summary'!A35</f>
        <v>Central Origination (Luce)</v>
      </c>
      <c r="B36" s="10"/>
      <c r="C36" s="23">
        <v>1487</v>
      </c>
      <c r="D36" s="27">
        <f>1904-1000</f>
        <v>904</v>
      </c>
      <c r="E36" s="22">
        <v>2457</v>
      </c>
      <c r="F36" s="22">
        <v>0</v>
      </c>
      <c r="G36" s="43">
        <f t="shared" si="6"/>
        <v>4848</v>
      </c>
      <c r="H36" s="30">
        <v>17000</v>
      </c>
      <c r="I36" s="28">
        <f t="shared" si="7"/>
        <v>-12152</v>
      </c>
    </row>
    <row r="37" spans="1:12" ht="12.75" customHeight="1" x14ac:dyDescent="0.25">
      <c r="A37" s="16" t="str">
        <f>'[1]QTD Mgmt Summary'!A36</f>
        <v>Texas Trading (Martin)</v>
      </c>
      <c r="B37" s="10"/>
      <c r="C37" s="29">
        <v>56708</v>
      </c>
      <c r="D37" s="30">
        <v>71976</v>
      </c>
      <c r="E37" s="22">
        <v>33353</v>
      </c>
      <c r="F37" s="22">
        <v>10000</v>
      </c>
      <c r="G37" s="43">
        <f t="shared" si="6"/>
        <v>172037</v>
      </c>
      <c r="H37" s="30">
        <v>40000</v>
      </c>
      <c r="I37" s="28">
        <f t="shared" si="7"/>
        <v>132037</v>
      </c>
    </row>
    <row r="38" spans="1:12" ht="12.75" customHeight="1" x14ac:dyDescent="0.25">
      <c r="A38" s="16" t="str">
        <f>'[1]QTD Mgmt Summary'!A37</f>
        <v>Texas Origination (Redmond)</v>
      </c>
      <c r="B38" s="10"/>
      <c r="C38" s="29">
        <v>0</v>
      </c>
      <c r="D38" s="30">
        <v>0</v>
      </c>
      <c r="E38" s="22">
        <v>1</v>
      </c>
      <c r="F38" s="27">
        <v>0</v>
      </c>
      <c r="G38" s="43">
        <f t="shared" si="6"/>
        <v>1</v>
      </c>
      <c r="H38" s="30">
        <v>0</v>
      </c>
      <c r="I38" s="28">
        <f t="shared" si="7"/>
        <v>1</v>
      </c>
    </row>
    <row r="39" spans="1:12" ht="12.75" customHeight="1" x14ac:dyDescent="0.25">
      <c r="A39" s="16" t="str">
        <f>'[1]QTD Mgmt Summary'!A38</f>
        <v>West Trading (Allen)</v>
      </c>
      <c r="B39" s="10"/>
      <c r="C39" s="29">
        <v>344226</v>
      </c>
      <c r="D39" s="30">
        <v>-429416</v>
      </c>
      <c r="E39" s="22">
        <v>-134389</v>
      </c>
      <c r="F39" s="27">
        <v>26500</v>
      </c>
      <c r="G39" s="43">
        <f t="shared" si="6"/>
        <v>-193079</v>
      </c>
      <c r="H39" s="30">
        <v>20000</v>
      </c>
      <c r="I39" s="28">
        <f t="shared" si="7"/>
        <v>-213079</v>
      </c>
    </row>
    <row r="40" spans="1:12" ht="12.75" customHeight="1" x14ac:dyDescent="0.25">
      <c r="A40" s="16" t="str">
        <f>'[1]QTD Mgmt Summary'!A39</f>
        <v>West Origination (Tycholiz)</v>
      </c>
      <c r="B40" s="10"/>
      <c r="C40" s="29">
        <v>7108</v>
      </c>
      <c r="D40" s="30">
        <v>33451</v>
      </c>
      <c r="E40" s="22">
        <v>9012</v>
      </c>
      <c r="F40" s="27">
        <v>0</v>
      </c>
      <c r="G40" s="43">
        <f t="shared" si="6"/>
        <v>49571</v>
      </c>
      <c r="H40" s="30">
        <v>106000</v>
      </c>
      <c r="I40" s="28">
        <f t="shared" si="7"/>
        <v>-56429</v>
      </c>
    </row>
    <row r="41" spans="1:12" ht="12.75" customHeight="1" x14ac:dyDescent="0.25">
      <c r="A41" s="16" t="str">
        <f>'[1]QTD Mgmt Summary'!A40</f>
        <v>Financial Gas (Arnold)</v>
      </c>
      <c r="B41" s="10"/>
      <c r="C41" s="29">
        <v>230802</v>
      </c>
      <c r="D41" s="30">
        <v>399775</v>
      </c>
      <c r="E41" s="22">
        <v>116324</v>
      </c>
      <c r="F41" s="27">
        <v>31250</v>
      </c>
      <c r="G41" s="43">
        <f t="shared" si="6"/>
        <v>778151</v>
      </c>
      <c r="H41" s="30">
        <v>125000</v>
      </c>
      <c r="I41" s="28">
        <f t="shared" si="7"/>
        <v>653151</v>
      </c>
    </row>
    <row r="42" spans="1:12" ht="12.75" customHeight="1" x14ac:dyDescent="0.25">
      <c r="A42" s="16" t="str">
        <f>'[1]QTD Mgmt Summary'!A41</f>
        <v>Derivative Origination (Lagrasta)</v>
      </c>
      <c r="B42" s="10"/>
      <c r="C42" s="29">
        <v>9510</v>
      </c>
      <c r="D42" s="30">
        <v>10919</v>
      </c>
      <c r="E42" s="22">
        <v>7763</v>
      </c>
      <c r="F42" s="27">
        <v>6250</v>
      </c>
      <c r="G42" s="43">
        <f t="shared" si="6"/>
        <v>34442</v>
      </c>
      <c r="H42" s="30">
        <v>25000</v>
      </c>
      <c r="I42" s="28">
        <f t="shared" si="7"/>
        <v>9442</v>
      </c>
    </row>
    <row r="43" spans="1:12" ht="12.75" customHeight="1" x14ac:dyDescent="0.25">
      <c r="A43" s="16" t="str">
        <f>'[1]QTD Mgmt Summary'!A42</f>
        <v>NG Structuring (McMichael)</v>
      </c>
      <c r="B43" s="10"/>
      <c r="C43" s="29">
        <v>0</v>
      </c>
      <c r="D43" s="30">
        <v>0</v>
      </c>
      <c r="E43" s="22">
        <v>0</v>
      </c>
      <c r="F43" s="27">
        <v>0</v>
      </c>
      <c r="G43" s="43">
        <f t="shared" si="6"/>
        <v>0</v>
      </c>
      <c r="H43" s="30">
        <v>0</v>
      </c>
      <c r="I43" s="28">
        <f t="shared" si="7"/>
        <v>0</v>
      </c>
    </row>
    <row r="44" spans="1:12" ht="12.75" customHeight="1" x14ac:dyDescent="0.25">
      <c r="A44" s="16" t="str">
        <f>'[1]QTD Mgmt Summary'!A43</f>
        <v>NG Fundamentals (Gaskill)</v>
      </c>
      <c r="B44" s="10"/>
      <c r="C44" s="29">
        <v>0</v>
      </c>
      <c r="D44" s="30">
        <v>0</v>
      </c>
      <c r="E44" s="22">
        <v>0</v>
      </c>
      <c r="F44" s="27">
        <v>0</v>
      </c>
      <c r="G44" s="43">
        <f t="shared" si="6"/>
        <v>0</v>
      </c>
      <c r="H44" s="30">
        <v>0</v>
      </c>
      <c r="I44" s="28">
        <f t="shared" si="7"/>
        <v>0</v>
      </c>
    </row>
    <row r="45" spans="1:12" ht="12.75" customHeight="1" thickBot="1" x14ac:dyDescent="0.3">
      <c r="A45" s="16" t="str">
        <f>'[1]QTD Mgmt Summary'!A44</f>
        <v>Management</v>
      </c>
      <c r="B45" s="10"/>
      <c r="C45" s="29">
        <v>-40000</v>
      </c>
      <c r="D45" s="30">
        <v>-207000</v>
      </c>
      <c r="E45" s="22">
        <v>501000</v>
      </c>
      <c r="F45" s="27">
        <v>0</v>
      </c>
      <c r="G45" s="43">
        <f t="shared" si="6"/>
        <v>254000</v>
      </c>
      <c r="H45" s="30">
        <v>0</v>
      </c>
      <c r="I45" s="28">
        <f t="shared" si="7"/>
        <v>254000</v>
      </c>
    </row>
    <row r="46" spans="1:12" s="40" customFormat="1" ht="12.75" customHeight="1" thickBot="1" x14ac:dyDescent="0.3">
      <c r="A46" s="33" t="s">
        <v>6</v>
      </c>
      <c r="B46" s="34"/>
      <c r="C46" s="35">
        <f t="shared" ref="C46:I46" si="8">SUM(C33:C45)</f>
        <v>555152</v>
      </c>
      <c r="D46" s="36">
        <f t="shared" si="8"/>
        <v>121675</v>
      </c>
      <c r="E46" s="36">
        <v>571712</v>
      </c>
      <c r="F46" s="37">
        <f t="shared" si="8"/>
        <v>104750</v>
      </c>
      <c r="G46" s="39">
        <f t="shared" si="8"/>
        <v>1353289</v>
      </c>
      <c r="H46" s="37">
        <v>476000</v>
      </c>
      <c r="I46" s="38">
        <f t="shared" si="8"/>
        <v>877289</v>
      </c>
      <c r="L46" s="45"/>
    </row>
    <row r="47" spans="1:12" ht="12.75" customHeight="1" x14ac:dyDescent="0.25">
      <c r="A47" s="16" t="str">
        <f>'[1]QTD Mgmt Summary'!A46</f>
        <v>Natural Gas Trading (Zufferli)</v>
      </c>
      <c r="B47" s="10"/>
      <c r="C47" s="23">
        <v>-26713</v>
      </c>
      <c r="D47" s="27">
        <f>-11469+722</f>
        <v>-10747</v>
      </c>
      <c r="E47" s="22">
        <v>775</v>
      </c>
      <c r="F47" s="41">
        <f>6250</f>
        <v>6250</v>
      </c>
      <c r="G47" s="43">
        <f t="shared" ref="G47:G53" si="9">SUM(C47:F47)</f>
        <v>-30435</v>
      </c>
      <c r="H47" s="30">
        <v>25000</v>
      </c>
      <c r="I47" s="42">
        <f t="shared" ref="I47:I53" si="10">G47-H47</f>
        <v>-55435</v>
      </c>
    </row>
    <row r="48" spans="1:12" ht="12.75" customHeight="1" x14ac:dyDescent="0.25">
      <c r="A48" s="16" t="str">
        <f>'[1]QTD Mgmt Summary'!A47</f>
        <v>Natural Gas Origination (LeDain)</v>
      </c>
      <c r="B48" s="10"/>
      <c r="C48" s="23">
        <v>6872</v>
      </c>
      <c r="D48" s="27">
        <v>5351</v>
      </c>
      <c r="E48" s="22">
        <v>1753</v>
      </c>
      <c r="F48" s="27">
        <v>0</v>
      </c>
      <c r="G48" s="29">
        <f t="shared" si="9"/>
        <v>13976</v>
      </c>
      <c r="H48" s="30">
        <v>25000</v>
      </c>
      <c r="I48" s="28">
        <f t="shared" si="10"/>
        <v>-11024</v>
      </c>
    </row>
    <row r="49" spans="1:9" ht="12.75" customHeight="1" x14ac:dyDescent="0.25">
      <c r="A49" s="16" t="str">
        <f>'[1]QTD Mgmt Summary'!A48</f>
        <v>Finance (Kitagawa)</v>
      </c>
      <c r="B49" s="10"/>
      <c r="C49" s="23">
        <v>2886</v>
      </c>
      <c r="D49" s="27">
        <v>4568</v>
      </c>
      <c r="E49" s="22">
        <v>317</v>
      </c>
      <c r="F49" s="41">
        <f>5000-308</f>
        <v>4692</v>
      </c>
      <c r="G49" s="46">
        <f t="shared" si="9"/>
        <v>12463</v>
      </c>
      <c r="H49" s="30">
        <v>20000</v>
      </c>
      <c r="I49" s="42">
        <f t="shared" si="10"/>
        <v>-7537</v>
      </c>
    </row>
    <row r="50" spans="1:9" ht="12.75" customHeight="1" x14ac:dyDescent="0.25">
      <c r="A50" s="16" t="str">
        <f>'[1]QTD Mgmt Summary'!A49</f>
        <v>Alberta Power Trading (Zufferli)</v>
      </c>
      <c r="B50" s="10"/>
      <c r="C50" s="23">
        <v>87417</v>
      </c>
      <c r="D50" s="27">
        <v>82154</v>
      </c>
      <c r="E50" s="22">
        <v>67767</v>
      </c>
      <c r="F50" s="27">
        <f>19375-2944</f>
        <v>16431</v>
      </c>
      <c r="G50" s="29">
        <f t="shared" si="9"/>
        <v>253769</v>
      </c>
      <c r="H50" s="30">
        <v>77500</v>
      </c>
      <c r="I50" s="28">
        <f t="shared" si="10"/>
        <v>176269</v>
      </c>
    </row>
    <row r="51" spans="1:9" ht="12.75" customHeight="1" x14ac:dyDescent="0.25">
      <c r="A51" s="16" t="str">
        <f>'[1]QTD Mgmt Summary'!A50</f>
        <v>Alberta Power Orig (Davies)</v>
      </c>
      <c r="B51" s="10"/>
      <c r="C51" s="23">
        <v>26010</v>
      </c>
      <c r="D51" s="27">
        <v>3339</v>
      </c>
      <c r="E51" s="22">
        <v>50198</v>
      </c>
      <c r="F51" s="27">
        <v>0</v>
      </c>
      <c r="G51" s="29">
        <f t="shared" si="9"/>
        <v>79547</v>
      </c>
      <c r="H51" s="30">
        <v>77500</v>
      </c>
      <c r="I51" s="28">
        <f t="shared" si="10"/>
        <v>2047</v>
      </c>
    </row>
    <row r="52" spans="1:9" ht="12.75" customHeight="1" x14ac:dyDescent="0.25">
      <c r="A52" s="16" t="str">
        <f>'[1]QTD Mgmt Summary'!A51</f>
        <v>Ontario Power (Devries)</v>
      </c>
      <c r="B52" s="10"/>
      <c r="C52" s="23">
        <v>0</v>
      </c>
      <c r="D52" s="27">
        <v>-712</v>
      </c>
      <c r="E52" s="22">
        <v>481</v>
      </c>
      <c r="F52" s="27">
        <f>12500+676</f>
        <v>13176</v>
      </c>
      <c r="G52" s="29">
        <f t="shared" si="9"/>
        <v>12945</v>
      </c>
      <c r="H52" s="30">
        <v>50000</v>
      </c>
      <c r="I52" s="28">
        <f t="shared" si="10"/>
        <v>-37055</v>
      </c>
    </row>
    <row r="53" spans="1:9" ht="12.75" customHeight="1" thickBot="1" x14ac:dyDescent="0.3">
      <c r="A53" s="16" t="str">
        <f>'[1]QTD Mgmt Summary'!A52</f>
        <v>Executive (Milnthorp)</v>
      </c>
      <c r="B53" s="10"/>
      <c r="C53" s="23">
        <v>1112</v>
      </c>
      <c r="D53" s="27">
        <v>199</v>
      </c>
      <c r="E53" s="22">
        <v>0</v>
      </c>
      <c r="F53" s="27">
        <f>2500+1320</f>
        <v>3820</v>
      </c>
      <c r="G53" s="29">
        <f t="shared" si="9"/>
        <v>5131</v>
      </c>
      <c r="H53" s="30">
        <v>10000</v>
      </c>
      <c r="I53" s="28">
        <f t="shared" si="10"/>
        <v>-4869</v>
      </c>
    </row>
    <row r="54" spans="1:9" s="40" customFormat="1" ht="12.75" customHeight="1" thickBot="1" x14ac:dyDescent="0.3">
      <c r="A54" s="33" t="s">
        <v>7</v>
      </c>
      <c r="B54" s="34"/>
      <c r="C54" s="35">
        <f t="shared" ref="C54:I54" si="11">SUM(C47:C53)</f>
        <v>97584</v>
      </c>
      <c r="D54" s="36">
        <f t="shared" si="11"/>
        <v>84152</v>
      </c>
      <c r="E54" s="36">
        <v>121291</v>
      </c>
      <c r="F54" s="36">
        <f t="shared" si="11"/>
        <v>44369</v>
      </c>
      <c r="G54" s="35">
        <f t="shared" si="11"/>
        <v>347396</v>
      </c>
      <c r="H54" s="36">
        <v>285000</v>
      </c>
      <c r="I54" s="47">
        <f t="shared" si="11"/>
        <v>62396</v>
      </c>
    </row>
    <row r="55" spans="1:9" ht="12.75" customHeight="1" x14ac:dyDescent="0.25">
      <c r="A55" s="16" t="str">
        <f>'[1]QTD Mgmt Summary'!A54</f>
        <v>Upstream Products (Mrha)</v>
      </c>
      <c r="B55" s="10"/>
      <c r="C55" s="23">
        <v>4277</v>
      </c>
      <c r="D55" s="22">
        <v>12950</v>
      </c>
      <c r="E55" s="22">
        <v>-3729</v>
      </c>
      <c r="F55" s="30">
        <v>7506</v>
      </c>
      <c r="G55" s="29">
        <f t="shared" ref="G55:G68" si="12">SUM(C55:F55)</f>
        <v>21004</v>
      </c>
      <c r="H55" s="30">
        <v>40546</v>
      </c>
      <c r="I55" s="28">
        <f t="shared" ref="I55:I69" si="13">G55-H55</f>
        <v>-19542</v>
      </c>
    </row>
    <row r="56" spans="1:9" ht="12.75" customHeight="1" x14ac:dyDescent="0.25">
      <c r="A56" s="16" t="str">
        <f>'[1]QTD Mgmt Summary'!A55</f>
        <v>Bridgeline (Redmond)</v>
      </c>
      <c r="B56" s="10"/>
      <c r="C56" s="29">
        <v>4703</v>
      </c>
      <c r="D56" s="30">
        <v>-185</v>
      </c>
      <c r="E56" s="22">
        <v>-4498</v>
      </c>
      <c r="F56" s="30">
        <v>2909</v>
      </c>
      <c r="G56" s="29">
        <f t="shared" si="12"/>
        <v>2929</v>
      </c>
      <c r="H56" s="30">
        <v>11637</v>
      </c>
      <c r="I56" s="28">
        <f t="shared" si="13"/>
        <v>-8708</v>
      </c>
    </row>
    <row r="57" spans="1:9" ht="12.75" customHeight="1" x14ac:dyDescent="0.25">
      <c r="A57" s="16" t="str">
        <f>'[1]QTD Mgmt Summary'!A56</f>
        <v>HPL (Redmond)</v>
      </c>
      <c r="B57" s="10"/>
      <c r="C57" s="29">
        <f>24490-52913</f>
        <v>-28423</v>
      </c>
      <c r="D57" s="30">
        <f>12693-57417</f>
        <v>-44724</v>
      </c>
      <c r="E57" s="22">
        <v>1692</v>
      </c>
      <c r="F57" s="30">
        <f>-2690+3968</f>
        <v>1278</v>
      </c>
      <c r="G57" s="29">
        <f t="shared" si="12"/>
        <v>-70177</v>
      </c>
      <c r="H57" s="30">
        <v>21103</v>
      </c>
      <c r="I57" s="28">
        <f t="shared" si="13"/>
        <v>-91280</v>
      </c>
    </row>
    <row r="58" spans="1:9" ht="12.75" customHeight="1" x14ac:dyDescent="0.25">
      <c r="A58" s="16" t="str">
        <f>'[1]QTD Mgmt Summary'!A57</f>
        <v>Mexico (Irvin/Williams)</v>
      </c>
      <c r="B58" s="10"/>
      <c r="C58" s="29">
        <v>65</v>
      </c>
      <c r="D58" s="30">
        <v>1885</v>
      </c>
      <c r="E58" s="22">
        <v>1449</v>
      </c>
      <c r="F58" s="44">
        <f>15000+116</f>
        <v>15116</v>
      </c>
      <c r="G58" s="46">
        <f t="shared" si="12"/>
        <v>18515</v>
      </c>
      <c r="H58" s="30">
        <v>60000</v>
      </c>
      <c r="I58" s="28">
        <f t="shared" si="13"/>
        <v>-41485</v>
      </c>
    </row>
    <row r="59" spans="1:9" ht="12.75" customHeight="1" x14ac:dyDescent="0.25">
      <c r="A59" s="16" t="str">
        <f>'[1]QTD Mgmt Summary'!A58</f>
        <v>Energy Capital Svcs (Thompson/Josey)</v>
      </c>
      <c r="B59" s="10"/>
      <c r="C59" s="29">
        <v>10729</v>
      </c>
      <c r="D59" s="30">
        <v>7357</v>
      </c>
      <c r="E59" s="22">
        <v>1168</v>
      </c>
      <c r="F59" s="44">
        <v>25917</v>
      </c>
      <c r="G59" s="46">
        <f t="shared" si="12"/>
        <v>45171</v>
      </c>
      <c r="H59" s="30">
        <v>51643</v>
      </c>
      <c r="I59" s="28">
        <f t="shared" si="13"/>
        <v>-6472</v>
      </c>
    </row>
    <row r="60" spans="1:9" ht="12.75" customHeight="1" x14ac:dyDescent="0.25">
      <c r="A60" s="16" t="str">
        <f>'[1]QTD Mgmt Summary'!A59</f>
        <v>Mariner</v>
      </c>
      <c r="B60" s="10"/>
      <c r="C60" s="29">
        <v>4599</v>
      </c>
      <c r="D60" s="30">
        <v>3742</v>
      </c>
      <c r="E60" s="22">
        <v>3597</v>
      </c>
      <c r="F60" s="44">
        <v>0</v>
      </c>
      <c r="G60" s="46">
        <f t="shared" si="12"/>
        <v>11938</v>
      </c>
      <c r="H60" s="30">
        <v>0</v>
      </c>
      <c r="I60" s="28">
        <f t="shared" si="13"/>
        <v>11938</v>
      </c>
    </row>
    <row r="61" spans="1:9" ht="12.75" customHeight="1" x14ac:dyDescent="0.25">
      <c r="A61" s="16" t="str">
        <f>'[1]QTD Mgmt Summary'!A60</f>
        <v>Asset Marketing (D. Miller)</v>
      </c>
      <c r="B61" s="25"/>
      <c r="C61" s="29">
        <v>0</v>
      </c>
      <c r="D61" s="30">
        <v>3000</v>
      </c>
      <c r="E61" s="22">
        <v>0</v>
      </c>
      <c r="F61" s="30">
        <v>5000</v>
      </c>
      <c r="G61" s="29">
        <f t="shared" si="12"/>
        <v>8000</v>
      </c>
      <c r="H61" s="30">
        <v>20000</v>
      </c>
      <c r="I61" s="28">
        <f t="shared" si="13"/>
        <v>-12000</v>
      </c>
    </row>
    <row r="62" spans="1:9" ht="12.75" customHeight="1" x14ac:dyDescent="0.25">
      <c r="A62" s="16" t="str">
        <f>'[1]YTD Mgmt Summ'!A61</f>
        <v>Principal Investing (Miller)</v>
      </c>
      <c r="B62" s="25"/>
      <c r="C62" s="29">
        <v>-3592</v>
      </c>
      <c r="D62" s="30">
        <v>-2816</v>
      </c>
      <c r="E62" s="22">
        <v>0</v>
      </c>
      <c r="F62" s="30">
        <v>0</v>
      </c>
      <c r="G62" s="29">
        <f t="shared" si="12"/>
        <v>-6408</v>
      </c>
      <c r="H62" s="30">
        <v>27812</v>
      </c>
      <c r="I62" s="28">
        <f t="shared" si="13"/>
        <v>-34220</v>
      </c>
    </row>
    <row r="63" spans="1:9" ht="12.75" customHeight="1" x14ac:dyDescent="0.25">
      <c r="A63" s="16" t="str">
        <f>'[1]YTD Mgmt Summ'!A62</f>
        <v>Corporate Development (Detmering)</v>
      </c>
      <c r="B63" s="25"/>
      <c r="C63" s="29">
        <v>0</v>
      </c>
      <c r="D63" s="30">
        <v>0</v>
      </c>
      <c r="E63" s="22">
        <v>0</v>
      </c>
      <c r="F63" s="30">
        <v>0</v>
      </c>
      <c r="G63" s="29">
        <f t="shared" si="12"/>
        <v>0</v>
      </c>
      <c r="H63" s="30">
        <v>5000</v>
      </c>
      <c r="I63" s="28">
        <f t="shared" si="13"/>
        <v>-5000</v>
      </c>
    </row>
    <row r="64" spans="1:9" ht="12.75" customHeight="1" x14ac:dyDescent="0.25">
      <c r="A64" s="16" t="str">
        <f>'[1]QTD Mgmt Summary'!A61</f>
        <v>Sold Peakers</v>
      </c>
      <c r="B64" s="25"/>
      <c r="C64" s="29">
        <f>225333-9750</f>
        <v>215583</v>
      </c>
      <c r="D64" s="30">
        <v>408798</v>
      </c>
      <c r="E64" s="22">
        <v>19979</v>
      </c>
      <c r="F64" s="30">
        <v>0</v>
      </c>
      <c r="G64" s="29">
        <f t="shared" si="12"/>
        <v>644360</v>
      </c>
      <c r="H64" s="30">
        <v>-12065</v>
      </c>
      <c r="I64" s="28">
        <f t="shared" si="13"/>
        <v>656425</v>
      </c>
    </row>
    <row r="65" spans="1:12" ht="12.75" customHeight="1" x14ac:dyDescent="0.25">
      <c r="A65" s="16" t="str">
        <f>'[1]QTD Mgmt Summary'!A62</f>
        <v>Cross Commodity (Lavorato)</v>
      </c>
      <c r="B65" s="25"/>
      <c r="C65" s="29">
        <v>-16596</v>
      </c>
      <c r="D65" s="30">
        <v>37722</v>
      </c>
      <c r="E65" s="22">
        <v>-22394</v>
      </c>
      <c r="F65" s="30">
        <v>0</v>
      </c>
      <c r="G65" s="29">
        <f t="shared" si="12"/>
        <v>-1268</v>
      </c>
      <c r="H65" s="30">
        <v>0</v>
      </c>
      <c r="I65" s="28">
        <f t="shared" si="13"/>
        <v>-1268</v>
      </c>
    </row>
    <row r="66" spans="1:12" ht="12.75" customHeight="1" x14ac:dyDescent="0.25">
      <c r="A66" s="16" t="str">
        <f>'[1]QTD Mgmt Summary'!A63</f>
        <v>Office of the Chairman (Lavorato/Kitchen)</v>
      </c>
      <c r="B66" s="10"/>
      <c r="C66" s="29">
        <v>-23432</v>
      </c>
      <c r="D66" s="30">
        <v>611</v>
      </c>
      <c r="E66" s="22">
        <v>0</v>
      </c>
      <c r="F66" s="30">
        <f>-110179+5263+1398</f>
        <v>-103518</v>
      </c>
      <c r="G66" s="29">
        <f t="shared" si="12"/>
        <v>-126339</v>
      </c>
      <c r="H66" s="30">
        <v>-108268</v>
      </c>
      <c r="I66" s="28">
        <f t="shared" si="13"/>
        <v>-18071</v>
      </c>
    </row>
    <row r="67" spans="1:12" ht="12.75" customHeight="1" x14ac:dyDescent="0.25">
      <c r="A67" s="16" t="str">
        <f>'[1]QTD Mgmt Summary'!A64</f>
        <v>TVA Settlement</v>
      </c>
      <c r="B67" s="10"/>
      <c r="C67" s="29">
        <v>0</v>
      </c>
      <c r="D67" s="30">
        <v>0</v>
      </c>
      <c r="E67" s="22">
        <v>0</v>
      </c>
      <c r="F67" s="30">
        <v>0</v>
      </c>
      <c r="G67" s="29">
        <f t="shared" si="12"/>
        <v>0</v>
      </c>
      <c r="H67" s="30">
        <v>0</v>
      </c>
      <c r="I67" s="28">
        <f t="shared" si="13"/>
        <v>0</v>
      </c>
    </row>
    <row r="68" spans="1:12" ht="12.75" customHeight="1" thickBot="1" x14ac:dyDescent="0.3">
      <c r="A68" s="16" t="str">
        <f>'[1]QTD Mgmt Summary'!A65</f>
        <v>Other *</v>
      </c>
      <c r="B68" s="10"/>
      <c r="C68" s="29">
        <v>-18675</v>
      </c>
      <c r="D68" s="30">
        <v>4410</v>
      </c>
      <c r="E68" s="22">
        <v>17</v>
      </c>
      <c r="F68" s="44">
        <v>0</v>
      </c>
      <c r="G68" s="46">
        <f t="shared" si="12"/>
        <v>-14248</v>
      </c>
      <c r="H68" s="30">
        <v>-18500</v>
      </c>
      <c r="I68" s="28">
        <f t="shared" si="13"/>
        <v>4252</v>
      </c>
    </row>
    <row r="69" spans="1:12" s="48" customFormat="1" ht="12.75" customHeight="1" thickBot="1" x14ac:dyDescent="0.25">
      <c r="A69" s="33" t="s">
        <v>8</v>
      </c>
      <c r="B69" s="34"/>
      <c r="C69" s="35">
        <f>SUM(C55:C68)+C54+C46+C32+C24</f>
        <v>1245095</v>
      </c>
      <c r="D69" s="36">
        <f>SUM(D55:D68)+D54+D46+D32+D24</f>
        <v>1362462</v>
      </c>
      <c r="E69" s="36">
        <f>SUM(E55:E68)+E54+E46+E32+E24</f>
        <v>855362</v>
      </c>
      <c r="F69" s="36">
        <f>SUM(F55:F68)+F54+F46+F32+F24</f>
        <v>234202</v>
      </c>
      <c r="G69" s="37">
        <f>(SUM(G55:G68))+G24+G32+G46+G54</f>
        <v>3697121</v>
      </c>
      <c r="H69" s="37">
        <f>(SUM(H55:H68))+H24+H32+H46+H54</f>
        <v>1666896</v>
      </c>
      <c r="I69" s="38">
        <f t="shared" si="13"/>
        <v>2030225</v>
      </c>
      <c r="L69" s="49"/>
    </row>
    <row r="70" spans="1:12" ht="9" customHeight="1" x14ac:dyDescent="0.25">
      <c r="A70" s="50"/>
      <c r="B70" s="10"/>
      <c r="C70" s="51"/>
      <c r="D70" s="52"/>
      <c r="E70" s="53">
        <v>0</v>
      </c>
      <c r="F70" s="54"/>
      <c r="G70" s="55"/>
      <c r="H70" s="54"/>
      <c r="I70" s="56"/>
    </row>
    <row r="71" spans="1:12" ht="12.75" customHeight="1" x14ac:dyDescent="0.25">
      <c r="A71" s="50" t="s">
        <v>9</v>
      </c>
      <c r="B71" s="10"/>
      <c r="C71" s="29">
        <v>0</v>
      </c>
      <c r="D71" s="30">
        <v>0</v>
      </c>
      <c r="E71" s="22">
        <v>0</v>
      </c>
      <c r="F71" s="27">
        <v>0</v>
      </c>
      <c r="G71" s="29">
        <f t="shared" ref="G71:G84" si="14">SUM(C71:F71)</f>
        <v>0</v>
      </c>
      <c r="H71" s="30">
        <v>0</v>
      </c>
      <c r="I71" s="28">
        <f t="shared" ref="I71:I84" si="15">G71-H71</f>
        <v>0</v>
      </c>
    </row>
    <row r="72" spans="1:12" ht="12.75" customHeight="1" x14ac:dyDescent="0.25">
      <c r="A72" s="50" t="s">
        <v>10</v>
      </c>
      <c r="B72" s="10"/>
      <c r="C72" s="29">
        <v>0</v>
      </c>
      <c r="D72" s="30">
        <v>0</v>
      </c>
      <c r="E72" s="22">
        <v>0</v>
      </c>
      <c r="F72" s="27">
        <v>0</v>
      </c>
      <c r="G72" s="29">
        <f t="shared" si="14"/>
        <v>0</v>
      </c>
      <c r="H72" s="30">
        <v>0</v>
      </c>
      <c r="I72" s="28">
        <f t="shared" si="15"/>
        <v>0</v>
      </c>
    </row>
    <row r="73" spans="1:12" ht="12.75" customHeight="1" x14ac:dyDescent="0.25">
      <c r="A73" s="50" t="s">
        <v>11</v>
      </c>
      <c r="B73" s="10"/>
      <c r="C73" s="29">
        <v>0</v>
      </c>
      <c r="D73" s="30">
        <v>0</v>
      </c>
      <c r="E73" s="22">
        <v>0</v>
      </c>
      <c r="F73" s="27">
        <v>0</v>
      </c>
      <c r="G73" s="29">
        <f t="shared" si="14"/>
        <v>0</v>
      </c>
      <c r="H73" s="30">
        <v>0</v>
      </c>
      <c r="I73" s="28">
        <f t="shared" si="15"/>
        <v>0</v>
      </c>
    </row>
    <row r="74" spans="1:12" ht="12.75" customHeight="1" x14ac:dyDescent="0.25">
      <c r="A74" s="50" t="s">
        <v>12</v>
      </c>
      <c r="B74" s="10"/>
      <c r="C74" s="29">
        <v>0</v>
      </c>
      <c r="D74" s="30">
        <v>0</v>
      </c>
      <c r="E74" s="22">
        <v>0</v>
      </c>
      <c r="F74" s="27">
        <v>0</v>
      </c>
      <c r="G74" s="29">
        <f t="shared" si="14"/>
        <v>0</v>
      </c>
      <c r="H74" s="30">
        <v>0</v>
      </c>
      <c r="I74" s="28">
        <f t="shared" si="15"/>
        <v>0</v>
      </c>
    </row>
    <row r="75" spans="1:12" ht="12.75" customHeight="1" x14ac:dyDescent="0.25">
      <c r="A75" s="50" t="s">
        <v>13</v>
      </c>
      <c r="B75" s="10"/>
      <c r="C75" s="29">
        <v>0</v>
      </c>
      <c r="D75" s="30">
        <v>0</v>
      </c>
      <c r="E75" s="22">
        <v>0</v>
      </c>
      <c r="F75" s="27">
        <v>0</v>
      </c>
      <c r="G75" s="29">
        <f t="shared" si="14"/>
        <v>0</v>
      </c>
      <c r="H75" s="30">
        <v>0</v>
      </c>
      <c r="I75" s="28">
        <f t="shared" si="15"/>
        <v>0</v>
      </c>
    </row>
    <row r="76" spans="1:12" ht="12.75" customHeight="1" x14ac:dyDescent="0.25">
      <c r="A76" s="50" t="s">
        <v>14</v>
      </c>
      <c r="B76" s="10"/>
      <c r="C76" s="29">
        <v>0</v>
      </c>
      <c r="D76" s="30">
        <v>0</v>
      </c>
      <c r="E76" s="22">
        <v>0</v>
      </c>
      <c r="F76" s="27">
        <v>0</v>
      </c>
      <c r="G76" s="29">
        <f t="shared" si="14"/>
        <v>0</v>
      </c>
      <c r="H76" s="30">
        <v>0</v>
      </c>
      <c r="I76" s="28">
        <f t="shared" si="15"/>
        <v>0</v>
      </c>
    </row>
    <row r="77" spans="1:12" ht="12.75" customHeight="1" x14ac:dyDescent="0.25">
      <c r="A77" s="50" t="s">
        <v>15</v>
      </c>
      <c r="B77" s="10"/>
      <c r="C77" s="29">
        <v>0</v>
      </c>
      <c r="D77" s="30">
        <v>0</v>
      </c>
      <c r="E77" s="22">
        <v>0</v>
      </c>
      <c r="F77" s="27">
        <v>0</v>
      </c>
      <c r="G77" s="29">
        <f t="shared" si="14"/>
        <v>0</v>
      </c>
      <c r="H77" s="30">
        <v>0</v>
      </c>
      <c r="I77" s="28">
        <f t="shared" si="15"/>
        <v>0</v>
      </c>
    </row>
    <row r="78" spans="1:12" ht="12.75" customHeight="1" x14ac:dyDescent="0.25">
      <c r="A78" s="50" t="s">
        <v>16</v>
      </c>
      <c r="B78" s="10"/>
      <c r="C78" s="29">
        <v>0</v>
      </c>
      <c r="D78" s="30">
        <v>0</v>
      </c>
      <c r="E78" s="22">
        <v>0</v>
      </c>
      <c r="F78" s="27">
        <v>0</v>
      </c>
      <c r="G78" s="29">
        <f t="shared" si="14"/>
        <v>0</v>
      </c>
      <c r="H78" s="30">
        <v>0</v>
      </c>
      <c r="I78" s="28">
        <f t="shared" si="15"/>
        <v>0</v>
      </c>
    </row>
    <row r="79" spans="1:12" ht="12.75" customHeight="1" x14ac:dyDescent="0.25">
      <c r="A79" s="50" t="s">
        <v>17</v>
      </c>
      <c r="B79" s="10"/>
      <c r="C79" s="29">
        <v>0</v>
      </c>
      <c r="D79" s="30">
        <v>0</v>
      </c>
      <c r="E79" s="22">
        <v>0</v>
      </c>
      <c r="F79" s="27">
        <v>0</v>
      </c>
      <c r="G79" s="29">
        <f t="shared" si="14"/>
        <v>0</v>
      </c>
      <c r="H79" s="30">
        <v>0</v>
      </c>
      <c r="I79" s="28">
        <f t="shared" si="15"/>
        <v>0</v>
      </c>
    </row>
    <row r="80" spans="1:12" ht="12.75" customHeight="1" x14ac:dyDescent="0.25">
      <c r="A80" s="50" t="s">
        <v>18</v>
      </c>
      <c r="B80" s="10"/>
      <c r="C80" s="29">
        <v>0</v>
      </c>
      <c r="D80" s="30">
        <v>0</v>
      </c>
      <c r="E80" s="22">
        <v>0</v>
      </c>
      <c r="F80" s="27">
        <v>0</v>
      </c>
      <c r="G80" s="29">
        <f t="shared" si="14"/>
        <v>0</v>
      </c>
      <c r="H80" s="30">
        <v>0</v>
      </c>
      <c r="I80" s="28">
        <f t="shared" si="15"/>
        <v>0</v>
      </c>
    </row>
    <row r="81" spans="1:9" ht="12.75" customHeight="1" x14ac:dyDescent="0.25">
      <c r="A81" s="50" t="s">
        <v>19</v>
      </c>
      <c r="B81" s="10"/>
      <c r="C81" s="29">
        <v>0</v>
      </c>
      <c r="D81" s="30">
        <v>0</v>
      </c>
      <c r="E81" s="22">
        <v>0</v>
      </c>
      <c r="F81" s="27">
        <v>0</v>
      </c>
      <c r="G81" s="29">
        <f t="shared" si="14"/>
        <v>0</v>
      </c>
      <c r="H81" s="30">
        <v>0</v>
      </c>
      <c r="I81" s="28">
        <f t="shared" si="15"/>
        <v>0</v>
      </c>
    </row>
    <row r="82" spans="1:9" ht="12.75" customHeight="1" x14ac:dyDescent="0.25">
      <c r="A82" s="50" t="s">
        <v>20</v>
      </c>
      <c r="B82" s="10"/>
      <c r="C82" s="29">
        <v>0</v>
      </c>
      <c r="D82" s="30">
        <v>0</v>
      </c>
      <c r="E82" s="22">
        <v>0</v>
      </c>
      <c r="F82" s="27">
        <v>0</v>
      </c>
      <c r="G82" s="29">
        <f t="shared" si="14"/>
        <v>0</v>
      </c>
      <c r="H82" s="30">
        <v>0</v>
      </c>
      <c r="I82" s="28">
        <f t="shared" si="15"/>
        <v>0</v>
      </c>
    </row>
    <row r="83" spans="1:9" ht="12.75" customHeight="1" x14ac:dyDescent="0.25">
      <c r="A83" s="50" t="s">
        <v>54</v>
      </c>
      <c r="B83" s="10"/>
      <c r="C83" s="29">
        <v>0</v>
      </c>
      <c r="D83" s="30">
        <v>0</v>
      </c>
      <c r="E83" s="22">
        <v>0</v>
      </c>
      <c r="F83" s="27">
        <v>0</v>
      </c>
      <c r="G83" s="29">
        <f t="shared" si="14"/>
        <v>0</v>
      </c>
      <c r="H83" s="30">
        <v>0</v>
      </c>
      <c r="I83" s="28">
        <f t="shared" si="15"/>
        <v>0</v>
      </c>
    </row>
    <row r="84" spans="1:9" ht="12.75" customHeight="1" thickBot="1" x14ac:dyDescent="0.3">
      <c r="A84" s="50" t="s">
        <v>21</v>
      </c>
      <c r="B84" s="10"/>
      <c r="C84" s="29">
        <v>0</v>
      </c>
      <c r="D84" s="30">
        <v>0</v>
      </c>
      <c r="E84" s="22">
        <v>0</v>
      </c>
      <c r="F84" s="27">
        <v>0</v>
      </c>
      <c r="G84" s="29">
        <f t="shared" si="14"/>
        <v>0</v>
      </c>
      <c r="H84" s="30">
        <v>0</v>
      </c>
      <c r="I84" s="28">
        <f t="shared" si="15"/>
        <v>0</v>
      </c>
    </row>
    <row r="85" spans="1:9" s="48" customFormat="1" ht="12.75" customHeight="1" thickBot="1" x14ac:dyDescent="0.25">
      <c r="A85" s="33" t="s">
        <v>22</v>
      </c>
      <c r="B85" s="34"/>
      <c r="C85" s="35">
        <f t="shared" ref="C85:I85" si="16">SUM(C71:C84)</f>
        <v>0</v>
      </c>
      <c r="D85" s="36">
        <f t="shared" si="16"/>
        <v>0</v>
      </c>
      <c r="E85" s="36">
        <v>0</v>
      </c>
      <c r="F85" s="37">
        <f t="shared" si="16"/>
        <v>0</v>
      </c>
      <c r="G85" s="39">
        <f t="shared" si="16"/>
        <v>0</v>
      </c>
      <c r="H85" s="37">
        <f t="shared" si="16"/>
        <v>0</v>
      </c>
      <c r="I85" s="38">
        <f t="shared" si="16"/>
        <v>0</v>
      </c>
    </row>
    <row r="86" spans="1:9" s="58" customFormat="1" ht="12.75" customHeight="1" x14ac:dyDescent="0.25">
      <c r="A86" s="57" t="str">
        <f>'[1]QTD Mgmt Summary'!A83</f>
        <v>Prepay Expenses</v>
      </c>
      <c r="B86" s="10"/>
      <c r="C86" s="29">
        <v>0</v>
      </c>
      <c r="D86" s="30">
        <v>0</v>
      </c>
      <c r="E86" s="22">
        <v>-21600</v>
      </c>
      <c r="F86" s="27">
        <v>0</v>
      </c>
      <c r="G86" s="29">
        <f>SUM(C86:F86)</f>
        <v>-21600</v>
      </c>
      <c r="H86" s="30">
        <v>0</v>
      </c>
      <c r="I86" s="28">
        <f>G86-H86</f>
        <v>-21600</v>
      </c>
    </row>
    <row r="87" spans="1:9" s="58" customFormat="1" ht="12.75" customHeight="1" x14ac:dyDescent="0.25">
      <c r="A87" s="57" t="str">
        <f>'[1]QTD Mgmt Summary'!A84</f>
        <v>U.S. Drift</v>
      </c>
      <c r="B87" s="10"/>
      <c r="C87" s="51">
        <v>49140</v>
      </c>
      <c r="D87" s="30">
        <v>40486</v>
      </c>
      <c r="E87" s="22">
        <v>31751</v>
      </c>
      <c r="F87" s="27">
        <v>28610</v>
      </c>
      <c r="G87" s="29">
        <f>SUM(C87:F87)</f>
        <v>149987</v>
      </c>
      <c r="H87" s="30">
        <v>118538</v>
      </c>
      <c r="I87" s="28">
        <f>G87-H87</f>
        <v>31449</v>
      </c>
    </row>
    <row r="88" spans="1:9" s="58" customFormat="1" ht="12.75" customHeight="1" x14ac:dyDescent="0.25">
      <c r="A88" s="57" t="str">
        <f>'[1]QTD Mgmt Summary'!A85</f>
        <v>Facility Costs</v>
      </c>
      <c r="B88" s="10"/>
      <c r="C88" s="29">
        <v>-24207</v>
      </c>
      <c r="D88" s="30">
        <v>-12781</v>
      </c>
      <c r="E88" s="22">
        <v>-10589</v>
      </c>
      <c r="F88" s="27">
        <v>-13000</v>
      </c>
      <c r="G88" s="29">
        <f>SUM(C88:F88)</f>
        <v>-60577</v>
      </c>
      <c r="H88" s="30">
        <v>-52000</v>
      </c>
      <c r="I88" s="28">
        <f>G88-H88</f>
        <v>-8577</v>
      </c>
    </row>
    <row r="89" spans="1:9" ht="12.75" customHeight="1" thickBot="1" x14ac:dyDescent="0.3">
      <c r="A89" s="57" t="str">
        <f>'[1]QTD Mgmt Summary'!A86</f>
        <v>Capital Charge Offset</v>
      </c>
      <c r="B89" s="10"/>
      <c r="C89" s="29">
        <v>0</v>
      </c>
      <c r="D89" s="30">
        <v>5195</v>
      </c>
      <c r="E89" s="22">
        <v>2773</v>
      </c>
      <c r="F89" s="27">
        <v>0</v>
      </c>
      <c r="G89" s="26">
        <f>SUM(C89:F89)</f>
        <v>7968</v>
      </c>
      <c r="H89" s="27">
        <v>0</v>
      </c>
      <c r="I89" s="28">
        <f>G89-H89</f>
        <v>7968</v>
      </c>
    </row>
    <row r="90" spans="1:9" s="48" customFormat="1" ht="12.75" customHeight="1" thickBot="1" x14ac:dyDescent="0.25">
      <c r="A90" s="33" t="s">
        <v>23</v>
      </c>
      <c r="B90" s="34"/>
      <c r="C90" s="35">
        <f>C69+C85+C86+C87+C88+C89</f>
        <v>1270028</v>
      </c>
      <c r="D90" s="36">
        <f>D69+D85+D86+D87+D88+D89</f>
        <v>1395362</v>
      </c>
      <c r="E90" s="36">
        <f>E69+E86+E87+E88+E89</f>
        <v>857697</v>
      </c>
      <c r="F90" s="36">
        <f>F69+F85+F86+F87+F88+F89</f>
        <v>249812</v>
      </c>
      <c r="G90" s="35">
        <f>G69+G85+G86+G87+G88+G89</f>
        <v>3772899</v>
      </c>
      <c r="H90" s="36">
        <f>SUM(H86:H89)+H85+H69</f>
        <v>1733434</v>
      </c>
      <c r="I90" s="47">
        <f>G90-H90</f>
        <v>2039465</v>
      </c>
    </row>
    <row r="91" spans="1:9" ht="15.75" customHeight="1" thickBot="1" x14ac:dyDescent="0.3">
      <c r="A91" s="116"/>
      <c r="B91" s="25"/>
      <c r="C91" s="118"/>
      <c r="D91" s="22"/>
      <c r="E91" s="119"/>
      <c r="F91" s="66"/>
      <c r="G91" s="66"/>
      <c r="H91" s="66"/>
      <c r="I91" s="80"/>
    </row>
    <row r="92" spans="1:9" s="48" customFormat="1" ht="12.75" customHeight="1" thickBot="1" x14ac:dyDescent="0.25">
      <c r="A92" s="33" t="s">
        <v>43</v>
      </c>
      <c r="B92" s="34"/>
      <c r="C92" s="35">
        <v>9364</v>
      </c>
      <c r="D92" s="36">
        <v>18780</v>
      </c>
      <c r="E92" s="36">
        <v>0</v>
      </c>
      <c r="F92" s="36">
        <v>0</v>
      </c>
      <c r="G92" s="35">
        <f>SUM(C92:F92)</f>
        <v>28144</v>
      </c>
      <c r="H92" s="36">
        <v>38100</v>
      </c>
      <c r="I92" s="47">
        <f>G92-H92</f>
        <v>-9956</v>
      </c>
    </row>
    <row r="93" spans="1:9" ht="13.5" thickBot="1" x14ac:dyDescent="0.3">
      <c r="A93" s="120"/>
      <c r="B93" s="25"/>
      <c r="C93" s="22"/>
      <c r="D93" s="117"/>
      <c r="E93" s="117"/>
      <c r="F93" s="66"/>
      <c r="G93" s="66"/>
      <c r="H93" s="66"/>
      <c r="I93" s="80"/>
    </row>
    <row r="94" spans="1:9" s="48" customFormat="1" ht="12.75" customHeight="1" thickBot="1" x14ac:dyDescent="0.25">
      <c r="A94" s="33" t="s">
        <v>44</v>
      </c>
      <c r="B94" s="34"/>
      <c r="C94" s="35">
        <f t="shared" ref="C94:I94" si="17">C90+C92</f>
        <v>1279392</v>
      </c>
      <c r="D94" s="36">
        <f t="shared" si="17"/>
        <v>1414142</v>
      </c>
      <c r="E94" s="36">
        <f t="shared" si="17"/>
        <v>857697</v>
      </c>
      <c r="F94" s="47">
        <f t="shared" si="17"/>
        <v>249812</v>
      </c>
      <c r="G94" s="36">
        <f t="shared" si="17"/>
        <v>3801043</v>
      </c>
      <c r="H94" s="36">
        <f t="shared" si="17"/>
        <v>1771534</v>
      </c>
      <c r="I94" s="47">
        <f t="shared" si="17"/>
        <v>2029509</v>
      </c>
    </row>
    <row r="95" spans="1:9" x14ac:dyDescent="0.25">
      <c r="H95" s="66"/>
    </row>
    <row r="96" spans="1:9" x14ac:dyDescent="0.25">
      <c r="H96" s="66"/>
    </row>
    <row r="97" spans="1:8" x14ac:dyDescent="0.25">
      <c r="A97" s="15" t="s">
        <v>24</v>
      </c>
      <c r="H97" s="66"/>
    </row>
  </sheetData>
  <mergeCells count="7">
    <mergeCell ref="A2:I2"/>
    <mergeCell ref="A3:I3"/>
    <mergeCell ref="A4:I4"/>
    <mergeCell ref="C7:F8"/>
    <mergeCell ref="G7:I8"/>
    <mergeCell ref="A7:A8"/>
    <mergeCell ref="A5:I5"/>
  </mergeCells>
  <phoneticPr fontId="0" type="noConversion"/>
  <printOptions horizontalCentered="1"/>
  <pageMargins left="0.25" right="0.25" top="0.2" bottom="0.16" header="0.17" footer="0.18"/>
  <pageSetup paperSize="5" scale="77" orientation="portrait" r:id="rId1"/>
  <headerFooter alignWithMargins="0">
    <oddFooter>&amp;L&amp;D&amp;T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2"/>
  <sheetViews>
    <sheetView workbookViewId="0">
      <pane ySplit="9" topLeftCell="A10" activePane="bottomLeft" state="frozen"/>
      <selection activeCell="A6" sqref="A6"/>
      <selection pane="bottomLeft" activeCell="A6" sqref="A6"/>
    </sheetView>
  </sheetViews>
  <sheetFormatPr defaultRowHeight="12.75" x14ac:dyDescent="0.25"/>
  <cols>
    <col min="1" max="1" width="29" style="15" customWidth="1"/>
    <col min="2" max="2" width="0.85546875" style="15" customWidth="1"/>
    <col min="3" max="3" width="8.7109375" style="64" customWidth="1"/>
    <col min="4" max="4" width="8.7109375" style="15" customWidth="1"/>
    <col min="5" max="5" width="8.5703125" style="15" customWidth="1"/>
    <col min="6" max="6" width="9.28515625" style="60" customWidth="1"/>
    <col min="7" max="8" width="8.7109375" style="60" customWidth="1"/>
    <col min="9" max="9" width="8.85546875" style="60" customWidth="1"/>
    <col min="10" max="10" width="0.85546875" style="15" customWidth="1"/>
    <col min="11" max="11" width="8.7109375" style="15" customWidth="1"/>
    <col min="12" max="15" width="7.7109375" style="15" customWidth="1"/>
    <col min="16" max="17" width="8.7109375" style="15" customWidth="1"/>
    <col min="18" max="18" width="0.85546875" style="15" customWidth="1"/>
    <col min="19" max="16384" width="9.140625" style="15"/>
  </cols>
  <sheetData>
    <row r="1" spans="1:22" s="3" customFormat="1" ht="9.9499999999999993" customHeight="1" x14ac:dyDescent="0.25">
      <c r="A1"/>
      <c r="B1"/>
      <c r="C1" s="67"/>
      <c r="D1"/>
      <c r="E1"/>
      <c r="F1" s="1"/>
      <c r="G1" s="1"/>
      <c r="H1" s="1"/>
      <c r="I1" s="1"/>
      <c r="J1"/>
      <c r="K1" s="68"/>
      <c r="L1" s="68"/>
      <c r="M1" s="68"/>
      <c r="N1" s="68"/>
      <c r="O1" s="68"/>
      <c r="P1" s="68"/>
      <c r="Q1" s="68"/>
      <c r="R1" s="69"/>
    </row>
    <row r="2" spans="1:22" s="5" customFormat="1" ht="29.25" customHeight="1" x14ac:dyDescent="0.4">
      <c r="A2" s="136" t="s">
        <v>0</v>
      </c>
      <c r="B2" s="136"/>
      <c r="C2" s="136"/>
      <c r="D2" s="136"/>
      <c r="E2" s="136"/>
      <c r="F2" s="136"/>
      <c r="G2" s="136"/>
      <c r="H2" s="136"/>
      <c r="I2" s="136"/>
      <c r="J2" s="4"/>
      <c r="K2" s="70"/>
      <c r="L2" s="70"/>
      <c r="M2" s="70"/>
      <c r="N2" s="70"/>
      <c r="O2" s="70"/>
      <c r="P2" s="70"/>
      <c r="R2" s="71"/>
    </row>
    <row r="3" spans="1:22" s="3" customFormat="1" ht="15.75" customHeight="1" x14ac:dyDescent="0.3">
      <c r="A3" s="137" t="s">
        <v>37</v>
      </c>
      <c r="B3" s="137"/>
      <c r="C3" s="137"/>
      <c r="D3" s="137"/>
      <c r="E3" s="137"/>
      <c r="F3" s="137"/>
      <c r="G3" s="137"/>
      <c r="H3" s="137"/>
      <c r="I3" s="137"/>
      <c r="J3"/>
      <c r="K3" s="72"/>
      <c r="L3" s="72"/>
      <c r="M3" s="72"/>
      <c r="N3" s="72"/>
      <c r="O3" s="72"/>
      <c r="P3" s="72"/>
      <c r="R3" s="71"/>
    </row>
    <row r="4" spans="1:22" s="3" customFormat="1" ht="15.75" customHeight="1" x14ac:dyDescent="0.3">
      <c r="A4" s="137" t="s">
        <v>25</v>
      </c>
      <c r="B4" s="137"/>
      <c r="C4" s="137"/>
      <c r="D4" s="137"/>
      <c r="E4" s="137"/>
      <c r="F4" s="137"/>
      <c r="G4" s="137"/>
      <c r="H4" s="137"/>
      <c r="I4" s="137"/>
      <c r="J4"/>
      <c r="K4" s="72"/>
      <c r="L4" s="72"/>
      <c r="M4" s="72"/>
      <c r="N4" s="72"/>
      <c r="O4" s="72"/>
      <c r="P4" s="72"/>
      <c r="R4" s="71"/>
    </row>
    <row r="5" spans="1:22" s="3" customFormat="1" ht="15.75" customHeight="1" x14ac:dyDescent="0.3">
      <c r="A5" s="137" t="s">
        <v>55</v>
      </c>
      <c r="B5" s="137"/>
      <c r="C5" s="137"/>
      <c r="D5" s="137"/>
      <c r="E5" s="137"/>
      <c r="F5" s="137"/>
      <c r="G5" s="137"/>
      <c r="H5" s="137"/>
      <c r="I5" s="137"/>
      <c r="J5"/>
      <c r="K5" s="72"/>
      <c r="L5" s="72"/>
      <c r="M5" s="72"/>
      <c r="N5" s="72"/>
      <c r="O5" s="72"/>
      <c r="P5" s="72"/>
      <c r="R5" s="71"/>
    </row>
    <row r="6" spans="1:22" s="3" customFormat="1" ht="15" customHeight="1" thickBot="1" x14ac:dyDescent="0.3">
      <c r="A6"/>
      <c r="B6"/>
      <c r="C6" s="67"/>
      <c r="D6"/>
      <c r="E6"/>
      <c r="F6" s="1"/>
      <c r="G6" s="1"/>
      <c r="H6" s="1"/>
      <c r="I6" s="1"/>
      <c r="J6"/>
      <c r="K6" s="72"/>
      <c r="L6" s="72"/>
      <c r="M6" s="72"/>
      <c r="N6" s="72"/>
      <c r="O6" s="72"/>
      <c r="P6" s="72"/>
      <c r="Q6" s="72"/>
      <c r="R6" s="73"/>
    </row>
    <row r="7" spans="1:22" s="9" customFormat="1" ht="15" customHeight="1" x14ac:dyDescent="0.25">
      <c r="A7" s="150" t="s">
        <v>2</v>
      </c>
      <c r="B7" s="8"/>
      <c r="C7" s="138" t="s">
        <v>29</v>
      </c>
      <c r="D7" s="139"/>
      <c r="E7" s="139"/>
      <c r="F7" s="140"/>
      <c r="G7" s="144" t="s">
        <v>26</v>
      </c>
      <c r="H7" s="145"/>
      <c r="I7" s="146"/>
    </row>
    <row r="8" spans="1:22" s="9" customFormat="1" ht="3" customHeight="1" x14ac:dyDescent="0.25">
      <c r="A8" s="151"/>
      <c r="B8" s="10"/>
      <c r="C8" s="141"/>
      <c r="D8" s="142"/>
      <c r="E8" s="142"/>
      <c r="F8" s="143"/>
      <c r="G8" s="147"/>
      <c r="H8" s="148"/>
      <c r="I8" s="149"/>
    </row>
    <row r="9" spans="1:22" ht="43.5" customHeight="1" thickBot="1" x14ac:dyDescent="0.3">
      <c r="A9" s="11"/>
      <c r="B9" s="12"/>
      <c r="C9" s="62" t="s">
        <v>56</v>
      </c>
      <c r="D9" s="13" t="s">
        <v>57</v>
      </c>
      <c r="E9" s="65" t="s">
        <v>58</v>
      </c>
      <c r="F9" s="109" t="s">
        <v>59</v>
      </c>
      <c r="G9" s="97" t="s">
        <v>30</v>
      </c>
      <c r="H9" s="109" t="s">
        <v>34</v>
      </c>
      <c r="I9" s="14" t="s">
        <v>3</v>
      </c>
    </row>
    <row r="10" spans="1:22" s="21" customFormat="1" ht="12.75" customHeight="1" x14ac:dyDescent="0.25">
      <c r="A10" s="16" t="str">
        <f>'[1]QTD Mgmt Summary'!A9</f>
        <v>Northeast Trading (Davis)</v>
      </c>
      <c r="B10" s="17"/>
      <c r="C10" s="19">
        <v>671</v>
      </c>
      <c r="D10" s="19">
        <v>806</v>
      </c>
      <c r="E10" s="19">
        <v>617</v>
      </c>
      <c r="F10" s="19">
        <v>845</v>
      </c>
      <c r="G10" s="18">
        <f t="shared" ref="G10:G23" si="0">SUM(C10:F10)</f>
        <v>2939</v>
      </c>
      <c r="H10" s="19">
        <v>3309</v>
      </c>
      <c r="I10" s="20">
        <f>H10-G10</f>
        <v>370</v>
      </c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</row>
    <row r="11" spans="1:22" s="21" customFormat="1" ht="12.75" customHeight="1" x14ac:dyDescent="0.25">
      <c r="A11" s="16" t="str">
        <f>'[1]QTD Mgmt Summary'!A10</f>
        <v>Northeast Origination (Llodra)</v>
      </c>
      <c r="B11" s="17"/>
      <c r="C11" s="22">
        <v>568</v>
      </c>
      <c r="D11" s="22">
        <v>497</v>
      </c>
      <c r="E11" s="22">
        <v>565</v>
      </c>
      <c r="F11" s="22">
        <v>999</v>
      </c>
      <c r="G11" s="23">
        <f t="shared" si="0"/>
        <v>2629</v>
      </c>
      <c r="H11" s="22">
        <v>4105</v>
      </c>
      <c r="I11" s="24">
        <f t="shared" ref="I11:I23" si="1">H11-G11</f>
        <v>1476</v>
      </c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</row>
    <row r="12" spans="1:22" ht="12.75" customHeight="1" x14ac:dyDescent="0.25">
      <c r="A12" s="16" t="str">
        <f>'[1]QTD Mgmt Summary'!A11</f>
        <v>Midwest Trading (Sturm)</v>
      </c>
      <c r="B12" s="25"/>
      <c r="C12" s="22">
        <v>482</v>
      </c>
      <c r="D12" s="22">
        <v>412</v>
      </c>
      <c r="E12" s="22">
        <v>480</v>
      </c>
      <c r="F12" s="27">
        <v>500</v>
      </c>
      <c r="G12" s="29">
        <f t="shared" si="0"/>
        <v>1874</v>
      </c>
      <c r="H12" s="30">
        <v>2180</v>
      </c>
      <c r="I12" s="24">
        <f t="shared" si="1"/>
        <v>306</v>
      </c>
    </row>
    <row r="13" spans="1:22" ht="12.75" customHeight="1" x14ac:dyDescent="0.25">
      <c r="A13" s="16" t="str">
        <f>'[1]QTD Mgmt Summary'!A12</f>
        <v>Midwest Origination (Baughman)</v>
      </c>
      <c r="B13" s="25"/>
      <c r="C13" s="22">
        <v>310</v>
      </c>
      <c r="D13" s="22">
        <v>568</v>
      </c>
      <c r="E13" s="22">
        <v>357</v>
      </c>
      <c r="F13" s="27">
        <v>933</v>
      </c>
      <c r="G13" s="29">
        <f t="shared" si="0"/>
        <v>2168</v>
      </c>
      <c r="H13" s="30">
        <v>3895</v>
      </c>
      <c r="I13" s="24">
        <f t="shared" si="1"/>
        <v>1727</v>
      </c>
    </row>
    <row r="14" spans="1:22" ht="12.75" customHeight="1" x14ac:dyDescent="0.25">
      <c r="A14" s="16" t="str">
        <f>'[1]QTD Mgmt Summary'!A13</f>
        <v xml:space="preserve">Southeast Trading (Carson) </v>
      </c>
      <c r="B14" s="25"/>
      <c r="C14" s="22">
        <v>469</v>
      </c>
      <c r="D14" s="22">
        <v>573</v>
      </c>
      <c r="E14" s="22">
        <v>340</v>
      </c>
      <c r="F14" s="27">
        <v>475</v>
      </c>
      <c r="G14" s="29">
        <f t="shared" si="0"/>
        <v>1857</v>
      </c>
      <c r="H14" s="30">
        <v>1893</v>
      </c>
      <c r="I14" s="24">
        <f t="shared" si="1"/>
        <v>36</v>
      </c>
    </row>
    <row r="15" spans="1:22" ht="12.75" customHeight="1" x14ac:dyDescent="0.25">
      <c r="A15" s="16" t="str">
        <f>'[1]QTD Mgmt Summary'!A14</f>
        <v xml:space="preserve">Southeast Orig (Kroll) </v>
      </c>
      <c r="B15" s="25"/>
      <c r="C15" s="22">
        <v>513</v>
      </c>
      <c r="D15" s="22">
        <v>1329</v>
      </c>
      <c r="E15" s="22">
        <v>904</v>
      </c>
      <c r="F15" s="27">
        <v>952</v>
      </c>
      <c r="G15" s="29">
        <f t="shared" si="0"/>
        <v>3698</v>
      </c>
      <c r="H15" s="30">
        <v>3795</v>
      </c>
      <c r="I15" s="24">
        <f t="shared" si="1"/>
        <v>97</v>
      </c>
    </row>
    <row r="16" spans="1:22" ht="12.75" customHeight="1" x14ac:dyDescent="0.25">
      <c r="A16" s="16" t="str">
        <f>'[1]QTD Mgmt Summary'!A15</f>
        <v>ERCOT Trading (Curry)</v>
      </c>
      <c r="B16" s="25"/>
      <c r="C16" s="22">
        <v>247</v>
      </c>
      <c r="D16" s="22">
        <v>310</v>
      </c>
      <c r="E16" s="22">
        <v>427</v>
      </c>
      <c r="F16" s="27">
        <v>200</v>
      </c>
      <c r="G16" s="29">
        <f t="shared" si="0"/>
        <v>1184</v>
      </c>
      <c r="H16" s="30">
        <v>880</v>
      </c>
      <c r="I16" s="24">
        <f t="shared" si="1"/>
        <v>-304</v>
      </c>
    </row>
    <row r="17" spans="1:22" ht="12.75" customHeight="1" x14ac:dyDescent="0.25">
      <c r="A17" s="16" t="str">
        <f>'[1]QTD Mgmt Summary'!A16</f>
        <v>ERCOT Orig (Curry/Smith)</v>
      </c>
      <c r="B17" s="25"/>
      <c r="C17" s="22">
        <v>421</v>
      </c>
      <c r="D17" s="22">
        <v>123</v>
      </c>
      <c r="E17" s="22">
        <v>221</v>
      </c>
      <c r="F17" s="27">
        <v>727</v>
      </c>
      <c r="G17" s="29">
        <f t="shared" si="0"/>
        <v>1492</v>
      </c>
      <c r="H17" s="30">
        <v>3078</v>
      </c>
      <c r="I17" s="24">
        <f t="shared" si="1"/>
        <v>1586</v>
      </c>
    </row>
    <row r="18" spans="1:22" ht="12.75" customHeight="1" x14ac:dyDescent="0.25">
      <c r="A18" s="16" t="str">
        <f>'[1]QTD Mgmt Summary'!A17</f>
        <v>Options (Arora)</v>
      </c>
      <c r="B18" s="25"/>
      <c r="C18" s="22">
        <v>0</v>
      </c>
      <c r="D18" s="22">
        <v>254</v>
      </c>
      <c r="E18" s="22">
        <v>225</v>
      </c>
      <c r="F18" s="27">
        <v>0</v>
      </c>
      <c r="G18" s="29">
        <f t="shared" si="0"/>
        <v>479</v>
      </c>
      <c r="H18" s="30">
        <v>0</v>
      </c>
      <c r="I18" s="24">
        <f t="shared" si="1"/>
        <v>-479</v>
      </c>
    </row>
    <row r="19" spans="1:22" ht="12.75" customHeight="1" x14ac:dyDescent="0.25">
      <c r="A19" s="16" t="str">
        <f>'[1]QTD Mgmt Summary'!A18</f>
        <v>Management  Book (Presto)</v>
      </c>
      <c r="B19" s="25"/>
      <c r="C19" s="22">
        <f>3150+141</f>
        <v>3291</v>
      </c>
      <c r="D19" s="22">
        <v>3005</v>
      </c>
      <c r="E19" s="22">
        <v>2612</v>
      </c>
      <c r="F19" s="27">
        <v>2622</v>
      </c>
      <c r="G19" s="29">
        <f t="shared" si="0"/>
        <v>11530</v>
      </c>
      <c r="H19" s="30">
        <v>10916</v>
      </c>
      <c r="I19" s="24">
        <f t="shared" si="1"/>
        <v>-614</v>
      </c>
    </row>
    <row r="20" spans="1:22" ht="12.75" customHeight="1" x14ac:dyDescent="0.25">
      <c r="A20" s="16" t="str">
        <f>'[1]QTD Mgmt Summary'!A19</f>
        <v>Services (Will)</v>
      </c>
      <c r="B20" s="25"/>
      <c r="C20" s="22">
        <v>0</v>
      </c>
      <c r="D20" s="22">
        <v>112</v>
      </c>
      <c r="E20" s="22">
        <v>166</v>
      </c>
      <c r="F20" s="27">
        <v>0</v>
      </c>
      <c r="G20" s="29">
        <f t="shared" si="0"/>
        <v>278</v>
      </c>
      <c r="H20" s="30">
        <v>0</v>
      </c>
      <c r="I20" s="24">
        <f t="shared" si="1"/>
        <v>-278</v>
      </c>
    </row>
    <row r="21" spans="1:22" ht="12.75" customHeight="1" x14ac:dyDescent="0.25">
      <c r="A21" s="16" t="str">
        <f>'[1]QTD Mgmt Summary'!A20</f>
        <v>Development (Jacoby)</v>
      </c>
      <c r="B21" s="25"/>
      <c r="C21" s="22">
        <v>2008</v>
      </c>
      <c r="D21" s="22">
        <v>2100</v>
      </c>
      <c r="E21" s="22">
        <v>2096</v>
      </c>
      <c r="F21" s="27">
        <v>2093</v>
      </c>
      <c r="G21" s="29">
        <f t="shared" si="0"/>
        <v>8297</v>
      </c>
      <c r="H21" s="30">
        <v>8381</v>
      </c>
      <c r="I21" s="24">
        <f t="shared" si="1"/>
        <v>84</v>
      </c>
    </row>
    <row r="22" spans="1:22" ht="12.75" customHeight="1" x14ac:dyDescent="0.25">
      <c r="A22" s="16" t="str">
        <f>'[1]QTD Mgmt Summary'!A21</f>
        <v>Generation Investments (Duran)</v>
      </c>
      <c r="B22" s="25"/>
      <c r="C22" s="22">
        <v>2008</v>
      </c>
      <c r="D22" s="22">
        <v>1658</v>
      </c>
      <c r="E22" s="22">
        <v>2338</v>
      </c>
      <c r="F22" s="27">
        <v>1770</v>
      </c>
      <c r="G22" s="29">
        <f t="shared" si="0"/>
        <v>7774</v>
      </c>
      <c r="H22" s="30">
        <v>7082</v>
      </c>
      <c r="I22" s="24">
        <f t="shared" si="1"/>
        <v>-692</v>
      </c>
    </row>
    <row r="23" spans="1:22" ht="12.75" customHeight="1" thickBot="1" x14ac:dyDescent="0.3">
      <c r="A23" s="16" t="str">
        <f>'[1]QTD Mgmt Summary'!A22</f>
        <v>Structuring/Fundamentals (Meyn/Will)</v>
      </c>
      <c r="B23" s="25"/>
      <c r="C23" s="22">
        <v>1109</v>
      </c>
      <c r="D23" s="22">
        <f>351+780</f>
        <v>1131</v>
      </c>
      <c r="E23" s="22">
        <v>1714</v>
      </c>
      <c r="F23" s="27">
        <f>670+734</f>
        <v>1404</v>
      </c>
      <c r="G23" s="31">
        <f t="shared" si="0"/>
        <v>5358</v>
      </c>
      <c r="H23" s="32">
        <v>5740</v>
      </c>
      <c r="I23" s="24">
        <f t="shared" si="1"/>
        <v>382</v>
      </c>
    </row>
    <row r="24" spans="1:22" s="40" customFormat="1" ht="12.75" customHeight="1" thickBot="1" x14ac:dyDescent="0.3">
      <c r="A24" s="33" t="s">
        <v>4</v>
      </c>
      <c r="B24" s="34"/>
      <c r="C24" s="35">
        <f t="shared" ref="C24:I24" si="2">SUM(C10:C23)</f>
        <v>12097</v>
      </c>
      <c r="D24" s="36">
        <f t="shared" si="2"/>
        <v>12878</v>
      </c>
      <c r="E24" s="36">
        <f t="shared" si="2"/>
        <v>13062</v>
      </c>
      <c r="F24" s="37">
        <f t="shared" si="2"/>
        <v>13520</v>
      </c>
      <c r="G24" s="39">
        <f t="shared" si="2"/>
        <v>51557</v>
      </c>
      <c r="H24" s="37">
        <f>SUM(H10:H23)</f>
        <v>55254</v>
      </c>
      <c r="I24" s="38">
        <f t="shared" si="2"/>
        <v>3697</v>
      </c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</row>
    <row r="25" spans="1:22" ht="12.75" customHeight="1" x14ac:dyDescent="0.25">
      <c r="A25" s="16" t="str">
        <f>'[1]QTD Mgmt Summary'!A24</f>
        <v>Trading (Belden)</v>
      </c>
      <c r="B25" s="10"/>
      <c r="C25" s="23">
        <v>4119</v>
      </c>
      <c r="D25" s="27">
        <v>5121</v>
      </c>
      <c r="E25" s="22">
        <v>7454</v>
      </c>
      <c r="F25" s="27">
        <v>2587</v>
      </c>
      <c r="G25" s="26">
        <f t="shared" ref="G25:G31" si="3">SUM(C25:F25)</f>
        <v>19281</v>
      </c>
      <c r="H25" s="30">
        <v>10632</v>
      </c>
      <c r="I25" s="28">
        <f t="shared" ref="I25:I31" si="4">H25-G25</f>
        <v>-8649</v>
      </c>
    </row>
    <row r="26" spans="1:22" ht="12.75" customHeight="1" x14ac:dyDescent="0.25">
      <c r="A26" s="16" t="str">
        <f>'[1]QTD Mgmt Summary'!A25</f>
        <v>Services (Foster/Wolfe)</v>
      </c>
      <c r="B26" s="10"/>
      <c r="C26" s="23">
        <v>115</v>
      </c>
      <c r="D26" s="27">
        <v>120</v>
      </c>
      <c r="E26" s="22">
        <v>92</v>
      </c>
      <c r="F26" s="27">
        <v>134</v>
      </c>
      <c r="G26" s="26">
        <f t="shared" si="3"/>
        <v>461</v>
      </c>
      <c r="H26" s="30">
        <v>548</v>
      </c>
      <c r="I26" s="28">
        <f t="shared" si="4"/>
        <v>87</v>
      </c>
    </row>
    <row r="27" spans="1:22" ht="12.75" customHeight="1" x14ac:dyDescent="0.25">
      <c r="A27" s="16" t="str">
        <f>'[1]QTD Mgmt Summary'!A26</f>
        <v>Middle Market Originations (Foster)</v>
      </c>
      <c r="B27" s="10"/>
      <c r="C27" s="23">
        <v>231</v>
      </c>
      <c r="D27" s="27">
        <v>221</v>
      </c>
      <c r="E27" s="22">
        <v>214</v>
      </c>
      <c r="F27" s="27">
        <v>293</v>
      </c>
      <c r="G27" s="26">
        <f t="shared" si="3"/>
        <v>959</v>
      </c>
      <c r="H27" s="30">
        <v>1172</v>
      </c>
      <c r="I27" s="28">
        <f t="shared" si="4"/>
        <v>213</v>
      </c>
    </row>
    <row r="28" spans="1:22" ht="12.75" customHeight="1" x14ac:dyDescent="0.25">
      <c r="A28" s="16" t="str">
        <f>'[1]QTD Mgmt Summary'!A27</f>
        <v>Orginations (Thomas/McDonald)</v>
      </c>
      <c r="B28" s="10"/>
      <c r="C28" s="23">
        <v>1753</v>
      </c>
      <c r="D28" s="27">
        <v>2866</v>
      </c>
      <c r="E28" s="22">
        <v>1818</v>
      </c>
      <c r="F28" s="27">
        <v>1458</v>
      </c>
      <c r="G28" s="26">
        <f t="shared" si="3"/>
        <v>7895</v>
      </c>
      <c r="H28" s="30">
        <v>7894</v>
      </c>
      <c r="I28" s="28">
        <f t="shared" si="4"/>
        <v>-1</v>
      </c>
    </row>
    <row r="29" spans="1:22" ht="12.75" customHeight="1" x14ac:dyDescent="0.25">
      <c r="A29" s="16" t="str">
        <f>'[1]QTD Mgmt Summary'!A28</f>
        <v>Executive (Calger)</v>
      </c>
      <c r="B29" s="10"/>
      <c r="C29" s="23">
        <v>315</v>
      </c>
      <c r="D29" s="27">
        <v>170</v>
      </c>
      <c r="E29" s="22">
        <v>325</v>
      </c>
      <c r="F29" s="27">
        <v>530</v>
      </c>
      <c r="G29" s="26">
        <f t="shared" si="3"/>
        <v>1340</v>
      </c>
      <c r="H29" s="30">
        <v>2874</v>
      </c>
      <c r="I29" s="28">
        <f t="shared" si="4"/>
        <v>1534</v>
      </c>
    </row>
    <row r="30" spans="1:22" ht="12.75" customHeight="1" x14ac:dyDescent="0.25">
      <c r="A30" s="16" t="str">
        <f>'[1]QTD Mgmt Summary'!A29</f>
        <v>Generation (Parquet)</v>
      </c>
      <c r="B30" s="10"/>
      <c r="C30" s="23">
        <v>807</v>
      </c>
      <c r="D30" s="27">
        <v>591</v>
      </c>
      <c r="E30" s="22">
        <v>1773</v>
      </c>
      <c r="F30" s="27">
        <v>2094</v>
      </c>
      <c r="G30" s="26">
        <f t="shared" si="3"/>
        <v>5265</v>
      </c>
      <c r="H30" s="30">
        <v>5466</v>
      </c>
      <c r="I30" s="28">
        <f t="shared" si="4"/>
        <v>201</v>
      </c>
    </row>
    <row r="31" spans="1:22" ht="12.75" customHeight="1" thickBot="1" x14ac:dyDescent="0.3">
      <c r="A31" s="16" t="str">
        <f>'[1]QTD Mgmt Summary'!A30</f>
        <v>Fundamentals (Heizenreiker)</v>
      </c>
      <c r="B31" s="10"/>
      <c r="C31" s="23">
        <v>172</v>
      </c>
      <c r="D31" s="30">
        <v>187</v>
      </c>
      <c r="E31" s="22">
        <v>246</v>
      </c>
      <c r="F31" s="27">
        <v>261</v>
      </c>
      <c r="G31" s="26">
        <f t="shared" si="3"/>
        <v>866</v>
      </c>
      <c r="H31" s="30">
        <v>1080</v>
      </c>
      <c r="I31" s="28">
        <f t="shared" si="4"/>
        <v>214</v>
      </c>
    </row>
    <row r="32" spans="1:22" s="40" customFormat="1" ht="12.75" customHeight="1" thickBot="1" x14ac:dyDescent="0.3">
      <c r="A32" s="33" t="s">
        <v>5</v>
      </c>
      <c r="B32" s="34"/>
      <c r="C32" s="35">
        <f t="shared" ref="C32:I32" si="5">SUM(C25:C31)</f>
        <v>7512</v>
      </c>
      <c r="D32" s="36">
        <f t="shared" si="5"/>
        <v>9276</v>
      </c>
      <c r="E32" s="36">
        <f t="shared" si="5"/>
        <v>11922</v>
      </c>
      <c r="F32" s="37">
        <f t="shared" si="5"/>
        <v>7357</v>
      </c>
      <c r="G32" s="39">
        <f t="shared" si="5"/>
        <v>36067</v>
      </c>
      <c r="H32" s="37">
        <f t="shared" si="5"/>
        <v>29666</v>
      </c>
      <c r="I32" s="38">
        <f t="shared" si="5"/>
        <v>-6401</v>
      </c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</row>
    <row r="33" spans="1:22" ht="12.75" customHeight="1" x14ac:dyDescent="0.25">
      <c r="A33" s="16" t="str">
        <f>'[1]QTD Mgmt Summary'!A32</f>
        <v>East Trading (Neal)</v>
      </c>
      <c r="B33" s="10"/>
      <c r="C33" s="23">
        <v>2060</v>
      </c>
      <c r="D33" s="27">
        <v>4764</v>
      </c>
      <c r="E33" s="22">
        <v>1613</v>
      </c>
      <c r="F33" s="22">
        <v>1903</v>
      </c>
      <c r="G33" s="43">
        <f t="shared" ref="G33:G45" si="6">SUM(C33:F33)</f>
        <v>10340</v>
      </c>
      <c r="H33" s="30">
        <v>7663</v>
      </c>
      <c r="I33" s="42">
        <f t="shared" ref="I33:I45" si="7">H33-G33</f>
        <v>-2677</v>
      </c>
    </row>
    <row r="34" spans="1:22" ht="12.75" customHeight="1" x14ac:dyDescent="0.25">
      <c r="A34" s="16" t="str">
        <f>'[1]QTD Mgmt Summary'!A33</f>
        <v>East Origination (Vickers)</v>
      </c>
      <c r="B34" s="10"/>
      <c r="C34" s="23">
        <v>758</v>
      </c>
      <c r="D34" s="27">
        <v>933</v>
      </c>
      <c r="E34" s="22">
        <v>788</v>
      </c>
      <c r="F34" s="22">
        <v>975</v>
      </c>
      <c r="G34" s="43">
        <f t="shared" si="6"/>
        <v>3454</v>
      </c>
      <c r="H34" s="30">
        <v>3959</v>
      </c>
      <c r="I34" s="28">
        <f t="shared" si="7"/>
        <v>505</v>
      </c>
    </row>
    <row r="35" spans="1:22" ht="12.75" customHeight="1" x14ac:dyDescent="0.25">
      <c r="A35" s="16" t="str">
        <f>'[1]QTD Mgmt Summary'!A34</f>
        <v>Central Trading (Shively)</v>
      </c>
      <c r="B35" s="10"/>
      <c r="C35" s="23">
        <v>1551</v>
      </c>
      <c r="D35" s="27">
        <v>1583</v>
      </c>
      <c r="E35" s="22">
        <v>1042</v>
      </c>
      <c r="F35" s="22">
        <v>1640</v>
      </c>
      <c r="G35" s="43">
        <f t="shared" si="6"/>
        <v>5816</v>
      </c>
      <c r="H35" s="30">
        <v>6667</v>
      </c>
      <c r="I35" s="42">
        <f t="shared" si="7"/>
        <v>851</v>
      </c>
    </row>
    <row r="36" spans="1:22" ht="12.75" customHeight="1" x14ac:dyDescent="0.25">
      <c r="A36" s="16" t="str">
        <f>'[1]QTD Mgmt Summary'!A35</f>
        <v>Central Origination (Luce)</v>
      </c>
      <c r="B36" s="10"/>
      <c r="C36" s="23">
        <v>457</v>
      </c>
      <c r="D36" s="27">
        <v>517</v>
      </c>
      <c r="E36" s="22">
        <v>995</v>
      </c>
      <c r="F36" s="22">
        <v>813</v>
      </c>
      <c r="G36" s="43">
        <f t="shared" si="6"/>
        <v>2782</v>
      </c>
      <c r="H36" s="30">
        <v>3415</v>
      </c>
      <c r="I36" s="28">
        <f t="shared" si="7"/>
        <v>633</v>
      </c>
    </row>
    <row r="37" spans="1:22" ht="12.75" customHeight="1" x14ac:dyDescent="0.25">
      <c r="A37" s="16" t="str">
        <f>'[1]QTD Mgmt Summary'!A36</f>
        <v>Texas Trading (Martin)</v>
      </c>
      <c r="B37" s="10"/>
      <c r="C37" s="29">
        <v>1290</v>
      </c>
      <c r="D37" s="30">
        <v>772</v>
      </c>
      <c r="E37" s="22">
        <v>1022</v>
      </c>
      <c r="F37" s="22">
        <v>1082</v>
      </c>
      <c r="G37" s="43">
        <f t="shared" si="6"/>
        <v>4166</v>
      </c>
      <c r="H37" s="30">
        <v>4901</v>
      </c>
      <c r="I37" s="28">
        <f t="shared" si="7"/>
        <v>735</v>
      </c>
    </row>
    <row r="38" spans="1:22" ht="12.75" customHeight="1" x14ac:dyDescent="0.25">
      <c r="A38" s="16" t="str">
        <f>'[1]QTD Mgmt Summary'!A37</f>
        <v>Texas Origination (Redmond)</v>
      </c>
      <c r="B38" s="10"/>
      <c r="C38" s="29">
        <v>0</v>
      </c>
      <c r="D38" s="30">
        <v>0</v>
      </c>
      <c r="E38" s="22">
        <v>386</v>
      </c>
      <c r="F38" s="22">
        <v>0</v>
      </c>
      <c r="G38" s="43">
        <f t="shared" si="6"/>
        <v>386</v>
      </c>
      <c r="H38" s="30">
        <v>0</v>
      </c>
      <c r="I38" s="28">
        <f t="shared" si="7"/>
        <v>-386</v>
      </c>
    </row>
    <row r="39" spans="1:22" ht="12.75" customHeight="1" x14ac:dyDescent="0.25">
      <c r="A39" s="16" t="str">
        <f>'[1]QTD Mgmt Summary'!A38</f>
        <v>West Trading (Allen)</v>
      </c>
      <c r="B39" s="10"/>
      <c r="C39" s="29">
        <v>1247</v>
      </c>
      <c r="D39" s="30">
        <v>1217</v>
      </c>
      <c r="E39" s="22">
        <v>1080</v>
      </c>
      <c r="F39" s="22">
        <v>1117</v>
      </c>
      <c r="G39" s="43">
        <f t="shared" si="6"/>
        <v>4661</v>
      </c>
      <c r="H39" s="30">
        <v>4485</v>
      </c>
      <c r="I39" s="28">
        <f t="shared" si="7"/>
        <v>-176</v>
      </c>
    </row>
    <row r="40" spans="1:22" ht="12.75" customHeight="1" x14ac:dyDescent="0.25">
      <c r="A40" s="16" t="str">
        <f>'[1]QTD Mgmt Summary'!A39</f>
        <v>West Origination (Tycholiz)</v>
      </c>
      <c r="B40" s="10"/>
      <c r="C40" s="29">
        <v>415</v>
      </c>
      <c r="D40" s="30">
        <v>648</v>
      </c>
      <c r="E40" s="22">
        <v>572</v>
      </c>
      <c r="F40" s="22">
        <v>651</v>
      </c>
      <c r="G40" s="43">
        <f t="shared" si="6"/>
        <v>2286</v>
      </c>
      <c r="H40" s="30">
        <v>2699</v>
      </c>
      <c r="I40" s="28">
        <f t="shared" si="7"/>
        <v>413</v>
      </c>
    </row>
    <row r="41" spans="1:22" ht="12.75" customHeight="1" x14ac:dyDescent="0.25">
      <c r="A41" s="16" t="str">
        <f>'[1]QTD Mgmt Summary'!A40</f>
        <v>Financial Gas (Arnold)</v>
      </c>
      <c r="B41" s="10"/>
      <c r="C41" s="29">
        <v>364</v>
      </c>
      <c r="D41" s="30">
        <v>560</v>
      </c>
      <c r="E41" s="22">
        <v>396</v>
      </c>
      <c r="F41" s="22">
        <v>402</v>
      </c>
      <c r="G41" s="43">
        <f t="shared" si="6"/>
        <v>1722</v>
      </c>
      <c r="H41" s="30">
        <v>1653</v>
      </c>
      <c r="I41" s="28">
        <f t="shared" si="7"/>
        <v>-69</v>
      </c>
    </row>
    <row r="42" spans="1:22" ht="12.75" customHeight="1" x14ac:dyDescent="0.25">
      <c r="A42" s="16" t="str">
        <f>'[1]QTD Mgmt Summary'!A41</f>
        <v>Derivative Origination (Lagrasta)</v>
      </c>
      <c r="B42" s="10"/>
      <c r="C42" s="29">
        <v>1009</v>
      </c>
      <c r="D42" s="30">
        <v>1064</v>
      </c>
      <c r="E42" s="22">
        <v>944</v>
      </c>
      <c r="F42" s="22">
        <v>1084</v>
      </c>
      <c r="G42" s="43">
        <f t="shared" si="6"/>
        <v>4101</v>
      </c>
      <c r="H42" s="30">
        <v>4402</v>
      </c>
      <c r="I42" s="28">
        <f t="shared" si="7"/>
        <v>301</v>
      </c>
    </row>
    <row r="43" spans="1:22" ht="12.75" customHeight="1" x14ac:dyDescent="0.25">
      <c r="A43" s="16" t="str">
        <f>'[1]QTD Mgmt Summary'!A42</f>
        <v>NG Structuring (McMichael)</v>
      </c>
      <c r="B43" s="10"/>
      <c r="C43" s="29">
        <v>497</v>
      </c>
      <c r="D43" s="30">
        <v>389</v>
      </c>
      <c r="E43" s="22">
        <v>542</v>
      </c>
      <c r="F43" s="22">
        <v>676</v>
      </c>
      <c r="G43" s="43">
        <f t="shared" si="6"/>
        <v>2104</v>
      </c>
      <c r="H43" s="30">
        <v>2738</v>
      </c>
      <c r="I43" s="28">
        <f t="shared" si="7"/>
        <v>634</v>
      </c>
    </row>
    <row r="44" spans="1:22" ht="12.75" customHeight="1" x14ac:dyDescent="0.25">
      <c r="A44" s="16" t="str">
        <f>'[1]QTD Mgmt Summary'!A43</f>
        <v>NG Fundamentals (Gaskill)</v>
      </c>
      <c r="B44" s="10"/>
      <c r="C44" s="29">
        <v>272</v>
      </c>
      <c r="D44" s="30">
        <v>527</v>
      </c>
      <c r="E44" s="22">
        <v>690</v>
      </c>
      <c r="F44" s="22">
        <v>508</v>
      </c>
      <c r="G44" s="43">
        <f t="shared" si="6"/>
        <v>1997</v>
      </c>
      <c r="H44" s="30">
        <v>2091</v>
      </c>
      <c r="I44" s="28">
        <f t="shared" si="7"/>
        <v>94</v>
      </c>
    </row>
    <row r="45" spans="1:22" ht="12.75" customHeight="1" thickBot="1" x14ac:dyDescent="0.3">
      <c r="A45" s="16" t="str">
        <f>'[1]QTD Mgmt Summary'!A44</f>
        <v>Management</v>
      </c>
      <c r="B45" s="10"/>
      <c r="C45" s="29">
        <v>0</v>
      </c>
      <c r="D45" s="30">
        <v>0</v>
      </c>
      <c r="E45" s="22">
        <v>0</v>
      </c>
      <c r="F45" s="22">
        <v>0</v>
      </c>
      <c r="G45" s="43">
        <f t="shared" si="6"/>
        <v>0</v>
      </c>
      <c r="H45" s="30">
        <v>0</v>
      </c>
      <c r="I45" s="28">
        <f t="shared" si="7"/>
        <v>0</v>
      </c>
    </row>
    <row r="46" spans="1:22" s="40" customFormat="1" ht="12.75" customHeight="1" thickBot="1" x14ac:dyDescent="0.3">
      <c r="A46" s="33" t="s">
        <v>6</v>
      </c>
      <c r="B46" s="34"/>
      <c r="C46" s="35">
        <f t="shared" ref="C46:I46" si="8">SUM(C33:C45)</f>
        <v>9920</v>
      </c>
      <c r="D46" s="36">
        <f t="shared" si="8"/>
        <v>12974</v>
      </c>
      <c r="E46" s="36">
        <f t="shared" si="8"/>
        <v>10070</v>
      </c>
      <c r="F46" s="37">
        <f t="shared" si="8"/>
        <v>10851</v>
      </c>
      <c r="G46" s="39">
        <f t="shared" si="8"/>
        <v>43815</v>
      </c>
      <c r="H46" s="37">
        <f t="shared" si="8"/>
        <v>44673</v>
      </c>
      <c r="I46" s="38">
        <f t="shared" si="8"/>
        <v>858</v>
      </c>
      <c r="K46" s="15"/>
      <c r="L46" s="45"/>
      <c r="M46" s="15"/>
      <c r="N46" s="15"/>
      <c r="O46" s="15"/>
      <c r="P46" s="15"/>
      <c r="Q46" s="15"/>
      <c r="R46" s="15"/>
      <c r="S46" s="15"/>
      <c r="T46" s="15"/>
      <c r="U46" s="15"/>
      <c r="V46" s="15"/>
    </row>
    <row r="47" spans="1:22" ht="12.75" customHeight="1" x14ac:dyDescent="0.25">
      <c r="A47" s="16" t="str">
        <f>'[1]QTD Mgmt Summary'!A46</f>
        <v>Natural Gas Trading (Zufferli)</v>
      </c>
      <c r="B47" s="10"/>
      <c r="C47" s="23">
        <v>1617</v>
      </c>
      <c r="D47" s="27">
        <v>1063</v>
      </c>
      <c r="E47" s="22">
        <v>735</v>
      </c>
      <c r="F47" s="41">
        <v>730</v>
      </c>
      <c r="G47" s="43">
        <f t="shared" ref="G47:G53" si="9">SUM(C47:F47)</f>
        <v>4145</v>
      </c>
      <c r="H47" s="30">
        <v>2433</v>
      </c>
      <c r="I47" s="42">
        <f t="shared" ref="I47:I53" si="10">H47-G47</f>
        <v>-1712</v>
      </c>
    </row>
    <row r="48" spans="1:22" ht="12.75" customHeight="1" x14ac:dyDescent="0.25">
      <c r="A48" s="16" t="str">
        <f>'[1]QTD Mgmt Summary'!A47</f>
        <v>Natural Gas Origination (LeDain)</v>
      </c>
      <c r="B48" s="10"/>
      <c r="C48" s="23">
        <v>235</v>
      </c>
      <c r="D48" s="27">
        <v>234</v>
      </c>
      <c r="E48" s="22">
        <v>233</v>
      </c>
      <c r="F48" s="27">
        <v>487</v>
      </c>
      <c r="G48" s="29">
        <f t="shared" si="9"/>
        <v>1189</v>
      </c>
      <c r="H48" s="30">
        <v>2433</v>
      </c>
      <c r="I48" s="28">
        <f t="shared" si="10"/>
        <v>1244</v>
      </c>
    </row>
    <row r="49" spans="1:22" ht="12.75" customHeight="1" x14ac:dyDescent="0.25">
      <c r="A49" s="16" t="str">
        <f>'[1]QTD Mgmt Summary'!A48</f>
        <v>Finance (Kitagawa)</v>
      </c>
      <c r="B49" s="10"/>
      <c r="C49" s="23">
        <v>455</v>
      </c>
      <c r="D49" s="27">
        <v>-113</v>
      </c>
      <c r="E49" s="22">
        <v>159</v>
      </c>
      <c r="F49" s="41">
        <v>423</v>
      </c>
      <c r="G49" s="46">
        <f t="shared" si="9"/>
        <v>924</v>
      </c>
      <c r="H49" s="30">
        <v>1692</v>
      </c>
      <c r="I49" s="42">
        <f t="shared" si="10"/>
        <v>768</v>
      </c>
    </row>
    <row r="50" spans="1:22" ht="12.75" customHeight="1" x14ac:dyDescent="0.25">
      <c r="A50" s="16" t="str">
        <f>'[1]QTD Mgmt Summary'!A49</f>
        <v>Alberta Power Trading (Zufferli)</v>
      </c>
      <c r="B50" s="10"/>
      <c r="C50" s="23">
        <v>300</v>
      </c>
      <c r="D50" s="27">
        <v>486</v>
      </c>
      <c r="E50" s="22">
        <v>374</v>
      </c>
      <c r="F50" s="27">
        <v>247</v>
      </c>
      <c r="G50" s="29">
        <f t="shared" si="9"/>
        <v>1407</v>
      </c>
      <c r="H50" s="30">
        <v>988</v>
      </c>
      <c r="I50" s="28">
        <f t="shared" si="10"/>
        <v>-419</v>
      </c>
    </row>
    <row r="51" spans="1:22" ht="12.75" customHeight="1" x14ac:dyDescent="0.25">
      <c r="A51" s="16" t="str">
        <f>'[1]QTD Mgmt Summary'!A50</f>
        <v>Alberta Power Orig (Davies)</v>
      </c>
      <c r="B51" s="10"/>
      <c r="C51" s="23">
        <v>95</v>
      </c>
      <c r="D51" s="27">
        <v>96</v>
      </c>
      <c r="E51" s="22">
        <v>137</v>
      </c>
      <c r="F51" s="27">
        <v>327</v>
      </c>
      <c r="G51" s="29">
        <f t="shared" si="9"/>
        <v>655</v>
      </c>
      <c r="H51" s="30">
        <v>1308</v>
      </c>
      <c r="I51" s="28">
        <f t="shared" si="10"/>
        <v>653</v>
      </c>
    </row>
    <row r="52" spans="1:22" ht="12.75" customHeight="1" x14ac:dyDescent="0.25">
      <c r="A52" s="16" t="str">
        <f>'[1]QTD Mgmt Summary'!A51</f>
        <v>Ontario Power (Devries)</v>
      </c>
      <c r="B52" s="10"/>
      <c r="C52" s="23">
        <v>351</v>
      </c>
      <c r="D52" s="27">
        <v>301</v>
      </c>
      <c r="E52" s="22">
        <v>335</v>
      </c>
      <c r="F52" s="27">
        <v>1155</v>
      </c>
      <c r="G52" s="29">
        <f t="shared" si="9"/>
        <v>2142</v>
      </c>
      <c r="H52" s="30">
        <v>4621</v>
      </c>
      <c r="I52" s="28">
        <f t="shared" si="10"/>
        <v>2479</v>
      </c>
    </row>
    <row r="53" spans="1:22" ht="12.75" customHeight="1" thickBot="1" x14ac:dyDescent="0.3">
      <c r="A53" s="16" t="str">
        <f>'[1]QTD Mgmt Summary'!A52</f>
        <v>Executive (Milnthorp)</v>
      </c>
      <c r="B53" s="10"/>
      <c r="C53" s="23">
        <f>586+31</f>
        <v>617</v>
      </c>
      <c r="D53" s="27">
        <v>595</v>
      </c>
      <c r="E53" s="22">
        <v>601</v>
      </c>
      <c r="F53" s="27">
        <v>1314</v>
      </c>
      <c r="G53" s="29">
        <f t="shared" si="9"/>
        <v>3127</v>
      </c>
      <c r="H53" s="30">
        <v>5255</v>
      </c>
      <c r="I53" s="28">
        <f t="shared" si="10"/>
        <v>2128</v>
      </c>
    </row>
    <row r="54" spans="1:22" s="40" customFormat="1" ht="12.75" customHeight="1" thickBot="1" x14ac:dyDescent="0.3">
      <c r="A54" s="33" t="s">
        <v>7</v>
      </c>
      <c r="B54" s="34"/>
      <c r="C54" s="35">
        <f t="shared" ref="C54:I54" si="11">SUM(C47:C53)</f>
        <v>3670</v>
      </c>
      <c r="D54" s="36">
        <f t="shared" si="11"/>
        <v>2662</v>
      </c>
      <c r="E54" s="36">
        <f t="shared" si="11"/>
        <v>2574</v>
      </c>
      <c r="F54" s="36">
        <f t="shared" si="11"/>
        <v>4683</v>
      </c>
      <c r="G54" s="35">
        <f t="shared" si="11"/>
        <v>13589</v>
      </c>
      <c r="H54" s="36">
        <f t="shared" si="11"/>
        <v>18730</v>
      </c>
      <c r="I54" s="47">
        <f t="shared" si="11"/>
        <v>5141</v>
      </c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</row>
    <row r="55" spans="1:22" ht="12.75" customHeight="1" x14ac:dyDescent="0.25">
      <c r="A55" s="16" t="str">
        <f>'[1]QTD Mgmt Summary'!A54</f>
        <v>Upstream Products (Mrha)</v>
      </c>
      <c r="B55" s="10"/>
      <c r="C55" s="23">
        <f>585+246+423</f>
        <v>1254</v>
      </c>
      <c r="D55" s="22">
        <v>2397</v>
      </c>
      <c r="E55" s="22">
        <v>-538</v>
      </c>
      <c r="F55" s="30">
        <f>221+427+423+256+156+144</f>
        <v>1627</v>
      </c>
      <c r="G55" s="29">
        <f t="shared" ref="G55:G68" si="12">SUM(C55:F55)</f>
        <v>4740</v>
      </c>
      <c r="H55" s="30">
        <v>6704</v>
      </c>
      <c r="I55" s="28">
        <f t="shared" ref="I55:I68" si="13">H55-G55</f>
        <v>1964</v>
      </c>
    </row>
    <row r="56" spans="1:22" ht="12.75" customHeight="1" x14ac:dyDescent="0.25">
      <c r="A56" s="16" t="str">
        <f>'[1]QTD Mgmt Summary'!A55</f>
        <v>Bridgeline (Redmond)</v>
      </c>
      <c r="B56" s="10"/>
      <c r="C56" s="29">
        <v>0</v>
      </c>
      <c r="D56" s="30">
        <v>0</v>
      </c>
      <c r="E56" s="22">
        <v>0</v>
      </c>
      <c r="F56" s="30">
        <v>0</v>
      </c>
      <c r="G56" s="29">
        <f t="shared" si="12"/>
        <v>0</v>
      </c>
      <c r="H56" s="30">
        <v>0</v>
      </c>
      <c r="I56" s="28">
        <f t="shared" si="13"/>
        <v>0</v>
      </c>
    </row>
    <row r="57" spans="1:22" ht="12.75" customHeight="1" x14ac:dyDescent="0.25">
      <c r="A57" s="16" t="str">
        <f>'[1]QTD Mgmt Summary'!A56</f>
        <v>HPL (Redmond)</v>
      </c>
      <c r="B57" s="10"/>
      <c r="C57" s="29">
        <f>4836</f>
        <v>4836</v>
      </c>
      <c r="D57" s="30">
        <f>3010</f>
        <v>3010</v>
      </c>
      <c r="E57" s="22">
        <v>18831</v>
      </c>
      <c r="F57" s="30">
        <v>94</v>
      </c>
      <c r="G57" s="29">
        <f t="shared" si="12"/>
        <v>26771</v>
      </c>
      <c r="H57" s="30">
        <v>112265</v>
      </c>
      <c r="I57" s="28">
        <f t="shared" si="13"/>
        <v>85494</v>
      </c>
    </row>
    <row r="58" spans="1:22" ht="12.75" customHeight="1" x14ac:dyDescent="0.25">
      <c r="A58" s="16" t="str">
        <f>'[1]QTD Mgmt Summary'!A57</f>
        <v>Mexico (Irvin/Williams)</v>
      </c>
      <c r="B58" s="10"/>
      <c r="C58" s="29">
        <v>1106</v>
      </c>
      <c r="D58" s="30">
        <v>1429</v>
      </c>
      <c r="E58" s="22">
        <v>1700</v>
      </c>
      <c r="F58" s="44">
        <v>1402</v>
      </c>
      <c r="G58" s="46">
        <f t="shared" si="12"/>
        <v>5637</v>
      </c>
      <c r="H58" s="30">
        <v>5543</v>
      </c>
      <c r="I58" s="28">
        <f t="shared" si="13"/>
        <v>-94</v>
      </c>
    </row>
    <row r="59" spans="1:22" ht="12.75" customHeight="1" x14ac:dyDescent="0.25">
      <c r="A59" s="16" t="str">
        <f>'[1]QTD Mgmt Summary'!A58</f>
        <v>Energy Capital Svcs (Thompson/Josey)</v>
      </c>
      <c r="B59" s="10"/>
      <c r="C59" s="29">
        <v>1981</v>
      </c>
      <c r="D59" s="30">
        <v>1359</v>
      </c>
      <c r="E59" s="22">
        <v>1866</v>
      </c>
      <c r="F59" s="44">
        <v>1920</v>
      </c>
      <c r="G59" s="46">
        <f t="shared" si="12"/>
        <v>7126</v>
      </c>
      <c r="H59" s="30">
        <v>7789</v>
      </c>
      <c r="I59" s="28">
        <f t="shared" si="13"/>
        <v>663</v>
      </c>
    </row>
    <row r="60" spans="1:22" ht="12.75" customHeight="1" x14ac:dyDescent="0.25">
      <c r="A60" s="16" t="str">
        <f>'[1]QTD Mgmt Summary'!A59</f>
        <v>Mariner</v>
      </c>
      <c r="B60" s="10"/>
      <c r="C60" s="29">
        <v>0</v>
      </c>
      <c r="D60" s="30">
        <v>0</v>
      </c>
      <c r="E60" s="22">
        <v>0</v>
      </c>
      <c r="F60" s="44">
        <v>0</v>
      </c>
      <c r="G60" s="46">
        <f t="shared" si="12"/>
        <v>0</v>
      </c>
      <c r="H60" s="30">
        <v>0</v>
      </c>
      <c r="I60" s="28">
        <f t="shared" si="13"/>
        <v>0</v>
      </c>
    </row>
    <row r="61" spans="1:22" ht="12.75" customHeight="1" x14ac:dyDescent="0.25">
      <c r="A61" s="16" t="str">
        <f>'[1]QTD Mgmt Summary'!A60</f>
        <v>Asset Marketing (D. Miller)</v>
      </c>
      <c r="B61" s="25"/>
      <c r="C61" s="29">
        <v>0</v>
      </c>
      <c r="D61" s="30">
        <v>269</v>
      </c>
      <c r="E61" s="22">
        <v>252</v>
      </c>
      <c r="F61" s="30">
        <v>343</v>
      </c>
      <c r="G61" s="29">
        <f t="shared" si="12"/>
        <v>864</v>
      </c>
      <c r="H61" s="30">
        <v>1017</v>
      </c>
      <c r="I61" s="28">
        <f t="shared" si="13"/>
        <v>153</v>
      </c>
    </row>
    <row r="62" spans="1:22" ht="12.75" customHeight="1" x14ac:dyDescent="0.25">
      <c r="A62" s="16" t="str">
        <f>GrossMargin!A62</f>
        <v>Principal Investing (Miller)</v>
      </c>
      <c r="B62" s="25"/>
      <c r="C62" s="29">
        <v>979</v>
      </c>
      <c r="D62" s="30">
        <v>742</v>
      </c>
      <c r="E62" s="22">
        <v>0</v>
      </c>
      <c r="F62" s="30">
        <v>0</v>
      </c>
      <c r="G62" s="29">
        <f t="shared" si="12"/>
        <v>1721</v>
      </c>
      <c r="H62" s="30">
        <v>1782</v>
      </c>
      <c r="I62" s="28">
        <f t="shared" si="13"/>
        <v>61</v>
      </c>
    </row>
    <row r="63" spans="1:22" ht="12.75" customHeight="1" x14ac:dyDescent="0.25">
      <c r="A63" s="16" t="str">
        <f>GrossMargin!A63</f>
        <v>Corporate Development (Detmering)</v>
      </c>
      <c r="B63" s="25"/>
      <c r="C63" s="29">
        <v>700</v>
      </c>
      <c r="D63" s="30">
        <v>0</v>
      </c>
      <c r="E63" s="22">
        <v>0</v>
      </c>
      <c r="F63" s="30">
        <v>0</v>
      </c>
      <c r="G63" s="29">
        <f t="shared" si="12"/>
        <v>700</v>
      </c>
      <c r="H63" s="30">
        <v>720</v>
      </c>
      <c r="I63" s="28">
        <f t="shared" si="13"/>
        <v>20</v>
      </c>
    </row>
    <row r="64" spans="1:22" ht="12.75" customHeight="1" x14ac:dyDescent="0.25">
      <c r="A64" s="16" t="str">
        <f>'[1]QTD Mgmt Summary'!A61</f>
        <v>Sold Peakers</v>
      </c>
      <c r="B64" s="25"/>
      <c r="C64" s="29">
        <f>895</f>
        <v>895</v>
      </c>
      <c r="D64" s="30">
        <v>1522</v>
      </c>
      <c r="E64" s="22">
        <v>770</v>
      </c>
      <c r="F64" s="30">
        <v>15562</v>
      </c>
      <c r="G64" s="29">
        <f t="shared" si="12"/>
        <v>18749</v>
      </c>
      <c r="H64" s="30">
        <v>15562</v>
      </c>
      <c r="I64" s="28">
        <f t="shared" si="13"/>
        <v>-3187</v>
      </c>
    </row>
    <row r="65" spans="1:22" ht="12.75" customHeight="1" x14ac:dyDescent="0.25">
      <c r="A65" s="16" t="str">
        <f>'[1]QTD Mgmt Summary'!A62</f>
        <v>Cross Commodity (Lavorato)</v>
      </c>
      <c r="B65" s="25"/>
      <c r="C65" s="29">
        <v>0</v>
      </c>
      <c r="D65" s="30">
        <v>0</v>
      </c>
      <c r="E65" s="22">
        <v>0</v>
      </c>
      <c r="F65" s="30"/>
      <c r="G65" s="29">
        <f t="shared" si="12"/>
        <v>0</v>
      </c>
      <c r="H65" s="30">
        <v>0</v>
      </c>
      <c r="I65" s="28">
        <f t="shared" si="13"/>
        <v>0</v>
      </c>
    </row>
    <row r="66" spans="1:22" ht="12.75" customHeight="1" x14ac:dyDescent="0.25">
      <c r="A66" s="16" t="str">
        <f>'[1]QTD Mgmt Summary'!A63</f>
        <v>Office of the Chairman (Lavorato/Kitchen)</v>
      </c>
      <c r="B66" s="10"/>
      <c r="C66" s="29">
        <v>1278</v>
      </c>
      <c r="D66" s="30">
        <v>1336</v>
      </c>
      <c r="E66" s="22">
        <v>1207</v>
      </c>
      <c r="F66" s="30">
        <f>1932</f>
        <v>1932</v>
      </c>
      <c r="G66" s="29">
        <f t="shared" si="12"/>
        <v>5753</v>
      </c>
      <c r="H66" s="30">
        <v>5328</v>
      </c>
      <c r="I66" s="28">
        <f t="shared" si="13"/>
        <v>-425</v>
      </c>
    </row>
    <row r="67" spans="1:22" ht="12.75" customHeight="1" x14ac:dyDescent="0.25">
      <c r="A67" s="16" t="str">
        <f>'[1]QTD Mgmt Summary'!A64</f>
        <v>TVA Settlement</v>
      </c>
      <c r="B67" s="10"/>
      <c r="C67" s="29">
        <v>253300</v>
      </c>
      <c r="D67" s="30">
        <v>0</v>
      </c>
      <c r="E67" s="22">
        <v>0</v>
      </c>
      <c r="F67" s="30">
        <v>0</v>
      </c>
      <c r="G67" s="29">
        <f t="shared" si="12"/>
        <v>253300</v>
      </c>
      <c r="H67" s="30">
        <v>0</v>
      </c>
      <c r="I67" s="28">
        <f t="shared" si="13"/>
        <v>-253300</v>
      </c>
    </row>
    <row r="68" spans="1:22" ht="12.75" customHeight="1" thickBot="1" x14ac:dyDescent="0.3">
      <c r="A68" s="16" t="str">
        <f>'[1]QTD Mgmt Summary'!A65</f>
        <v>Other *</v>
      </c>
      <c r="B68" s="10"/>
      <c r="C68" s="29">
        <f>257+1193</f>
        <v>1450</v>
      </c>
      <c r="D68" s="30">
        <f>243+2145</f>
        <v>2388</v>
      </c>
      <c r="E68" s="22">
        <v>307</v>
      </c>
      <c r="F68" s="44">
        <f>294+315</f>
        <v>609</v>
      </c>
      <c r="G68" s="46">
        <f t="shared" si="12"/>
        <v>4754</v>
      </c>
      <c r="H68" s="30">
        <v>5263</v>
      </c>
      <c r="I68" s="28">
        <f t="shared" si="13"/>
        <v>509</v>
      </c>
    </row>
    <row r="69" spans="1:22" s="48" customFormat="1" ht="12.75" customHeight="1" thickBot="1" x14ac:dyDescent="0.25">
      <c r="A69" s="33" t="s">
        <v>8</v>
      </c>
      <c r="B69" s="34"/>
      <c r="C69" s="35">
        <f>SUM(C55:C68)+C54+C46+C32+C24</f>
        <v>300978</v>
      </c>
      <c r="D69" s="36">
        <f>SUM(D55:D68)+D54+D46+D32+D24</f>
        <v>52242</v>
      </c>
      <c r="E69" s="36">
        <f>SUM(E55:E68)+E54+E46+E32+E24</f>
        <v>62023</v>
      </c>
      <c r="F69" s="47">
        <f>SUM(F55:F68)+F54+F46+F32+F24</f>
        <v>59900</v>
      </c>
      <c r="G69" s="87">
        <f>(SUM(G55:G68))+G24+G32+G46+G54</f>
        <v>475143</v>
      </c>
      <c r="H69" s="87">
        <f>(SUM(H55:H68))+H24+H32+H46+H54</f>
        <v>310296</v>
      </c>
      <c r="I69" s="89">
        <f>(SUM(I55:I68))+I24+I32+I46+I54</f>
        <v>-164847</v>
      </c>
      <c r="K69" s="58"/>
      <c r="L69" s="49"/>
      <c r="M69" s="58"/>
      <c r="N69" s="58"/>
      <c r="O69" s="58"/>
      <c r="P69" s="58"/>
      <c r="Q69" s="58"/>
      <c r="R69" s="58"/>
      <c r="S69" s="58"/>
      <c r="T69" s="58"/>
      <c r="U69" s="58"/>
      <c r="V69" s="58"/>
    </row>
    <row r="70" spans="1:22" ht="5.25" customHeight="1" x14ac:dyDescent="0.25">
      <c r="A70" s="50"/>
      <c r="B70" s="10"/>
      <c r="C70" s="51"/>
      <c r="D70" s="52"/>
      <c r="E70" s="53"/>
      <c r="F70" s="54"/>
      <c r="G70" s="92"/>
      <c r="H70" s="93"/>
      <c r="I70" s="94"/>
    </row>
    <row r="71" spans="1:22" ht="12.75" customHeight="1" x14ac:dyDescent="0.25">
      <c r="A71" s="50" t="s">
        <v>9</v>
      </c>
      <c r="B71" s="10"/>
      <c r="C71" s="29">
        <v>2119</v>
      </c>
      <c r="D71" s="30">
        <v>2418</v>
      </c>
      <c r="E71" s="22">
        <v>2232</v>
      </c>
      <c r="F71" s="27">
        <v>2374.2449999999999</v>
      </c>
      <c r="G71" s="29">
        <f t="shared" ref="G71:G84" si="14">SUM(C71:F71)</f>
        <v>9143.244999999999</v>
      </c>
      <c r="H71" s="27">
        <v>10008</v>
      </c>
      <c r="I71" s="28">
        <f t="shared" ref="I71:I84" si="15">H71-G71</f>
        <v>864.75500000000102</v>
      </c>
    </row>
    <row r="72" spans="1:22" ht="12.75" customHeight="1" x14ac:dyDescent="0.25">
      <c r="A72" s="50" t="s">
        <v>10</v>
      </c>
      <c r="B72" s="10"/>
      <c r="C72" s="29">
        <v>767</v>
      </c>
      <c r="D72" s="30">
        <v>489</v>
      </c>
      <c r="E72" s="22">
        <v>521</v>
      </c>
      <c r="F72" s="27">
        <v>455.505</v>
      </c>
      <c r="G72" s="29">
        <f t="shared" si="14"/>
        <v>2232.5050000000001</v>
      </c>
      <c r="H72" s="27">
        <v>1909</v>
      </c>
      <c r="I72" s="28">
        <f t="shared" si="15"/>
        <v>-323.50500000000011</v>
      </c>
    </row>
    <row r="73" spans="1:22" ht="12.75" customHeight="1" x14ac:dyDescent="0.25">
      <c r="A73" s="50" t="s">
        <v>11</v>
      </c>
      <c r="B73" s="10"/>
      <c r="C73" s="29">
        <v>1717</v>
      </c>
      <c r="D73" s="30">
        <v>545</v>
      </c>
      <c r="E73" s="22">
        <v>1117</v>
      </c>
      <c r="F73" s="27">
        <v>1418.8779999999999</v>
      </c>
      <c r="G73" s="29">
        <f t="shared" si="14"/>
        <v>4797.8779999999997</v>
      </c>
      <c r="H73" s="27">
        <v>5667</v>
      </c>
      <c r="I73" s="28">
        <f t="shared" si="15"/>
        <v>869.1220000000003</v>
      </c>
    </row>
    <row r="74" spans="1:22" ht="12.75" customHeight="1" x14ac:dyDescent="0.25">
      <c r="A74" s="50" t="s">
        <v>12</v>
      </c>
      <c r="B74" s="10"/>
      <c r="C74" s="29">
        <v>10540</v>
      </c>
      <c r="D74" s="30">
        <v>9102</v>
      </c>
      <c r="E74" s="22">
        <v>10346</v>
      </c>
      <c r="F74" s="27">
        <v>11344</v>
      </c>
      <c r="G74" s="29">
        <f t="shared" si="14"/>
        <v>41332</v>
      </c>
      <c r="H74" s="27">
        <v>40474</v>
      </c>
      <c r="I74" s="28">
        <f t="shared" si="15"/>
        <v>-858</v>
      </c>
    </row>
    <row r="75" spans="1:22" ht="12.75" customHeight="1" x14ac:dyDescent="0.25">
      <c r="A75" s="50" t="s">
        <v>13</v>
      </c>
      <c r="B75" s="10"/>
      <c r="C75" s="29">
        <v>936</v>
      </c>
      <c r="D75" s="30">
        <v>1180</v>
      </c>
      <c r="E75" s="22">
        <v>2035</v>
      </c>
      <c r="F75" s="27">
        <v>1144.0719999999999</v>
      </c>
      <c r="G75" s="29">
        <f t="shared" si="14"/>
        <v>5295.0720000000001</v>
      </c>
      <c r="H75" s="27">
        <v>4696</v>
      </c>
      <c r="I75" s="28">
        <f t="shared" si="15"/>
        <v>-599.07200000000012</v>
      </c>
    </row>
    <row r="76" spans="1:22" ht="12.75" customHeight="1" x14ac:dyDescent="0.25">
      <c r="A76" s="50" t="s">
        <v>14</v>
      </c>
      <c r="B76" s="10"/>
      <c r="C76" s="29">
        <v>2483</v>
      </c>
      <c r="D76" s="30">
        <v>3634</v>
      </c>
      <c r="E76" s="22">
        <v>4034</v>
      </c>
      <c r="F76" s="27">
        <v>3385.4639999999999</v>
      </c>
      <c r="G76" s="29">
        <f t="shared" si="14"/>
        <v>13536.464</v>
      </c>
      <c r="H76" s="27">
        <v>9967</v>
      </c>
      <c r="I76" s="28">
        <f t="shared" si="15"/>
        <v>-3569.4639999999999</v>
      </c>
    </row>
    <row r="77" spans="1:22" ht="12.75" customHeight="1" x14ac:dyDescent="0.25">
      <c r="A77" s="50" t="s">
        <v>15</v>
      </c>
      <c r="B77" s="10"/>
      <c r="C77" s="29">
        <v>10</v>
      </c>
      <c r="D77" s="30">
        <v>318</v>
      </c>
      <c r="E77" s="22">
        <v>571</v>
      </c>
      <c r="F77" s="27">
        <v>618.00900000000001</v>
      </c>
      <c r="G77" s="29">
        <f t="shared" si="14"/>
        <v>1517.009</v>
      </c>
      <c r="H77" s="27">
        <v>1572</v>
      </c>
      <c r="I77" s="28">
        <f t="shared" si="15"/>
        <v>54.990999999999985</v>
      </c>
    </row>
    <row r="78" spans="1:22" ht="12.75" customHeight="1" x14ac:dyDescent="0.25">
      <c r="A78" s="50" t="s">
        <v>16</v>
      </c>
      <c r="B78" s="10"/>
      <c r="C78" s="29">
        <v>357</v>
      </c>
      <c r="D78" s="30">
        <v>700</v>
      </c>
      <c r="E78" s="22">
        <v>511</v>
      </c>
      <c r="F78" s="27">
        <v>400.589</v>
      </c>
      <c r="G78" s="29">
        <f t="shared" si="14"/>
        <v>1968.5889999999999</v>
      </c>
      <c r="H78" s="41">
        <v>1986</v>
      </c>
      <c r="I78" s="28">
        <f t="shared" si="15"/>
        <v>17.411000000000058</v>
      </c>
    </row>
    <row r="79" spans="1:22" ht="12.75" customHeight="1" x14ac:dyDescent="0.25">
      <c r="A79" s="50" t="s">
        <v>17</v>
      </c>
      <c r="B79" s="10"/>
      <c r="C79" s="29">
        <v>200</v>
      </c>
      <c r="D79" s="30">
        <v>815</v>
      </c>
      <c r="E79" s="22">
        <v>395</v>
      </c>
      <c r="F79" s="27">
        <v>544.73099999999999</v>
      </c>
      <c r="G79" s="29">
        <f t="shared" si="14"/>
        <v>1954.731</v>
      </c>
      <c r="H79" s="27">
        <v>2200</v>
      </c>
      <c r="I79" s="28">
        <f t="shared" si="15"/>
        <v>245.26900000000001</v>
      </c>
    </row>
    <row r="80" spans="1:22" ht="12.75" customHeight="1" x14ac:dyDescent="0.25">
      <c r="A80" s="50" t="s">
        <v>18</v>
      </c>
      <c r="B80" s="10"/>
      <c r="C80" s="29">
        <v>189</v>
      </c>
      <c r="D80" s="30">
        <v>282</v>
      </c>
      <c r="E80" s="22">
        <v>813</v>
      </c>
      <c r="F80" s="27">
        <v>197.58199999999999</v>
      </c>
      <c r="G80" s="29">
        <f t="shared" si="14"/>
        <v>1481.5819999999999</v>
      </c>
      <c r="H80" s="27">
        <v>792</v>
      </c>
      <c r="I80" s="28">
        <f t="shared" si="15"/>
        <v>-689.58199999999988</v>
      </c>
    </row>
    <row r="81" spans="1:22" ht="12.75" customHeight="1" x14ac:dyDescent="0.25">
      <c r="A81" s="50" t="s">
        <v>19</v>
      </c>
      <c r="B81" s="10"/>
      <c r="C81" s="29">
        <v>471</v>
      </c>
      <c r="D81" s="30">
        <v>446</v>
      </c>
      <c r="E81" s="22">
        <v>356</v>
      </c>
      <c r="F81" s="27">
        <v>683.27099999999996</v>
      </c>
      <c r="G81" s="29">
        <f t="shared" si="14"/>
        <v>1956.271</v>
      </c>
      <c r="H81" s="27">
        <v>2702</v>
      </c>
      <c r="I81" s="28">
        <f t="shared" si="15"/>
        <v>745.72900000000004</v>
      </c>
    </row>
    <row r="82" spans="1:22" ht="12.75" customHeight="1" x14ac:dyDescent="0.25">
      <c r="A82" s="50" t="s">
        <v>20</v>
      </c>
      <c r="B82" s="10"/>
      <c r="C82" s="29">
        <v>1119</v>
      </c>
      <c r="D82" s="30">
        <v>1029</v>
      </c>
      <c r="E82" s="22">
        <v>1038</v>
      </c>
      <c r="F82" s="27">
        <v>4169</v>
      </c>
      <c r="G82" s="29">
        <f t="shared" si="14"/>
        <v>7355</v>
      </c>
      <c r="H82" s="27">
        <v>5676</v>
      </c>
      <c r="I82" s="28">
        <f t="shared" si="15"/>
        <v>-1679</v>
      </c>
    </row>
    <row r="83" spans="1:22" ht="12.75" customHeight="1" x14ac:dyDescent="0.25">
      <c r="A83" s="50" t="s">
        <v>54</v>
      </c>
      <c r="B83" s="10"/>
      <c r="C83" s="29">
        <v>26414</v>
      </c>
      <c r="D83" s="30">
        <v>35596</v>
      </c>
      <c r="E83" s="22">
        <v>34927</v>
      </c>
      <c r="F83" s="27">
        <v>22613.004000000001</v>
      </c>
      <c r="G83" s="29">
        <f t="shared" si="14"/>
        <v>119550.004</v>
      </c>
      <c r="H83" s="27">
        <v>91376</v>
      </c>
      <c r="I83" s="28">
        <f t="shared" si="15"/>
        <v>-28174.004000000001</v>
      </c>
    </row>
    <row r="84" spans="1:22" ht="12.75" customHeight="1" thickBot="1" x14ac:dyDescent="0.3">
      <c r="A84" s="50" t="s">
        <v>21</v>
      </c>
      <c r="B84" s="10"/>
      <c r="C84" s="29">
        <v>48754</v>
      </c>
      <c r="D84" s="30">
        <v>43375</v>
      </c>
      <c r="E84" s="22">
        <v>47504</v>
      </c>
      <c r="F84" s="27">
        <v>48547</v>
      </c>
      <c r="G84" s="31">
        <f t="shared" si="14"/>
        <v>188180</v>
      </c>
      <c r="H84" s="95">
        <v>186341</v>
      </c>
      <c r="I84" s="96">
        <f t="shared" si="15"/>
        <v>-1839</v>
      </c>
    </row>
    <row r="85" spans="1:22" s="48" customFormat="1" ht="12.75" customHeight="1" thickBot="1" x14ac:dyDescent="0.25">
      <c r="A85" s="33" t="s">
        <v>22</v>
      </c>
      <c r="B85" s="34"/>
      <c r="C85" s="35">
        <f t="shared" ref="C85:I85" si="16">SUM(C71:C84)</f>
        <v>96076</v>
      </c>
      <c r="D85" s="36">
        <f t="shared" si="16"/>
        <v>99929</v>
      </c>
      <c r="E85" s="36">
        <f t="shared" si="16"/>
        <v>106400</v>
      </c>
      <c r="F85" s="37">
        <f t="shared" si="16"/>
        <v>97895.35</v>
      </c>
      <c r="G85" s="88">
        <f t="shared" si="16"/>
        <v>400300.35</v>
      </c>
      <c r="H85" s="90">
        <f t="shared" si="16"/>
        <v>365366</v>
      </c>
      <c r="I85" s="91">
        <f t="shared" si="16"/>
        <v>-34934.35</v>
      </c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</row>
    <row r="86" spans="1:22" s="58" customFormat="1" ht="12.75" customHeight="1" x14ac:dyDescent="0.25">
      <c r="A86" s="57" t="str">
        <f>'[1]QTD Mgmt Summary'!A83</f>
        <v>Prepay Expenses</v>
      </c>
      <c r="B86" s="10"/>
      <c r="C86" s="29">
        <v>14566</v>
      </c>
      <c r="D86" s="30">
        <v>14204</v>
      </c>
      <c r="E86" s="22">
        <v>28202</v>
      </c>
      <c r="F86" s="27">
        <v>38127</v>
      </c>
      <c r="G86" s="29">
        <f>SUM(C86:F86)</f>
        <v>95099</v>
      </c>
      <c r="H86" s="30">
        <v>149780</v>
      </c>
      <c r="I86" s="28">
        <f>H86-G86</f>
        <v>54681</v>
      </c>
    </row>
    <row r="87" spans="1:22" s="58" customFormat="1" ht="12.75" customHeight="1" x14ac:dyDescent="0.25">
      <c r="A87" s="57" t="str">
        <f>'[1]QTD Mgmt Summary'!A84</f>
        <v>U.S. Drift</v>
      </c>
      <c r="B87" s="10"/>
      <c r="C87" s="51">
        <v>1742</v>
      </c>
      <c r="D87" s="30">
        <v>570</v>
      </c>
      <c r="E87" s="22">
        <v>600</v>
      </c>
      <c r="F87" s="27">
        <v>600</v>
      </c>
      <c r="G87" s="29">
        <f>SUM(C87:F87)</f>
        <v>3512</v>
      </c>
      <c r="H87" s="30">
        <v>4693</v>
      </c>
      <c r="I87" s="28">
        <f>H87-G87</f>
        <v>1181</v>
      </c>
    </row>
    <row r="88" spans="1:22" s="58" customFormat="1" ht="12.75" customHeight="1" x14ac:dyDescent="0.25">
      <c r="A88" s="57" t="str">
        <f>'[1]QTD Mgmt Summary'!A85</f>
        <v>Facility Costs</v>
      </c>
      <c r="B88" s="10"/>
      <c r="C88" s="29">
        <v>0</v>
      </c>
      <c r="D88" s="30">
        <v>14</v>
      </c>
      <c r="E88" s="22">
        <v>19</v>
      </c>
      <c r="F88" s="27">
        <v>0</v>
      </c>
      <c r="G88" s="29">
        <f>SUM(C88:F88)</f>
        <v>33</v>
      </c>
      <c r="H88" s="30">
        <v>0</v>
      </c>
      <c r="I88" s="28">
        <f>H88-G88</f>
        <v>-33</v>
      </c>
    </row>
    <row r="89" spans="1:22" ht="12.75" customHeight="1" thickBot="1" x14ac:dyDescent="0.3">
      <c r="A89" s="57" t="str">
        <f>'[1]QTD Mgmt Summary'!A86</f>
        <v>Capital Charge Offset</v>
      </c>
      <c r="B89" s="10"/>
      <c r="C89" s="29"/>
      <c r="D89" s="30">
        <v>0</v>
      </c>
      <c r="E89" s="22">
        <v>0</v>
      </c>
      <c r="F89" s="27">
        <v>0</v>
      </c>
      <c r="G89" s="26">
        <f>SUM(C89:F89)</f>
        <v>0</v>
      </c>
      <c r="H89" s="27">
        <v>0</v>
      </c>
      <c r="I89" s="28">
        <f>H89-G89</f>
        <v>0</v>
      </c>
    </row>
    <row r="90" spans="1:22" s="48" customFormat="1" ht="12.75" customHeight="1" thickBot="1" x14ac:dyDescent="0.25">
      <c r="A90" s="33" t="s">
        <v>47</v>
      </c>
      <c r="B90" s="131"/>
      <c r="C90" s="35">
        <f>C69+C85+C86+C87+C88+C89</f>
        <v>413362</v>
      </c>
      <c r="D90" s="36">
        <f>D69+D85+D86+D87+D88+D89</f>
        <v>166959</v>
      </c>
      <c r="E90" s="36">
        <f>E69+E85+E86+E87+E88+E89</f>
        <v>197244</v>
      </c>
      <c r="F90" s="47">
        <f>F69+F85+F86+F87+F88+F89</f>
        <v>196522.35</v>
      </c>
      <c r="G90" s="36">
        <f>G69+G85+G86+G87+G88+G89</f>
        <v>974087.35</v>
      </c>
      <c r="H90" s="36">
        <f>SUM(H86:H89)+H85+H69</f>
        <v>830135</v>
      </c>
      <c r="I90" s="47">
        <f>G90-H90</f>
        <v>143952.34999999998</v>
      </c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</row>
    <row r="91" spans="1:22" s="48" customFormat="1" ht="12.75" customHeight="1" thickBot="1" x14ac:dyDescent="0.25">
      <c r="A91" s="132"/>
      <c r="B91" s="133"/>
      <c r="C91" s="124"/>
      <c r="D91" s="125"/>
      <c r="E91" s="125"/>
      <c r="F91" s="126"/>
      <c r="G91" s="125"/>
      <c r="H91" s="125"/>
      <c r="I91" s="126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</row>
    <row r="92" spans="1:22" s="48" customFormat="1" ht="12.75" customHeight="1" thickBot="1" x14ac:dyDescent="0.25">
      <c r="A92" s="33" t="s">
        <v>48</v>
      </c>
      <c r="B92" s="131"/>
      <c r="C92" s="35">
        <v>18167</v>
      </c>
      <c r="D92" s="36">
        <v>8068</v>
      </c>
      <c r="E92" s="36">
        <v>0</v>
      </c>
      <c r="F92" s="47">
        <v>0</v>
      </c>
      <c r="G92" s="36">
        <f>SUM(C92:F92)</f>
        <v>26235</v>
      </c>
      <c r="H92" s="36">
        <v>17518</v>
      </c>
      <c r="I92" s="47">
        <f>G92-H92</f>
        <v>8717</v>
      </c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</row>
    <row r="93" spans="1:22" s="48" customFormat="1" ht="12.75" customHeight="1" thickBot="1" x14ac:dyDescent="0.25">
      <c r="A93" s="132"/>
      <c r="B93" s="133"/>
      <c r="C93" s="124"/>
      <c r="D93" s="125"/>
      <c r="E93" s="125"/>
      <c r="F93" s="126"/>
      <c r="G93" s="125"/>
      <c r="H93" s="125"/>
      <c r="I93" s="126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</row>
    <row r="94" spans="1:22" s="48" customFormat="1" ht="12.75" customHeight="1" thickBot="1" x14ac:dyDescent="0.25">
      <c r="A94" s="33" t="s">
        <v>49</v>
      </c>
      <c r="B94" s="130"/>
      <c r="C94" s="35">
        <f>C90+C92</f>
        <v>431529</v>
      </c>
      <c r="D94" s="36">
        <f t="shared" ref="D94:I94" si="17">D90+D92</f>
        <v>175027</v>
      </c>
      <c r="E94" s="36">
        <f t="shared" si="17"/>
        <v>197244</v>
      </c>
      <c r="F94" s="47">
        <f t="shared" si="17"/>
        <v>196522.35</v>
      </c>
      <c r="G94" s="35">
        <f t="shared" si="17"/>
        <v>1000322.35</v>
      </c>
      <c r="H94" s="36">
        <f t="shared" si="17"/>
        <v>847653</v>
      </c>
      <c r="I94" s="47">
        <f t="shared" si="17"/>
        <v>152669.34999999998</v>
      </c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</row>
    <row r="95" spans="1:22" s="48" customFormat="1" ht="12.75" hidden="1" customHeight="1" thickBot="1" x14ac:dyDescent="0.25">
      <c r="A95" s="122"/>
      <c r="B95" s="123"/>
      <c r="C95" s="127"/>
      <c r="D95" s="128"/>
      <c r="E95" s="128"/>
      <c r="F95" s="129"/>
      <c r="G95" s="128"/>
      <c r="H95" s="128"/>
      <c r="I95" s="129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</row>
    <row r="96" spans="1:22" ht="5.25" hidden="1" customHeight="1" x14ac:dyDescent="0.25">
      <c r="A96" s="59"/>
      <c r="B96" s="74"/>
      <c r="C96" s="75"/>
      <c r="D96" s="76"/>
      <c r="E96" s="77"/>
      <c r="F96" s="79"/>
      <c r="G96" s="78"/>
      <c r="H96" s="78"/>
      <c r="I96" s="79"/>
    </row>
    <row r="97" spans="1:10" ht="13.5" hidden="1" thickBot="1" x14ac:dyDescent="0.3">
      <c r="A97" s="50" t="s">
        <v>27</v>
      </c>
      <c r="B97" s="74"/>
      <c r="C97" s="23">
        <v>52888</v>
      </c>
      <c r="D97" s="22">
        <v>6671</v>
      </c>
      <c r="E97" s="22">
        <v>28772</v>
      </c>
      <c r="F97" s="24">
        <v>25828</v>
      </c>
      <c r="G97" s="81">
        <f>SUM(C97:F97)</f>
        <v>114159</v>
      </c>
      <c r="H97" s="30">
        <v>108384</v>
      </c>
      <c r="I97" s="28">
        <f>H97-G97</f>
        <v>-5775</v>
      </c>
      <c r="J97" s="60"/>
    </row>
    <row r="98" spans="1:10" ht="14.25" hidden="1" thickBot="1" x14ac:dyDescent="0.3">
      <c r="A98" s="33" t="s">
        <v>28</v>
      </c>
      <c r="B98" s="74"/>
      <c r="C98" s="82">
        <f t="shared" ref="C98:I98" si="18">C90+C97</f>
        <v>466250</v>
      </c>
      <c r="D98" s="83">
        <f t="shared" si="18"/>
        <v>173630</v>
      </c>
      <c r="E98" s="83">
        <f t="shared" si="18"/>
        <v>226016</v>
      </c>
      <c r="F98" s="84">
        <f t="shared" si="18"/>
        <v>222350.35</v>
      </c>
      <c r="G98" s="85">
        <f t="shared" si="18"/>
        <v>1088246.3500000001</v>
      </c>
      <c r="H98" s="85">
        <f t="shared" si="18"/>
        <v>938519</v>
      </c>
      <c r="I98" s="86">
        <f t="shared" si="18"/>
        <v>138177.34999999998</v>
      </c>
      <c r="J98" s="60"/>
    </row>
    <row r="102" spans="1:10" x14ac:dyDescent="0.25">
      <c r="A102" s="15" t="s">
        <v>24</v>
      </c>
    </row>
  </sheetData>
  <mergeCells count="7">
    <mergeCell ref="A2:I2"/>
    <mergeCell ref="A3:I3"/>
    <mergeCell ref="A4:I4"/>
    <mergeCell ref="C7:F8"/>
    <mergeCell ref="G7:I8"/>
    <mergeCell ref="A7:A8"/>
    <mergeCell ref="A5:I5"/>
  </mergeCells>
  <phoneticPr fontId="0" type="noConversion"/>
  <printOptions horizontalCentered="1"/>
  <pageMargins left="0.25" right="0.25" top="0.2" bottom="0.16" header="0.17" footer="0.18"/>
  <pageSetup paperSize="5" scale="81" orientation="portrait" r:id="rId1"/>
  <headerFooter alignWithMargins="0">
    <oddFooter>&amp;L&amp;D&amp;T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6"/>
  <sheetViews>
    <sheetView workbookViewId="0">
      <pane ySplit="9" topLeftCell="A10" activePane="bottomLeft" state="frozen"/>
      <selection activeCell="A6" sqref="A6"/>
      <selection pane="bottomLeft" activeCell="A6" sqref="A6"/>
    </sheetView>
  </sheetViews>
  <sheetFormatPr defaultRowHeight="12.75" x14ac:dyDescent="0.25"/>
  <cols>
    <col min="1" max="1" width="29" style="15" customWidth="1"/>
    <col min="2" max="2" width="0.85546875" style="15" customWidth="1"/>
    <col min="3" max="3" width="8.7109375" style="64" customWidth="1"/>
    <col min="4" max="4" width="8.7109375" style="15" customWidth="1"/>
    <col min="5" max="5" width="8.5703125" style="15" customWidth="1"/>
    <col min="6" max="6" width="9.28515625" style="60" customWidth="1"/>
    <col min="7" max="8" width="8.7109375" style="60" customWidth="1"/>
    <col min="9" max="9" width="8.85546875" style="60" customWidth="1"/>
    <col min="10" max="10" width="0.85546875" style="15" customWidth="1"/>
    <col min="11" max="11" width="8.7109375" style="15" customWidth="1"/>
    <col min="12" max="15" width="7.7109375" style="15" customWidth="1"/>
    <col min="16" max="17" width="8.7109375" style="15" customWidth="1"/>
    <col min="18" max="18" width="0.85546875" style="15" customWidth="1"/>
    <col min="19" max="16384" width="9.140625" style="15"/>
  </cols>
  <sheetData>
    <row r="1" spans="1:22" s="3" customFormat="1" ht="9.9499999999999993" customHeight="1" x14ac:dyDescent="0.25">
      <c r="A1"/>
      <c r="B1"/>
      <c r="C1" s="67"/>
      <c r="D1"/>
      <c r="E1"/>
      <c r="F1" s="1"/>
      <c r="G1" s="1"/>
      <c r="H1" s="1"/>
      <c r="I1" s="1"/>
      <c r="J1"/>
      <c r="K1" s="68"/>
      <c r="L1" s="68"/>
      <c r="M1" s="68"/>
      <c r="N1" s="68"/>
      <c r="O1" s="68"/>
      <c r="P1" s="68"/>
      <c r="Q1" s="68"/>
      <c r="R1" s="69"/>
    </row>
    <row r="2" spans="1:22" s="5" customFormat="1" ht="29.25" customHeight="1" x14ac:dyDescent="0.4">
      <c r="A2" s="136" t="s">
        <v>0</v>
      </c>
      <c r="B2" s="136"/>
      <c r="C2" s="136"/>
      <c r="D2" s="136"/>
      <c r="E2" s="136"/>
      <c r="F2" s="136"/>
      <c r="G2" s="136"/>
      <c r="H2" s="136"/>
      <c r="I2" s="136"/>
      <c r="J2" s="4"/>
      <c r="K2" s="98"/>
      <c r="L2" s="98"/>
      <c r="M2" s="98"/>
      <c r="N2" s="98"/>
      <c r="O2" s="98"/>
      <c r="P2" s="98"/>
      <c r="R2" s="71"/>
    </row>
    <row r="3" spans="1:22" s="3" customFormat="1" ht="15.75" customHeight="1" x14ac:dyDescent="0.3">
      <c r="A3" s="137" t="s">
        <v>38</v>
      </c>
      <c r="B3" s="137"/>
      <c r="C3" s="137"/>
      <c r="D3" s="137"/>
      <c r="E3" s="137"/>
      <c r="F3" s="137"/>
      <c r="G3" s="137"/>
      <c r="H3" s="137"/>
      <c r="I3" s="137"/>
      <c r="J3"/>
      <c r="K3" s="68"/>
      <c r="L3" s="68"/>
      <c r="M3" s="68"/>
      <c r="N3" s="68"/>
      <c r="O3" s="68"/>
      <c r="P3" s="68"/>
      <c r="R3" s="71"/>
    </row>
    <row r="4" spans="1:22" s="3" customFormat="1" ht="15.75" customHeight="1" x14ac:dyDescent="0.3">
      <c r="A4" s="137" t="s">
        <v>25</v>
      </c>
      <c r="B4" s="137"/>
      <c r="C4" s="137"/>
      <c r="D4" s="137"/>
      <c r="E4" s="137"/>
      <c r="F4" s="137"/>
      <c r="G4" s="137"/>
      <c r="H4" s="137"/>
      <c r="I4" s="137"/>
      <c r="J4"/>
      <c r="K4" s="68"/>
      <c r="L4" s="68"/>
      <c r="M4" s="68"/>
      <c r="N4" s="68"/>
      <c r="O4" s="68"/>
      <c r="P4" s="68"/>
      <c r="R4" s="71"/>
    </row>
    <row r="5" spans="1:22" s="3" customFormat="1" ht="15.75" customHeight="1" x14ac:dyDescent="0.3">
      <c r="A5" s="137" t="s">
        <v>55</v>
      </c>
      <c r="B5" s="137"/>
      <c r="C5" s="137"/>
      <c r="D5" s="137"/>
      <c r="E5" s="137"/>
      <c r="F5" s="137"/>
      <c r="G5" s="137"/>
      <c r="H5" s="137"/>
      <c r="I5" s="137"/>
      <c r="J5"/>
      <c r="K5" s="68"/>
      <c r="L5" s="68"/>
      <c r="M5" s="68"/>
      <c r="N5" s="68"/>
      <c r="O5" s="68"/>
      <c r="P5" s="68"/>
      <c r="R5" s="71"/>
    </row>
    <row r="6" spans="1:22" s="3" customFormat="1" ht="15" customHeight="1" thickBot="1" x14ac:dyDescent="0.3">
      <c r="A6"/>
      <c r="B6"/>
      <c r="C6" s="67"/>
      <c r="D6"/>
      <c r="E6"/>
      <c r="F6" s="1"/>
      <c r="G6" s="1"/>
      <c r="H6" s="1"/>
      <c r="I6" s="1"/>
      <c r="J6"/>
      <c r="K6" s="68"/>
      <c r="L6" s="68"/>
      <c r="M6" s="68"/>
      <c r="N6" s="68"/>
      <c r="O6" s="68"/>
      <c r="P6" s="68"/>
      <c r="Q6" s="68"/>
      <c r="R6" s="73"/>
    </row>
    <row r="7" spans="1:22" s="9" customFormat="1" ht="15" customHeight="1" x14ac:dyDescent="0.25">
      <c r="A7" s="150" t="s">
        <v>2</v>
      </c>
      <c r="B7" s="8"/>
      <c r="C7" s="138" t="s">
        <v>32</v>
      </c>
      <c r="D7" s="139"/>
      <c r="E7" s="139"/>
      <c r="F7" s="140"/>
      <c r="G7" s="144" t="s">
        <v>26</v>
      </c>
      <c r="H7" s="145"/>
      <c r="I7" s="146"/>
    </row>
    <row r="8" spans="1:22" s="9" customFormat="1" ht="3" customHeight="1" x14ac:dyDescent="0.25">
      <c r="A8" s="151"/>
      <c r="B8" s="10"/>
      <c r="C8" s="141"/>
      <c r="D8" s="142"/>
      <c r="E8" s="142"/>
      <c r="F8" s="143"/>
      <c r="G8" s="147"/>
      <c r="H8" s="148"/>
      <c r="I8" s="149"/>
    </row>
    <row r="9" spans="1:22" ht="46.5" customHeight="1" thickBot="1" x14ac:dyDescent="0.3">
      <c r="A9" s="11"/>
      <c r="B9" s="12"/>
      <c r="C9" s="62" t="s">
        <v>56</v>
      </c>
      <c r="D9" s="13" t="s">
        <v>57</v>
      </c>
      <c r="E9" s="65" t="s">
        <v>58</v>
      </c>
      <c r="F9" s="109" t="s">
        <v>59</v>
      </c>
      <c r="G9" s="97" t="s">
        <v>33</v>
      </c>
      <c r="H9" s="109" t="s">
        <v>34</v>
      </c>
      <c r="I9" s="14" t="s">
        <v>3</v>
      </c>
    </row>
    <row r="10" spans="1:22" s="21" customFormat="1" ht="12.75" customHeight="1" x14ac:dyDescent="0.25">
      <c r="A10" s="16" t="str">
        <f>'[1]QTD Mgmt Summary'!A9</f>
        <v>Northeast Trading (Davis)</v>
      </c>
      <c r="B10" s="17"/>
      <c r="C10" s="19">
        <v>0</v>
      </c>
      <c r="D10" s="19">
        <v>0</v>
      </c>
      <c r="E10" s="19">
        <v>0</v>
      </c>
      <c r="F10" s="19">
        <v>0</v>
      </c>
      <c r="G10" s="18">
        <f t="shared" ref="G10:G23" si="0">SUM(C10:F10)</f>
        <v>0</v>
      </c>
      <c r="H10" s="99">
        <v>0</v>
      </c>
      <c r="I10" s="20">
        <f t="shared" ref="I10:I23" si="1">H10-G10</f>
        <v>0</v>
      </c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</row>
    <row r="11" spans="1:22" s="21" customFormat="1" ht="12.75" customHeight="1" x14ac:dyDescent="0.25">
      <c r="A11" s="16" t="str">
        <f>'[1]QTD Mgmt Summary'!A10</f>
        <v>Northeast Origination (Llodra)</v>
      </c>
      <c r="B11" s="17"/>
      <c r="C11" s="22">
        <v>0</v>
      </c>
      <c r="D11" s="22">
        <v>0</v>
      </c>
      <c r="E11" s="22">
        <v>0</v>
      </c>
      <c r="F11" s="22">
        <v>0</v>
      </c>
      <c r="G11" s="23">
        <f t="shared" si="0"/>
        <v>0</v>
      </c>
      <c r="H11" s="99">
        <v>0</v>
      </c>
      <c r="I11" s="24">
        <f t="shared" si="1"/>
        <v>0</v>
      </c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</row>
    <row r="12" spans="1:22" ht="12.75" customHeight="1" x14ac:dyDescent="0.25">
      <c r="A12" s="16" t="str">
        <f>'[1]QTD Mgmt Summary'!A11</f>
        <v>Midwest Trading (Sturm)</v>
      </c>
      <c r="B12" s="25"/>
      <c r="C12" s="22">
        <v>0</v>
      </c>
      <c r="D12" s="22">
        <v>0</v>
      </c>
      <c r="E12" s="22">
        <v>0</v>
      </c>
      <c r="F12" s="27">
        <v>0</v>
      </c>
      <c r="G12" s="29">
        <f t="shared" si="0"/>
        <v>0</v>
      </c>
      <c r="H12" s="99">
        <v>0</v>
      </c>
      <c r="I12" s="24">
        <f t="shared" si="1"/>
        <v>0</v>
      </c>
    </row>
    <row r="13" spans="1:22" ht="12.75" customHeight="1" x14ac:dyDescent="0.25">
      <c r="A13" s="16" t="str">
        <f>'[1]QTD Mgmt Summary'!A12</f>
        <v>Midwest Origination (Baughman)</v>
      </c>
      <c r="B13" s="25"/>
      <c r="C13" s="22">
        <v>0</v>
      </c>
      <c r="D13" s="22">
        <v>0</v>
      </c>
      <c r="E13" s="22">
        <v>0</v>
      </c>
      <c r="F13" s="27">
        <v>0</v>
      </c>
      <c r="G13" s="29">
        <f t="shared" si="0"/>
        <v>0</v>
      </c>
      <c r="H13" s="99">
        <v>0</v>
      </c>
      <c r="I13" s="24">
        <f t="shared" si="1"/>
        <v>0</v>
      </c>
    </row>
    <row r="14" spans="1:22" ht="12.75" customHeight="1" x14ac:dyDescent="0.25">
      <c r="A14" s="16" t="str">
        <f>'[1]QTD Mgmt Summary'!A13</f>
        <v xml:space="preserve">Southeast Trading (Carson) </v>
      </c>
      <c r="B14" s="25"/>
      <c r="C14" s="22">
        <v>0</v>
      </c>
      <c r="D14" s="22">
        <v>0</v>
      </c>
      <c r="E14" s="22">
        <v>126.911</v>
      </c>
      <c r="F14" s="27">
        <v>0</v>
      </c>
      <c r="G14" s="29">
        <f t="shared" si="0"/>
        <v>126.911</v>
      </c>
      <c r="H14" s="99">
        <v>0</v>
      </c>
      <c r="I14" s="24">
        <f t="shared" si="1"/>
        <v>-126.911</v>
      </c>
    </row>
    <row r="15" spans="1:22" ht="12.75" customHeight="1" x14ac:dyDescent="0.25">
      <c r="A15" s="16" t="str">
        <f>'[1]QTD Mgmt Summary'!A14</f>
        <v xml:space="preserve">Southeast Orig (Kroll) </v>
      </c>
      <c r="B15" s="25"/>
      <c r="C15" s="22">
        <v>11</v>
      </c>
      <c r="D15" s="22">
        <v>75</v>
      </c>
      <c r="E15" s="22">
        <v>0</v>
      </c>
      <c r="F15" s="27">
        <v>0</v>
      </c>
      <c r="G15" s="29">
        <f t="shared" si="0"/>
        <v>86</v>
      </c>
      <c r="H15" s="99">
        <v>0</v>
      </c>
      <c r="I15" s="24">
        <f t="shared" si="1"/>
        <v>-86</v>
      </c>
    </row>
    <row r="16" spans="1:22" ht="12.75" customHeight="1" x14ac:dyDescent="0.25">
      <c r="A16" s="16" t="str">
        <f>'[1]QTD Mgmt Summary'!A15</f>
        <v>ERCOT Trading (Curry)</v>
      </c>
      <c r="B16" s="25"/>
      <c r="C16" s="22">
        <v>0</v>
      </c>
      <c r="D16" s="22">
        <v>0</v>
      </c>
      <c r="E16" s="22">
        <v>0</v>
      </c>
      <c r="F16" s="27">
        <v>0</v>
      </c>
      <c r="G16" s="29">
        <f t="shared" si="0"/>
        <v>0</v>
      </c>
      <c r="H16" s="99">
        <v>0</v>
      </c>
      <c r="I16" s="24">
        <f t="shared" si="1"/>
        <v>0</v>
      </c>
    </row>
    <row r="17" spans="1:22" ht="12.75" customHeight="1" x14ac:dyDescent="0.25">
      <c r="A17" s="16" t="str">
        <f>'[1]QTD Mgmt Summary'!A16</f>
        <v>ERCOT Orig (Curry/Smith)</v>
      </c>
      <c r="B17" s="25"/>
      <c r="C17" s="22">
        <v>0</v>
      </c>
      <c r="D17" s="22">
        <v>0</v>
      </c>
      <c r="E17" s="22">
        <v>0</v>
      </c>
      <c r="F17" s="27">
        <v>0</v>
      </c>
      <c r="G17" s="29">
        <f t="shared" si="0"/>
        <v>0</v>
      </c>
      <c r="H17" s="99">
        <v>0</v>
      </c>
      <c r="I17" s="24">
        <f t="shared" si="1"/>
        <v>0</v>
      </c>
    </row>
    <row r="18" spans="1:22" ht="12.75" customHeight="1" x14ac:dyDescent="0.25">
      <c r="A18" s="16" t="str">
        <f>'[1]QTD Mgmt Summary'!A17</f>
        <v>Options (Arora)</v>
      </c>
      <c r="B18" s="25"/>
      <c r="C18" s="22">
        <v>0</v>
      </c>
      <c r="D18" s="22">
        <v>0</v>
      </c>
      <c r="E18" s="22">
        <v>0</v>
      </c>
      <c r="F18" s="27">
        <v>0</v>
      </c>
      <c r="G18" s="29">
        <f t="shared" si="0"/>
        <v>0</v>
      </c>
      <c r="H18" s="99">
        <v>0</v>
      </c>
      <c r="I18" s="24">
        <f t="shared" si="1"/>
        <v>0</v>
      </c>
    </row>
    <row r="19" spans="1:22" ht="12.75" customHeight="1" x14ac:dyDescent="0.25">
      <c r="A19" s="16" t="str">
        <f>'[1]QTD Mgmt Summary'!A18</f>
        <v>Management  Book (Presto)</v>
      </c>
      <c r="B19" s="25"/>
      <c r="C19" s="22">
        <v>0</v>
      </c>
      <c r="D19" s="22">
        <v>0</v>
      </c>
      <c r="E19" s="22">
        <v>0</v>
      </c>
      <c r="F19" s="27">
        <v>0</v>
      </c>
      <c r="G19" s="29">
        <f t="shared" si="0"/>
        <v>0</v>
      </c>
      <c r="H19" s="99">
        <v>0</v>
      </c>
      <c r="I19" s="24">
        <f t="shared" si="1"/>
        <v>0</v>
      </c>
    </row>
    <row r="20" spans="1:22" ht="12.75" customHeight="1" x14ac:dyDescent="0.25">
      <c r="A20" s="16" t="str">
        <f>'[1]QTD Mgmt Summary'!A19</f>
        <v>Services (Will)</v>
      </c>
      <c r="B20" s="25"/>
      <c r="C20" s="22">
        <v>0</v>
      </c>
      <c r="D20" s="22">
        <v>0</v>
      </c>
      <c r="E20" s="22">
        <v>0</v>
      </c>
      <c r="F20" s="27">
        <v>0</v>
      </c>
      <c r="G20" s="29">
        <f t="shared" si="0"/>
        <v>0</v>
      </c>
      <c r="H20" s="99">
        <v>0</v>
      </c>
      <c r="I20" s="24">
        <f t="shared" si="1"/>
        <v>0</v>
      </c>
    </row>
    <row r="21" spans="1:22" ht="12.75" customHeight="1" x14ac:dyDescent="0.25">
      <c r="A21" s="16" t="str">
        <f>'[1]QTD Mgmt Summary'!A20</f>
        <v>Development (Jacoby)</v>
      </c>
      <c r="B21" s="25"/>
      <c r="C21" s="22">
        <v>0</v>
      </c>
      <c r="D21" s="22">
        <v>290</v>
      </c>
      <c r="E21" s="22">
        <v>249.27500000000001</v>
      </c>
      <c r="F21" s="27">
        <v>405</v>
      </c>
      <c r="G21" s="29">
        <f t="shared" si="0"/>
        <v>944.27499999999998</v>
      </c>
      <c r="H21" s="99">
        <v>989</v>
      </c>
      <c r="I21" s="24">
        <f t="shared" si="1"/>
        <v>44.725000000000023</v>
      </c>
    </row>
    <row r="22" spans="1:22" ht="12.75" customHeight="1" x14ac:dyDescent="0.25">
      <c r="A22" s="16" t="str">
        <f>'[1]QTD Mgmt Summary'!A21</f>
        <v>Generation Investments (Duran)</v>
      </c>
      <c r="B22" s="25"/>
      <c r="C22" s="22">
        <v>19621</v>
      </c>
      <c r="D22" s="22">
        <v>12169</v>
      </c>
      <c r="E22" s="22">
        <v>16601</v>
      </c>
      <c r="F22" s="27">
        <v>16314</v>
      </c>
      <c r="G22" s="29">
        <f t="shared" si="0"/>
        <v>64705</v>
      </c>
      <c r="H22" s="99">
        <v>63784</v>
      </c>
      <c r="I22" s="24">
        <f t="shared" si="1"/>
        <v>-921</v>
      </c>
    </row>
    <row r="23" spans="1:22" ht="12.75" customHeight="1" thickBot="1" x14ac:dyDescent="0.3">
      <c r="A23" s="16" t="str">
        <f>'[1]QTD Mgmt Summary'!A22</f>
        <v>Structuring/Fundamentals (Meyn/Will)</v>
      </c>
      <c r="B23" s="25"/>
      <c r="C23" s="22">
        <v>0</v>
      </c>
      <c r="D23" s="22">
        <v>0</v>
      </c>
      <c r="E23" s="22">
        <v>0</v>
      </c>
      <c r="F23" s="27">
        <v>0</v>
      </c>
      <c r="G23" s="31">
        <f t="shared" si="0"/>
        <v>0</v>
      </c>
      <c r="H23" s="102">
        <v>0</v>
      </c>
      <c r="I23" s="24">
        <f t="shared" si="1"/>
        <v>0</v>
      </c>
    </row>
    <row r="24" spans="1:22" s="40" customFormat="1" ht="12.75" customHeight="1" thickBot="1" x14ac:dyDescent="0.3">
      <c r="A24" s="33" t="s">
        <v>4</v>
      </c>
      <c r="B24" s="34"/>
      <c r="C24" s="35">
        <f t="shared" ref="C24:I24" si="2">SUM(C10:C23)</f>
        <v>19632</v>
      </c>
      <c r="D24" s="36">
        <f t="shared" si="2"/>
        <v>12534</v>
      </c>
      <c r="E24" s="36">
        <f t="shared" si="2"/>
        <v>16977.186000000002</v>
      </c>
      <c r="F24" s="37">
        <f t="shared" si="2"/>
        <v>16719</v>
      </c>
      <c r="G24" s="39">
        <f t="shared" si="2"/>
        <v>65862.186000000002</v>
      </c>
      <c r="H24" s="37">
        <f t="shared" si="2"/>
        <v>64773</v>
      </c>
      <c r="I24" s="38">
        <f t="shared" si="2"/>
        <v>-1089.1859999999999</v>
      </c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</row>
    <row r="25" spans="1:22" ht="12.75" customHeight="1" x14ac:dyDescent="0.25">
      <c r="A25" s="16" t="str">
        <f>'[1]QTD Mgmt Summary'!A24</f>
        <v>Trading (Belden)</v>
      </c>
      <c r="B25" s="10"/>
      <c r="C25" s="23">
        <v>0</v>
      </c>
      <c r="D25" s="27">
        <v>0</v>
      </c>
      <c r="E25" s="22">
        <v>0</v>
      </c>
      <c r="F25" s="27">
        <v>0</v>
      </c>
      <c r="G25" s="26">
        <f t="shared" ref="G25:G31" si="3">SUM(C25:F25)</f>
        <v>0</v>
      </c>
      <c r="H25" s="99">
        <v>0</v>
      </c>
      <c r="I25" s="28">
        <f t="shared" ref="I25:I31" si="4">H25-G25</f>
        <v>0</v>
      </c>
    </row>
    <row r="26" spans="1:22" ht="12.75" customHeight="1" x14ac:dyDescent="0.25">
      <c r="A26" s="16" t="str">
        <f>'[1]QTD Mgmt Summary'!A25</f>
        <v>Services (Foster/Wolfe)</v>
      </c>
      <c r="B26" s="10"/>
      <c r="C26" s="23">
        <v>0</v>
      </c>
      <c r="D26" s="27">
        <v>0</v>
      </c>
      <c r="E26" s="22">
        <v>0</v>
      </c>
      <c r="F26" s="27">
        <v>0</v>
      </c>
      <c r="G26" s="26">
        <f t="shared" si="3"/>
        <v>0</v>
      </c>
      <c r="H26" s="99">
        <v>0</v>
      </c>
      <c r="I26" s="28">
        <f t="shared" si="4"/>
        <v>0</v>
      </c>
    </row>
    <row r="27" spans="1:22" ht="12.75" customHeight="1" x14ac:dyDescent="0.25">
      <c r="A27" s="16" t="str">
        <f>'[1]QTD Mgmt Summary'!A26</f>
        <v>Middle Market Originations (Foster)</v>
      </c>
      <c r="B27" s="10"/>
      <c r="C27" s="23">
        <v>0</v>
      </c>
      <c r="D27" s="27">
        <v>0</v>
      </c>
      <c r="E27" s="22">
        <v>0</v>
      </c>
      <c r="F27" s="27">
        <v>0</v>
      </c>
      <c r="G27" s="26">
        <f t="shared" si="3"/>
        <v>0</v>
      </c>
      <c r="H27" s="99">
        <v>0</v>
      </c>
      <c r="I27" s="28">
        <f t="shared" si="4"/>
        <v>0</v>
      </c>
    </row>
    <row r="28" spans="1:22" ht="12.75" customHeight="1" x14ac:dyDescent="0.25">
      <c r="A28" s="16" t="str">
        <f>'[1]QTD Mgmt Summary'!A27</f>
        <v>Orginations (Thomas/McDonald)</v>
      </c>
      <c r="B28" s="10"/>
      <c r="C28" s="23">
        <v>111</v>
      </c>
      <c r="D28" s="27">
        <v>722</v>
      </c>
      <c r="E28" s="22">
        <v>1083.54</v>
      </c>
      <c r="F28" s="27">
        <v>963</v>
      </c>
      <c r="G28" s="26">
        <f t="shared" si="3"/>
        <v>2879.54</v>
      </c>
      <c r="H28" s="99">
        <v>3000</v>
      </c>
      <c r="I28" s="28">
        <f t="shared" si="4"/>
        <v>120.46000000000004</v>
      </c>
    </row>
    <row r="29" spans="1:22" ht="12.75" customHeight="1" x14ac:dyDescent="0.25">
      <c r="A29" s="16" t="str">
        <f>'[1]QTD Mgmt Summary'!A28</f>
        <v>Executive (Calger)</v>
      </c>
      <c r="B29" s="10"/>
      <c r="C29" s="23">
        <v>0</v>
      </c>
      <c r="D29" s="27">
        <v>0</v>
      </c>
      <c r="E29" s="22">
        <v>0</v>
      </c>
      <c r="F29" s="27">
        <v>0</v>
      </c>
      <c r="G29" s="26">
        <f t="shared" si="3"/>
        <v>0</v>
      </c>
      <c r="H29" s="99">
        <v>0</v>
      </c>
      <c r="I29" s="28">
        <f t="shared" si="4"/>
        <v>0</v>
      </c>
    </row>
    <row r="30" spans="1:22" ht="12.75" customHeight="1" x14ac:dyDescent="0.25">
      <c r="A30" s="16" t="str">
        <f>'[1]QTD Mgmt Summary'!A29</f>
        <v>Generation (Parquet)</v>
      </c>
      <c r="B30" s="10"/>
      <c r="C30" s="23">
        <v>2529</v>
      </c>
      <c r="D30" s="27">
        <v>2254</v>
      </c>
      <c r="E30" s="22">
        <v>2131</v>
      </c>
      <c r="F30" s="27">
        <v>1870</v>
      </c>
      <c r="G30" s="26">
        <f t="shared" si="3"/>
        <v>8784</v>
      </c>
      <c r="H30" s="99">
        <v>9750</v>
      </c>
      <c r="I30" s="28">
        <f t="shared" si="4"/>
        <v>966</v>
      </c>
    </row>
    <row r="31" spans="1:22" ht="12.75" customHeight="1" thickBot="1" x14ac:dyDescent="0.3">
      <c r="A31" s="16" t="str">
        <f>'[1]QTD Mgmt Summary'!A30</f>
        <v>Fundamentals (Heizenreiker)</v>
      </c>
      <c r="B31" s="10"/>
      <c r="C31" s="23">
        <v>0</v>
      </c>
      <c r="D31" s="30">
        <v>0</v>
      </c>
      <c r="E31" s="22">
        <v>0</v>
      </c>
      <c r="F31" s="27">
        <v>0</v>
      </c>
      <c r="G31" s="26">
        <f t="shared" si="3"/>
        <v>0</v>
      </c>
      <c r="H31" s="99">
        <v>0</v>
      </c>
      <c r="I31" s="28">
        <f t="shared" si="4"/>
        <v>0</v>
      </c>
    </row>
    <row r="32" spans="1:22" s="40" customFormat="1" ht="12.75" customHeight="1" thickBot="1" x14ac:dyDescent="0.3">
      <c r="A32" s="33" t="s">
        <v>5</v>
      </c>
      <c r="B32" s="34"/>
      <c r="C32" s="35">
        <f t="shared" ref="C32:I32" si="5">SUM(C25:C31)</f>
        <v>2640</v>
      </c>
      <c r="D32" s="36">
        <f t="shared" si="5"/>
        <v>2976</v>
      </c>
      <c r="E32" s="36">
        <f t="shared" si="5"/>
        <v>3214.54</v>
      </c>
      <c r="F32" s="37">
        <f t="shared" si="5"/>
        <v>2833</v>
      </c>
      <c r="G32" s="39">
        <f t="shared" si="5"/>
        <v>11663.54</v>
      </c>
      <c r="H32" s="101">
        <f t="shared" si="5"/>
        <v>12750</v>
      </c>
      <c r="I32" s="38">
        <f t="shared" si="5"/>
        <v>1086.46</v>
      </c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</row>
    <row r="33" spans="1:22" ht="12.75" customHeight="1" x14ac:dyDescent="0.25">
      <c r="A33" s="16" t="str">
        <f>'[1]QTD Mgmt Summary'!A32</f>
        <v>East Trading (Neal)</v>
      </c>
      <c r="B33" s="10"/>
      <c r="C33" s="23">
        <v>869</v>
      </c>
      <c r="D33" s="27">
        <v>509</v>
      </c>
      <c r="E33" s="22">
        <v>668</v>
      </c>
      <c r="F33" s="22">
        <v>1573</v>
      </c>
      <c r="G33" s="43">
        <f t="shared" ref="G33:G45" si="6">SUM(C33:F33)</f>
        <v>3619</v>
      </c>
      <c r="H33" s="99">
        <v>6290</v>
      </c>
      <c r="I33" s="42">
        <f t="shared" ref="I33:I45" si="7">H33-G33</f>
        <v>2671</v>
      </c>
    </row>
    <row r="34" spans="1:22" ht="12.75" customHeight="1" x14ac:dyDescent="0.25">
      <c r="A34" s="16" t="str">
        <f>'[1]QTD Mgmt Summary'!A33</f>
        <v>East Origination (Vickers)</v>
      </c>
      <c r="B34" s="10"/>
      <c r="C34" s="23">
        <v>0</v>
      </c>
      <c r="D34" s="27">
        <v>0</v>
      </c>
      <c r="E34" s="22">
        <v>0</v>
      </c>
      <c r="F34" s="22">
        <v>0</v>
      </c>
      <c r="G34" s="43">
        <f t="shared" si="6"/>
        <v>0</v>
      </c>
      <c r="H34" s="99">
        <v>0</v>
      </c>
      <c r="I34" s="28">
        <f t="shared" si="7"/>
        <v>0</v>
      </c>
    </row>
    <row r="35" spans="1:22" ht="12.75" customHeight="1" x14ac:dyDescent="0.25">
      <c r="A35" s="16" t="str">
        <f>'[1]QTD Mgmt Summary'!A34</f>
        <v>Central Trading (Shively)</v>
      </c>
      <c r="B35" s="10"/>
      <c r="C35" s="23">
        <v>154</v>
      </c>
      <c r="D35" s="27">
        <v>502</v>
      </c>
      <c r="E35" s="22">
        <v>933.26799999999992</v>
      </c>
      <c r="F35" s="22">
        <v>144</v>
      </c>
      <c r="G35" s="43">
        <f t="shared" si="6"/>
        <v>1733.268</v>
      </c>
      <c r="H35" s="99">
        <v>575</v>
      </c>
      <c r="I35" s="42">
        <f t="shared" si="7"/>
        <v>-1158.268</v>
      </c>
    </row>
    <row r="36" spans="1:22" ht="12.75" customHeight="1" x14ac:dyDescent="0.25">
      <c r="A36" s="16" t="str">
        <f>'[1]QTD Mgmt Summary'!A35</f>
        <v>Central Origination (Luce)</v>
      </c>
      <c r="B36" s="10"/>
      <c r="C36" s="23">
        <v>0</v>
      </c>
      <c r="D36" s="27">
        <v>0</v>
      </c>
      <c r="E36" s="22">
        <v>0</v>
      </c>
      <c r="F36" s="22">
        <v>0</v>
      </c>
      <c r="G36" s="43">
        <f t="shared" si="6"/>
        <v>0</v>
      </c>
      <c r="H36" s="99">
        <v>0</v>
      </c>
      <c r="I36" s="28">
        <f t="shared" si="7"/>
        <v>0</v>
      </c>
    </row>
    <row r="37" spans="1:22" ht="12.75" customHeight="1" x14ac:dyDescent="0.25">
      <c r="A37" s="16" t="str">
        <f>'[1]QTD Mgmt Summary'!A36</f>
        <v>Texas Trading (Martin)</v>
      </c>
      <c r="B37" s="10"/>
      <c r="C37" s="29">
        <v>0</v>
      </c>
      <c r="D37" s="30">
        <v>0</v>
      </c>
      <c r="E37" s="22">
        <v>0</v>
      </c>
      <c r="F37" s="22">
        <v>0</v>
      </c>
      <c r="G37" s="43">
        <f t="shared" si="6"/>
        <v>0</v>
      </c>
      <c r="H37" s="99">
        <v>0</v>
      </c>
      <c r="I37" s="28">
        <f t="shared" si="7"/>
        <v>0</v>
      </c>
    </row>
    <row r="38" spans="1:22" ht="12.75" customHeight="1" x14ac:dyDescent="0.25">
      <c r="A38" s="16" t="str">
        <f>'[1]QTD Mgmt Summary'!A37</f>
        <v>Texas Origination (Redmond)</v>
      </c>
      <c r="B38" s="10"/>
      <c r="C38" s="29">
        <v>0</v>
      </c>
      <c r="D38" s="30">
        <v>0</v>
      </c>
      <c r="E38" s="22">
        <v>0</v>
      </c>
      <c r="F38" s="22">
        <v>0</v>
      </c>
      <c r="G38" s="43">
        <f t="shared" si="6"/>
        <v>0</v>
      </c>
      <c r="H38" s="99">
        <v>0</v>
      </c>
      <c r="I38" s="28">
        <f t="shared" si="7"/>
        <v>0</v>
      </c>
    </row>
    <row r="39" spans="1:22" ht="12.75" customHeight="1" x14ac:dyDescent="0.25">
      <c r="A39" s="16" t="str">
        <f>'[1]QTD Mgmt Summary'!A38</f>
        <v>West Trading (Allen)</v>
      </c>
      <c r="B39" s="10"/>
      <c r="C39" s="29">
        <v>0</v>
      </c>
      <c r="D39" s="30">
        <v>0</v>
      </c>
      <c r="E39" s="22">
        <v>0</v>
      </c>
      <c r="F39" s="22">
        <v>0</v>
      </c>
      <c r="G39" s="43">
        <f t="shared" si="6"/>
        <v>0</v>
      </c>
      <c r="H39" s="99">
        <v>0</v>
      </c>
      <c r="I39" s="28">
        <f t="shared" si="7"/>
        <v>0</v>
      </c>
    </row>
    <row r="40" spans="1:22" ht="12.75" customHeight="1" x14ac:dyDescent="0.25">
      <c r="A40" s="16" t="str">
        <f>'[1]QTD Mgmt Summary'!A39</f>
        <v>West Origination (Tycholiz)</v>
      </c>
      <c r="B40" s="10"/>
      <c r="C40" s="29">
        <v>0</v>
      </c>
      <c r="D40" s="30">
        <v>0</v>
      </c>
      <c r="E40" s="22">
        <v>0</v>
      </c>
      <c r="F40" s="22">
        <v>0</v>
      </c>
      <c r="G40" s="43">
        <f t="shared" si="6"/>
        <v>0</v>
      </c>
      <c r="H40" s="99">
        <v>0</v>
      </c>
      <c r="I40" s="28">
        <f t="shared" si="7"/>
        <v>0</v>
      </c>
    </row>
    <row r="41" spans="1:22" ht="12.75" customHeight="1" x14ac:dyDescent="0.25">
      <c r="A41" s="16" t="str">
        <f>'[1]QTD Mgmt Summary'!A40</f>
        <v>Financial Gas (Arnold)</v>
      </c>
      <c r="B41" s="10"/>
      <c r="C41" s="29">
        <v>0</v>
      </c>
      <c r="D41" s="30">
        <v>0</v>
      </c>
      <c r="E41" s="22">
        <v>0</v>
      </c>
      <c r="F41" s="22">
        <v>0</v>
      </c>
      <c r="G41" s="43">
        <f t="shared" si="6"/>
        <v>0</v>
      </c>
      <c r="H41" s="99">
        <v>0</v>
      </c>
      <c r="I41" s="28">
        <f t="shared" si="7"/>
        <v>0</v>
      </c>
    </row>
    <row r="42" spans="1:22" ht="12.75" customHeight="1" x14ac:dyDescent="0.25">
      <c r="A42" s="16" t="str">
        <f>'[1]QTD Mgmt Summary'!A41</f>
        <v>Derivative Origination (Lagrasta)</v>
      </c>
      <c r="B42" s="10"/>
      <c r="C42" s="29">
        <v>0</v>
      </c>
      <c r="D42" s="30">
        <v>0</v>
      </c>
      <c r="E42" s="22">
        <v>0</v>
      </c>
      <c r="F42" s="22">
        <v>0</v>
      </c>
      <c r="G42" s="43">
        <f t="shared" si="6"/>
        <v>0</v>
      </c>
      <c r="H42" s="99">
        <v>0</v>
      </c>
      <c r="I42" s="28">
        <f t="shared" si="7"/>
        <v>0</v>
      </c>
    </row>
    <row r="43" spans="1:22" ht="12.75" customHeight="1" x14ac:dyDescent="0.25">
      <c r="A43" s="16" t="str">
        <f>'[1]QTD Mgmt Summary'!A42</f>
        <v>NG Structuring (McMichael)</v>
      </c>
      <c r="B43" s="10"/>
      <c r="C43" s="29">
        <v>0</v>
      </c>
      <c r="D43" s="30">
        <v>0</v>
      </c>
      <c r="E43" s="22">
        <v>0</v>
      </c>
      <c r="F43" s="22">
        <v>0</v>
      </c>
      <c r="G43" s="43">
        <f t="shared" si="6"/>
        <v>0</v>
      </c>
      <c r="H43" s="99">
        <v>0</v>
      </c>
      <c r="I43" s="28">
        <f t="shared" si="7"/>
        <v>0</v>
      </c>
    </row>
    <row r="44" spans="1:22" ht="12.75" customHeight="1" x14ac:dyDescent="0.25">
      <c r="A44" s="16" t="str">
        <f>'[1]QTD Mgmt Summary'!A43</f>
        <v>NG Fundamentals (Gaskill)</v>
      </c>
      <c r="B44" s="10"/>
      <c r="C44" s="29">
        <v>0</v>
      </c>
      <c r="D44" s="30">
        <v>0</v>
      </c>
      <c r="E44" s="22">
        <v>0</v>
      </c>
      <c r="F44" s="22">
        <v>0</v>
      </c>
      <c r="G44" s="43">
        <f t="shared" si="6"/>
        <v>0</v>
      </c>
      <c r="H44" s="99">
        <v>0</v>
      </c>
      <c r="I44" s="28">
        <f t="shared" si="7"/>
        <v>0</v>
      </c>
    </row>
    <row r="45" spans="1:22" ht="12.75" customHeight="1" thickBot="1" x14ac:dyDescent="0.3">
      <c r="A45" s="16" t="str">
        <f>'[1]QTD Mgmt Summary'!A44</f>
        <v>Management</v>
      </c>
      <c r="B45" s="10"/>
      <c r="C45" s="29">
        <v>0</v>
      </c>
      <c r="D45" s="30">
        <v>0</v>
      </c>
      <c r="E45" s="22">
        <v>0</v>
      </c>
      <c r="F45" s="22">
        <v>0</v>
      </c>
      <c r="G45" s="43">
        <f t="shared" si="6"/>
        <v>0</v>
      </c>
      <c r="H45" s="99">
        <v>0</v>
      </c>
      <c r="I45" s="28">
        <f t="shared" si="7"/>
        <v>0</v>
      </c>
    </row>
    <row r="46" spans="1:22" s="40" customFormat="1" ht="12.75" customHeight="1" thickBot="1" x14ac:dyDescent="0.3">
      <c r="A46" s="33" t="s">
        <v>6</v>
      </c>
      <c r="B46" s="34"/>
      <c r="C46" s="35">
        <f t="shared" ref="C46:I46" si="8">SUM(C33:C45)</f>
        <v>1023</v>
      </c>
      <c r="D46" s="36">
        <f t="shared" si="8"/>
        <v>1011</v>
      </c>
      <c r="E46" s="36">
        <f t="shared" si="8"/>
        <v>1601.268</v>
      </c>
      <c r="F46" s="37">
        <f t="shared" si="8"/>
        <v>1717</v>
      </c>
      <c r="G46" s="39">
        <f t="shared" si="8"/>
        <v>5352.268</v>
      </c>
      <c r="H46" s="101">
        <f t="shared" si="8"/>
        <v>6865</v>
      </c>
      <c r="I46" s="38">
        <f t="shared" si="8"/>
        <v>1512.732</v>
      </c>
      <c r="K46" s="15"/>
      <c r="L46" s="45"/>
      <c r="M46" s="15"/>
      <c r="N46" s="15"/>
      <c r="O46" s="15"/>
      <c r="P46" s="15"/>
      <c r="Q46" s="15"/>
      <c r="R46" s="15"/>
      <c r="S46" s="15"/>
      <c r="T46" s="15"/>
      <c r="U46" s="15"/>
      <c r="V46" s="15"/>
    </row>
    <row r="47" spans="1:22" ht="12.75" customHeight="1" x14ac:dyDescent="0.25">
      <c r="A47" s="16" t="str">
        <f>'[1]QTD Mgmt Summary'!A46</f>
        <v>Natural Gas Trading (Zufferli)</v>
      </c>
      <c r="B47" s="10"/>
      <c r="C47" s="23">
        <v>110</v>
      </c>
      <c r="D47" s="27">
        <v>104</v>
      </c>
      <c r="E47" s="22">
        <v>281</v>
      </c>
      <c r="F47" s="41">
        <v>99</v>
      </c>
      <c r="G47" s="43">
        <f t="shared" ref="G47:G53" si="9">SUM(C47:F47)</f>
        <v>594</v>
      </c>
      <c r="H47" s="99">
        <v>396</v>
      </c>
      <c r="I47" s="42">
        <f t="shared" ref="I47:I53" si="10">H47-G47</f>
        <v>-198</v>
      </c>
    </row>
    <row r="48" spans="1:22" ht="12.75" customHeight="1" x14ac:dyDescent="0.25">
      <c r="A48" s="16" t="str">
        <f>'[1]QTD Mgmt Summary'!A47</f>
        <v>Natural Gas Origination (LeDain)</v>
      </c>
      <c r="B48" s="10"/>
      <c r="C48" s="23">
        <v>0</v>
      </c>
      <c r="D48" s="27">
        <v>0</v>
      </c>
      <c r="E48" s="22">
        <v>0</v>
      </c>
      <c r="F48" s="27">
        <v>0</v>
      </c>
      <c r="G48" s="29">
        <f t="shared" si="9"/>
        <v>0</v>
      </c>
      <c r="H48" s="99">
        <v>0</v>
      </c>
      <c r="I48" s="28">
        <f t="shared" si="10"/>
        <v>0</v>
      </c>
    </row>
    <row r="49" spans="1:22" ht="12.75" customHeight="1" x14ac:dyDescent="0.25">
      <c r="A49" s="16" t="str">
        <f>'[1]QTD Mgmt Summary'!A48</f>
        <v>Finance (Kitagawa)</v>
      </c>
      <c r="B49" s="10"/>
      <c r="C49" s="23">
        <v>1413</v>
      </c>
      <c r="D49" s="27">
        <v>1452</v>
      </c>
      <c r="E49" s="22">
        <v>575</v>
      </c>
      <c r="F49" s="41">
        <v>98</v>
      </c>
      <c r="G49" s="46">
        <f t="shared" si="9"/>
        <v>3538</v>
      </c>
      <c r="H49" s="99">
        <v>1409</v>
      </c>
      <c r="I49" s="42">
        <f t="shared" si="10"/>
        <v>-2129</v>
      </c>
    </row>
    <row r="50" spans="1:22" ht="12.75" customHeight="1" x14ac:dyDescent="0.25">
      <c r="A50" s="16" t="str">
        <f>'[1]QTD Mgmt Summary'!A49</f>
        <v>Alberta Power Trading (Zufferli)</v>
      </c>
      <c r="B50" s="10"/>
      <c r="C50" s="23">
        <v>0</v>
      </c>
      <c r="D50" s="27">
        <v>0</v>
      </c>
      <c r="E50" s="22">
        <v>0</v>
      </c>
      <c r="F50" s="27">
        <v>0</v>
      </c>
      <c r="G50" s="29">
        <f t="shared" si="9"/>
        <v>0</v>
      </c>
      <c r="H50" s="99">
        <v>0</v>
      </c>
      <c r="I50" s="28">
        <f t="shared" si="10"/>
        <v>0</v>
      </c>
    </row>
    <row r="51" spans="1:22" ht="12.75" customHeight="1" x14ac:dyDescent="0.25">
      <c r="A51" s="16" t="str">
        <f>'[1]QTD Mgmt Summary'!A50</f>
        <v>Alberta Power Orig (Davies)</v>
      </c>
      <c r="B51" s="10"/>
      <c r="C51" s="23">
        <v>0</v>
      </c>
      <c r="D51" s="27">
        <v>0</v>
      </c>
      <c r="E51" s="22">
        <v>0</v>
      </c>
      <c r="F51" s="27">
        <v>0</v>
      </c>
      <c r="G51" s="29">
        <f t="shared" si="9"/>
        <v>0</v>
      </c>
      <c r="H51" s="99">
        <v>0</v>
      </c>
      <c r="I51" s="28">
        <f t="shared" si="10"/>
        <v>0</v>
      </c>
    </row>
    <row r="52" spans="1:22" ht="12.75" customHeight="1" x14ac:dyDescent="0.25">
      <c r="A52" s="16" t="str">
        <f>'[1]QTD Mgmt Summary'!A51</f>
        <v>Ontario Power (Devries)</v>
      </c>
      <c r="B52" s="10"/>
      <c r="C52" s="23">
        <v>0</v>
      </c>
      <c r="D52" s="27">
        <v>0</v>
      </c>
      <c r="E52" s="22">
        <v>0</v>
      </c>
      <c r="F52" s="27">
        <v>447</v>
      </c>
      <c r="G52" s="29">
        <f t="shared" si="9"/>
        <v>447</v>
      </c>
      <c r="H52" s="99">
        <v>1788</v>
      </c>
      <c r="I52" s="28">
        <f t="shared" si="10"/>
        <v>1341</v>
      </c>
    </row>
    <row r="53" spans="1:22" ht="12.75" customHeight="1" thickBot="1" x14ac:dyDescent="0.3">
      <c r="A53" s="16" t="str">
        <f>'[1]QTD Mgmt Summary'!A52</f>
        <v>Executive (Milnthorp)</v>
      </c>
      <c r="B53" s="10"/>
      <c r="C53" s="23">
        <v>0</v>
      </c>
      <c r="D53" s="27">
        <v>0</v>
      </c>
      <c r="E53" s="22">
        <v>0</v>
      </c>
      <c r="F53" s="27">
        <v>0</v>
      </c>
      <c r="G53" s="29">
        <f t="shared" si="9"/>
        <v>0</v>
      </c>
      <c r="H53" s="99">
        <v>0</v>
      </c>
      <c r="I53" s="28">
        <f t="shared" si="10"/>
        <v>0</v>
      </c>
    </row>
    <row r="54" spans="1:22" s="40" customFormat="1" ht="12.75" customHeight="1" thickBot="1" x14ac:dyDescent="0.3">
      <c r="A54" s="33" t="s">
        <v>7</v>
      </c>
      <c r="B54" s="34"/>
      <c r="C54" s="35">
        <f t="shared" ref="C54:I54" si="11">SUM(C47:C53)</f>
        <v>1523</v>
      </c>
      <c r="D54" s="36">
        <f t="shared" si="11"/>
        <v>1556</v>
      </c>
      <c r="E54" s="36">
        <f t="shared" si="11"/>
        <v>856</v>
      </c>
      <c r="F54" s="36">
        <f t="shared" si="11"/>
        <v>644</v>
      </c>
      <c r="G54" s="35">
        <f t="shared" si="11"/>
        <v>4579</v>
      </c>
      <c r="H54" s="100">
        <f t="shared" si="11"/>
        <v>3593</v>
      </c>
      <c r="I54" s="47">
        <f t="shared" si="11"/>
        <v>-986</v>
      </c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</row>
    <row r="55" spans="1:22" ht="12.75" customHeight="1" x14ac:dyDescent="0.25">
      <c r="A55" s="16" t="str">
        <f>'[1]QTD Mgmt Summary'!A54</f>
        <v>Upstream Products (Mrha)</v>
      </c>
      <c r="B55" s="10"/>
      <c r="C55" s="23">
        <v>1094</v>
      </c>
      <c r="D55" s="22">
        <v>-75</v>
      </c>
      <c r="E55" s="22">
        <v>0</v>
      </c>
      <c r="F55" s="30">
        <v>501</v>
      </c>
      <c r="G55" s="29">
        <f t="shared" ref="G55:G68" si="12">SUM(C55:F55)</f>
        <v>1520</v>
      </c>
      <c r="H55" s="99">
        <v>1655</v>
      </c>
      <c r="I55" s="28">
        <f t="shared" ref="I55:I68" si="13">H55-G55</f>
        <v>135</v>
      </c>
    </row>
    <row r="56" spans="1:22" ht="12.75" customHeight="1" x14ac:dyDescent="0.25">
      <c r="A56" s="16" t="str">
        <f>'[1]QTD Mgmt Summary'!A55</f>
        <v>Bridgeline (Redmond)</v>
      </c>
      <c r="B56" s="10"/>
      <c r="C56" s="29">
        <v>3647</v>
      </c>
      <c r="D56" s="30">
        <v>7905</v>
      </c>
      <c r="E56" s="22">
        <v>5290.5659999999998</v>
      </c>
      <c r="F56" s="30">
        <v>6282</v>
      </c>
      <c r="G56" s="29">
        <f t="shared" si="12"/>
        <v>23124.565999999999</v>
      </c>
      <c r="H56" s="99">
        <v>25128</v>
      </c>
      <c r="I56" s="28">
        <f t="shared" si="13"/>
        <v>2003.4340000000011</v>
      </c>
    </row>
    <row r="57" spans="1:22" ht="12.75" customHeight="1" x14ac:dyDescent="0.25">
      <c r="A57" s="16" t="str">
        <f>'[1]QTD Mgmt Summary'!A56</f>
        <v>HPL (Redmond)</v>
      </c>
      <c r="B57" s="10"/>
      <c r="C57" s="29">
        <v>0</v>
      </c>
      <c r="D57" s="30">
        <v>0</v>
      </c>
      <c r="E57" s="22">
        <v>0</v>
      </c>
      <c r="F57" s="30">
        <v>0</v>
      </c>
      <c r="G57" s="29">
        <f t="shared" si="12"/>
        <v>0</v>
      </c>
      <c r="H57" s="99">
        <v>0</v>
      </c>
      <c r="I57" s="28">
        <f t="shared" si="13"/>
        <v>0</v>
      </c>
    </row>
    <row r="58" spans="1:22" ht="12.75" customHeight="1" x14ac:dyDescent="0.25">
      <c r="A58" s="16" t="str">
        <f>'[1]QTD Mgmt Summary'!A57</f>
        <v>Mexico (Irvin/Williams)</v>
      </c>
      <c r="B58" s="10"/>
      <c r="C58" s="29">
        <v>0</v>
      </c>
      <c r="D58" s="30">
        <v>41</v>
      </c>
      <c r="E58" s="22">
        <v>43.075000000000003</v>
      </c>
      <c r="F58" s="44">
        <v>0</v>
      </c>
      <c r="G58" s="46">
        <f t="shared" si="12"/>
        <v>84.075000000000003</v>
      </c>
      <c r="H58" s="99">
        <v>0</v>
      </c>
      <c r="I58" s="28">
        <f t="shared" si="13"/>
        <v>-84.075000000000003</v>
      </c>
    </row>
    <row r="59" spans="1:22" ht="12.75" customHeight="1" x14ac:dyDescent="0.25">
      <c r="A59" s="16" t="str">
        <f>'[1]QTD Mgmt Summary'!A58</f>
        <v>Energy Capital Svcs (Thompson/Josey)</v>
      </c>
      <c r="B59" s="10"/>
      <c r="C59" s="29">
        <v>8137</v>
      </c>
      <c r="D59" s="30">
        <v>8680</v>
      </c>
      <c r="E59" s="22">
        <v>5048</v>
      </c>
      <c r="F59" s="44">
        <v>13764</v>
      </c>
      <c r="G59" s="46">
        <f t="shared" si="12"/>
        <v>35629</v>
      </c>
      <c r="H59" s="99">
        <f>24878+501+1641</f>
        <v>27020</v>
      </c>
      <c r="I59" s="28">
        <f t="shared" si="13"/>
        <v>-8609</v>
      </c>
    </row>
    <row r="60" spans="1:22" ht="12.75" customHeight="1" x14ac:dyDescent="0.25">
      <c r="A60" s="16" t="str">
        <f>'[1]QTD Mgmt Summary'!A59</f>
        <v>Mariner</v>
      </c>
      <c r="B60" s="10"/>
      <c r="C60" s="29">
        <v>13695</v>
      </c>
      <c r="D60" s="30">
        <v>13975</v>
      </c>
      <c r="E60" s="22">
        <v>15764</v>
      </c>
      <c r="F60" s="44">
        <v>0</v>
      </c>
      <c r="G60" s="46">
        <f t="shared" si="12"/>
        <v>43434</v>
      </c>
      <c r="H60" s="99">
        <v>24020</v>
      </c>
      <c r="I60" s="28">
        <f t="shared" si="13"/>
        <v>-19414</v>
      </c>
    </row>
    <row r="61" spans="1:22" ht="12.75" customHeight="1" x14ac:dyDescent="0.25">
      <c r="A61" s="16" t="str">
        <f>'[1]QTD Mgmt Summary'!A60</f>
        <v>Asset Marketing (D. Miller)</v>
      </c>
      <c r="B61" s="25"/>
      <c r="C61" s="29">
        <v>0</v>
      </c>
      <c r="D61" s="30">
        <v>0</v>
      </c>
      <c r="E61" s="22">
        <v>0</v>
      </c>
      <c r="F61" s="30">
        <v>0</v>
      </c>
      <c r="G61" s="29">
        <f t="shared" si="12"/>
        <v>0</v>
      </c>
      <c r="H61" s="99">
        <v>0</v>
      </c>
      <c r="I61" s="28">
        <f t="shared" si="13"/>
        <v>0</v>
      </c>
    </row>
    <row r="62" spans="1:22" ht="12.75" customHeight="1" x14ac:dyDescent="0.25">
      <c r="A62" s="16" t="str">
        <f>GrossMargin!A62</f>
        <v>Principal Investing (Miller)</v>
      </c>
      <c r="B62" s="25"/>
      <c r="C62" s="29">
        <v>4963</v>
      </c>
      <c r="D62" s="30">
        <v>4667</v>
      </c>
      <c r="E62" s="22">
        <v>0</v>
      </c>
      <c r="F62" s="30">
        <v>0</v>
      </c>
      <c r="G62" s="29">
        <f t="shared" si="12"/>
        <v>9630</v>
      </c>
      <c r="H62" s="99">
        <v>21328</v>
      </c>
      <c r="I62" s="28">
        <f t="shared" si="13"/>
        <v>11698</v>
      </c>
    </row>
    <row r="63" spans="1:22" ht="12.75" customHeight="1" x14ac:dyDescent="0.25">
      <c r="A63" s="16" t="str">
        <f>GrossMargin!A63</f>
        <v>Corporate Development (Detmering)</v>
      </c>
      <c r="B63" s="25"/>
      <c r="C63" s="29">
        <v>0</v>
      </c>
      <c r="D63" s="30">
        <v>0</v>
      </c>
      <c r="E63" s="22">
        <v>0</v>
      </c>
      <c r="F63" s="30">
        <v>0</v>
      </c>
      <c r="G63" s="29">
        <f t="shared" si="12"/>
        <v>0</v>
      </c>
      <c r="H63" s="99">
        <v>13627</v>
      </c>
      <c r="I63" s="28">
        <f t="shared" si="13"/>
        <v>13627</v>
      </c>
    </row>
    <row r="64" spans="1:22" ht="12.75" customHeight="1" x14ac:dyDescent="0.25">
      <c r="A64" s="16" t="str">
        <f>'[1]QTD Mgmt Summary'!A61</f>
        <v>Sold Peakers</v>
      </c>
      <c r="B64" s="25"/>
      <c r="C64" s="29">
        <v>32320</v>
      </c>
      <c r="D64" s="30">
        <v>8205</v>
      </c>
      <c r="E64" s="22">
        <v>0</v>
      </c>
      <c r="F64" s="30">
        <v>0</v>
      </c>
      <c r="G64" s="29">
        <f t="shared" si="12"/>
        <v>40525</v>
      </c>
      <c r="H64" s="99">
        <v>65776</v>
      </c>
      <c r="I64" s="28">
        <f t="shared" si="13"/>
        <v>25251</v>
      </c>
    </row>
    <row r="65" spans="1:22" ht="12.75" customHeight="1" x14ac:dyDescent="0.25">
      <c r="A65" s="16" t="str">
        <f>'[1]QTD Mgmt Summary'!A62</f>
        <v>Cross Commodity (Lavorato)</v>
      </c>
      <c r="B65" s="25"/>
      <c r="C65" s="29">
        <v>0</v>
      </c>
      <c r="D65" s="30">
        <v>0</v>
      </c>
      <c r="E65" s="22">
        <v>0</v>
      </c>
      <c r="F65" s="30">
        <v>0</v>
      </c>
      <c r="G65" s="29">
        <f t="shared" si="12"/>
        <v>0</v>
      </c>
      <c r="H65" s="99">
        <v>0</v>
      </c>
      <c r="I65" s="28">
        <f t="shared" si="13"/>
        <v>0</v>
      </c>
    </row>
    <row r="66" spans="1:22" ht="12.75" customHeight="1" x14ac:dyDescent="0.25">
      <c r="A66" s="16" t="str">
        <f>'[1]QTD Mgmt Summary'!A63</f>
        <v>Office of the Chairman (Lavorato/Kitchen)</v>
      </c>
      <c r="B66" s="10"/>
      <c r="C66" s="29">
        <v>0</v>
      </c>
      <c r="D66" s="30">
        <v>0</v>
      </c>
      <c r="E66" s="22">
        <v>0</v>
      </c>
      <c r="F66" s="30">
        <v>0</v>
      </c>
      <c r="G66" s="29">
        <f t="shared" si="12"/>
        <v>0</v>
      </c>
      <c r="H66" s="99">
        <v>0</v>
      </c>
      <c r="I66" s="28">
        <f t="shared" si="13"/>
        <v>0</v>
      </c>
    </row>
    <row r="67" spans="1:22" ht="12.75" customHeight="1" x14ac:dyDescent="0.25">
      <c r="A67" s="16" t="str">
        <f>'[1]QTD Mgmt Summary'!A64</f>
        <v>TVA Settlement</v>
      </c>
      <c r="B67" s="10"/>
      <c r="C67" s="29">
        <v>0</v>
      </c>
      <c r="D67" s="30">
        <v>0</v>
      </c>
      <c r="E67" s="22">
        <v>0</v>
      </c>
      <c r="F67" s="30">
        <v>0</v>
      </c>
      <c r="G67" s="29">
        <f t="shared" si="12"/>
        <v>0</v>
      </c>
      <c r="H67" s="99">
        <v>0</v>
      </c>
      <c r="I67" s="28">
        <f t="shared" si="13"/>
        <v>0</v>
      </c>
    </row>
    <row r="68" spans="1:22" ht="12.75" customHeight="1" thickBot="1" x14ac:dyDescent="0.3">
      <c r="A68" s="16" t="str">
        <f>'[1]QTD Mgmt Summary'!A65</f>
        <v>Other *</v>
      </c>
      <c r="B68" s="10"/>
      <c r="C68" s="29">
        <v>11259</v>
      </c>
      <c r="D68" s="30">
        <v>9017</v>
      </c>
      <c r="E68" s="22">
        <v>0</v>
      </c>
      <c r="F68" s="44">
        <v>14984</v>
      </c>
      <c r="G68" s="46">
        <f t="shared" si="12"/>
        <v>35260</v>
      </c>
      <c r="H68" s="99">
        <v>57787</v>
      </c>
      <c r="I68" s="28">
        <f t="shared" si="13"/>
        <v>22527</v>
      </c>
    </row>
    <row r="69" spans="1:22" s="48" customFormat="1" ht="12.75" customHeight="1" thickBot="1" x14ac:dyDescent="0.25">
      <c r="A69" s="33" t="s">
        <v>8</v>
      </c>
      <c r="B69" s="34"/>
      <c r="C69" s="35">
        <f>SUM(C55:C68)+C54+C46+C32+C24</f>
        <v>99933</v>
      </c>
      <c r="D69" s="36">
        <f>SUM(D55:D68)+D54+D46+D32+D24</f>
        <v>70492</v>
      </c>
      <c r="E69" s="36">
        <f>SUM(E55:E68)+E54+E46+E32+E24</f>
        <v>48794.635000000002</v>
      </c>
      <c r="F69" s="47">
        <f>SUM(F55:F68)+F54+F46+F32+F24</f>
        <v>57444</v>
      </c>
      <c r="G69" s="87">
        <f>(SUM(G55:G68))+G24+G32+G46+G54</f>
        <v>276663.63499999995</v>
      </c>
      <c r="H69" s="87">
        <f>(SUM(H55:H68))+H24+H32+H46+H54</f>
        <v>324322</v>
      </c>
      <c r="I69" s="87">
        <f>(SUM(I55:I68))+I24+I32+I46+I54</f>
        <v>47658.364999999991</v>
      </c>
      <c r="K69" s="58"/>
      <c r="L69" s="49"/>
      <c r="M69" s="58"/>
      <c r="N69" s="58"/>
      <c r="O69" s="58"/>
      <c r="P69" s="58"/>
      <c r="Q69" s="58"/>
      <c r="R69" s="58"/>
      <c r="S69" s="58"/>
      <c r="T69" s="58"/>
      <c r="U69" s="58"/>
      <c r="V69" s="58"/>
    </row>
    <row r="70" spans="1:22" ht="5.25" customHeight="1" x14ac:dyDescent="0.25">
      <c r="A70" s="50"/>
      <c r="B70" s="10"/>
      <c r="C70" s="51"/>
      <c r="D70" s="52"/>
      <c r="E70" s="53"/>
      <c r="F70" s="54"/>
      <c r="G70" s="92"/>
      <c r="H70" s="103"/>
      <c r="I70" s="94"/>
    </row>
    <row r="71" spans="1:22" ht="12.75" customHeight="1" x14ac:dyDescent="0.25">
      <c r="A71" s="50" t="s">
        <v>9</v>
      </c>
      <c r="B71" s="10"/>
      <c r="C71" s="29">
        <v>0</v>
      </c>
      <c r="D71" s="30">
        <v>0</v>
      </c>
      <c r="E71" s="22">
        <v>0</v>
      </c>
      <c r="F71" s="27">
        <v>0</v>
      </c>
      <c r="G71" s="29">
        <f t="shared" ref="G71:G84" si="14">SUM(C71:F71)</f>
        <v>0</v>
      </c>
      <c r="H71" s="104">
        <v>0</v>
      </c>
      <c r="I71" s="28">
        <f t="shared" ref="I71:I84" si="15">H71-G71</f>
        <v>0</v>
      </c>
    </row>
    <row r="72" spans="1:22" ht="12.75" customHeight="1" x14ac:dyDescent="0.25">
      <c r="A72" s="50" t="s">
        <v>10</v>
      </c>
      <c r="B72" s="10"/>
      <c r="C72" s="29">
        <v>0</v>
      </c>
      <c r="D72" s="30">
        <v>0</v>
      </c>
      <c r="E72" s="22">
        <v>0</v>
      </c>
      <c r="F72" s="27">
        <v>0</v>
      </c>
      <c r="G72" s="29">
        <f t="shared" si="14"/>
        <v>0</v>
      </c>
      <c r="H72" s="104">
        <v>0</v>
      </c>
      <c r="I72" s="28">
        <f t="shared" si="15"/>
        <v>0</v>
      </c>
    </row>
    <row r="73" spans="1:22" ht="12.75" customHeight="1" x14ac:dyDescent="0.25">
      <c r="A73" s="50" t="s">
        <v>11</v>
      </c>
      <c r="B73" s="10"/>
      <c r="C73" s="29">
        <v>0</v>
      </c>
      <c r="D73" s="30">
        <v>0</v>
      </c>
      <c r="E73" s="22">
        <v>0</v>
      </c>
      <c r="F73" s="27">
        <v>0</v>
      </c>
      <c r="G73" s="29">
        <f t="shared" si="14"/>
        <v>0</v>
      </c>
      <c r="H73" s="104">
        <v>0</v>
      </c>
      <c r="I73" s="28">
        <f t="shared" si="15"/>
        <v>0</v>
      </c>
    </row>
    <row r="74" spans="1:22" ht="12.75" customHeight="1" x14ac:dyDescent="0.25">
      <c r="A74" s="50" t="s">
        <v>12</v>
      </c>
      <c r="B74" s="10"/>
      <c r="C74" s="29">
        <v>0</v>
      </c>
      <c r="D74" s="30">
        <v>0</v>
      </c>
      <c r="E74" s="22">
        <v>0</v>
      </c>
      <c r="F74" s="27">
        <v>0</v>
      </c>
      <c r="G74" s="29">
        <f t="shared" si="14"/>
        <v>0</v>
      </c>
      <c r="H74" s="104">
        <v>0</v>
      </c>
      <c r="I74" s="28">
        <f t="shared" si="15"/>
        <v>0</v>
      </c>
    </row>
    <row r="75" spans="1:22" ht="12.75" customHeight="1" x14ac:dyDescent="0.25">
      <c r="A75" s="50" t="s">
        <v>13</v>
      </c>
      <c r="B75" s="10"/>
      <c r="C75" s="29">
        <v>0</v>
      </c>
      <c r="D75" s="30">
        <v>0</v>
      </c>
      <c r="E75" s="22">
        <v>0</v>
      </c>
      <c r="F75" s="27">
        <v>0</v>
      </c>
      <c r="G75" s="29">
        <f t="shared" si="14"/>
        <v>0</v>
      </c>
      <c r="H75" s="104">
        <v>0</v>
      </c>
      <c r="I75" s="28">
        <f t="shared" si="15"/>
        <v>0</v>
      </c>
    </row>
    <row r="76" spans="1:22" ht="12.75" customHeight="1" x14ac:dyDescent="0.25">
      <c r="A76" s="50" t="s">
        <v>14</v>
      </c>
      <c r="B76" s="10"/>
      <c r="C76" s="29">
        <v>0</v>
      </c>
      <c r="D76" s="30">
        <v>0</v>
      </c>
      <c r="E76" s="22">
        <v>0</v>
      </c>
      <c r="F76" s="27">
        <v>0</v>
      </c>
      <c r="G76" s="29">
        <f t="shared" si="14"/>
        <v>0</v>
      </c>
      <c r="H76" s="104">
        <v>0</v>
      </c>
      <c r="I76" s="28">
        <f t="shared" si="15"/>
        <v>0</v>
      </c>
    </row>
    <row r="77" spans="1:22" ht="12.75" customHeight="1" x14ac:dyDescent="0.25">
      <c r="A77" s="50" t="s">
        <v>15</v>
      </c>
      <c r="B77" s="10"/>
      <c r="C77" s="29">
        <v>0</v>
      </c>
      <c r="D77" s="30">
        <v>0</v>
      </c>
      <c r="E77" s="22">
        <v>0</v>
      </c>
      <c r="F77" s="27">
        <v>0</v>
      </c>
      <c r="G77" s="29">
        <f t="shared" si="14"/>
        <v>0</v>
      </c>
      <c r="H77" s="104">
        <v>0</v>
      </c>
      <c r="I77" s="28">
        <f t="shared" si="15"/>
        <v>0</v>
      </c>
    </row>
    <row r="78" spans="1:22" ht="12.75" customHeight="1" x14ac:dyDescent="0.25">
      <c r="A78" s="50" t="s">
        <v>16</v>
      </c>
      <c r="B78" s="10"/>
      <c r="C78" s="29">
        <v>0</v>
      </c>
      <c r="D78" s="30">
        <v>0</v>
      </c>
      <c r="E78" s="22">
        <v>0</v>
      </c>
      <c r="F78" s="27">
        <v>0</v>
      </c>
      <c r="G78" s="29">
        <f t="shared" si="14"/>
        <v>0</v>
      </c>
      <c r="H78" s="105">
        <v>0</v>
      </c>
      <c r="I78" s="28">
        <f t="shared" si="15"/>
        <v>0</v>
      </c>
    </row>
    <row r="79" spans="1:22" ht="12.75" customHeight="1" x14ac:dyDescent="0.25">
      <c r="A79" s="50" t="s">
        <v>17</v>
      </c>
      <c r="B79" s="10"/>
      <c r="C79" s="29">
        <v>0</v>
      </c>
      <c r="D79" s="30">
        <v>0</v>
      </c>
      <c r="E79" s="22">
        <v>0</v>
      </c>
      <c r="F79" s="27">
        <v>0</v>
      </c>
      <c r="G79" s="29">
        <f t="shared" si="14"/>
        <v>0</v>
      </c>
      <c r="H79" s="104">
        <v>0</v>
      </c>
      <c r="I79" s="28">
        <f t="shared" si="15"/>
        <v>0</v>
      </c>
    </row>
    <row r="80" spans="1:22" ht="12.75" customHeight="1" x14ac:dyDescent="0.25">
      <c r="A80" s="50" t="s">
        <v>18</v>
      </c>
      <c r="B80" s="10"/>
      <c r="C80" s="29">
        <v>0</v>
      </c>
      <c r="D80" s="30">
        <v>0</v>
      </c>
      <c r="E80" s="22">
        <v>0</v>
      </c>
      <c r="F80" s="27">
        <v>0</v>
      </c>
      <c r="G80" s="29">
        <f t="shared" si="14"/>
        <v>0</v>
      </c>
      <c r="H80" s="104">
        <v>0</v>
      </c>
      <c r="I80" s="28">
        <f t="shared" si="15"/>
        <v>0</v>
      </c>
    </row>
    <row r="81" spans="1:22" ht="12.75" customHeight="1" x14ac:dyDescent="0.25">
      <c r="A81" s="50" t="s">
        <v>19</v>
      </c>
      <c r="B81" s="10"/>
      <c r="C81" s="29">
        <v>0</v>
      </c>
      <c r="D81" s="30">
        <v>0</v>
      </c>
      <c r="E81" s="22">
        <v>0</v>
      </c>
      <c r="F81" s="27">
        <v>0</v>
      </c>
      <c r="G81" s="29">
        <f t="shared" si="14"/>
        <v>0</v>
      </c>
      <c r="H81" s="104">
        <v>0</v>
      </c>
      <c r="I81" s="28">
        <f t="shared" si="15"/>
        <v>0</v>
      </c>
    </row>
    <row r="82" spans="1:22" ht="12.75" customHeight="1" x14ac:dyDescent="0.25">
      <c r="A82" s="50" t="s">
        <v>20</v>
      </c>
      <c r="B82" s="10"/>
      <c r="C82" s="29">
        <v>0</v>
      </c>
      <c r="D82" s="30">
        <v>0</v>
      </c>
      <c r="E82" s="22">
        <v>0</v>
      </c>
      <c r="F82" s="27">
        <v>0</v>
      </c>
      <c r="G82" s="29">
        <f t="shared" si="14"/>
        <v>0</v>
      </c>
      <c r="H82" s="104">
        <v>0</v>
      </c>
      <c r="I82" s="28">
        <f t="shared" si="15"/>
        <v>0</v>
      </c>
    </row>
    <row r="83" spans="1:22" ht="12.75" customHeight="1" x14ac:dyDescent="0.25">
      <c r="A83" s="50" t="s">
        <v>54</v>
      </c>
      <c r="B83" s="10"/>
      <c r="C83" s="29">
        <v>0</v>
      </c>
      <c r="D83" s="30">
        <v>0</v>
      </c>
      <c r="E83" s="22">
        <v>0</v>
      </c>
      <c r="F83" s="27">
        <v>0</v>
      </c>
      <c r="G83" s="29">
        <f t="shared" si="14"/>
        <v>0</v>
      </c>
      <c r="H83" s="104">
        <v>0</v>
      </c>
      <c r="I83" s="28">
        <f t="shared" si="15"/>
        <v>0</v>
      </c>
    </row>
    <row r="84" spans="1:22" ht="12.75" customHeight="1" thickBot="1" x14ac:dyDescent="0.3">
      <c r="A84" s="50" t="s">
        <v>21</v>
      </c>
      <c r="B84" s="10"/>
      <c r="C84" s="29">
        <v>0</v>
      </c>
      <c r="D84" s="30">
        <v>0</v>
      </c>
      <c r="E84" s="22">
        <v>0</v>
      </c>
      <c r="F84" s="27">
        <v>0</v>
      </c>
      <c r="G84" s="31">
        <f t="shared" si="14"/>
        <v>0</v>
      </c>
      <c r="H84" s="106">
        <v>0</v>
      </c>
      <c r="I84" s="96">
        <f t="shared" si="15"/>
        <v>0</v>
      </c>
    </row>
    <row r="85" spans="1:22" s="48" customFormat="1" ht="12.75" customHeight="1" thickBot="1" x14ac:dyDescent="0.25">
      <c r="A85" s="33" t="s">
        <v>22</v>
      </c>
      <c r="B85" s="34"/>
      <c r="C85" s="35">
        <f t="shared" ref="C85:I85" si="16">SUM(C71:C84)</f>
        <v>0</v>
      </c>
      <c r="D85" s="36">
        <f t="shared" si="16"/>
        <v>0</v>
      </c>
      <c r="E85" s="36">
        <f t="shared" si="16"/>
        <v>0</v>
      </c>
      <c r="F85" s="37">
        <f t="shared" si="16"/>
        <v>0</v>
      </c>
      <c r="G85" s="88">
        <f t="shared" si="16"/>
        <v>0</v>
      </c>
      <c r="H85" s="107">
        <f t="shared" si="16"/>
        <v>0</v>
      </c>
      <c r="I85" s="91">
        <f t="shared" si="16"/>
        <v>0</v>
      </c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</row>
    <row r="86" spans="1:22" s="58" customFormat="1" ht="12.75" customHeight="1" x14ac:dyDescent="0.25">
      <c r="A86" s="57" t="str">
        <f>'[1]QTD Mgmt Summary'!A83</f>
        <v>Prepay Expenses</v>
      </c>
      <c r="B86" s="10"/>
      <c r="C86" s="29">
        <v>0</v>
      </c>
      <c r="D86" s="30">
        <v>0</v>
      </c>
      <c r="E86" s="22">
        <v>0</v>
      </c>
      <c r="F86" s="27">
        <v>0</v>
      </c>
      <c r="G86" s="29">
        <f>SUM(C86:F86)</f>
        <v>0</v>
      </c>
      <c r="H86" s="99">
        <v>0</v>
      </c>
      <c r="I86" s="28">
        <f>H86-G86</f>
        <v>0</v>
      </c>
    </row>
    <row r="87" spans="1:22" s="58" customFormat="1" ht="12.75" customHeight="1" x14ac:dyDescent="0.25">
      <c r="A87" s="57" t="str">
        <f>'[1]QTD Mgmt Summary'!A84</f>
        <v>U.S. Drift</v>
      </c>
      <c r="B87" s="10"/>
      <c r="C87" s="51">
        <v>0</v>
      </c>
      <c r="D87" s="30">
        <v>0</v>
      </c>
      <c r="E87" s="22">
        <v>0</v>
      </c>
      <c r="F87" s="27">
        <v>0</v>
      </c>
      <c r="G87" s="29">
        <f>SUM(C87:F87)</f>
        <v>0</v>
      </c>
      <c r="H87" s="99">
        <v>0</v>
      </c>
      <c r="I87" s="28">
        <f>H87-G87</f>
        <v>0</v>
      </c>
    </row>
    <row r="88" spans="1:22" s="58" customFormat="1" ht="12.75" customHeight="1" x14ac:dyDescent="0.25">
      <c r="A88" s="57" t="str">
        <f>'[1]QTD Mgmt Summary'!A85</f>
        <v>Facility Costs</v>
      </c>
      <c r="B88" s="10"/>
      <c r="C88" s="29">
        <v>0</v>
      </c>
      <c r="D88" s="30">
        <v>0</v>
      </c>
      <c r="E88" s="22">
        <v>0</v>
      </c>
      <c r="F88" s="27"/>
      <c r="G88" s="29">
        <f>SUM(C88:F88)</f>
        <v>0</v>
      </c>
      <c r="H88" s="99">
        <v>0</v>
      </c>
      <c r="I88" s="28">
        <f>H88-G88</f>
        <v>0</v>
      </c>
    </row>
    <row r="89" spans="1:22" ht="12.75" customHeight="1" thickBot="1" x14ac:dyDescent="0.3">
      <c r="A89" s="57" t="str">
        <f>'[1]QTD Mgmt Summary'!A86</f>
        <v>Capital Charge Offset</v>
      </c>
      <c r="B89" s="10"/>
      <c r="C89" s="29">
        <f>-C69</f>
        <v>-99933</v>
      </c>
      <c r="D89" s="30">
        <f>-D69</f>
        <v>-70492</v>
      </c>
      <c r="E89" s="30">
        <f>-E69</f>
        <v>-48794.635000000002</v>
      </c>
      <c r="F89" s="30">
        <f>-F69</f>
        <v>-57444</v>
      </c>
      <c r="G89" s="26">
        <f>SUM(C89:F89)</f>
        <v>-276663.63500000001</v>
      </c>
      <c r="H89" s="104">
        <f>-H69</f>
        <v>-324322</v>
      </c>
      <c r="I89" s="28">
        <f>H89-G89</f>
        <v>-47658.364999999991</v>
      </c>
    </row>
    <row r="90" spans="1:22" s="48" customFormat="1" ht="12.75" customHeight="1" thickBot="1" x14ac:dyDescent="0.25">
      <c r="A90" s="33" t="s">
        <v>42</v>
      </c>
      <c r="B90" s="34"/>
      <c r="C90" s="35">
        <f>C69+C85+C86+C87+C88+C89</f>
        <v>0</v>
      </c>
      <c r="D90" s="36">
        <f>D69+D85+D86+D87+D88+D89</f>
        <v>0</v>
      </c>
      <c r="E90" s="36">
        <f>E69+E85+E86+E87+E88+E89</f>
        <v>0</v>
      </c>
      <c r="F90" s="47">
        <f>F69+F85+F86+F87+F88+F89</f>
        <v>0</v>
      </c>
      <c r="G90" s="36">
        <f>G69+G85+G86+G87+G88+G89</f>
        <v>0</v>
      </c>
      <c r="H90" s="100">
        <f>SUM(H86:H89)+H85+H69</f>
        <v>0</v>
      </c>
      <c r="I90" s="47">
        <f>G90-H90</f>
        <v>0</v>
      </c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</row>
    <row r="91" spans="1:22" ht="3" customHeight="1" x14ac:dyDescent="0.25">
      <c r="A91" s="59"/>
      <c r="B91" s="74"/>
      <c r="C91" s="75"/>
      <c r="D91" s="76"/>
      <c r="E91" s="77"/>
      <c r="F91" s="79"/>
      <c r="G91" s="78"/>
      <c r="H91" s="108"/>
      <c r="I91" s="79"/>
    </row>
    <row r="92" spans="1:22" ht="13.5" thickBot="1" x14ac:dyDescent="0.3">
      <c r="A92" s="50" t="s">
        <v>27</v>
      </c>
      <c r="B92" s="74"/>
      <c r="C92" s="23"/>
      <c r="D92" s="22"/>
      <c r="E92" s="22"/>
      <c r="F92" s="24"/>
      <c r="G92" s="81">
        <f>SUM(C92:F92)</f>
        <v>0</v>
      </c>
      <c r="H92" s="99">
        <v>0</v>
      </c>
      <c r="I92" s="28">
        <f>H92-G92</f>
        <v>0</v>
      </c>
      <c r="J92" s="60"/>
    </row>
    <row r="93" spans="1:22" ht="14.25" thickBot="1" x14ac:dyDescent="0.3">
      <c r="A93" s="33" t="s">
        <v>28</v>
      </c>
      <c r="B93" s="135"/>
      <c r="C93" s="82">
        <f t="shared" ref="C93:I93" si="17">C90+C92</f>
        <v>0</v>
      </c>
      <c r="D93" s="83">
        <f t="shared" si="17"/>
        <v>0</v>
      </c>
      <c r="E93" s="83">
        <f t="shared" si="17"/>
        <v>0</v>
      </c>
      <c r="F93" s="84">
        <f t="shared" si="17"/>
        <v>0</v>
      </c>
      <c r="G93" s="85">
        <f t="shared" si="17"/>
        <v>0</v>
      </c>
      <c r="H93" s="115">
        <f t="shared" si="17"/>
        <v>0</v>
      </c>
      <c r="I93" s="86">
        <f t="shared" si="17"/>
        <v>0</v>
      </c>
      <c r="J93" s="60"/>
    </row>
    <row r="96" spans="1:22" x14ac:dyDescent="0.25">
      <c r="A96" s="15" t="s">
        <v>24</v>
      </c>
    </row>
  </sheetData>
  <mergeCells count="7">
    <mergeCell ref="A2:I2"/>
    <mergeCell ref="A3:I3"/>
    <mergeCell ref="A4:I4"/>
    <mergeCell ref="C7:F8"/>
    <mergeCell ref="G7:I8"/>
    <mergeCell ref="A7:A8"/>
    <mergeCell ref="A5:I5"/>
  </mergeCells>
  <phoneticPr fontId="0" type="noConversion"/>
  <printOptions horizontalCentered="1"/>
  <pageMargins left="0.25" right="0.25" top="0.2" bottom="0.16" header="0.17" footer="0.18"/>
  <pageSetup paperSize="5" scale="82" orientation="portrait" r:id="rId1"/>
  <headerFooter alignWithMargins="0">
    <oddFooter>&amp;L&amp;D&amp;T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A10" sqref="A10"/>
    </sheetView>
  </sheetViews>
  <sheetFormatPr defaultRowHeight="12.75" x14ac:dyDescent="0.2"/>
  <cols>
    <col min="9" max="9" width="10.85546875" customWidth="1"/>
  </cols>
  <sheetData>
    <row r="1" spans="1:16" s="3" customFormat="1" ht="15.75" customHeight="1" x14ac:dyDescent="0.3">
      <c r="A1" s="137" t="s">
        <v>50</v>
      </c>
      <c r="B1" s="137"/>
      <c r="C1" s="137"/>
      <c r="D1" s="137"/>
      <c r="E1" s="137"/>
      <c r="F1" s="137"/>
      <c r="G1" s="137"/>
      <c r="H1" s="137"/>
      <c r="I1" s="137"/>
      <c r="J1" s="72"/>
      <c r="K1" s="72"/>
      <c r="L1" s="72"/>
      <c r="M1" s="72"/>
      <c r="N1" s="72"/>
      <c r="P1" s="71"/>
    </row>
    <row r="2" spans="1:16" s="3" customFormat="1" ht="15.75" customHeight="1" x14ac:dyDescent="0.3">
      <c r="A2" s="137" t="s">
        <v>25</v>
      </c>
      <c r="B2" s="137"/>
      <c r="C2" s="137"/>
      <c r="D2" s="137"/>
      <c r="E2" s="137"/>
      <c r="F2" s="137"/>
      <c r="G2" s="137"/>
      <c r="H2" s="137"/>
      <c r="I2" s="137"/>
      <c r="J2" s="72"/>
      <c r="K2" s="72"/>
      <c r="L2" s="72"/>
      <c r="M2" s="72"/>
      <c r="N2" s="72"/>
      <c r="P2" s="71"/>
    </row>
    <row r="4" spans="1:16" x14ac:dyDescent="0.2">
      <c r="B4" s="134" t="s">
        <v>53</v>
      </c>
    </row>
    <row r="6" spans="1:16" x14ac:dyDescent="0.2">
      <c r="B6" s="134" t="s">
        <v>51</v>
      </c>
    </row>
    <row r="8" spans="1:16" x14ac:dyDescent="0.2">
      <c r="B8" s="134" t="s">
        <v>52</v>
      </c>
    </row>
  </sheetData>
  <mergeCells count="2">
    <mergeCell ref="A2:I2"/>
    <mergeCell ref="A1:I1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EBIT</vt:lpstr>
      <vt:lpstr>GrossMargin</vt:lpstr>
      <vt:lpstr>Expenses</vt:lpstr>
      <vt:lpstr>Cap Charge</vt:lpstr>
      <vt:lpstr>Explanations</vt:lpstr>
      <vt:lpstr>'Cap Charge'!Print_Area</vt:lpstr>
      <vt:lpstr>EBIT!Print_Area</vt:lpstr>
      <vt:lpstr>Expenses!Print_Area</vt:lpstr>
      <vt:lpstr>GrossMargin!Print_Area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mday</dc:creator>
  <cp:lastModifiedBy>Jan Havlíček</cp:lastModifiedBy>
  <cp:lastPrinted>2001-10-10T17:34:29Z</cp:lastPrinted>
  <dcterms:created xsi:type="dcterms:W3CDTF">2001-08-17T14:55:20Z</dcterms:created>
  <dcterms:modified xsi:type="dcterms:W3CDTF">2023-09-16T22:02:59Z</dcterms:modified>
</cp:coreProperties>
</file>