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8F5C27-F377-41D1-8260-4AB39AFE7F0E}" xr6:coauthVersionLast="47" xr6:coauthVersionMax="47" xr10:uidLastSave="{00000000-0000-0000-0000-000000000000}"/>
  <bookViews>
    <workbookView xWindow="-120" yWindow="-120" windowWidth="38640" windowHeight="1572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" sheetId="86" r:id="rId12"/>
    <sheet name="Mexico" sheetId="84" r:id="rId13"/>
    <sheet name="Crude" sheetId="69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East Power Trading" sheetId="51" r:id="rId23"/>
    <sheet name="East Power Origination" sheetId="53" r:id="rId24"/>
    <sheet name="West Power Trading" sheetId="90" r:id="rId25"/>
    <sheet name="West Power Origination" sheetId="92" r:id="rId26"/>
    <sheet name="Canada Trading" sheetId="61" r:id="rId27"/>
    <sheet name="Canada Origination" sheetId="62" r:id="rId28"/>
    <sheet name="Office of the Chair" sheetId="21" r:id="rId29"/>
    <sheet name="East Power A&amp;A" sheetId="54" r:id="rId30"/>
    <sheet name="Gas A&amp;A" sheetId="98" r:id="rId31"/>
    <sheet name="West Power A&amp;A" sheetId="91" r:id="rId32"/>
    <sheet name="Canada A&amp;A" sheetId="63" r:id="rId33"/>
    <sheet name="Natural Gas Admin" sheetId="50" r:id="rId34"/>
    <sheet name="East Power Admins" sheetId="55" r:id="rId35"/>
    <sheet name="West Power Admins" sheetId="93" r:id="rId36"/>
    <sheet name="Canada" sheetId="5" state="hidden" r:id="rId37"/>
    <sheet name="Canada Admins" sheetId="64" state="hidden" r:id="rId38"/>
    <sheet name="Fin Ops" sheetId="7" r:id="rId39"/>
    <sheet name="Cash Ops" sheetId="8" r:id="rId40"/>
    <sheet name="SAP" sheetId="15" state="hidden" r:id="rId41"/>
    <sheet name="Tax" sheetId="6" r:id="rId42"/>
    <sheet name="Reg Affairs" sheetId="9" r:id="rId43"/>
    <sheet name="Credit" sheetId="12" r:id="rId44"/>
    <sheet name="Research" sheetId="31" state="hidden" r:id="rId45"/>
    <sheet name="Mkt Risk" sheetId="11" r:id="rId46"/>
    <sheet name="EOPs" sheetId="28" r:id="rId47"/>
    <sheet name="HR" sheetId="13" r:id="rId48"/>
    <sheet name="IT Dev-EOL" sheetId="42" r:id="rId49"/>
    <sheet name="IT Infra" sheetId="16" r:id="rId50"/>
    <sheet name="EOL Support" sheetId="19" r:id="rId51"/>
    <sheet name="Canada Support" sheetId="14" r:id="rId52"/>
    <sheet name="Legal" sheetId="20" r:id="rId53"/>
    <sheet name="Fundies-All" sheetId="41" r:id="rId54"/>
    <sheet name="Struct" sheetId="40" r:id="rId55"/>
    <sheet name="Weather" sheetId="30" r:id="rId56"/>
    <sheet name="IT Dev" sheetId="17" state="hidden" r:id="rId57"/>
    <sheet name="IT EOL" sheetId="18" state="hidden" r:id="rId58"/>
    <sheet name="IT All" sheetId="43" state="hidden" r:id="rId59"/>
    <sheet name="Fundies-Hou" sheetId="29" r:id="rId60"/>
    <sheet name="Competitive Ana" sheetId="10" r:id="rId61"/>
    <sheet name="Gas - Fund" sheetId="34" r:id="rId62"/>
    <sheet name="East - Fund" sheetId="38" r:id="rId63"/>
    <sheet name="West - Fund" sheetId="36" r:id="rId64"/>
    <sheet name="West - Struct" sheetId="37" state="hidden" r:id="rId65"/>
    <sheet name="Gas - Struct" sheetId="35" state="hidden" r:id="rId66"/>
    <sheet name="East - Struct" sheetId="39" state="hidden" r:id="rId67"/>
  </sheets>
  <externalReferences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36">Canada!$B$1:$L$39</definedName>
    <definedName name="_xlnm.Print_Area" localSheetId="32">'Canada A&amp;A'!$B$1:$L$39</definedName>
    <definedName name="_xlnm.Print_Area" localSheetId="37">'Canada Admins'!$B$1:$L$39</definedName>
    <definedName name="_xlnm.Print_Area" localSheetId="27">'Canada Origination'!$B$1:$L$39</definedName>
    <definedName name="_xlnm.Print_Area" localSheetId="51">'Canada Support'!$A$1:$N$51</definedName>
    <definedName name="_xlnm.Print_Area" localSheetId="26">'Canada Trading'!$B$1:$L$39</definedName>
    <definedName name="_xlnm.Print_Area" localSheetId="39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60">'Competitive Ana'!$B$1:$L$43</definedName>
    <definedName name="_xlnm.Print_Area" localSheetId="43">Credit!$A$1:$M$40</definedName>
    <definedName name="_xlnm.Print_Area" localSheetId="13">Crude!$B$1:$L$34</definedName>
    <definedName name="_xlnm.Print_Area" localSheetId="18">'Derivatives AA'!$B$1:$L$40</definedName>
    <definedName name="_xlnm.Print_Area" localSheetId="11">'Derivatives w-o  AA'!$B$1:$L$40</definedName>
    <definedName name="_xlnm.Print_Area" localSheetId="62">'East - Fund'!$B$1:$H$29</definedName>
    <definedName name="_xlnm.Print_Area" localSheetId="8">'East - Orig'!$B$1:$L$34</definedName>
    <definedName name="_xlnm.Print_Area" localSheetId="66">'East - Struct'!$B$1:$H$29</definedName>
    <definedName name="_xlnm.Print_Area" localSheetId="21">'East Power'!$B$1:$H$29</definedName>
    <definedName name="_xlnm.Print_Area" localSheetId="29">'East Power A&amp;A'!$B$1:$H$29</definedName>
    <definedName name="_xlnm.Print_Area" localSheetId="34">'East Power Admins'!$B$1:$H$29</definedName>
    <definedName name="_xlnm.Print_Area" localSheetId="23">'East Power Origination'!$B$1:$H$29</definedName>
    <definedName name="_xlnm.Print_Area" localSheetId="22">'East Power Trading'!$B$1:$H$29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50">'EOL Support'!$A$1:$P$39</definedName>
    <definedName name="_xlnm.Print_Area" localSheetId="46">EOPs!$A$1:$M$39</definedName>
    <definedName name="_xlnm.Print_Area" localSheetId="38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53">'Fundies-All'!$B$1:$L$34</definedName>
    <definedName name="_xlnm.Print_Area" localSheetId="59">'Fundies-Hou'!$B$1:$L$34</definedName>
    <definedName name="_xlnm.Print_Area" localSheetId="61">'Gas - Fund'!$B$1:$L$34</definedName>
    <definedName name="_xlnm.Print_Area" localSheetId="65">'Gas - Struct'!$B$1:$L$34</definedName>
    <definedName name="_xlnm.Print_Area" localSheetId="30">'Gas A&amp;A'!$B$1:$L$34</definedName>
    <definedName name="_xlnm.Print_Area" localSheetId="47">HR!$B$1:$L$40</definedName>
    <definedName name="_xlnm.Print_Area" localSheetId="58">'IT All'!$B$1:$O$49</definedName>
    <definedName name="_xlnm.Print_Area" localSheetId="56">'IT Dev'!$B$1:$O$49</definedName>
    <definedName name="_xlnm.Print_Area" localSheetId="48">'IT Dev-EOL'!$B$1:$O$49</definedName>
    <definedName name="_xlnm.Print_Area" localSheetId="57">'IT EOL'!$B$1:$M$39</definedName>
    <definedName name="_xlnm.Print_Area" localSheetId="49">'IT Infra'!$B$1:$R$46</definedName>
    <definedName name="_xlnm.Print_Area" localSheetId="52">Legal!$B$1:$F$29</definedName>
    <definedName name="_xlnm.Print_Area" localSheetId="12">Mexico!$B$1:$L$34</definedName>
    <definedName name="_xlnm.Print_Area" localSheetId="45">'Mkt Risk'!$B$1:$M$41</definedName>
    <definedName name="_xlnm.Print_Area" localSheetId="33">'Natural Gas Admin'!$B$1:$L$34</definedName>
    <definedName name="_xlnm.Print_Area" localSheetId="28">'Office of the Chair'!$B$1:$M$40</definedName>
    <definedName name="_xlnm.Print_Area" localSheetId="42">'Reg Affairs'!$B$1:$L$39</definedName>
    <definedName name="_xlnm.Print_Area" localSheetId="44">Research!$B$1:$M$41</definedName>
    <definedName name="_xlnm.Print_Area" localSheetId="40">SAP!$B$1:$M$40</definedName>
    <definedName name="_xlnm.Print_Area" localSheetId="54">Struct!$B$1:$O$35</definedName>
    <definedName name="_xlnm.Print_Area" localSheetId="1">'Summary 2002'!$A$1:$T$89</definedName>
    <definedName name="_xlnm.Print_Area" localSheetId="0">'Summary 2002 Revised'!$A$1:$T$124</definedName>
    <definedName name="_xlnm.Print_Area" localSheetId="41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5">Weather!$B$1:$L$34</definedName>
    <definedName name="_xlnm.Print_Area" localSheetId="63">'West - Fund'!$B$1:$O$35</definedName>
    <definedName name="_xlnm.Print_Area" localSheetId="10">'West - Orig'!$B$1:$L$34</definedName>
    <definedName name="_xlnm.Print_Area" localSheetId="64">'West - Struct'!$B$1:$O$35</definedName>
    <definedName name="_xlnm.Print_Area" localSheetId="31">'West Power A&amp;A'!$B$1:$G$35</definedName>
    <definedName name="_xlnm.Print_Area" localSheetId="35">'West Power Admins'!$B$1:$U$35</definedName>
    <definedName name="_xlnm.Print_Area" localSheetId="25">'West Power Origination'!$B$1:$V$35</definedName>
    <definedName name="_xlnm.Print_Area" localSheetId="24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36" hidden="1">Main.SAPF4Help()</definedName>
    <definedName name="SAPFuncF4Help" localSheetId="32" hidden="1">Main.SAPF4Help()</definedName>
    <definedName name="SAPFuncF4Help" localSheetId="37" hidden="1">Main.SAPF4Help()</definedName>
    <definedName name="SAPFuncF4Help" localSheetId="27" hidden="1">Main.SAPF4Help()</definedName>
    <definedName name="SAPFuncF4Help" localSheetId="51" hidden="1">Main.SAPF4Help()</definedName>
    <definedName name="SAPFuncF4Help" localSheetId="26" hidden="1">Main.SAPF4Help()</definedName>
    <definedName name="SAPFuncF4Help" localSheetId="39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60" hidden="1">Main.SAPF4Help()</definedName>
    <definedName name="SAPFuncF4Help" localSheetId="43" hidden="1">Main.SAPF4Help()</definedName>
    <definedName name="SAPFuncF4Help" localSheetId="13" hidden="1">Main.SAPF4Help()</definedName>
    <definedName name="SAPFuncF4Help" localSheetId="18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34" hidden="1">Main.SAPF4Help()</definedName>
    <definedName name="SAPFuncF4Help" localSheetId="23" hidden="1">Main.SAPF4Help()</definedName>
    <definedName name="SAPFuncF4Help" localSheetId="22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50" hidden="1">Main.SAPF4Help()</definedName>
    <definedName name="SAPFuncF4Help" localSheetId="46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53" hidden="1">Main.SAPF4Help()</definedName>
    <definedName name="SAPFuncF4Help" localSheetId="59" hidden="1">Main.SAPF4Help()</definedName>
    <definedName name="SAPFuncF4Help" localSheetId="61" hidden="1">Main.SAPF4Help()</definedName>
    <definedName name="SAPFuncF4Help" localSheetId="30" hidden="1">Main.SAPF4Help()</definedName>
    <definedName name="SAPFuncF4Help" localSheetId="47" hidden="1">Main.SAPF4Help()</definedName>
    <definedName name="SAPFuncF4Help" localSheetId="58" hidden="1">Main.SAPF4Help()</definedName>
    <definedName name="SAPFuncF4Help" localSheetId="56" hidden="1">Main.SAPF4Help()</definedName>
    <definedName name="SAPFuncF4Help" localSheetId="48" hidden="1">Main.SAPF4Help()</definedName>
    <definedName name="SAPFuncF4Help" localSheetId="57" hidden="1">Main.SAPF4Help()</definedName>
    <definedName name="SAPFuncF4Help" localSheetId="49" hidden="1">Main.SAPF4Help()</definedName>
    <definedName name="SAPFuncF4Help" localSheetId="52" hidden="1">Main.SAPF4Help()</definedName>
    <definedName name="SAPFuncF4Help" localSheetId="12" hidden="1">Main.SAPF4Help()</definedName>
    <definedName name="SAPFuncF4Help" localSheetId="45" hidden="1">Main.SAPF4Help()</definedName>
    <definedName name="SAPFuncF4Help" localSheetId="33" hidden="1">Main.SAPF4Help()</definedName>
    <definedName name="SAPFuncF4Help" localSheetId="28" hidden="1">Main.SAPF4Help()</definedName>
    <definedName name="SAPFuncF4Help" localSheetId="42" hidden="1">Main.SAPF4Help()</definedName>
    <definedName name="SAPFuncF4Help" localSheetId="44" hidden="1">Main.SAPF4Help()</definedName>
    <definedName name="SAPFuncF4Help" localSheetId="40" hidden="1">Main.SAPF4Help()</definedName>
    <definedName name="SAPFuncF4Help" localSheetId="54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41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5" hidden="1">Main.SAPF4Help()</definedName>
    <definedName name="SAPFuncF4Help" localSheetId="63" hidden="1">Main.SAPF4Help()</definedName>
    <definedName name="SAPFuncF4Help" localSheetId="10" hidden="1">Main.SAPF4Help()</definedName>
    <definedName name="SAPFuncF4Help" localSheetId="64" hidden="1">Main.SAPF4Help()</definedName>
    <definedName name="SAPFuncF4Help" localSheetId="31" hidden="1">Main.SAPF4Help()</definedName>
    <definedName name="SAPFuncF4Help" localSheetId="35" hidden="1">Main.SAPF4Help()</definedName>
    <definedName name="SAPFuncF4Help" localSheetId="25" hidden="1">Main.SAPF4Help()</definedName>
    <definedName name="SAPFuncF4Help" localSheetId="24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70"/>
  <c r="C8" i="70"/>
  <c r="E8" i="70"/>
  <c r="G8" i="70"/>
  <c r="H8" i="70"/>
  <c r="L8" i="70"/>
  <c r="C9" i="70"/>
  <c r="G9" i="70"/>
  <c r="C10" i="70"/>
  <c r="E10" i="70"/>
  <c r="G10" i="70"/>
  <c r="H10" i="70"/>
  <c r="C11" i="70"/>
  <c r="E11" i="70"/>
  <c r="G11" i="70"/>
  <c r="H11" i="70"/>
  <c r="J11" i="70"/>
  <c r="K11" i="70"/>
  <c r="L11" i="70"/>
  <c r="C12" i="70"/>
  <c r="E12" i="70"/>
  <c r="G12" i="70"/>
  <c r="H12" i="70"/>
  <c r="C13" i="70"/>
  <c r="E13" i="70"/>
  <c r="G13" i="70"/>
  <c r="H13" i="70"/>
  <c r="L13" i="70"/>
  <c r="C14" i="70"/>
  <c r="E14" i="70"/>
  <c r="G14" i="70"/>
  <c r="H14" i="70"/>
  <c r="C15" i="70"/>
  <c r="E15" i="70"/>
  <c r="G15" i="70"/>
  <c r="H15" i="70"/>
  <c r="C16" i="70"/>
  <c r="E16" i="70"/>
  <c r="G16" i="70"/>
  <c r="H16" i="70"/>
  <c r="K16" i="70"/>
  <c r="L16" i="70"/>
  <c r="C17" i="70"/>
  <c r="E17" i="70"/>
  <c r="G17" i="70"/>
  <c r="H17" i="70"/>
  <c r="L17" i="70"/>
  <c r="C18" i="70"/>
  <c r="E18" i="70"/>
  <c r="G18" i="70"/>
  <c r="H18" i="70"/>
  <c r="L18" i="70"/>
  <c r="C19" i="70"/>
  <c r="E19" i="70"/>
  <c r="G19" i="70"/>
  <c r="L19" i="70"/>
  <c r="C20" i="70"/>
  <c r="E20" i="70"/>
  <c r="G20" i="70"/>
  <c r="H20" i="70"/>
  <c r="L20" i="70"/>
  <c r="C21" i="70"/>
  <c r="E21" i="70"/>
  <c r="G21" i="70"/>
  <c r="H21" i="70"/>
  <c r="L21" i="70"/>
  <c r="C22" i="70"/>
  <c r="E22" i="70"/>
  <c r="G22" i="70"/>
  <c r="L22" i="70"/>
  <c r="C23" i="70"/>
  <c r="E23" i="70"/>
  <c r="G23" i="70"/>
  <c r="H23" i="70"/>
  <c r="K23" i="70"/>
  <c r="L23" i="70"/>
  <c r="K24" i="70"/>
  <c r="L24" i="70"/>
  <c r="E25" i="70"/>
  <c r="H25" i="70"/>
  <c r="L25" i="70"/>
  <c r="L26" i="70"/>
  <c r="E27" i="70"/>
  <c r="H27" i="70"/>
  <c r="L27" i="70"/>
  <c r="K28" i="70"/>
  <c r="L28" i="70"/>
  <c r="E29" i="70"/>
  <c r="H29" i="70"/>
  <c r="L30" i="70"/>
  <c r="H34" i="70"/>
  <c r="I34" i="70"/>
  <c r="J34" i="70"/>
  <c r="K34" i="70"/>
  <c r="L34" i="70"/>
  <c r="B1" i="74"/>
  <c r="C8" i="74"/>
  <c r="E8" i="74"/>
  <c r="G8" i="74"/>
  <c r="H8" i="74"/>
  <c r="L8" i="74"/>
  <c r="C9" i="74"/>
  <c r="G9" i="74"/>
  <c r="C10" i="74"/>
  <c r="E10" i="74"/>
  <c r="G10" i="74"/>
  <c r="H10" i="74"/>
  <c r="C11" i="74"/>
  <c r="E11" i="74"/>
  <c r="G11" i="74"/>
  <c r="H11" i="74"/>
  <c r="J11" i="74"/>
  <c r="K11" i="74"/>
  <c r="L11" i="74"/>
  <c r="C12" i="74"/>
  <c r="E12" i="74"/>
  <c r="G12" i="74"/>
  <c r="H12" i="74"/>
  <c r="C13" i="74"/>
  <c r="E13" i="74"/>
  <c r="G13" i="74"/>
  <c r="L13" i="74"/>
  <c r="C14" i="74"/>
  <c r="E14" i="74"/>
  <c r="G14" i="74"/>
  <c r="H14" i="74"/>
  <c r="C15" i="74"/>
  <c r="E15" i="74"/>
  <c r="G15" i="74"/>
  <c r="H15" i="74"/>
  <c r="C16" i="74"/>
  <c r="E16" i="74"/>
  <c r="G16" i="74"/>
  <c r="H16" i="74"/>
  <c r="K16" i="74"/>
  <c r="L16" i="74"/>
  <c r="C17" i="74"/>
  <c r="E17" i="74"/>
  <c r="G17" i="74"/>
  <c r="H17" i="74"/>
  <c r="L17" i="74"/>
  <c r="C18" i="74"/>
  <c r="E18" i="74"/>
  <c r="G18" i="74"/>
  <c r="H18" i="74"/>
  <c r="L18" i="74"/>
  <c r="C19" i="74"/>
  <c r="E19" i="74"/>
  <c r="G19" i="74"/>
  <c r="H19" i="74"/>
  <c r="L19" i="74"/>
  <c r="C20" i="74"/>
  <c r="E20" i="74"/>
  <c r="G20" i="74"/>
  <c r="H20" i="74"/>
  <c r="L20" i="74"/>
  <c r="C21" i="74"/>
  <c r="E21" i="74"/>
  <c r="G21" i="74"/>
  <c r="H21" i="74"/>
  <c r="L21" i="74"/>
  <c r="C22" i="74"/>
  <c r="E22" i="74"/>
  <c r="G22" i="74"/>
  <c r="L22" i="74"/>
  <c r="C23" i="74"/>
  <c r="E23" i="74"/>
  <c r="G23" i="74"/>
  <c r="H23" i="74"/>
  <c r="L23" i="74"/>
  <c r="L24" i="74"/>
  <c r="E25" i="74"/>
  <c r="H25" i="74"/>
  <c r="L25" i="74"/>
  <c r="L26" i="74"/>
  <c r="E27" i="74"/>
  <c r="H27" i="74"/>
  <c r="L27" i="74"/>
  <c r="K28" i="74"/>
  <c r="L28" i="74"/>
  <c r="E29" i="74"/>
  <c r="H29" i="74"/>
  <c r="L30" i="74"/>
  <c r="H34" i="74"/>
  <c r="I34" i="74"/>
  <c r="J34" i="74"/>
  <c r="K34" i="74"/>
  <c r="L34" i="74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69"/>
  <c r="C8" i="69"/>
  <c r="E8" i="69"/>
  <c r="G8" i="69"/>
  <c r="H8" i="69"/>
  <c r="L8" i="69"/>
  <c r="C9" i="69"/>
  <c r="G9" i="69"/>
  <c r="C10" i="69"/>
  <c r="E10" i="69"/>
  <c r="G10" i="69"/>
  <c r="H10" i="69"/>
  <c r="C11" i="69"/>
  <c r="E11" i="69"/>
  <c r="G11" i="69"/>
  <c r="H11" i="69"/>
  <c r="J11" i="69"/>
  <c r="K11" i="69"/>
  <c r="L11" i="69"/>
  <c r="C12" i="69"/>
  <c r="E12" i="69"/>
  <c r="G12" i="69"/>
  <c r="H12" i="69"/>
  <c r="C13" i="69"/>
  <c r="E13" i="69"/>
  <c r="G13" i="69"/>
  <c r="H13" i="69"/>
  <c r="L13" i="69"/>
  <c r="C14" i="69"/>
  <c r="E14" i="69"/>
  <c r="G14" i="69"/>
  <c r="H14" i="69"/>
  <c r="C15" i="69"/>
  <c r="E15" i="69"/>
  <c r="G15" i="69"/>
  <c r="H15" i="69"/>
  <c r="C16" i="69"/>
  <c r="E16" i="69"/>
  <c r="G16" i="69"/>
  <c r="H16" i="69"/>
  <c r="K16" i="69"/>
  <c r="L16" i="69"/>
  <c r="C17" i="69"/>
  <c r="E17" i="69"/>
  <c r="G17" i="69"/>
  <c r="H17" i="69"/>
  <c r="L17" i="69"/>
  <c r="C18" i="69"/>
  <c r="E18" i="69"/>
  <c r="G18" i="69"/>
  <c r="H18" i="69"/>
  <c r="L18" i="69"/>
  <c r="C19" i="69"/>
  <c r="E19" i="69"/>
  <c r="G19" i="69"/>
  <c r="H19" i="69"/>
  <c r="L19" i="69"/>
  <c r="C20" i="69"/>
  <c r="E20" i="69"/>
  <c r="G20" i="69"/>
  <c r="H20" i="69"/>
  <c r="L20" i="69"/>
  <c r="C21" i="69"/>
  <c r="E21" i="69"/>
  <c r="G21" i="69"/>
  <c r="H21" i="69"/>
  <c r="L21" i="69"/>
  <c r="C22" i="69"/>
  <c r="E22" i="69"/>
  <c r="G22" i="69"/>
  <c r="L22" i="69"/>
  <c r="C23" i="69"/>
  <c r="E23" i="69"/>
  <c r="G23" i="69"/>
  <c r="H23" i="69"/>
  <c r="L23" i="69"/>
  <c r="L24" i="69"/>
  <c r="E25" i="69"/>
  <c r="H25" i="69"/>
  <c r="L25" i="69"/>
  <c r="L26" i="69"/>
  <c r="E27" i="69"/>
  <c r="H27" i="69"/>
  <c r="L27" i="69"/>
  <c r="K28" i="69"/>
  <c r="L28" i="69"/>
  <c r="E29" i="69"/>
  <c r="H29" i="69"/>
  <c r="L30" i="69"/>
  <c r="H34" i="69"/>
  <c r="I34" i="69"/>
  <c r="J34" i="69"/>
  <c r="K34" i="69"/>
  <c r="L34" i="69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87"/>
  <c r="C8" i="87"/>
  <c r="E8" i="87"/>
  <c r="G8" i="87"/>
  <c r="L8" i="87"/>
  <c r="C9" i="87"/>
  <c r="G9" i="87"/>
  <c r="C10" i="87"/>
  <c r="E10" i="87"/>
  <c r="G10" i="87"/>
  <c r="C11" i="87"/>
  <c r="E11" i="87"/>
  <c r="G11" i="87"/>
  <c r="J11" i="87"/>
  <c r="K11" i="87"/>
  <c r="L11" i="87"/>
  <c r="C12" i="87"/>
  <c r="E12" i="87"/>
  <c r="G12" i="87"/>
  <c r="C13" i="87"/>
  <c r="E13" i="87"/>
  <c r="G13" i="87"/>
  <c r="L13" i="87"/>
  <c r="C14" i="87"/>
  <c r="E14" i="87"/>
  <c r="G14" i="87"/>
  <c r="C15" i="87"/>
  <c r="E15" i="87"/>
  <c r="G15" i="87"/>
  <c r="C16" i="87"/>
  <c r="E16" i="87"/>
  <c r="G16" i="87"/>
  <c r="K16" i="87"/>
  <c r="L16" i="87"/>
  <c r="C17" i="87"/>
  <c r="E17" i="87"/>
  <c r="G17" i="87"/>
  <c r="L17" i="87"/>
  <c r="C18" i="87"/>
  <c r="E18" i="87"/>
  <c r="G18" i="87"/>
  <c r="L18" i="87"/>
  <c r="C19" i="87"/>
  <c r="E19" i="87"/>
  <c r="G19" i="87"/>
  <c r="L19" i="87"/>
  <c r="C20" i="87"/>
  <c r="E20" i="87"/>
  <c r="G20" i="87"/>
  <c r="L20" i="87"/>
  <c r="C21" i="87"/>
  <c r="E21" i="87"/>
  <c r="G21" i="87"/>
  <c r="L21" i="87"/>
  <c r="C22" i="87"/>
  <c r="E22" i="87"/>
  <c r="G22" i="87"/>
  <c r="L22" i="87"/>
  <c r="C23" i="87"/>
  <c r="E23" i="87"/>
  <c r="G23" i="87"/>
  <c r="H23" i="87"/>
  <c r="L23" i="87"/>
  <c r="K24" i="87"/>
  <c r="L24" i="87"/>
  <c r="E25" i="87"/>
  <c r="H25" i="87"/>
  <c r="L25" i="87"/>
  <c r="L26" i="87"/>
  <c r="E27" i="87"/>
  <c r="H27" i="87"/>
  <c r="L27" i="87"/>
  <c r="K28" i="87"/>
  <c r="L28" i="87"/>
  <c r="E29" i="87"/>
  <c r="H29" i="87"/>
  <c r="L30" i="87"/>
  <c r="H34" i="87"/>
  <c r="I34" i="87"/>
  <c r="J34" i="87"/>
  <c r="K34" i="87"/>
  <c r="L34" i="87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88"/>
  <c r="C8" i="88"/>
  <c r="E8" i="88"/>
  <c r="G8" i="88"/>
  <c r="L8" i="88"/>
  <c r="C9" i="88"/>
  <c r="G9" i="88"/>
  <c r="C10" i="88"/>
  <c r="E10" i="88"/>
  <c r="G10" i="88"/>
  <c r="C11" i="88"/>
  <c r="E11" i="88"/>
  <c r="G11" i="88"/>
  <c r="H11" i="88"/>
  <c r="J11" i="88"/>
  <c r="K11" i="88"/>
  <c r="L11" i="88"/>
  <c r="C12" i="88"/>
  <c r="E12" i="88"/>
  <c r="G12" i="88"/>
  <c r="C13" i="88"/>
  <c r="E13" i="88"/>
  <c r="G13" i="88"/>
  <c r="L13" i="88"/>
  <c r="C14" i="88"/>
  <c r="E14" i="88"/>
  <c r="G14" i="88"/>
  <c r="C15" i="88"/>
  <c r="E15" i="88"/>
  <c r="G15" i="88"/>
  <c r="C16" i="88"/>
  <c r="E16" i="88"/>
  <c r="G16" i="88"/>
  <c r="K16" i="88"/>
  <c r="L16" i="88"/>
  <c r="C17" i="88"/>
  <c r="E17" i="88"/>
  <c r="G17" i="88"/>
  <c r="L17" i="88"/>
  <c r="C18" i="88"/>
  <c r="E18" i="88"/>
  <c r="G18" i="88"/>
  <c r="L18" i="88"/>
  <c r="C19" i="88"/>
  <c r="E19" i="88"/>
  <c r="G19" i="88"/>
  <c r="L19" i="88"/>
  <c r="C20" i="88"/>
  <c r="E20" i="88"/>
  <c r="G20" i="88"/>
  <c r="L20" i="88"/>
  <c r="C21" i="88"/>
  <c r="E21" i="88"/>
  <c r="G21" i="88"/>
  <c r="L21" i="88"/>
  <c r="C22" i="88"/>
  <c r="E22" i="88"/>
  <c r="G22" i="88"/>
  <c r="L22" i="88"/>
  <c r="C23" i="88"/>
  <c r="E23" i="88"/>
  <c r="G23" i="88"/>
  <c r="H23" i="88"/>
  <c r="L23" i="88"/>
  <c r="L24" i="88"/>
  <c r="E25" i="88"/>
  <c r="H25" i="88"/>
  <c r="L25" i="88"/>
  <c r="L26" i="88"/>
  <c r="E27" i="88"/>
  <c r="L27" i="88"/>
  <c r="K28" i="88"/>
  <c r="L28" i="88"/>
  <c r="E29" i="88"/>
  <c r="H29" i="88"/>
  <c r="L30" i="88"/>
  <c r="H34" i="88"/>
  <c r="I34" i="88"/>
  <c r="J34" i="88"/>
  <c r="K34" i="88"/>
  <c r="L34" i="88"/>
  <c r="B1" i="19"/>
  <c r="C8" i="19"/>
  <c r="E8" i="19"/>
  <c r="G8" i="19"/>
  <c r="O8" i="19"/>
  <c r="E9" i="19"/>
  <c r="G9" i="19"/>
  <c r="M9" i="19"/>
  <c r="N9" i="19"/>
  <c r="O9" i="19"/>
  <c r="E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G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F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78"/>
  <c r="C8" i="78"/>
  <c r="E8" i="78"/>
  <c r="G8" i="78"/>
  <c r="H8" i="78"/>
  <c r="L8" i="78"/>
  <c r="C9" i="78"/>
  <c r="G9" i="78"/>
  <c r="C10" i="78"/>
  <c r="E10" i="78"/>
  <c r="G10" i="78"/>
  <c r="H10" i="78"/>
  <c r="C11" i="78"/>
  <c r="E11" i="78"/>
  <c r="G11" i="78"/>
  <c r="H11" i="78"/>
  <c r="J11" i="78"/>
  <c r="K11" i="78"/>
  <c r="L11" i="78"/>
  <c r="C12" i="78"/>
  <c r="E12" i="78"/>
  <c r="G12" i="78"/>
  <c r="H12" i="78"/>
  <c r="C13" i="78"/>
  <c r="E13" i="78"/>
  <c r="G13" i="78"/>
  <c r="H13" i="78"/>
  <c r="L13" i="78"/>
  <c r="C14" i="78"/>
  <c r="E14" i="78"/>
  <c r="G14" i="78"/>
  <c r="H14" i="78"/>
  <c r="C15" i="78"/>
  <c r="E15" i="78"/>
  <c r="G15" i="78"/>
  <c r="H15" i="78"/>
  <c r="C16" i="78"/>
  <c r="E16" i="78"/>
  <c r="G16" i="78"/>
  <c r="H16" i="78"/>
  <c r="K16" i="78"/>
  <c r="L16" i="78"/>
  <c r="C17" i="78"/>
  <c r="E17" i="78"/>
  <c r="G17" i="78"/>
  <c r="H17" i="78"/>
  <c r="L17" i="78"/>
  <c r="C18" i="78"/>
  <c r="E18" i="78"/>
  <c r="G18" i="78"/>
  <c r="H18" i="78"/>
  <c r="L18" i="78"/>
  <c r="C19" i="78"/>
  <c r="E19" i="78"/>
  <c r="G19" i="78"/>
  <c r="H19" i="78"/>
  <c r="L19" i="78"/>
  <c r="C20" i="78"/>
  <c r="E20" i="78"/>
  <c r="G20" i="78"/>
  <c r="H20" i="78"/>
  <c r="L20" i="78"/>
  <c r="C21" i="78"/>
  <c r="E21" i="78"/>
  <c r="G21" i="78"/>
  <c r="H21" i="78"/>
  <c r="L21" i="78"/>
  <c r="C22" i="78"/>
  <c r="E22" i="78"/>
  <c r="G22" i="78"/>
  <c r="L22" i="78"/>
  <c r="C23" i="78"/>
  <c r="E23" i="78"/>
  <c r="G23" i="78"/>
  <c r="H23" i="78"/>
  <c r="L23" i="78"/>
  <c r="L24" i="78"/>
  <c r="E25" i="78"/>
  <c r="H25" i="78"/>
  <c r="L25" i="78"/>
  <c r="L26" i="78"/>
  <c r="E27" i="78"/>
  <c r="H27" i="78"/>
  <c r="L27" i="78"/>
  <c r="K28" i="78"/>
  <c r="L28" i="78"/>
  <c r="E29" i="78"/>
  <c r="H29" i="78"/>
  <c r="L30" i="78"/>
  <c r="H34" i="78"/>
  <c r="I34" i="78"/>
  <c r="J34" i="78"/>
  <c r="K34" i="78"/>
  <c r="L34" i="78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98"/>
  <c r="C8" i="98"/>
  <c r="E8" i="98"/>
  <c r="G8" i="98"/>
  <c r="H8" i="98"/>
  <c r="L8" i="98"/>
  <c r="C9" i="98"/>
  <c r="G9" i="98"/>
  <c r="H9" i="98"/>
  <c r="C10" i="98"/>
  <c r="E10" i="98"/>
  <c r="G10" i="98"/>
  <c r="H10" i="98"/>
  <c r="C11" i="98"/>
  <c r="E11" i="98"/>
  <c r="G11" i="98"/>
  <c r="H11" i="98"/>
  <c r="J11" i="98"/>
  <c r="K11" i="98"/>
  <c r="L11" i="98"/>
  <c r="C12" i="98"/>
  <c r="E12" i="98"/>
  <c r="G12" i="98"/>
  <c r="H12" i="98"/>
  <c r="C13" i="98"/>
  <c r="E13" i="98"/>
  <c r="G13" i="98"/>
  <c r="H13" i="98"/>
  <c r="L13" i="98"/>
  <c r="C14" i="98"/>
  <c r="E14" i="98"/>
  <c r="G14" i="98"/>
  <c r="H14" i="98"/>
  <c r="C15" i="98"/>
  <c r="E15" i="98"/>
  <c r="G15" i="98"/>
  <c r="H15" i="98"/>
  <c r="C16" i="98"/>
  <c r="E16" i="98"/>
  <c r="G16" i="98"/>
  <c r="H16" i="98"/>
  <c r="K16" i="98"/>
  <c r="L16" i="98"/>
  <c r="C17" i="98"/>
  <c r="E17" i="98"/>
  <c r="G17" i="98"/>
  <c r="H17" i="98"/>
  <c r="L17" i="98"/>
  <c r="C18" i="98"/>
  <c r="E18" i="98"/>
  <c r="G18" i="98"/>
  <c r="H18" i="98"/>
  <c r="L18" i="98"/>
  <c r="C19" i="98"/>
  <c r="E19" i="98"/>
  <c r="G19" i="98"/>
  <c r="H19" i="98"/>
  <c r="L19" i="98"/>
  <c r="C20" i="98"/>
  <c r="E20" i="98"/>
  <c r="G20" i="98"/>
  <c r="H20" i="98"/>
  <c r="L20" i="98"/>
  <c r="C21" i="98"/>
  <c r="E21" i="98"/>
  <c r="G21" i="98"/>
  <c r="H21" i="98"/>
  <c r="L21" i="98"/>
  <c r="C22" i="98"/>
  <c r="E22" i="98"/>
  <c r="G22" i="98"/>
  <c r="L22" i="98"/>
  <c r="C23" i="98"/>
  <c r="E23" i="98"/>
  <c r="G23" i="98"/>
  <c r="H23" i="98"/>
  <c r="L23" i="98"/>
  <c r="L24" i="98"/>
  <c r="E25" i="98"/>
  <c r="H25" i="98"/>
  <c r="L25" i="98"/>
  <c r="L26" i="98"/>
  <c r="E27" i="98"/>
  <c r="H27" i="98"/>
  <c r="L27" i="98"/>
  <c r="K28" i="98"/>
  <c r="L28" i="98"/>
  <c r="E29" i="98"/>
  <c r="H29" i="98"/>
  <c r="L30" i="98"/>
  <c r="H34" i="98"/>
  <c r="I34" i="98"/>
  <c r="J34" i="98"/>
  <c r="K34" i="98"/>
  <c r="L34" i="98"/>
  <c r="B1" i="13"/>
  <c r="C8" i="13"/>
  <c r="E8" i="13"/>
  <c r="G8" i="13"/>
  <c r="O8" i="13"/>
  <c r="E9" i="13"/>
  <c r="L9" i="13"/>
  <c r="O9" i="13"/>
  <c r="E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C13" i="50"/>
  <c r="E13" i="50"/>
  <c r="G13" i="50"/>
  <c r="L13" i="50"/>
  <c r="C14" i="50"/>
  <c r="E14" i="50"/>
  <c r="G14" i="50"/>
  <c r="H14" i="50"/>
  <c r="C15" i="50"/>
  <c r="E15" i="50"/>
  <c r="G15" i="50"/>
  <c r="C16" i="50"/>
  <c r="E16" i="50"/>
  <c r="G16" i="50"/>
  <c r="H16" i="50"/>
  <c r="K16" i="50"/>
  <c r="L16" i="50"/>
  <c r="C17" i="50"/>
  <c r="E17" i="50"/>
  <c r="G17" i="50"/>
  <c r="K17" i="50"/>
  <c r="L17" i="50"/>
  <c r="C18" i="50"/>
  <c r="E18" i="50"/>
  <c r="G18" i="50"/>
  <c r="L18" i="50"/>
  <c r="C19" i="50"/>
  <c r="E19" i="50"/>
  <c r="G19" i="50"/>
  <c r="L19" i="50"/>
  <c r="C20" i="50"/>
  <c r="E20" i="50"/>
  <c r="G20" i="50"/>
  <c r="L20" i="50"/>
  <c r="C21" i="50"/>
  <c r="E21" i="50"/>
  <c r="G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R29" i="46"/>
  <c r="R31" i="46"/>
  <c r="P33" i="46"/>
  <c r="R33" i="46"/>
  <c r="T33" i="46"/>
  <c r="L35" i="46"/>
  <c r="N35" i="46"/>
  <c r="R35" i="46"/>
  <c r="R37" i="46"/>
  <c r="L39" i="46"/>
  <c r="N39" i="46"/>
  <c r="R39" i="46"/>
  <c r="R41" i="46"/>
  <c r="R43" i="46"/>
  <c r="R45" i="46"/>
  <c r="R47" i="46"/>
  <c r="N48" i="46"/>
  <c r="R53" i="46"/>
  <c r="G55" i="46"/>
  <c r="H55" i="46"/>
  <c r="J55" i="46"/>
  <c r="L55" i="46"/>
  <c r="N55" i="46"/>
  <c r="P55" i="46"/>
  <c r="R55" i="46"/>
  <c r="T55" i="46"/>
  <c r="P57" i="46"/>
  <c r="R57" i="46"/>
  <c r="T57" i="46"/>
  <c r="P59" i="46"/>
  <c r="R59" i="46"/>
  <c r="T59" i="46"/>
  <c r="R61" i="46"/>
  <c r="N63" i="46"/>
  <c r="P63" i="46"/>
  <c r="R63" i="46"/>
  <c r="T63" i="46"/>
  <c r="R65" i="46"/>
  <c r="R67" i="46"/>
  <c r="R69" i="46"/>
  <c r="R71" i="46"/>
  <c r="P74" i="46"/>
  <c r="R74" i="46"/>
  <c r="P75" i="46"/>
  <c r="R75" i="46"/>
  <c r="P76" i="46"/>
  <c r="R76" i="46"/>
  <c r="T76" i="46"/>
  <c r="P77" i="46"/>
  <c r="R77" i="46"/>
  <c r="P78" i="46"/>
  <c r="R78" i="46"/>
  <c r="P79" i="46"/>
  <c r="R79" i="46"/>
  <c r="P80" i="46"/>
  <c r="R80" i="46"/>
  <c r="P81" i="46"/>
  <c r="R81" i="46"/>
  <c r="P82" i="46"/>
  <c r="R82" i="46"/>
  <c r="P83" i="46"/>
  <c r="R83" i="46"/>
  <c r="H84" i="46"/>
  <c r="L84" i="46"/>
  <c r="R84" i="46"/>
  <c r="T84" i="46"/>
  <c r="V84" i="46"/>
  <c r="R86" i="46"/>
  <c r="R88" i="46"/>
  <c r="R89" i="46"/>
  <c r="R90" i="46"/>
  <c r="R91" i="46"/>
  <c r="R94" i="46"/>
  <c r="R96" i="46"/>
  <c r="H99" i="46"/>
  <c r="R99" i="46"/>
  <c r="R100" i="46"/>
  <c r="R101" i="46"/>
  <c r="R102" i="46"/>
  <c r="H104" i="46"/>
  <c r="N108" i="46"/>
  <c r="P108" i="46"/>
  <c r="R108" i="46"/>
  <c r="T108" i="46"/>
  <c r="P111" i="46"/>
  <c r="R111" i="46"/>
  <c r="H115" i="46"/>
  <c r="J115" i="46"/>
  <c r="L115" i="46"/>
  <c r="N115" i="46"/>
  <c r="P115" i="46"/>
  <c r="R115" i="46"/>
  <c r="T115" i="46"/>
  <c r="G118" i="46"/>
  <c r="H118" i="46"/>
  <c r="J118" i="46"/>
  <c r="L118" i="46"/>
  <c r="N118" i="46"/>
  <c r="P118" i="46"/>
  <c r="R118" i="46"/>
  <c r="T118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68"/>
  <c r="C8" i="68"/>
  <c r="E8" i="68"/>
  <c r="G8" i="68"/>
  <c r="L8" i="68"/>
  <c r="C9" i="68"/>
  <c r="G9" i="68"/>
  <c r="C10" i="68"/>
  <c r="E10" i="68"/>
  <c r="G10" i="68"/>
  <c r="H10" i="68"/>
  <c r="C11" i="68"/>
  <c r="E11" i="68"/>
  <c r="G11" i="68"/>
  <c r="J11" i="68"/>
  <c r="K11" i="68"/>
  <c r="L11" i="68"/>
  <c r="C12" i="68"/>
  <c r="E12" i="68"/>
  <c r="G12" i="68"/>
  <c r="C13" i="68"/>
  <c r="E13" i="68"/>
  <c r="G13" i="68"/>
  <c r="L13" i="68"/>
  <c r="C14" i="68"/>
  <c r="E14" i="68"/>
  <c r="G14" i="68"/>
  <c r="C15" i="68"/>
  <c r="E15" i="68"/>
  <c r="G15" i="68"/>
  <c r="C16" i="68"/>
  <c r="E16" i="68"/>
  <c r="G16" i="68"/>
  <c r="K16" i="68"/>
  <c r="L16" i="68"/>
  <c r="C17" i="68"/>
  <c r="E17" i="68"/>
  <c r="G17" i="68"/>
  <c r="L17" i="68"/>
  <c r="C18" i="68"/>
  <c r="E18" i="68"/>
  <c r="G18" i="68"/>
  <c r="L18" i="68"/>
  <c r="C19" i="68"/>
  <c r="E19" i="68"/>
  <c r="G19" i="68"/>
  <c r="L19" i="68"/>
  <c r="C20" i="68"/>
  <c r="E20" i="68"/>
  <c r="G20" i="68"/>
  <c r="L20" i="68"/>
  <c r="C21" i="68"/>
  <c r="E21" i="68"/>
  <c r="G21" i="68"/>
  <c r="L21" i="68"/>
  <c r="C22" i="68"/>
  <c r="E22" i="68"/>
  <c r="G22" i="68"/>
  <c r="L22" i="68"/>
  <c r="C23" i="68"/>
  <c r="E23" i="68"/>
  <c r="G23" i="68"/>
  <c r="H23" i="68"/>
  <c r="L23" i="68"/>
  <c r="L24" i="68"/>
  <c r="E25" i="68"/>
  <c r="H25" i="68"/>
  <c r="L25" i="68"/>
  <c r="L26" i="68"/>
  <c r="E27" i="68"/>
  <c r="H27" i="68"/>
  <c r="L27" i="68"/>
  <c r="K28" i="68"/>
  <c r="L28" i="68"/>
  <c r="E29" i="68"/>
  <c r="H29" i="68"/>
  <c r="L30" i="68"/>
  <c r="H34" i="68"/>
  <c r="I34" i="68"/>
  <c r="J34" i="68"/>
  <c r="K34" i="68"/>
  <c r="L34" i="68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96"/>
  <c r="C8" i="96"/>
  <c r="E8" i="96"/>
  <c r="G8" i="96"/>
  <c r="L8" i="96"/>
  <c r="C9" i="96"/>
  <c r="G9" i="96"/>
  <c r="C10" i="96"/>
  <c r="E10" i="96"/>
  <c r="G10" i="96"/>
  <c r="C11" i="96"/>
  <c r="E11" i="96"/>
  <c r="G11" i="96"/>
  <c r="H11" i="96"/>
  <c r="J11" i="96"/>
  <c r="K11" i="96"/>
  <c r="L11" i="96"/>
  <c r="C12" i="96"/>
  <c r="E12" i="96"/>
  <c r="G12" i="96"/>
  <c r="C13" i="96"/>
  <c r="E13" i="96"/>
  <c r="G13" i="96"/>
  <c r="L13" i="96"/>
  <c r="C14" i="96"/>
  <c r="E14" i="96"/>
  <c r="G14" i="96"/>
  <c r="C15" i="96"/>
  <c r="E15" i="96"/>
  <c r="G15" i="96"/>
  <c r="C16" i="96"/>
  <c r="E16" i="96"/>
  <c r="G16" i="96"/>
  <c r="K16" i="96"/>
  <c r="L16" i="96"/>
  <c r="C17" i="96"/>
  <c r="E17" i="96"/>
  <c r="G17" i="96"/>
  <c r="L17" i="96"/>
  <c r="C18" i="96"/>
  <c r="E18" i="96"/>
  <c r="G18" i="96"/>
  <c r="L18" i="96"/>
  <c r="C19" i="96"/>
  <c r="E19" i="96"/>
  <c r="G19" i="96"/>
  <c r="L19" i="96"/>
  <c r="C20" i="96"/>
  <c r="E20" i="96"/>
  <c r="G20" i="96"/>
  <c r="L20" i="96"/>
  <c r="C21" i="96"/>
  <c r="E21" i="96"/>
  <c r="G21" i="96"/>
  <c r="L21" i="96"/>
  <c r="C22" i="96"/>
  <c r="E22" i="96"/>
  <c r="G22" i="96"/>
  <c r="L22" i="96"/>
  <c r="C23" i="96"/>
  <c r="E23" i="96"/>
  <c r="G23" i="96"/>
  <c r="H23" i="96"/>
  <c r="L23" i="96"/>
  <c r="L24" i="96"/>
  <c r="E25" i="96"/>
  <c r="H25" i="96"/>
  <c r="L25" i="96"/>
  <c r="L26" i="96"/>
  <c r="E27" i="96"/>
  <c r="L27" i="96"/>
  <c r="K28" i="96"/>
  <c r="L28" i="96"/>
  <c r="E29" i="96"/>
  <c r="H29" i="96"/>
  <c r="L30" i="96"/>
  <c r="H34" i="96"/>
  <c r="I34" i="96"/>
  <c r="J34" i="96"/>
  <c r="K34" i="96"/>
  <c r="L34" i="9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83"/>
  <c r="C8" i="83"/>
  <c r="E8" i="83"/>
  <c r="G8" i="83"/>
  <c r="L8" i="83"/>
  <c r="N8" i="83"/>
  <c r="C9" i="83"/>
  <c r="G9" i="83"/>
  <c r="C10" i="83"/>
  <c r="E10" i="83"/>
  <c r="G10" i="83"/>
  <c r="C11" i="83"/>
  <c r="E11" i="83"/>
  <c r="G11" i="83"/>
  <c r="J11" i="83"/>
  <c r="K11" i="83"/>
  <c r="L11" i="83"/>
  <c r="N11" i="83"/>
  <c r="C12" i="83"/>
  <c r="E12" i="83"/>
  <c r="G12" i="83"/>
  <c r="C13" i="83"/>
  <c r="E13" i="83"/>
  <c r="G13" i="83"/>
  <c r="L13" i="83"/>
  <c r="C14" i="83"/>
  <c r="E14" i="83"/>
  <c r="G14" i="83"/>
  <c r="C15" i="83"/>
  <c r="E15" i="83"/>
  <c r="G15" i="83"/>
  <c r="N15" i="83"/>
  <c r="C16" i="83"/>
  <c r="E16" i="83"/>
  <c r="G16" i="83"/>
  <c r="K16" i="83"/>
  <c r="L16" i="83"/>
  <c r="C17" i="83"/>
  <c r="E17" i="83"/>
  <c r="G17" i="83"/>
  <c r="L17" i="83"/>
  <c r="C18" i="83"/>
  <c r="E18" i="83"/>
  <c r="G18" i="83"/>
  <c r="L18" i="83"/>
  <c r="C19" i="83"/>
  <c r="E19" i="83"/>
  <c r="G19" i="83"/>
  <c r="L19" i="83"/>
  <c r="C20" i="83"/>
  <c r="E20" i="83"/>
  <c r="G20" i="83"/>
  <c r="L20" i="83"/>
  <c r="C21" i="83"/>
  <c r="E21" i="83"/>
  <c r="G21" i="83"/>
  <c r="L21" i="83"/>
  <c r="C22" i="83"/>
  <c r="E22" i="83"/>
  <c r="G22" i="83"/>
  <c r="L22" i="83"/>
  <c r="C23" i="83"/>
  <c r="E23" i="83"/>
  <c r="G23" i="83"/>
  <c r="H23" i="83"/>
  <c r="L23" i="83"/>
  <c r="N23" i="83"/>
  <c r="K24" i="83"/>
  <c r="L24" i="83"/>
  <c r="E25" i="83"/>
  <c r="H25" i="83"/>
  <c r="L25" i="83"/>
  <c r="K26" i="83"/>
  <c r="L26" i="83"/>
  <c r="E27" i="83"/>
  <c r="H27" i="83"/>
  <c r="L27" i="83"/>
  <c r="K28" i="83"/>
  <c r="L28" i="83"/>
  <c r="E29" i="83"/>
  <c r="H29" i="83"/>
  <c r="L30" i="83"/>
  <c r="H34" i="83"/>
  <c r="I34" i="83"/>
  <c r="J34" i="83"/>
  <c r="K34" i="83"/>
  <c r="L34" i="83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91"/>
  <c r="C8" i="91"/>
  <c r="E8" i="91"/>
  <c r="G8" i="91"/>
  <c r="I8" i="91"/>
  <c r="N8" i="91"/>
  <c r="O8" i="91"/>
  <c r="C9" i="91"/>
  <c r="E9" i="91"/>
  <c r="I9" i="91"/>
  <c r="O9" i="91"/>
  <c r="C10" i="91"/>
  <c r="E10" i="91"/>
  <c r="G10" i="91"/>
  <c r="I10" i="91"/>
  <c r="O10" i="91"/>
  <c r="C11" i="91"/>
  <c r="E11" i="91"/>
  <c r="G11" i="91"/>
  <c r="I11" i="91"/>
  <c r="L11" i="91"/>
  <c r="M11" i="91"/>
  <c r="N11" i="91"/>
  <c r="O11" i="91"/>
  <c r="C12" i="91"/>
  <c r="E12" i="91"/>
  <c r="G12" i="91"/>
  <c r="I12" i="91"/>
  <c r="O12" i="91"/>
  <c r="C13" i="91"/>
  <c r="E13" i="91"/>
  <c r="G13" i="91"/>
  <c r="I13" i="91"/>
  <c r="N13" i="91"/>
  <c r="O13" i="91"/>
  <c r="C14" i="91"/>
  <c r="E14" i="91"/>
  <c r="G14" i="91"/>
  <c r="I14" i="91"/>
  <c r="O14" i="91"/>
  <c r="C15" i="91"/>
  <c r="E15" i="91"/>
  <c r="I15" i="91"/>
  <c r="O15" i="91"/>
  <c r="C16" i="91"/>
  <c r="E16" i="91"/>
  <c r="G16" i="91"/>
  <c r="I16" i="91"/>
  <c r="N16" i="91"/>
  <c r="O16" i="91"/>
  <c r="C17" i="91"/>
  <c r="E17" i="91"/>
  <c r="I17" i="91"/>
  <c r="N17" i="91"/>
  <c r="O17" i="91"/>
  <c r="C18" i="91"/>
  <c r="E18" i="91"/>
  <c r="G18" i="91"/>
  <c r="I18" i="91"/>
  <c r="N18" i="91"/>
  <c r="O18" i="91"/>
  <c r="C19" i="91"/>
  <c r="E19" i="91"/>
  <c r="G19" i="91"/>
  <c r="I19" i="91"/>
  <c r="N19" i="91"/>
  <c r="O19" i="91"/>
  <c r="C20" i="91"/>
  <c r="E20" i="91"/>
  <c r="I20" i="91"/>
  <c r="N20" i="91"/>
  <c r="O20" i="91"/>
  <c r="C21" i="91"/>
  <c r="E21" i="91"/>
  <c r="I21" i="91"/>
  <c r="M21" i="91"/>
  <c r="N21" i="91"/>
  <c r="O21" i="91"/>
  <c r="C22" i="91"/>
  <c r="E22" i="91"/>
  <c r="G22" i="91"/>
  <c r="I22" i="91"/>
  <c r="M22" i="91"/>
  <c r="N22" i="91"/>
  <c r="O22" i="91"/>
  <c r="C23" i="91"/>
  <c r="E23" i="91"/>
  <c r="G23" i="91"/>
  <c r="I23" i="91"/>
  <c r="N23" i="91"/>
  <c r="O23" i="91"/>
  <c r="N24" i="91"/>
  <c r="E25" i="91"/>
  <c r="G25" i="91"/>
  <c r="N25" i="91"/>
  <c r="O25" i="91"/>
  <c r="N26" i="91"/>
  <c r="E27" i="91"/>
  <c r="G27" i="91"/>
  <c r="N27" i="91"/>
  <c r="O27" i="91"/>
  <c r="M28" i="91"/>
  <c r="N28" i="91"/>
  <c r="E29" i="91"/>
  <c r="G29" i="91"/>
  <c r="J34" i="91"/>
  <c r="K34" i="91"/>
  <c r="L34" i="91"/>
  <c r="M34" i="91"/>
  <c r="N34" i="91"/>
  <c r="B1" i="93"/>
  <c r="C8" i="93"/>
  <c r="E8" i="93"/>
  <c r="G8" i="93"/>
  <c r="I8" i="93"/>
  <c r="N8" i="93"/>
  <c r="O8" i="93"/>
  <c r="C9" i="93"/>
  <c r="E9" i="93"/>
  <c r="I9" i="93"/>
  <c r="O9" i="93"/>
  <c r="C10" i="93"/>
  <c r="E10" i="93"/>
  <c r="G10" i="93"/>
  <c r="I10" i="93"/>
  <c r="O10" i="93"/>
  <c r="C11" i="93"/>
  <c r="E11" i="93"/>
  <c r="G11" i="93"/>
  <c r="I11" i="93"/>
  <c r="L11" i="93"/>
  <c r="M11" i="93"/>
  <c r="N11" i="93"/>
  <c r="O11" i="93"/>
  <c r="C12" i="93"/>
  <c r="E12" i="93"/>
  <c r="I12" i="93"/>
  <c r="O12" i="93"/>
  <c r="C13" i="93"/>
  <c r="E13" i="93"/>
  <c r="I13" i="93"/>
  <c r="N13" i="93"/>
  <c r="O13" i="93"/>
  <c r="C14" i="93"/>
  <c r="E14" i="93"/>
  <c r="I14" i="93"/>
  <c r="O14" i="93"/>
  <c r="C15" i="93"/>
  <c r="E15" i="93"/>
  <c r="I15" i="93"/>
  <c r="O15" i="93"/>
  <c r="C16" i="93"/>
  <c r="E16" i="93"/>
  <c r="G16" i="93"/>
  <c r="I16" i="93"/>
  <c r="N16" i="93"/>
  <c r="O16" i="93"/>
  <c r="C17" i="93"/>
  <c r="E17" i="93"/>
  <c r="I17" i="93"/>
  <c r="M17" i="93"/>
  <c r="N17" i="93"/>
  <c r="O17" i="93"/>
  <c r="C18" i="93"/>
  <c r="E18" i="93"/>
  <c r="G18" i="93"/>
  <c r="I18" i="93"/>
  <c r="N18" i="93"/>
  <c r="O18" i="93"/>
  <c r="C19" i="93"/>
  <c r="E19" i="93"/>
  <c r="I19" i="93"/>
  <c r="N19" i="93"/>
  <c r="O19" i="93"/>
  <c r="C20" i="93"/>
  <c r="E20" i="93"/>
  <c r="I20" i="93"/>
  <c r="N20" i="93"/>
  <c r="O20" i="93"/>
  <c r="C21" i="93"/>
  <c r="E21" i="93"/>
  <c r="I21" i="93"/>
  <c r="N21" i="93"/>
  <c r="O21" i="93"/>
  <c r="C22" i="93"/>
  <c r="E22" i="93"/>
  <c r="G22" i="93"/>
  <c r="I22" i="93"/>
  <c r="N22" i="93"/>
  <c r="O22" i="93"/>
  <c r="C23" i="93"/>
  <c r="E23" i="93"/>
  <c r="G23" i="93"/>
  <c r="I23" i="93"/>
  <c r="N23" i="93"/>
  <c r="O23" i="93"/>
  <c r="N24" i="93"/>
  <c r="E25" i="93"/>
  <c r="G25" i="93"/>
  <c r="N25" i="93"/>
  <c r="O25" i="93"/>
  <c r="N26" i="93"/>
  <c r="E27" i="93"/>
  <c r="G27" i="93"/>
  <c r="N27" i="93"/>
  <c r="O27" i="93"/>
  <c r="M28" i="93"/>
  <c r="N28" i="93"/>
  <c r="E29" i="93"/>
  <c r="G29" i="93"/>
  <c r="J34" i="93"/>
  <c r="K34" i="93"/>
  <c r="L34" i="93"/>
  <c r="M34" i="93"/>
  <c r="N34" i="93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90"/>
  <c r="C8" i="90"/>
  <c r="E8" i="90"/>
  <c r="G8" i="90"/>
  <c r="I8" i="90"/>
  <c r="N8" i="90"/>
  <c r="O8" i="90"/>
  <c r="C9" i="90"/>
  <c r="E9" i="90"/>
  <c r="I9" i="90"/>
  <c r="O9" i="90"/>
  <c r="C10" i="90"/>
  <c r="E10" i="90"/>
  <c r="G10" i="90"/>
  <c r="I10" i="90"/>
  <c r="O10" i="90"/>
  <c r="C11" i="90"/>
  <c r="E11" i="90"/>
  <c r="G11" i="90"/>
  <c r="I11" i="90"/>
  <c r="L11" i="90"/>
  <c r="M11" i="90"/>
  <c r="N11" i="90"/>
  <c r="O11" i="90"/>
  <c r="C12" i="90"/>
  <c r="E12" i="90"/>
  <c r="G12" i="90"/>
  <c r="I12" i="90"/>
  <c r="O12" i="90"/>
  <c r="C13" i="90"/>
  <c r="E13" i="90"/>
  <c r="G13" i="90"/>
  <c r="I13" i="90"/>
  <c r="N13" i="90"/>
  <c r="O13" i="90"/>
  <c r="C14" i="90"/>
  <c r="E14" i="90"/>
  <c r="G14" i="90"/>
  <c r="I14" i="90"/>
  <c r="O14" i="90"/>
  <c r="C15" i="90"/>
  <c r="E15" i="90"/>
  <c r="I15" i="90"/>
  <c r="O15" i="90"/>
  <c r="C16" i="90"/>
  <c r="E16" i="90"/>
  <c r="I16" i="90"/>
  <c r="N16" i="90"/>
  <c r="O16" i="90"/>
  <c r="C17" i="90"/>
  <c r="E17" i="90"/>
  <c r="I17" i="90"/>
  <c r="N17" i="90"/>
  <c r="O17" i="90"/>
  <c r="C18" i="90"/>
  <c r="E18" i="90"/>
  <c r="G18" i="90"/>
  <c r="I18" i="90"/>
  <c r="N18" i="90"/>
  <c r="O18" i="90"/>
  <c r="C19" i="90"/>
  <c r="E19" i="90"/>
  <c r="G19" i="90"/>
  <c r="I19" i="90"/>
  <c r="M19" i="90"/>
  <c r="N19" i="90"/>
  <c r="O19" i="90"/>
  <c r="C20" i="90"/>
  <c r="E20" i="90"/>
  <c r="I20" i="90"/>
  <c r="M20" i="90"/>
  <c r="N20" i="90"/>
  <c r="O20" i="90"/>
  <c r="C21" i="90"/>
  <c r="E21" i="90"/>
  <c r="I21" i="90"/>
  <c r="N21" i="90"/>
  <c r="O21" i="90"/>
  <c r="C22" i="90"/>
  <c r="E22" i="90"/>
  <c r="G22" i="90"/>
  <c r="I22" i="90"/>
  <c r="N22" i="90"/>
  <c r="O22" i="90"/>
  <c r="C23" i="90"/>
  <c r="E23" i="90"/>
  <c r="G23" i="90"/>
  <c r="I23" i="90"/>
  <c r="N23" i="90"/>
  <c r="O23" i="90"/>
  <c r="N24" i="90"/>
  <c r="E25" i="90"/>
  <c r="G25" i="90"/>
  <c r="N25" i="90"/>
  <c r="O25" i="90"/>
  <c r="N26" i="90"/>
  <c r="E27" i="90"/>
  <c r="G27" i="90"/>
  <c r="N27" i="90"/>
  <c r="O27" i="90"/>
  <c r="M28" i="90"/>
  <c r="N28" i="90"/>
  <c r="E29" i="90"/>
  <c r="G29" i="90"/>
  <c r="J34" i="90"/>
  <c r="K34" i="90"/>
  <c r="L34" i="90"/>
  <c r="M34" i="90"/>
  <c r="N34" i="90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  <c r="B1" i="82"/>
  <c r="C8" i="82"/>
  <c r="E8" i="82"/>
  <c r="G8" i="82"/>
  <c r="L8" i="82"/>
  <c r="N8" i="82"/>
  <c r="C9" i="82"/>
  <c r="G9" i="82"/>
  <c r="C10" i="82"/>
  <c r="E10" i="82"/>
  <c r="G10" i="82"/>
  <c r="C11" i="82"/>
  <c r="E11" i="82"/>
  <c r="G11" i="82"/>
  <c r="J11" i="82"/>
  <c r="K11" i="82"/>
  <c r="L11" i="82"/>
  <c r="N11" i="82"/>
  <c r="C12" i="82"/>
  <c r="E12" i="82"/>
  <c r="G12" i="82"/>
  <c r="C13" i="82"/>
  <c r="E13" i="82"/>
  <c r="G13" i="82"/>
  <c r="L13" i="82"/>
  <c r="C14" i="82"/>
  <c r="E14" i="82"/>
  <c r="G14" i="82"/>
  <c r="C15" i="82"/>
  <c r="E15" i="82"/>
  <c r="G15" i="82"/>
  <c r="C16" i="82"/>
  <c r="E16" i="82"/>
  <c r="G16" i="82"/>
  <c r="K16" i="82"/>
  <c r="L16" i="82"/>
  <c r="C17" i="82"/>
  <c r="E17" i="82"/>
  <c r="G17" i="82"/>
  <c r="L17" i="82"/>
  <c r="C18" i="82"/>
  <c r="E18" i="82"/>
  <c r="G18" i="82"/>
  <c r="L18" i="82"/>
  <c r="C19" i="82"/>
  <c r="E19" i="82"/>
  <c r="G19" i="82"/>
  <c r="L19" i="82"/>
  <c r="C20" i="82"/>
  <c r="E20" i="82"/>
  <c r="G20" i="82"/>
  <c r="L20" i="82"/>
  <c r="C21" i="82"/>
  <c r="E21" i="82"/>
  <c r="G21" i="82"/>
  <c r="L21" i="82"/>
  <c r="C22" i="82"/>
  <c r="E22" i="82"/>
  <c r="G22" i="82"/>
  <c r="L22" i="82"/>
  <c r="C23" i="82"/>
  <c r="E23" i="82"/>
  <c r="G23" i="82"/>
  <c r="H23" i="82"/>
  <c r="L23" i="82"/>
  <c r="N23" i="82"/>
  <c r="K24" i="82"/>
  <c r="L24" i="82"/>
  <c r="E25" i="82"/>
  <c r="H25" i="82"/>
  <c r="L25" i="82"/>
  <c r="L26" i="82"/>
  <c r="E27" i="82"/>
  <c r="L27" i="82"/>
  <c r="K28" i="82"/>
  <c r="L28" i="82"/>
  <c r="E29" i="82"/>
  <c r="H29" i="82"/>
  <c r="L30" i="82"/>
  <c r="H34" i="82"/>
  <c r="I34" i="82"/>
  <c r="J34" i="82"/>
  <c r="K34" i="82"/>
  <c r="L34" i="82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<sst xmlns="http://schemas.openxmlformats.org/spreadsheetml/2006/main" count="5071" uniqueCount="286">
  <si>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</si>
  <si>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</si>
  <si>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</si>
  <si>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</si>
  <si>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</si>
  <si>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</si>
  <si>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</si>
  <si>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</si>
  <si>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</si>
  <si>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</si>
  <si>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</si>
  <si>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</si>
  <si>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</si>
  <si>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</si>
  <si>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</si>
  <si>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</si>
  <si>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</si>
  <si>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</si>
  <si>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</si>
  <si>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</si>
  <si>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</si>
  <si>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</si>
  <si>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</si>
  <si>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</si>
  <si>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</si>
  <si>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</si>
  <si>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</si>
  <si>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</si>
  <si>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</si>
  <si>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</si>
  <si>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</si>
  <si>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</si>
  <si>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</si>
  <si>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</si>
  <si>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</si>
  <si>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</si>
  <si>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</si>
  <si>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</si>
  <si>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</si>
  <si>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</si>
  <si>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</si>
  <si>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</si>
  <si>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</si>
  <si>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</si>
  <si>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</si>
  <si>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</si>
  <si>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</si>
  <si>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</si>
  <si>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</si>
  <si>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</si>
  <si>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</si>
  <si>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</si>
  <si>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</si>
  <si>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</si>
  <si>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</si>
  <si>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</si>
  <si>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</si>
  <si>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</si>
  <si>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</si>
  <si>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</si>
  <si>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</si>
  <si>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</si>
  <si>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</si>
  <si>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</si>
  <si>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</si>
  <si>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</si>
  <si>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</si>
  <si>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</si>
  <si>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</si>
  <si>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</si>
  <si>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</si>
  <si>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</si>
  <si>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</si>
  <si>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</si>
  <si>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</si>
  <si>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</si>
  <si>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</si>
  <si>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</si>
  <si>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</si>
  <si>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</si>
  <si>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</si>
  <si>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</si>
  <si>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</si>
  <si>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</si>
  <si>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</si>
  <si>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</si>
  <si>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</si>
  <si>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</si>
  <si>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</si>
  <si>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</si>
  <si>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</si>
  <si>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</si>
  <si>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</si>
  <si>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</si>
  <si>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</si>
  <si>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</si>
  <si>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</si>
  <si>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</si>
  <si>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</si>
  <si>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</si>
  <si>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</si>
  <si>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</si>
  <si>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</si>
  <si>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</si>
  <si>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</si>
  <si>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</si>
  <si>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</si>
  <si>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</si>
  <si>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</si>
  <si>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</si>
  <si>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</si>
  <si>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</si>
  <si>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</si>
  <si>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</si>
  <si>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</si>
  <si>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</si>
  <si>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</si>
  <si>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</si>
  <si>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</si>
  <si>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</si>
  <si>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</si>
  <si>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</si>
  <si>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</si>
  <si>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</si>
  <si>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</si>
  <si>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</si>
  <si>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</si>
  <si>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</si>
  <si>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</si>
  <si>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</si>
  <si>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</si>
  <si>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</si>
  <si>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</si>
  <si>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</si>
  <si>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</si>
  <si>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</si>
  <si>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</si>
  <si>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</si>
  <si>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</si>
  <si>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</si>
  <si>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</si>
  <si>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</si>
  <si>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</si>
  <si>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</si>
  <si>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</si>
  <si>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</si>
  <si>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</si>
  <si>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</si>
  <si>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</si>
  <si>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</si>
  <si>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</si>
  <si>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</si>
  <si>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</si>
  <si>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</si>
  <si>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</si>
  <si>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</si>
  <si>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</si>
  <si>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</si>
  <si>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</si>
  <si>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</si>
  <si>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</si>
  <si>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</si>
  <si>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</si>
  <si>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</si>
  <si>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</si>
  <si>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</si>
  <si>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</si>
  <si>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</si>
  <si>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</si>
  <si>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</si>
  <si>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</si>
  <si>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</si>
  <si>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</si>
  <si>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</si>
  <si>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</si>
  <si>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</si>
  <si>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</si>
  <si>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</si>
  <si>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</si>
  <si>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</si>
  <si>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</si>
  <si>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</si>
  <si>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</si>
  <si>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</si>
  <si>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</si>
  <si>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</si>
  <si>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</si>
  <si>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</si>
  <si>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</si>
  <si>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</si>
  <si>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</si>
  <si>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</si>
  <si>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</si>
  <si>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</si>
  <si>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</si>
  <si>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</si>
  <si>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</si>
  <si>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</si>
  <si>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</si>
  <si>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</si>
  <si>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</si>
  <si>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</si>
  <si>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</si>
  <si>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</si>
  <si>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</si>
  <si>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</si>
  <si>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</si>
  <si>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</si>
  <si>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</si>
  <si>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</si>
  <si>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</si>
  <si>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</si>
  <si>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</si>
  <si>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</si>
  <si>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</si>
  <si>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</si>
  <si>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</si>
  <si>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</si>
  <si>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</si>
  <si>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</si>
  <si>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</si>
  <si>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</si>
  <si>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</si>
  <si>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</si>
  <si>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</si>
  <si>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</si>
  <si>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</si>
  <si>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</si>
  <si>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</si>
  <si>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</si>
  <si>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</si>
  <si>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</si>
  <si>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</si>
  <si>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</si>
  <si>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</si>
  <si>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</si>
  <si>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</si>
  <si>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</si>
  <si>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</si>
  <si>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</si>
  <si>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</si>
  <si>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</si>
  <si>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</si>
  <si>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</si>
  <si>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Financial Gas Trading</t>
  </si>
  <si>
    <t>Derivatives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</si>
  <si>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</si>
  <si>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</si>
  <si>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</si>
  <si>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</si>
  <si>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</si>
  <si>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</si>
  <si>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</si>
  <si>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</si>
  <si>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</si>
  <si>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</si>
  <si>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</si>
  <si>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</si>
  <si>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</si>
  <si>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</si>
  <si>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</si>
  <si>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</si>
  <si>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</si>
  <si>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</si>
  <si>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</si>
  <si>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</si>
  <si>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</si>
  <si>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</si>
  <si>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</si>
  <si>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</si>
  <si>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</si>
  <si>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</si>
  <si>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</si>
  <si>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</si>
  <si>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</si>
  <si>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</si>
  <si>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</si>
  <si>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</si>
  <si>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</si>
  <si>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</si>
  <si>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</si>
  <si>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</si>
  <si>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Derivatives/Wellhead</t>
  </si>
  <si>
    <t>Total Gas Trading and Origination***</t>
  </si>
  <si>
    <t>***Unable to identify which region 2 gas employees belong to.</t>
  </si>
  <si>
    <t>Based on Headcount of 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</si>
</sst>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4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84" Type="http://schemas.openxmlformats.org/officeDocument/2006/relationships/externalLink" Target="externalLinks/externalLink17.xml"/><Relationship Id="rId89" Type="http://schemas.openxmlformats.org/officeDocument/2006/relationships/externalLink" Target="externalLinks/externalLink2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7.xml"/><Relationship Id="rId79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2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5.xml"/><Relationship Id="rId80" Type="http://schemas.openxmlformats.org/officeDocument/2006/relationships/externalLink" Target="externalLinks/externalLink13.xml"/><Relationship Id="rId85" Type="http://schemas.openxmlformats.org/officeDocument/2006/relationships/externalLink" Target="externalLinks/externalLink18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3.xml"/><Relationship Id="rId75" Type="http://schemas.openxmlformats.org/officeDocument/2006/relationships/externalLink" Target="externalLinks/externalLink8.xml"/><Relationship Id="rId83" Type="http://schemas.openxmlformats.org/officeDocument/2006/relationships/externalLink" Target="externalLinks/externalLink16.xml"/><Relationship Id="rId88" Type="http://schemas.openxmlformats.org/officeDocument/2006/relationships/externalLink" Target="externalLinks/externalLink21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6.xml"/><Relationship Id="rId78" Type="http://schemas.openxmlformats.org/officeDocument/2006/relationships/externalLink" Target="externalLinks/externalLink11.xml"/><Relationship Id="rId81" Type="http://schemas.openxmlformats.org/officeDocument/2006/relationships/externalLink" Target="externalLinks/externalLink14.xml"/><Relationship Id="rId86" Type="http://schemas.openxmlformats.org/officeDocument/2006/relationships/externalLink" Target="externalLinks/externalLink19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0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24"/>
  <sheetViews>
    <sheetView tabSelected="1" zoomScaleNormal="100" workbookViewId="0"/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33" t="s">
        <v>285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5" thickBot="1" x14ac:dyDescent="0.25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240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0.8</v>
      </c>
      <c r="Q9" s="88"/>
      <c r="R9" s="87">
        <f>G9-P9</f>
        <v>-0.8</v>
      </c>
      <c r="T9" s="90">
        <v>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">
      <c r="B11" t="s">
        <v>241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5</v>
      </c>
      <c r="Q11" s="88"/>
      <c r="R11" s="87">
        <f>G11-P11</f>
        <v>-5</v>
      </c>
      <c r="T11" s="90">
        <v>7</v>
      </c>
    </row>
    <row r="12" spans="1:20" ht="7.5" customHeight="1" x14ac:dyDescent="0.2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">
      <c r="B13" t="s">
        <v>242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1.4</v>
      </c>
      <c r="Q13" s="88"/>
      <c r="R13" s="87">
        <f>G13-P13</f>
        <v>-1.4</v>
      </c>
      <c r="T13" s="90">
        <v>7</v>
      </c>
    </row>
    <row r="14" spans="1:20" ht="7.5" customHeight="1" x14ac:dyDescent="0.2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">
      <c r="B15" t="s">
        <v>243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</v>
      </c>
      <c r="Q15" s="88"/>
      <c r="R15" s="87">
        <f>G15-P15</f>
        <v>-1</v>
      </c>
      <c r="T15" s="90">
        <v>4</v>
      </c>
    </row>
    <row r="16" spans="1:20" ht="7.5" customHeight="1" x14ac:dyDescent="0.2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">
      <c r="B17" t="s">
        <v>244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1.3</v>
      </c>
      <c r="Q17" s="88"/>
      <c r="R17" s="87">
        <f>G17-P17</f>
        <v>-1.3</v>
      </c>
      <c r="T17" s="90">
        <v>6</v>
      </c>
    </row>
    <row r="18" spans="2:20" ht="7.5" customHeight="1" x14ac:dyDescent="0.2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">
      <c r="B19" t="s">
        <v>246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1.3</v>
      </c>
      <c r="Q19" s="88"/>
      <c r="R19" s="87">
        <f>G19-P19</f>
        <v>-1.3</v>
      </c>
      <c r="T19" s="90">
        <v>4</v>
      </c>
    </row>
    <row r="20" spans="2:20" ht="7.5" customHeight="1" x14ac:dyDescent="0.2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">
      <c r="B21" t="s">
        <v>247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0.99</v>
      </c>
      <c r="Q21" s="88"/>
      <c r="R21" s="87">
        <f>G21-P21</f>
        <v>-0.99</v>
      </c>
      <c r="T21" s="90">
        <v>4</v>
      </c>
    </row>
    <row r="22" spans="2:20" ht="6.75" customHeight="1" x14ac:dyDescent="0.2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">
      <c r="B23" t="s">
        <v>248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1.7</v>
      </c>
      <c r="Q23" s="88"/>
      <c r="R23" s="87">
        <f>G23-P23</f>
        <v>-1.7</v>
      </c>
      <c r="T23" s="90">
        <v>7</v>
      </c>
    </row>
    <row r="24" spans="2:20" ht="6.75" customHeight="1" x14ac:dyDescent="0.2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">
      <c r="B25" t="s">
        <v>249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1.6</v>
      </c>
      <c r="Q25" s="88"/>
      <c r="R25" s="87">
        <f>G25-P25</f>
        <v>-1.6</v>
      </c>
      <c r="T25" s="90">
        <v>7</v>
      </c>
    </row>
    <row r="26" spans="2:20" ht="6.75" customHeight="1" x14ac:dyDescent="0.2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">
      <c r="B27" t="s">
        <v>245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</v>
      </c>
      <c r="Q27" s="88"/>
      <c r="R27" s="87">
        <f>G27-P27</f>
        <v>-2</v>
      </c>
      <c r="T27" s="90">
        <v>9</v>
      </c>
    </row>
    <row r="28" spans="2:20" ht="6.75" customHeight="1" x14ac:dyDescent="0.2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x14ac:dyDescent="0.2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0.4</v>
      </c>
      <c r="Q29" s="88"/>
      <c r="R29" s="87">
        <f>G29-P29</f>
        <v>-0.4</v>
      </c>
      <c r="T29" s="90">
        <v>2</v>
      </c>
    </row>
    <row r="30" spans="2:20" ht="5.25" customHeight="1" x14ac:dyDescent="0.2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">
      <c r="B31" t="s">
        <v>253</v>
      </c>
      <c r="E31" s="87">
        <v>0</v>
      </c>
      <c r="F31" s="88"/>
      <c r="G31" s="87"/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3</v>
      </c>
    </row>
    <row r="32" spans="2:20" ht="6.75" customHeight="1" x14ac:dyDescent="0.2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2" x14ac:dyDescent="0.2">
      <c r="B33" s="33" t="s">
        <v>283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17.989999999999998</v>
      </c>
      <c r="Q33" s="129"/>
      <c r="R33" s="128">
        <f>SUM(R9:R31)</f>
        <v>-17.989999999999998</v>
      </c>
      <c r="S33" s="33"/>
      <c r="T33" s="132">
        <f>SUM(T9:T31)</f>
        <v>63</v>
      </c>
    </row>
    <row r="34" spans="2:22" ht="6.75" customHeight="1" x14ac:dyDescent="0.2">
      <c r="E34" s="87"/>
      <c r="F34" s="88"/>
      <c r="G34" s="87"/>
      <c r="H34" s="87"/>
      <c r="I34" s="104"/>
      <c r="J34" s="101"/>
      <c r="K34" s="104"/>
      <c r="L34" s="103"/>
      <c r="M34" s="88"/>
      <c r="N34" s="90"/>
      <c r="O34" s="88"/>
      <c r="P34" s="87"/>
      <c r="Q34" s="88"/>
      <c r="R34" s="87"/>
      <c r="T34" s="90"/>
    </row>
    <row r="35" spans="2:22" x14ac:dyDescent="0.2">
      <c r="B35" t="s">
        <v>220</v>
      </c>
      <c r="E35" s="87">
        <v>0</v>
      </c>
      <c r="F35" s="88"/>
      <c r="G35" s="87">
        <v>250</v>
      </c>
      <c r="H35" s="87">
        <v>29.9</v>
      </c>
      <c r="I35" s="104"/>
      <c r="J35" s="93">
        <v>147</v>
      </c>
      <c r="K35" s="104"/>
      <c r="L35" s="87">
        <f>32.8+6.4+0.5</f>
        <v>39.699999999999996</v>
      </c>
      <c r="M35" s="88"/>
      <c r="N35" s="90">
        <f>216-29</f>
        <v>187</v>
      </c>
      <c r="O35" s="88"/>
      <c r="P35" s="87">
        <v>6.2</v>
      </c>
      <c r="Q35" s="88"/>
      <c r="R35" s="87">
        <f>G35-P35</f>
        <v>243.8</v>
      </c>
      <c r="T35" s="90">
        <v>32</v>
      </c>
    </row>
    <row r="36" spans="2:22" ht="7.5" customHeight="1" x14ac:dyDescent="0.2">
      <c r="E36" s="87"/>
      <c r="F36" s="88"/>
      <c r="G36" s="87"/>
      <c r="H36" s="87"/>
      <c r="I36" s="104"/>
      <c r="J36" s="93"/>
      <c r="K36" s="104"/>
      <c r="L36" s="87"/>
      <c r="M36" s="88"/>
      <c r="N36" s="90"/>
      <c r="O36" s="88"/>
      <c r="P36" s="87"/>
      <c r="Q36" s="88"/>
      <c r="R36" s="87"/>
      <c r="T36" s="90"/>
    </row>
    <row r="37" spans="2:22" x14ac:dyDescent="0.2">
      <c r="B37" t="s">
        <v>221</v>
      </c>
      <c r="E37" s="87">
        <v>0</v>
      </c>
      <c r="F37" s="88"/>
      <c r="G37" s="87">
        <v>0</v>
      </c>
      <c r="H37" s="87"/>
      <c r="I37" s="104"/>
      <c r="J37" s="101"/>
      <c r="K37" s="104"/>
      <c r="L37" s="87"/>
      <c r="M37" s="88"/>
      <c r="N37" s="90"/>
      <c r="O37" s="88"/>
      <c r="P37" s="87">
        <v>3.4</v>
      </c>
      <c r="Q37" s="88"/>
      <c r="R37" s="87">
        <f>G37-P37</f>
        <v>-3.4</v>
      </c>
      <c r="T37" s="90">
        <v>14</v>
      </c>
    </row>
    <row r="38" spans="2:22" ht="7.5" customHeight="1" x14ac:dyDescent="0.2">
      <c r="E38" s="87"/>
      <c r="F38" s="88"/>
      <c r="G38" s="87"/>
      <c r="H38" s="87"/>
      <c r="I38" s="104"/>
      <c r="J38" s="101"/>
      <c r="K38" s="104"/>
      <c r="L38" s="87"/>
      <c r="M38" s="88"/>
      <c r="N38" s="90"/>
      <c r="O38" s="88"/>
      <c r="P38" s="87"/>
      <c r="Q38" s="88"/>
      <c r="R38" s="87"/>
      <c r="T38" s="90"/>
    </row>
    <row r="39" spans="2:22" x14ac:dyDescent="0.2">
      <c r="B39" t="s">
        <v>222</v>
      </c>
      <c r="E39" s="87">
        <v>0</v>
      </c>
      <c r="F39" s="88"/>
      <c r="G39" s="87">
        <v>150</v>
      </c>
      <c r="H39" s="87">
        <v>18.100000000000001</v>
      </c>
      <c r="I39" s="104"/>
      <c r="J39" s="93">
        <v>67</v>
      </c>
      <c r="K39" s="104"/>
      <c r="L39" s="87">
        <f>27.3+6.5</f>
        <v>33.799999999999997</v>
      </c>
      <c r="M39" s="88"/>
      <c r="N39" s="90">
        <f>106-10</f>
        <v>96</v>
      </c>
      <c r="O39" s="88"/>
      <c r="P39" s="87">
        <v>3.5</v>
      </c>
      <c r="Q39" s="88"/>
      <c r="R39" s="87">
        <f>G39-P39</f>
        <v>146.5</v>
      </c>
      <c r="T39" s="90">
        <v>16</v>
      </c>
    </row>
    <row r="40" spans="2:22" ht="7.5" customHeight="1" x14ac:dyDescent="0.2">
      <c r="E40" s="87"/>
      <c r="F40" s="88"/>
      <c r="G40" s="87"/>
      <c r="H40" s="87"/>
      <c r="I40" s="104"/>
      <c r="J40" s="93"/>
      <c r="K40" s="104"/>
      <c r="L40" s="87"/>
      <c r="M40" s="88"/>
      <c r="N40" s="90"/>
      <c r="O40" s="88"/>
      <c r="P40" s="87"/>
      <c r="Q40" s="88"/>
      <c r="R40" s="87"/>
      <c r="T40" s="90"/>
    </row>
    <row r="41" spans="2:22" x14ac:dyDescent="0.2">
      <c r="B41" t="s">
        <v>223</v>
      </c>
      <c r="E41" s="87">
        <v>0</v>
      </c>
      <c r="F41" s="88"/>
      <c r="G41" s="87">
        <v>0</v>
      </c>
      <c r="H41" s="87"/>
      <c r="I41" s="104"/>
      <c r="J41" s="101"/>
      <c r="K41" s="104"/>
      <c r="L41" s="87"/>
      <c r="M41" s="88"/>
      <c r="N41" s="90"/>
      <c r="O41" s="88"/>
      <c r="P41" s="87">
        <v>3.3</v>
      </c>
      <c r="Q41" s="88"/>
      <c r="R41" s="87">
        <f>G41-P41</f>
        <v>-3.3</v>
      </c>
      <c r="T41" s="90">
        <v>12</v>
      </c>
    </row>
    <row r="42" spans="2:22" ht="7.5" customHeight="1" x14ac:dyDescent="0.2">
      <c r="E42" s="87"/>
      <c r="F42" s="88"/>
      <c r="G42" s="87"/>
      <c r="H42" s="87"/>
      <c r="I42" s="104"/>
      <c r="J42" s="101"/>
      <c r="K42" s="104"/>
      <c r="L42" s="87"/>
      <c r="M42" s="88"/>
      <c r="N42" s="90"/>
      <c r="O42" s="88"/>
      <c r="P42" s="87"/>
      <c r="Q42" s="88"/>
      <c r="R42" s="87"/>
      <c r="T42" s="90"/>
    </row>
    <row r="43" spans="2:22" x14ac:dyDescent="0.2">
      <c r="B43" t="s">
        <v>224</v>
      </c>
      <c r="E43" s="87">
        <v>0</v>
      </c>
      <c r="F43" s="88"/>
      <c r="G43" s="87">
        <v>50</v>
      </c>
      <c r="H43" s="87">
        <v>8</v>
      </c>
      <c r="I43" s="104"/>
      <c r="J43" s="93">
        <v>47</v>
      </c>
      <c r="K43" s="104"/>
      <c r="L43" s="87">
        <v>9</v>
      </c>
      <c r="M43" s="88"/>
      <c r="N43" s="90">
        <v>49</v>
      </c>
      <c r="O43" s="88"/>
      <c r="P43" s="87">
        <v>1.5</v>
      </c>
      <c r="Q43" s="88"/>
      <c r="R43" s="87">
        <f>G43-P43</f>
        <v>48.5</v>
      </c>
      <c r="T43" s="90">
        <v>7</v>
      </c>
      <c r="V43" s="8"/>
    </row>
    <row r="44" spans="2:22" hidden="1" x14ac:dyDescent="0.2">
      <c r="B44" t="s">
        <v>179</v>
      </c>
      <c r="E44" s="87"/>
      <c r="F44" s="88"/>
      <c r="G44" s="87"/>
      <c r="H44" s="87"/>
      <c r="I44" s="104"/>
      <c r="J44" s="101"/>
      <c r="K44" s="104"/>
      <c r="L44" s="87"/>
      <c r="M44" s="88"/>
      <c r="N44" s="90"/>
      <c r="O44" s="88"/>
      <c r="P44" s="87"/>
      <c r="Q44" s="88"/>
      <c r="R44" s="87"/>
      <c r="T44" s="90"/>
      <c r="V44" s="8"/>
    </row>
    <row r="45" spans="2:22" hidden="1" x14ac:dyDescent="0.2">
      <c r="B45" t="s">
        <v>179</v>
      </c>
      <c r="E45" s="87"/>
      <c r="F45" s="88"/>
      <c r="G45" s="87">
        <v>0</v>
      </c>
      <c r="H45" s="87">
        <v>0</v>
      </c>
      <c r="I45" s="104"/>
      <c r="J45" s="93">
        <v>0</v>
      </c>
      <c r="K45" s="104"/>
      <c r="L45" s="87">
        <v>0</v>
      </c>
      <c r="M45" s="88"/>
      <c r="N45" s="90">
        <v>0</v>
      </c>
      <c r="O45" s="88"/>
      <c r="P45" s="87">
        <v>0</v>
      </c>
      <c r="Q45" s="88"/>
      <c r="R45" s="87">
        <f>G45-P45</f>
        <v>0</v>
      </c>
      <c r="T45" s="90">
        <v>0</v>
      </c>
      <c r="V45" s="8"/>
    </row>
    <row r="46" spans="2:22" ht="7.5" customHeight="1" x14ac:dyDescent="0.2">
      <c r="E46" s="87"/>
      <c r="F46" s="88"/>
      <c r="G46" s="87"/>
      <c r="H46" s="87"/>
      <c r="I46" s="104"/>
      <c r="J46" s="93"/>
      <c r="K46" s="104"/>
      <c r="L46" s="87"/>
      <c r="M46" s="88"/>
      <c r="N46" s="90"/>
      <c r="O46" s="88"/>
      <c r="P46" s="87"/>
      <c r="Q46" s="88"/>
      <c r="R46" s="87"/>
      <c r="T46" s="90"/>
      <c r="V46" s="8"/>
    </row>
    <row r="47" spans="2:22" x14ac:dyDescent="0.2">
      <c r="B47" t="s">
        <v>225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1.9</v>
      </c>
      <c r="Q47" s="88"/>
      <c r="R47" s="87">
        <f>G47-P47</f>
        <v>-1.9</v>
      </c>
      <c r="T47" s="90">
        <v>9</v>
      </c>
      <c r="V47" s="8"/>
    </row>
    <row r="48" spans="2:22" hidden="1" x14ac:dyDescent="0.2">
      <c r="B48" t="s">
        <v>201</v>
      </c>
      <c r="E48" s="87"/>
      <c r="F48" s="88"/>
      <c r="G48" s="87"/>
      <c r="H48" s="87">
        <v>162</v>
      </c>
      <c r="I48" s="104"/>
      <c r="J48" s="93">
        <v>151</v>
      </c>
      <c r="K48" s="104"/>
      <c r="L48" s="87">
        <v>140</v>
      </c>
      <c r="M48" s="88"/>
      <c r="N48" s="113">
        <f>25+17</f>
        <v>42</v>
      </c>
      <c r="O48" s="88"/>
      <c r="P48" s="87">
        <v>0</v>
      </c>
      <c r="Q48" s="88"/>
      <c r="R48" s="87"/>
      <c r="T48" s="101">
        <v>0</v>
      </c>
      <c r="V48" s="8"/>
    </row>
    <row r="49" spans="2:24" hidden="1" x14ac:dyDescent="0.2">
      <c r="E49" s="87"/>
      <c r="F49" s="88"/>
      <c r="G49" s="87"/>
      <c r="H49" s="87"/>
      <c r="I49" s="104"/>
      <c r="J49" s="101" t="s">
        <v>149</v>
      </c>
      <c r="K49" s="104"/>
      <c r="L49" s="87"/>
      <c r="M49" s="88"/>
      <c r="N49" s="90" t="s">
        <v>149</v>
      </c>
      <c r="O49" s="88"/>
      <c r="P49" s="87"/>
      <c r="Q49" s="88"/>
      <c r="R49" s="87"/>
      <c r="T49" s="90" t="s">
        <v>149</v>
      </c>
      <c r="V49" s="8"/>
    </row>
    <row r="50" spans="2:24" hidden="1" x14ac:dyDescent="0.2">
      <c r="B50" t="s">
        <v>202</v>
      </c>
      <c r="E50" s="87"/>
      <c r="F50" s="88"/>
      <c r="G50" s="87"/>
      <c r="H50" s="87">
        <v>31</v>
      </c>
      <c r="I50" s="104"/>
      <c r="J50" s="93">
        <v>107</v>
      </c>
      <c r="K50" s="104"/>
      <c r="L50" s="87">
        <v>7</v>
      </c>
      <c r="M50" s="88"/>
      <c r="N50" s="93">
        <v>36</v>
      </c>
      <c r="O50" s="88"/>
      <c r="P50" s="87">
        <v>0</v>
      </c>
      <c r="Q50" s="88"/>
      <c r="R50" s="87"/>
      <c r="T50" s="101">
        <v>0</v>
      </c>
      <c r="V50" s="8"/>
    </row>
    <row r="51" spans="2:24" hidden="1" x14ac:dyDescent="0.2">
      <c r="E51" s="87"/>
      <c r="F51" s="88"/>
      <c r="G51" s="87"/>
      <c r="H51" s="87"/>
      <c r="I51" s="104"/>
      <c r="J51" s="101"/>
      <c r="K51" s="104"/>
      <c r="L51" s="87"/>
      <c r="M51" s="88"/>
      <c r="N51" s="90"/>
      <c r="O51" s="88"/>
      <c r="P51" s="87"/>
      <c r="Q51" s="88"/>
      <c r="R51" s="87"/>
      <c r="T51" s="90"/>
      <c r="V51" s="8"/>
    </row>
    <row r="52" spans="2:24" ht="7.5" customHeight="1" x14ac:dyDescent="0.2">
      <c r="E52" s="87"/>
      <c r="F52" s="88"/>
      <c r="G52" s="87"/>
      <c r="H52" s="87"/>
      <c r="I52" s="104"/>
      <c r="J52" s="101"/>
      <c r="K52" s="104"/>
      <c r="L52" s="87"/>
      <c r="M52" s="88"/>
      <c r="N52" s="90"/>
      <c r="O52" s="88"/>
      <c r="P52" s="87"/>
      <c r="Q52" s="88"/>
      <c r="R52" s="87"/>
      <c r="T52" s="90"/>
      <c r="V52" s="8"/>
    </row>
    <row r="53" spans="2:24" x14ac:dyDescent="0.2">
      <c r="B53" t="s">
        <v>226</v>
      </c>
      <c r="E53" s="87">
        <v>0</v>
      </c>
      <c r="G53" s="87">
        <v>0</v>
      </c>
      <c r="H53" s="90">
        <v>34.299999999999997</v>
      </c>
      <c r="I53" s="8"/>
      <c r="J53" s="93">
        <v>65</v>
      </c>
      <c r="K53" s="8"/>
      <c r="L53" s="90">
        <v>257.10000000000002</v>
      </c>
      <c r="N53" s="90">
        <v>5</v>
      </c>
      <c r="P53" s="87">
        <v>2.1</v>
      </c>
      <c r="R53" s="87">
        <f>G53-P53</f>
        <v>-2.1</v>
      </c>
      <c r="T53" s="90">
        <v>6</v>
      </c>
    </row>
    <row r="54" spans="2:24" x14ac:dyDescent="0.2">
      <c r="E54" s="92"/>
      <c r="G54" s="92"/>
      <c r="H54" s="90"/>
      <c r="I54" s="8"/>
      <c r="J54" s="92"/>
      <c r="K54" s="8"/>
      <c r="L54" s="90"/>
      <c r="N54" s="92"/>
      <c r="P54" s="91"/>
      <c r="R54" s="92"/>
      <c r="T54" s="92"/>
    </row>
    <row r="55" spans="2:24" x14ac:dyDescent="0.2">
      <c r="D55" s="33" t="s">
        <v>151</v>
      </c>
      <c r="E55" s="94">
        <v>60</v>
      </c>
      <c r="G55" s="95">
        <f>SUM(G9:G53)</f>
        <v>875</v>
      </c>
      <c r="H55" s="95">
        <f>+H9+H35+H39+H43+H45+H53+H48+H50</f>
        <v>354.9</v>
      </c>
      <c r="I55" s="105"/>
      <c r="J55" s="96">
        <f>+J9+J35+J39+J43+J45+J48+J50+J53</f>
        <v>747</v>
      </c>
      <c r="K55" s="105"/>
      <c r="L55" s="95">
        <f>+L9+L35+L39+L43+L45+L53+L48+L50</f>
        <v>524.79999999999995</v>
      </c>
      <c r="N55" s="96">
        <f>+N9+N35+N39+N43+N45+N53+N48+N50</f>
        <v>558</v>
      </c>
      <c r="P55" s="95">
        <f>SUM(P9:P53)-P33</f>
        <v>39.89</v>
      </c>
      <c r="R55" s="87">
        <f>SUM(R9:R53)-R33</f>
        <v>410.11</v>
      </c>
      <c r="T55" s="96">
        <f>SUM(T9:T53)-T33</f>
        <v>159</v>
      </c>
    </row>
    <row r="56" spans="2:24" x14ac:dyDescent="0.2">
      <c r="H56" s="90"/>
      <c r="I56" s="8"/>
      <c r="J56" s="97"/>
      <c r="L56" s="90"/>
      <c r="N56" s="97"/>
      <c r="P56" s="87"/>
      <c r="R56" s="97"/>
      <c r="T56" s="97"/>
    </row>
    <row r="57" spans="2:24" x14ac:dyDescent="0.2">
      <c r="B57" t="s">
        <v>227</v>
      </c>
      <c r="H57" s="90"/>
      <c r="I57" s="8"/>
      <c r="J57" s="90"/>
      <c r="L57" s="90"/>
      <c r="N57" s="90"/>
      <c r="P57" s="87">
        <f>1.5+2.3+0.9+1.4-0.1</f>
        <v>6</v>
      </c>
      <c r="R57" s="98">
        <f>G57-P57</f>
        <v>-6</v>
      </c>
      <c r="T57" s="90">
        <f>12+17+8+11</f>
        <v>48</v>
      </c>
    </row>
    <row r="58" spans="2:24" x14ac:dyDescent="0.2">
      <c r="H58" s="90"/>
      <c r="I58" s="8"/>
      <c r="J58" s="90"/>
      <c r="L58" s="90"/>
      <c r="N58" s="90"/>
      <c r="P58" s="87"/>
      <c r="R58" s="90"/>
      <c r="T58" s="90"/>
    </row>
    <row r="59" spans="2:24" x14ac:dyDescent="0.2">
      <c r="B59" t="s">
        <v>228</v>
      </c>
      <c r="H59" s="90"/>
      <c r="I59" s="8"/>
      <c r="J59" s="90"/>
      <c r="L59" s="90"/>
      <c r="N59" s="90"/>
      <c r="P59" s="87">
        <f>0.9+0.2+0.5</f>
        <v>1.6</v>
      </c>
      <c r="R59" s="98">
        <f>G59-P59</f>
        <v>-1.6</v>
      </c>
      <c r="T59" s="90">
        <f>12+2+6</f>
        <v>20</v>
      </c>
    </row>
    <row r="60" spans="2:24" x14ac:dyDescent="0.2">
      <c r="H60" s="90"/>
      <c r="I60" s="8"/>
      <c r="J60" s="90"/>
      <c r="L60" s="90"/>
      <c r="N60" s="90"/>
      <c r="P60" s="87"/>
      <c r="R60" s="90"/>
      <c r="T60" s="90"/>
    </row>
    <row r="61" spans="2:24" x14ac:dyDescent="0.2">
      <c r="B61" t="s">
        <v>152</v>
      </c>
      <c r="H61" s="114">
        <v>14</v>
      </c>
      <c r="I61" s="115"/>
      <c r="J61" s="93">
        <v>128</v>
      </c>
      <c r="L61" s="90">
        <v>7.9</v>
      </c>
      <c r="M61" t="s">
        <v>149</v>
      </c>
      <c r="N61" s="90">
        <v>122</v>
      </c>
      <c r="P61" s="87">
        <v>7.1</v>
      </c>
      <c r="R61" s="98">
        <f>G61-P61</f>
        <v>-7.1</v>
      </c>
      <c r="T61" s="90">
        <v>45</v>
      </c>
      <c r="U61" t="s">
        <v>149</v>
      </c>
      <c r="V61" t="s">
        <v>149</v>
      </c>
      <c r="W61" t="s">
        <v>149</v>
      </c>
      <c r="X61" t="s">
        <v>149</v>
      </c>
    </row>
    <row r="62" spans="2:24" x14ac:dyDescent="0.2">
      <c r="H62" s="90"/>
      <c r="I62" s="8"/>
      <c r="J62" s="90"/>
      <c r="L62" s="90"/>
      <c r="N62" s="90"/>
      <c r="P62" s="87"/>
      <c r="R62" s="98"/>
      <c r="T62" s="90"/>
    </row>
    <row r="63" spans="2:24" x14ac:dyDescent="0.2">
      <c r="B63" t="s">
        <v>204</v>
      </c>
      <c r="E63" t="s">
        <v>149</v>
      </c>
      <c r="H63" s="90">
        <v>5.7</v>
      </c>
      <c r="I63" s="8"/>
      <c r="J63" s="93">
        <v>30</v>
      </c>
      <c r="L63" s="90">
        <v>2.5</v>
      </c>
      <c r="M63" t="s">
        <v>149</v>
      </c>
      <c r="N63" s="90">
        <f>28+7</f>
        <v>35</v>
      </c>
      <c r="P63" s="87">
        <f>1.3+1</f>
        <v>2.2999999999999998</v>
      </c>
      <c r="R63" s="98">
        <f>G63-P63</f>
        <v>-2.2999999999999998</v>
      </c>
      <c r="T63" s="90">
        <f>6+5</f>
        <v>11</v>
      </c>
    </row>
    <row r="64" spans="2:24" x14ac:dyDescent="0.2">
      <c r="H64" s="90"/>
      <c r="I64" s="8"/>
      <c r="J64" s="90"/>
      <c r="L64" s="90" t="s">
        <v>149</v>
      </c>
      <c r="N64" s="90"/>
      <c r="P64" s="87"/>
      <c r="R64" s="98"/>
      <c r="T64" s="90"/>
    </row>
    <row r="65" spans="2:22" x14ac:dyDescent="0.2">
      <c r="B65" t="s">
        <v>116</v>
      </c>
      <c r="H65" s="90">
        <v>11.4</v>
      </c>
      <c r="I65" s="8"/>
      <c r="J65" s="116" t="s">
        <v>149</v>
      </c>
      <c r="L65" s="90">
        <v>9.5</v>
      </c>
      <c r="M65" t="s">
        <v>149</v>
      </c>
      <c r="N65" s="93"/>
      <c r="P65" s="87">
        <v>6.4</v>
      </c>
      <c r="R65" s="98">
        <f>G65-P65</f>
        <v>-6.4</v>
      </c>
      <c r="T65" s="90">
        <v>10</v>
      </c>
    </row>
    <row r="66" spans="2:22" x14ac:dyDescent="0.2">
      <c r="H66" s="90"/>
      <c r="I66" s="8"/>
      <c r="J66" s="90"/>
      <c r="L66" s="90"/>
      <c r="M66" t="s">
        <v>149</v>
      </c>
      <c r="N66" s="90"/>
      <c r="P66" s="87"/>
      <c r="R66" s="90"/>
      <c r="T66" s="90"/>
    </row>
    <row r="67" spans="2:22" x14ac:dyDescent="0.2">
      <c r="B67" t="s">
        <v>121</v>
      </c>
      <c r="H67" s="90">
        <v>11.4</v>
      </c>
      <c r="I67" s="8"/>
      <c r="J67" s="116" t="s">
        <v>149</v>
      </c>
      <c r="L67" s="114">
        <v>7.3</v>
      </c>
      <c r="N67" s="101"/>
      <c r="P67" s="87">
        <v>2.6</v>
      </c>
      <c r="R67" s="98">
        <f>G67-P67</f>
        <v>-2.6</v>
      </c>
      <c r="T67" s="90">
        <v>15</v>
      </c>
    </row>
    <row r="68" spans="2:22" x14ac:dyDescent="0.2">
      <c r="H68" s="90"/>
      <c r="I68" s="8"/>
      <c r="J68" s="90"/>
      <c r="L68" s="90"/>
      <c r="N68" s="90"/>
      <c r="P68" s="87"/>
      <c r="R68" s="90"/>
      <c r="T68" s="90"/>
    </row>
    <row r="69" spans="2:22" x14ac:dyDescent="0.2">
      <c r="B69" t="s">
        <v>217</v>
      </c>
      <c r="H69" s="90">
        <v>1.2</v>
      </c>
      <c r="I69" s="8"/>
      <c r="J69" s="116">
        <v>0</v>
      </c>
      <c r="L69" s="90">
        <v>0.7</v>
      </c>
      <c r="M69" t="s">
        <v>149</v>
      </c>
      <c r="N69" s="90">
        <v>26</v>
      </c>
      <c r="P69" s="87">
        <v>2.8</v>
      </c>
      <c r="R69" s="98">
        <f>G69-P69</f>
        <v>-2.8</v>
      </c>
      <c r="T69" s="90">
        <v>11</v>
      </c>
    </row>
    <row r="70" spans="2:22" x14ac:dyDescent="0.2">
      <c r="H70" s="90"/>
      <c r="I70" s="8"/>
      <c r="J70" s="90"/>
      <c r="L70" s="90"/>
      <c r="N70" s="90"/>
      <c r="P70" s="87"/>
      <c r="R70" s="98"/>
      <c r="T70" s="90"/>
    </row>
    <row r="71" spans="2:22" hidden="1" x14ac:dyDescent="0.2">
      <c r="B71" t="s">
        <v>177</v>
      </c>
      <c r="H71" s="90">
        <v>1.1000000000000001</v>
      </c>
      <c r="I71" s="8"/>
      <c r="J71" s="116">
        <v>0</v>
      </c>
      <c r="L71" s="90">
        <v>0.7</v>
      </c>
      <c r="N71" s="90">
        <v>27</v>
      </c>
      <c r="P71" s="87">
        <v>0</v>
      </c>
      <c r="R71" s="98">
        <f>G71-P71</f>
        <v>0</v>
      </c>
      <c r="T71" s="90">
        <v>0</v>
      </c>
    </row>
    <row r="72" spans="2:22" hidden="1" x14ac:dyDescent="0.2">
      <c r="H72" s="90"/>
      <c r="I72" s="8"/>
      <c r="J72" s="90" t="s">
        <v>149</v>
      </c>
      <c r="L72" s="90"/>
      <c r="N72" s="90" t="s">
        <v>149</v>
      </c>
      <c r="P72" s="87"/>
      <c r="R72" s="90"/>
      <c r="T72" s="90" t="s">
        <v>149</v>
      </c>
    </row>
    <row r="73" spans="2:22" x14ac:dyDescent="0.2">
      <c r="B73" t="s">
        <v>153</v>
      </c>
      <c r="H73" s="90"/>
      <c r="I73" s="8"/>
      <c r="J73" s="116" t="s">
        <v>149</v>
      </c>
      <c r="L73" s="90"/>
      <c r="M73" t="s">
        <v>149</v>
      </c>
      <c r="N73" s="90"/>
      <c r="P73" s="87"/>
      <c r="R73" s="98"/>
      <c r="T73" s="90"/>
    </row>
    <row r="74" spans="2:22" x14ac:dyDescent="0.2">
      <c r="C74" t="s">
        <v>154</v>
      </c>
      <c r="H74" s="90">
        <v>10.199999999999999</v>
      </c>
      <c r="I74" s="8"/>
      <c r="J74" s="113" t="s">
        <v>149</v>
      </c>
      <c r="L74" s="114">
        <v>7.6</v>
      </c>
      <c r="N74" s="87"/>
      <c r="P74" s="87">
        <f t="shared" ref="P74:P82" si="0">(T74/$T$84)*$P$84</f>
        <v>5.3565217391304349</v>
      </c>
      <c r="R74" s="98">
        <f t="shared" ref="R74:R82" si="1">G74-P74</f>
        <v>-5.3565217391304349</v>
      </c>
      <c r="T74" s="90">
        <v>32</v>
      </c>
      <c r="U74">
        <v>5</v>
      </c>
      <c r="V74">
        <v>0.5</v>
      </c>
    </row>
    <row r="75" spans="2:22" x14ac:dyDescent="0.2">
      <c r="C75" t="s">
        <v>155</v>
      </c>
      <c r="H75" s="90">
        <v>8.6</v>
      </c>
      <c r="I75" s="8"/>
      <c r="J75" s="113" t="s">
        <v>149</v>
      </c>
      <c r="L75" s="114">
        <v>6</v>
      </c>
      <c r="N75" s="87"/>
      <c r="P75" s="87">
        <f t="shared" si="0"/>
        <v>6.5282608695652176</v>
      </c>
      <c r="R75" s="98">
        <f t="shared" si="1"/>
        <v>-6.5282608695652176</v>
      </c>
      <c r="T75" s="90">
        <v>39</v>
      </c>
      <c r="U75">
        <v>4</v>
      </c>
      <c r="V75">
        <v>0.5</v>
      </c>
    </row>
    <row r="76" spans="2:22" x14ac:dyDescent="0.2">
      <c r="C76" t="s">
        <v>156</v>
      </c>
      <c r="H76" s="90">
        <v>5.9</v>
      </c>
      <c r="I76" s="8"/>
      <c r="J76" s="113" t="s">
        <v>149</v>
      </c>
      <c r="L76" s="114">
        <v>4</v>
      </c>
      <c r="N76" s="87"/>
      <c r="P76" s="87">
        <f t="shared" si="0"/>
        <v>4.8543478260869568</v>
      </c>
      <c r="R76" s="98">
        <f t="shared" si="1"/>
        <v>-4.8543478260869568</v>
      </c>
      <c r="T76" s="90">
        <f>21+8</f>
        <v>29</v>
      </c>
      <c r="U76">
        <v>4</v>
      </c>
      <c r="V76">
        <v>0.5</v>
      </c>
    </row>
    <row r="77" spans="2:22" x14ac:dyDescent="0.2">
      <c r="C77" t="s">
        <v>157</v>
      </c>
      <c r="H77" s="90">
        <v>3.1</v>
      </c>
      <c r="I77" s="8"/>
      <c r="J77" s="116" t="s">
        <v>149</v>
      </c>
      <c r="L77" s="90">
        <v>2.7</v>
      </c>
      <c r="N77" s="87"/>
      <c r="P77" s="87">
        <f t="shared" si="0"/>
        <v>1.0043478260869565</v>
      </c>
      <c r="R77" s="98">
        <f t="shared" si="1"/>
        <v>-1.0043478260869565</v>
      </c>
      <c r="T77" s="90">
        <v>6</v>
      </c>
      <c r="U77">
        <v>4</v>
      </c>
      <c r="V77">
        <v>0.5</v>
      </c>
    </row>
    <row r="78" spans="2:22" x14ac:dyDescent="0.2">
      <c r="C78" t="s">
        <v>158</v>
      </c>
      <c r="H78" s="90">
        <v>2.7</v>
      </c>
      <c r="I78" s="8"/>
      <c r="J78" s="116" t="s">
        <v>149</v>
      </c>
      <c r="L78" s="90">
        <v>2.1</v>
      </c>
      <c r="M78" s="67"/>
      <c r="N78" s="87"/>
      <c r="O78" s="67"/>
      <c r="P78" s="87">
        <f t="shared" si="0"/>
        <v>2.3434782608695652</v>
      </c>
      <c r="R78" s="98">
        <f t="shared" si="1"/>
        <v>-2.3434782608695652</v>
      </c>
      <c r="T78" s="90">
        <v>14</v>
      </c>
      <c r="U78">
        <v>4</v>
      </c>
      <c r="V78">
        <v>0.5</v>
      </c>
    </row>
    <row r="79" spans="2:22" x14ac:dyDescent="0.2">
      <c r="C79" t="s">
        <v>159</v>
      </c>
      <c r="H79" s="90">
        <v>2.7</v>
      </c>
      <c r="I79" s="8"/>
      <c r="J79" s="116" t="s">
        <v>149</v>
      </c>
      <c r="L79" s="90">
        <v>2.1</v>
      </c>
      <c r="N79" s="87"/>
      <c r="P79" s="87">
        <f t="shared" si="0"/>
        <v>1.8413043478260871</v>
      </c>
      <c r="R79" s="98">
        <f t="shared" si="1"/>
        <v>-1.8413043478260871</v>
      </c>
      <c r="T79" s="90">
        <v>11</v>
      </c>
      <c r="U79">
        <v>4</v>
      </c>
      <c r="V79">
        <v>0.5</v>
      </c>
    </row>
    <row r="80" spans="2:22" x14ac:dyDescent="0.2">
      <c r="C80" t="s">
        <v>160</v>
      </c>
      <c r="H80" s="90">
        <v>2.7</v>
      </c>
      <c r="I80" s="8"/>
      <c r="J80" s="116" t="s">
        <v>149</v>
      </c>
      <c r="L80" s="90">
        <v>2.5</v>
      </c>
      <c r="N80" s="87"/>
      <c r="P80" s="87">
        <f t="shared" si="0"/>
        <v>1.3391304347826087</v>
      </c>
      <c r="R80" s="98">
        <f t="shared" si="1"/>
        <v>-1.3391304347826087</v>
      </c>
      <c r="T80" s="90">
        <v>8</v>
      </c>
      <c r="U80">
        <v>5</v>
      </c>
      <c r="V80">
        <v>0.5</v>
      </c>
    </row>
    <row r="81" spans="2:23" x14ac:dyDescent="0.2">
      <c r="C81" t="s">
        <v>161</v>
      </c>
      <c r="H81" s="92">
        <v>3.3</v>
      </c>
      <c r="I81" s="8"/>
      <c r="J81" s="117" t="s">
        <v>149</v>
      </c>
      <c r="L81" s="92">
        <v>2.9</v>
      </c>
      <c r="N81" s="91"/>
      <c r="P81" s="87">
        <f t="shared" si="0"/>
        <v>2.3434782608695652</v>
      </c>
      <c r="R81" s="98">
        <f t="shared" si="1"/>
        <v>-2.3434782608695652</v>
      </c>
      <c r="T81" s="90">
        <v>14</v>
      </c>
      <c r="U81" s="122">
        <v>6</v>
      </c>
      <c r="V81">
        <v>0.05</v>
      </c>
    </row>
    <row r="82" spans="2:23" x14ac:dyDescent="0.2">
      <c r="C82" t="s">
        <v>218</v>
      </c>
      <c r="H82" s="90"/>
      <c r="I82" s="8"/>
      <c r="J82" s="116"/>
      <c r="L82" s="90"/>
      <c r="N82" s="87"/>
      <c r="P82" s="87">
        <f t="shared" si="0"/>
        <v>4.8543478260869568</v>
      </c>
      <c r="R82" s="98">
        <f t="shared" si="1"/>
        <v>-4.8543478260869568</v>
      </c>
      <c r="T82" s="90">
        <v>29</v>
      </c>
      <c r="U82" s="8"/>
    </row>
    <row r="83" spans="2:23" x14ac:dyDescent="0.2">
      <c r="C83" t="s">
        <v>219</v>
      </c>
      <c r="H83" s="90"/>
      <c r="I83" s="8"/>
      <c r="J83" s="116"/>
      <c r="L83" s="90"/>
      <c r="N83" s="87"/>
      <c r="P83" s="91">
        <f>(T83/$T$84)*$P$84+0.1</f>
        <v>0.43478260869565222</v>
      </c>
      <c r="R83" s="94">
        <f>G83-P83+0.06</f>
        <v>-0.37478260869565222</v>
      </c>
      <c r="T83" s="92">
        <v>2</v>
      </c>
      <c r="U83" s="8"/>
    </row>
    <row r="84" spans="2:23" x14ac:dyDescent="0.2">
      <c r="H84" s="100">
        <f>SUM(H74:H81)</f>
        <v>39.199999999999996</v>
      </c>
      <c r="I84" s="118"/>
      <c r="J84" s="99">
        <v>452</v>
      </c>
      <c r="L84" s="100">
        <f>SUM(L74:L81)</f>
        <v>29.900000000000002</v>
      </c>
      <c r="N84" s="99"/>
      <c r="P84" s="100">
        <v>30.8</v>
      </c>
      <c r="R84" s="98">
        <f>SUM(R74:R83)</f>
        <v>-30.840000000000003</v>
      </c>
      <c r="T84" s="99">
        <f>SUM(T74:T83)</f>
        <v>184</v>
      </c>
      <c r="U84">
        <v>178</v>
      </c>
      <c r="V84">
        <f>SUM(V74:V81)</f>
        <v>3.55</v>
      </c>
      <c r="W84" t="s">
        <v>162</v>
      </c>
    </row>
    <row r="85" spans="2:23" x14ac:dyDescent="0.2">
      <c r="H85" s="90"/>
      <c r="I85" s="8"/>
      <c r="J85" s="90"/>
      <c r="L85" s="90"/>
      <c r="N85" s="90"/>
      <c r="P85" s="90"/>
      <c r="R85" s="90"/>
      <c r="T85" s="90"/>
    </row>
    <row r="86" spans="2:23" x14ac:dyDescent="0.2">
      <c r="B86" t="s">
        <v>163</v>
      </c>
      <c r="H86" s="90">
        <v>10.7</v>
      </c>
      <c r="I86" s="8"/>
      <c r="J86" s="93">
        <v>39</v>
      </c>
      <c r="L86" s="90">
        <v>4.0999999999999996</v>
      </c>
      <c r="M86" t="s">
        <v>149</v>
      </c>
      <c r="N86" s="99">
        <v>105</v>
      </c>
      <c r="P86" s="87">
        <v>2.1</v>
      </c>
      <c r="R86" s="98">
        <f>G86-P86</f>
        <v>-2.1</v>
      </c>
      <c r="T86" s="99">
        <v>14</v>
      </c>
    </row>
    <row r="87" spans="2:23" x14ac:dyDescent="0.2">
      <c r="H87" s="90"/>
      <c r="I87" s="8"/>
      <c r="J87" s="90"/>
      <c r="L87" s="90"/>
      <c r="N87" s="90"/>
      <c r="P87" s="90"/>
      <c r="R87" s="90"/>
      <c r="T87" s="90"/>
    </row>
    <row r="88" spans="2:23" x14ac:dyDescent="0.2">
      <c r="B88" t="s">
        <v>180</v>
      </c>
      <c r="H88" s="90">
        <v>27.5</v>
      </c>
      <c r="I88" s="8"/>
      <c r="J88" s="93">
        <v>175</v>
      </c>
      <c r="L88" s="114">
        <v>29</v>
      </c>
      <c r="M88" t="s">
        <v>149</v>
      </c>
      <c r="N88" s="99"/>
      <c r="P88" s="87">
        <v>31.2</v>
      </c>
      <c r="R88" s="98">
        <f>G88-P88</f>
        <v>-31.2</v>
      </c>
      <c r="T88" s="99">
        <v>141</v>
      </c>
      <c r="U88" t="s">
        <v>149</v>
      </c>
      <c r="V88" t="s">
        <v>149</v>
      </c>
    </row>
    <row r="89" spans="2:23" x14ac:dyDescent="0.2">
      <c r="B89" t="s">
        <v>181</v>
      </c>
      <c r="H89" s="90">
        <v>48.9</v>
      </c>
      <c r="I89" s="8"/>
      <c r="J89" s="116" t="s">
        <v>149</v>
      </c>
      <c r="L89" s="114">
        <v>55</v>
      </c>
      <c r="N89" s="99"/>
      <c r="P89" s="87">
        <v>24.9</v>
      </c>
      <c r="R89" s="98">
        <f>G89-P89</f>
        <v>-24.9</v>
      </c>
      <c r="T89" s="99">
        <v>59</v>
      </c>
    </row>
    <row r="90" spans="2:23" hidden="1" x14ac:dyDescent="0.2">
      <c r="B90" t="s">
        <v>182</v>
      </c>
      <c r="H90" s="90">
        <v>1.1000000000000001</v>
      </c>
      <c r="I90" s="8"/>
      <c r="J90" s="116" t="s">
        <v>149</v>
      </c>
      <c r="L90" s="90">
        <v>7.7</v>
      </c>
      <c r="N90" s="99"/>
      <c r="P90" s="87">
        <v>0</v>
      </c>
      <c r="R90" s="98">
        <f>G90-P90</f>
        <v>0</v>
      </c>
      <c r="T90" s="99">
        <v>0</v>
      </c>
    </row>
    <row r="91" spans="2:23" x14ac:dyDescent="0.2">
      <c r="B91" t="s">
        <v>183</v>
      </c>
      <c r="H91" s="90">
        <v>0.8</v>
      </c>
      <c r="I91" s="8"/>
      <c r="J91" s="116" t="s">
        <v>149</v>
      </c>
      <c r="L91" s="90">
        <v>5.2</v>
      </c>
      <c r="N91" s="99"/>
      <c r="P91" s="87">
        <v>7.5</v>
      </c>
      <c r="R91" s="98">
        <f>G91-P91</f>
        <v>-7.5</v>
      </c>
      <c r="T91" s="99">
        <v>39</v>
      </c>
    </row>
    <row r="92" spans="2:23" x14ac:dyDescent="0.2">
      <c r="H92" s="90"/>
      <c r="I92" s="8"/>
      <c r="J92" s="99"/>
      <c r="L92" s="90"/>
      <c r="N92" s="99"/>
      <c r="P92" s="87"/>
      <c r="R92" s="98"/>
      <c r="T92" s="99"/>
    </row>
    <row r="93" spans="2:23" x14ac:dyDescent="0.2">
      <c r="H93" s="90"/>
      <c r="I93" s="8"/>
      <c r="J93" s="90"/>
      <c r="L93" s="90"/>
      <c r="N93" s="90"/>
      <c r="P93" s="93"/>
      <c r="R93" s="90"/>
      <c r="T93" s="90"/>
    </row>
    <row r="94" spans="2:23" x14ac:dyDescent="0.2">
      <c r="B94" t="s">
        <v>164</v>
      </c>
      <c r="H94" s="90">
        <v>2.8</v>
      </c>
      <c r="I94" s="8"/>
      <c r="J94" s="116">
        <v>0</v>
      </c>
      <c r="L94" s="90">
        <v>3.5</v>
      </c>
      <c r="M94" t="s">
        <v>149</v>
      </c>
      <c r="N94" s="99">
        <v>96</v>
      </c>
      <c r="P94" s="87">
        <v>4.8</v>
      </c>
      <c r="R94" s="98">
        <f>G94-P94</f>
        <v>-4.8</v>
      </c>
      <c r="T94" s="99">
        <v>33</v>
      </c>
    </row>
    <row r="95" spans="2:23" x14ac:dyDescent="0.2">
      <c r="H95" s="90"/>
      <c r="I95" s="8"/>
      <c r="J95" s="90"/>
      <c r="L95" s="90"/>
      <c r="N95" s="90"/>
      <c r="P95" s="93"/>
      <c r="R95" s="90"/>
      <c r="T95" s="90"/>
    </row>
    <row r="96" spans="2:23" x14ac:dyDescent="0.2">
      <c r="B96" t="s">
        <v>129</v>
      </c>
      <c r="H96" s="90">
        <v>39.299999999999997</v>
      </c>
      <c r="I96" s="8"/>
      <c r="J96" s="93">
        <v>90</v>
      </c>
      <c r="L96" s="90">
        <v>10.1</v>
      </c>
      <c r="M96" t="s">
        <v>149</v>
      </c>
      <c r="N96" s="99">
        <v>116</v>
      </c>
      <c r="P96" s="87">
        <v>8.6999999999999993</v>
      </c>
      <c r="R96" s="98">
        <f>G96-P96</f>
        <v>-8.6999999999999993</v>
      </c>
      <c r="T96" s="99">
        <v>22</v>
      </c>
      <c r="U96" t="s">
        <v>149</v>
      </c>
      <c r="V96" t="s">
        <v>149</v>
      </c>
    </row>
    <row r="97" spans="2:22" x14ac:dyDescent="0.2">
      <c r="H97" s="90"/>
      <c r="I97" s="8"/>
      <c r="J97" s="99"/>
      <c r="L97" s="90"/>
      <c r="N97" s="99"/>
      <c r="P97" s="87"/>
      <c r="R97" s="98"/>
      <c r="T97" s="99"/>
      <c r="V97" t="s">
        <v>149</v>
      </c>
    </row>
    <row r="98" spans="2:22" x14ac:dyDescent="0.2">
      <c r="B98" t="s">
        <v>165</v>
      </c>
      <c r="H98" s="90"/>
      <c r="I98" s="8"/>
      <c r="J98" s="99"/>
      <c r="L98" s="90"/>
      <c r="M98" t="s">
        <v>149</v>
      </c>
      <c r="N98" s="99"/>
      <c r="P98" s="87"/>
      <c r="R98" s="98"/>
      <c r="T98" s="99"/>
    </row>
    <row r="99" spans="2:22" x14ac:dyDescent="0.2">
      <c r="C99" t="s">
        <v>184</v>
      </c>
      <c r="H99" s="114">
        <f>15.3+0.7</f>
        <v>16</v>
      </c>
      <c r="I99" s="8"/>
      <c r="J99" s="99"/>
      <c r="L99" s="114">
        <v>6</v>
      </c>
      <c r="N99" s="99"/>
      <c r="P99" s="87">
        <v>5</v>
      </c>
      <c r="R99" s="98">
        <f>G99-P99</f>
        <v>-5</v>
      </c>
      <c r="T99" s="99"/>
    </row>
    <row r="100" spans="2:22" x14ac:dyDescent="0.2">
      <c r="C100" t="s">
        <v>185</v>
      </c>
      <c r="H100" s="114">
        <v>1</v>
      </c>
      <c r="I100" s="115"/>
      <c r="J100" s="99"/>
      <c r="L100" s="90">
        <v>0.8</v>
      </c>
      <c r="N100" s="99"/>
      <c r="P100" s="87">
        <v>0.5</v>
      </c>
      <c r="R100" s="98">
        <f>G100-P100</f>
        <v>-0.5</v>
      </c>
      <c r="T100" s="99"/>
    </row>
    <row r="101" spans="2:22" x14ac:dyDescent="0.2">
      <c r="C101" t="s">
        <v>162</v>
      </c>
      <c r="H101" s="114">
        <v>1</v>
      </c>
      <c r="I101" s="115"/>
      <c r="J101" s="99"/>
      <c r="L101" s="114">
        <v>0.1</v>
      </c>
      <c r="N101" s="99"/>
      <c r="P101" s="87">
        <v>1</v>
      </c>
      <c r="R101" s="98">
        <f>G101-P101</f>
        <v>-1</v>
      </c>
      <c r="T101" s="99"/>
    </row>
    <row r="102" spans="2:22" x14ac:dyDescent="0.2">
      <c r="C102" t="s">
        <v>68</v>
      </c>
      <c r="H102" s="90">
        <v>0.4</v>
      </c>
      <c r="I102" s="8"/>
      <c r="J102" s="99"/>
      <c r="L102" s="90">
        <v>0.1</v>
      </c>
      <c r="N102" s="99"/>
      <c r="P102" s="87">
        <v>0.6</v>
      </c>
      <c r="R102" s="98">
        <f>G102-P102</f>
        <v>-0.6</v>
      </c>
      <c r="T102" s="99"/>
    </row>
    <row r="103" spans="2:22" x14ac:dyDescent="0.2">
      <c r="H103" s="90"/>
      <c r="I103" s="8"/>
      <c r="J103" s="99"/>
      <c r="L103" s="90"/>
      <c r="N103" s="99"/>
      <c r="P103" s="87"/>
      <c r="R103" s="98"/>
      <c r="T103" s="99"/>
    </row>
    <row r="104" spans="2:22" hidden="1" x14ac:dyDescent="0.2">
      <c r="B104" t="s">
        <v>205</v>
      </c>
      <c r="H104" s="90">
        <f>7.3-0.4</f>
        <v>6.8999999999999995</v>
      </c>
      <c r="I104" s="8"/>
      <c r="J104" s="99"/>
      <c r="L104" s="90">
        <v>37.4</v>
      </c>
      <c r="N104" s="99"/>
      <c r="P104" s="87">
        <v>0</v>
      </c>
      <c r="R104" s="98"/>
      <c r="T104" s="99"/>
    </row>
    <row r="105" spans="2:22" hidden="1" x14ac:dyDescent="0.2">
      <c r="H105" s="90"/>
      <c r="I105" s="8"/>
      <c r="J105" s="99"/>
      <c r="L105" s="90"/>
      <c r="N105" s="99"/>
      <c r="P105" s="87"/>
      <c r="R105" s="98"/>
      <c r="T105" s="99"/>
    </row>
    <row r="106" spans="2:22" hidden="1" x14ac:dyDescent="0.2">
      <c r="B106" t="s">
        <v>15</v>
      </c>
      <c r="H106" s="101">
        <v>0</v>
      </c>
      <c r="I106" s="8"/>
      <c r="J106" s="99"/>
      <c r="L106" s="90">
        <v>20.9</v>
      </c>
      <c r="N106" s="99"/>
      <c r="P106" s="87"/>
      <c r="R106" s="98"/>
      <c r="T106" s="99"/>
    </row>
    <row r="107" spans="2:22" hidden="1" x14ac:dyDescent="0.2">
      <c r="H107" s="90"/>
      <c r="I107" s="8"/>
      <c r="J107" s="99"/>
      <c r="L107" s="90"/>
      <c r="N107" s="99"/>
      <c r="P107" s="87"/>
      <c r="R107" s="98"/>
      <c r="T107" s="99"/>
    </row>
    <row r="108" spans="2:22" x14ac:dyDescent="0.2">
      <c r="B108" t="s">
        <v>186</v>
      </c>
      <c r="H108" s="90">
        <v>0.1</v>
      </c>
      <c r="I108" s="8"/>
      <c r="J108" s="99">
        <v>0</v>
      </c>
      <c r="L108" s="114">
        <v>13.6</v>
      </c>
      <c r="N108" s="99">
        <f>29+29+10+37+24</f>
        <v>129</v>
      </c>
      <c r="P108" s="87">
        <f>6.7+0.94+1.2</f>
        <v>8.84</v>
      </c>
      <c r="R108" s="98">
        <f>G108-P108</f>
        <v>-8.84</v>
      </c>
      <c r="T108" s="99">
        <f>33+5+5</f>
        <v>43</v>
      </c>
    </row>
    <row r="109" spans="2:22" x14ac:dyDescent="0.2">
      <c r="H109" s="90"/>
      <c r="I109" s="8"/>
      <c r="J109" s="99"/>
      <c r="L109" s="90"/>
      <c r="N109" s="99"/>
      <c r="P109" s="87"/>
      <c r="R109" s="98"/>
      <c r="T109" s="99"/>
    </row>
    <row r="110" spans="2:22" x14ac:dyDescent="0.2">
      <c r="H110" s="90"/>
      <c r="I110" s="8"/>
      <c r="J110" s="99"/>
      <c r="L110" s="90"/>
      <c r="N110" s="99"/>
      <c r="P110" s="87"/>
      <c r="R110" s="98"/>
      <c r="T110" s="99"/>
    </row>
    <row r="111" spans="2:22" x14ac:dyDescent="0.2">
      <c r="B111" t="s">
        <v>187</v>
      </c>
      <c r="H111" s="90"/>
      <c r="I111" s="8"/>
      <c r="J111" s="99"/>
      <c r="L111" s="87"/>
      <c r="N111" s="99"/>
      <c r="P111" s="87">
        <f>9+2.4+2</f>
        <v>13.4</v>
      </c>
      <c r="R111" s="98">
        <f>G111-P111</f>
        <v>-13.4</v>
      </c>
      <c r="T111" s="99"/>
      <c r="U111" t="s">
        <v>206</v>
      </c>
    </row>
    <row r="112" spans="2:22" x14ac:dyDescent="0.2">
      <c r="H112" s="90"/>
      <c r="I112" s="8"/>
      <c r="J112" s="99"/>
      <c r="L112" s="90"/>
      <c r="N112" s="99"/>
      <c r="P112" s="87"/>
      <c r="R112" s="98"/>
      <c r="T112" s="99"/>
      <c r="U112" t="s">
        <v>207</v>
      </c>
    </row>
    <row r="113" spans="2:20" x14ac:dyDescent="0.2">
      <c r="B113" t="s">
        <v>166</v>
      </c>
      <c r="H113" s="90">
        <v>130.6</v>
      </c>
      <c r="I113" s="8"/>
      <c r="J113" s="90"/>
      <c r="L113" s="87">
        <v>61.2</v>
      </c>
      <c r="N113" s="90"/>
      <c r="P113" s="87">
        <v>0</v>
      </c>
      <c r="R113" s="101">
        <v>0</v>
      </c>
      <c r="T113" s="90"/>
    </row>
    <row r="114" spans="2:20" x14ac:dyDescent="0.2">
      <c r="H114" s="90"/>
      <c r="I114" s="8"/>
      <c r="J114" s="92"/>
      <c r="L114" s="90"/>
      <c r="N114" s="92"/>
      <c r="P114" s="87"/>
      <c r="Q114" s="8"/>
      <c r="R114" s="98"/>
      <c r="T114" s="92"/>
    </row>
    <row r="115" spans="2:20" x14ac:dyDescent="0.2">
      <c r="D115" s="33" t="s">
        <v>167</v>
      </c>
      <c r="H115" s="119">
        <f>+H61+H63+H65+H67+H69+H71+H84+H86+H88+H89+H90+H91+H94+H96+H99+H100+H101+H102+H108+H111+H104+H113</f>
        <v>371.1</v>
      </c>
      <c r="I115" s="104"/>
      <c r="J115" s="120">
        <f>+J61+J63+J84+J86+J88+J96</f>
        <v>914</v>
      </c>
      <c r="L115" s="119">
        <f>+L61+L63+L65+L67+L69+L71+L84+L86+L88+L89+L90+L91+L94+L96+L99+L100+L101+L102+L108+L111+L104+L113+L106</f>
        <v>313.19999999999993</v>
      </c>
      <c r="N115" s="120">
        <f>+N61+N63+N65+N67+N69+N71+N84+N86+N88+N89+N90+N91+N94+N96+N99+N100+N101+N102+N108+N111+N104+N113</f>
        <v>656</v>
      </c>
      <c r="P115" s="119">
        <f>P57+P59+P61+P63+P65+P67+P69+P71+P84+P86+P88+P89+P90+P91+P94+P96+P99+P100+P101+P102+P108+P111+P104+P113</f>
        <v>168.14000000000001</v>
      </c>
      <c r="Q115" s="103" t="s">
        <v>149</v>
      </c>
      <c r="R115" s="119">
        <f>R57+R59+R61+R63+R65+R67+R69+R71+R84+R86+R88+R89+R90+R91+R94+R96+R99+R100+R101+R102+R108+R111+R104+R113+0.1</f>
        <v>-168.08</v>
      </c>
      <c r="T115" s="119">
        <f>T57+T59+T61+T63+T65+T67+T69+T71+T84+T86+T88+T89+T90+T91+T94+T96+T99+T100+T101+T102+T108+T111+T104+T113</f>
        <v>695</v>
      </c>
    </row>
    <row r="116" spans="2:20" x14ac:dyDescent="0.2">
      <c r="E116" s="104"/>
      <c r="F116" s="8"/>
      <c r="G116" s="104"/>
      <c r="H116" s="87"/>
      <c r="I116" s="104"/>
      <c r="J116" s="102"/>
      <c r="K116" s="104"/>
      <c r="L116" s="87"/>
      <c r="N116" s="102"/>
      <c r="P116" s="102"/>
      <c r="R116" s="102"/>
      <c r="T116" s="102"/>
    </row>
    <row r="117" spans="2:20" x14ac:dyDescent="0.2">
      <c r="E117" s="104"/>
      <c r="F117" s="8"/>
      <c r="G117" s="104"/>
      <c r="H117" s="87"/>
      <c r="I117" s="104"/>
      <c r="J117" s="87"/>
      <c r="K117" s="104"/>
      <c r="L117" s="87"/>
      <c r="N117" s="87"/>
      <c r="P117" s="87"/>
      <c r="R117" s="87"/>
      <c r="T117" s="87"/>
    </row>
    <row r="118" spans="2:20" x14ac:dyDescent="0.2">
      <c r="D118" s="33" t="s">
        <v>208</v>
      </c>
      <c r="E118" s="105"/>
      <c r="F118" s="8"/>
      <c r="G118" s="95">
        <f>G55</f>
        <v>875</v>
      </c>
      <c r="H118" s="106">
        <f>H115+H55</f>
        <v>726</v>
      </c>
      <c r="I118" s="118"/>
      <c r="J118" s="107">
        <f>J115+J55</f>
        <v>1661</v>
      </c>
      <c r="K118" s="105"/>
      <c r="L118" s="106">
        <f>L115+L55</f>
        <v>837.99999999999989</v>
      </c>
      <c r="N118" s="107">
        <f>N115+N55</f>
        <v>1214</v>
      </c>
      <c r="P118" s="106">
        <f>P115+P55</f>
        <v>208.03000000000003</v>
      </c>
      <c r="R118" s="106">
        <f>G118-P118</f>
        <v>666.97</v>
      </c>
      <c r="T118" s="107">
        <f>T115+T55</f>
        <v>854</v>
      </c>
    </row>
    <row r="119" spans="2:20" x14ac:dyDescent="0.2">
      <c r="F119" s="8"/>
      <c r="G119" s="104"/>
      <c r="H119" s="104"/>
      <c r="I119" s="104"/>
      <c r="J119" s="104"/>
      <c r="K119" s="104"/>
      <c r="L119" s="104"/>
      <c r="P119" s="104"/>
      <c r="R119" s="104"/>
      <c r="T119" s="104"/>
    </row>
    <row r="120" spans="2:20" x14ac:dyDescent="0.2">
      <c r="B120" t="s">
        <v>211</v>
      </c>
      <c r="G120" s="8"/>
      <c r="H120" s="8"/>
      <c r="I120" s="8"/>
      <c r="J120" s="8"/>
      <c r="K120" s="8"/>
      <c r="L120" s="8"/>
      <c r="P120" s="8"/>
      <c r="Q120" s="8"/>
      <c r="R120" s="8"/>
      <c r="S120" s="8"/>
      <c r="T120" s="8"/>
    </row>
    <row r="121" spans="2:20" x14ac:dyDescent="0.2">
      <c r="B121" t="s">
        <v>212</v>
      </c>
      <c r="G121" s="8"/>
      <c r="H121" s="8"/>
      <c r="I121" s="8"/>
      <c r="J121" s="8"/>
      <c r="K121" s="8"/>
      <c r="L121" s="8"/>
    </row>
    <row r="122" spans="2:20" x14ac:dyDescent="0.2">
      <c r="B122" t="s">
        <v>213</v>
      </c>
      <c r="G122" s="8"/>
      <c r="H122" s="8"/>
      <c r="I122" s="8"/>
      <c r="J122" s="8"/>
      <c r="K122" s="8"/>
      <c r="L122" s="8"/>
    </row>
    <row r="123" spans="2:20" x14ac:dyDescent="0.2">
      <c r="B123" t="s">
        <v>214</v>
      </c>
      <c r="G123" s="8"/>
      <c r="H123" s="8"/>
      <c r="I123" s="8"/>
      <c r="J123" s="8"/>
      <c r="K123" s="8"/>
      <c r="L123" s="8"/>
    </row>
    <row r="124" spans="2:20" x14ac:dyDescent="0.2">
      <c r="B124" t="s">
        <v>284</v>
      </c>
    </row>
  </sheetData>
  <mergeCells count="1">
    <mergeCell ref="A3:T3"/>
  </mergeCells>
  <phoneticPr fontId="0" type="noConversion"/>
  <pageMargins left="0.52" right="0.46" top="1" bottom="1" header="0.5" footer="0.5"/>
  <pageSetup scale="5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.28515625" customWidth="1"/>
    <col min="15" max="15" width="16.855468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229680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+((3500*5)+(1500*2))*12</f>
        <v>246000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(E15/$E$29)*$K$11</f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(E17/$E$29)*$K$11</f>
        <v>344.16666666666663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(E18/$E$29)*$K$11</f>
        <v>6250.7036666666672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(E20/$E$29)*$K$11</f>
        <v>0.93333333333333335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(E21/$E$29)*$K$11</f>
        <v>7921.0197499999931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1702833.662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1148400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1378080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10.28515625" bestFit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269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905850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679387.5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181170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135877.5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65000</v>
      </c>
      <c r="I12" s="42"/>
      <c r="J12" s="17"/>
      <c r="K12" s="17"/>
      <c r="L12" s="43"/>
      <c r="N12" s="15">
        <v>65000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15858</v>
      </c>
      <c r="N15" s="15">
        <f>20000-4142</f>
        <v>15858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100000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10000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1557879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1286124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1207800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1449360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D11" sqref="D1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282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68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2</v>
      </c>
      <c r="L28" s="25">
        <f>SUM(L16:L27)*1.2</f>
        <v>303600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">
      <c r="L30" s="25">
        <f>L28*1.2</f>
        <v>364320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1" spans="2:16" x14ac:dyDescent="0.2">
      <c r="B41" t="s">
        <v>270</v>
      </c>
      <c r="H41" t="s">
        <v>49</v>
      </c>
    </row>
    <row r="42" spans="2:16" x14ac:dyDescent="0.2">
      <c r="B42" t="s">
        <v>271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321420</v>
      </c>
      <c r="I8" s="42" t="s">
        <v>10</v>
      </c>
      <c r="J8" s="17">
        <v>0</v>
      </c>
      <c r="K8" s="17"/>
      <c r="L8" s="43">
        <f>L30</f>
        <v>492624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82104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18487.421249999992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16454.870750000002</v>
      </c>
      <c r="I13" s="46" t="s">
        <v>20</v>
      </c>
      <c r="J13" s="47"/>
      <c r="K13" s="47"/>
      <c r="L13" s="48">
        <f>L8+L11</f>
        <v>637434.54374999995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6.0000000004947641E-3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2614.0749999999998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147.5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2678.8730000000005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2730.2579999999998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0.4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3394.7227499999972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539132.12675000005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3</v>
      </c>
      <c r="L28" s="25">
        <f>SUM(L16:L27)*1.2</f>
        <v>410520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492624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274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10000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252158.68733333334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261</v>
      </c>
      <c r="O11" s="124" t="s">
        <v>260</v>
      </c>
      <c r="P11" s="124" t="s">
        <v>262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264</v>
      </c>
      <c r="O13" s="124" t="s">
        <v>256</v>
      </c>
      <c r="P13" s="124" t="s">
        <v>262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265</v>
      </c>
      <c r="O14" s="124" t="s">
        <v>257</v>
      </c>
      <c r="P14" s="124" t="s">
        <v>262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266</v>
      </c>
      <c r="O15" s="124" t="s">
        <v>258</v>
      </c>
      <c r="P15" s="124" t="s">
        <v>262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275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5" thickBot="1" x14ac:dyDescent="0.25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212</v>
      </c>
      <c r="G86" s="8"/>
      <c r="H86" s="8"/>
      <c r="I86" s="8"/>
      <c r="J86" s="8"/>
      <c r="K86" s="8"/>
      <c r="L86" s="8"/>
    </row>
    <row r="87" spans="2:20" x14ac:dyDescent="0.2">
      <c r="B87" t="s">
        <v>213</v>
      </c>
      <c r="G87" s="8"/>
      <c r="H87" s="8"/>
      <c r="I87" s="8"/>
      <c r="J87" s="8"/>
      <c r="K87" s="8"/>
      <c r="L87" s="8"/>
    </row>
    <row r="88" spans="2:20" x14ac:dyDescent="0.2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277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87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'East Power Trading'!F8+'East Power Origination'!F8+'East Power A&amp;A'!F8+'East Power Admins'!F8</f>
        <v>6382800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>
        <f>+F8/$F$29*$O$29</f>
        <v>98196.923076923078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f>'East Power Trading'!F9+'East Power Origination'!F9+'East Power A&amp;A'!F9+'East Power Admins'!F9</f>
        <v>0</v>
      </c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'East Power Trading'!F10+'East Power Origination'!F10+'East Power A&amp;A'!F10+'East Power Admins'!F10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22541.538461538461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'East Power Trading'!F11+'East Power Origination'!F11+'East Power A&amp;A'!F11+'East Power Admins'!F11</f>
        <v>1569600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24147.692307692309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>
        <f>'East Power Trading'!F12+'East Power Origination'!F12+'East Power A&amp;A'!F12+'East Power Admins'!F12</f>
        <v>358375.51631205669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5513.4694817239488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>
        <f>'East Power Trading'!F13+'East Power Origination'!F13+'East Power A&amp;A'!F13+'East Power Admins'!F13</f>
        <v>950210.41588652483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>
        <f t="shared" si="1"/>
        <v>14618.621782869614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>
        <f>'East Power Trading'!F14+'East Power Origination'!F14+'East Power A&amp;A'!F14+'East Power Admins'!F14</f>
        <v>500000.1422978724</v>
      </c>
      <c r="H14" s="16">
        <f t="shared" si="0"/>
        <v>2.9853903459396468E-8</v>
      </c>
      <c r="N14" s="49"/>
      <c r="O14" s="15">
        <f t="shared" si="1"/>
        <v>7692.3098815057292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>
        <f>'East Power Trading'!F15+'East Power Origination'!F15+'East Power A&amp;A'!F15+'East Power Admins'!F15</f>
        <v>68763.273191489352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>
        <f>'East Power Trading'!F16+'East Power Origination'!F16+'East Power A&amp;A'!F16+'East Power Admins'!F16</f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>
        <f>'East Power Trading'!F17+'East Power Origination'!F17+'East Power A&amp;A'!F17+'East Power Admins'!F17</f>
        <v>3909.2198581560283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>
        <f>'East Power Trading'!F18+'East Power Origination'!F18+'East Power A&amp;A'!F18+'East Power Admins'!F18</f>
        <v>211.90184397162867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>
        <f>'East Power Trading'!F19+'East Power Origination'!F19+'East Power A&amp;A'!F19+'East Power Admins'!F19</f>
        <v>359315.72198581562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>
        <f>'East Power Trading'!F20+'East Power Origination'!F20+'East Power A&amp;A'!F20+'East Power Admins'!F20</f>
        <v>29.275914893617024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>
        <f t="shared" si="1"/>
        <v>0.45039869067103117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>
        <f>'East Power Trading'!F21+'East Power Origination'!F21+'East Power A&amp;A'!F21+'East Power Admins'!F21</f>
        <v>467194.92198581551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>
        <f>'East Power Trading'!F22+'East Power Origination'!F22+'East Power A&amp;A'!F22+'East Power Admins'!F22</f>
        <v>877.90751773049635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>
        <f t="shared" si="1"/>
        <v>13.506269503546097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12126488.296794331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>
        <f>SUM(O8:O22)</f>
        <v>186561.3584122204</v>
      </c>
    </row>
    <row r="24" spans="1:15" x14ac:dyDescent="0.2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>
        <f>'East Power Trading'!F25+'East Power Origination'!F25+'East Power A&amp;A'!F25+'East Power Admins'!F25</f>
        <v>48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>
        <f>'East Power Trading'!F27+'East Power Origination'!F27+'East Power A&amp;A'!F27+'East Power Admins'!F27</f>
        <v>17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65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T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6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220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M16+M17+M18+M19+M20+M23+M24+M26+M27+M25</f>
        <v>4129200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4955040</v>
      </c>
      <c r="O8" s="15">
        <f t="shared" ref="O8:O22" si="1">+F8/$F$29*$O$29</f>
        <v>129037.5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E12/$E$29*$L$11-52061</f>
        <v>150000.05418439716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4687.5016932624112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E13/$E$29*$L$11-168337</f>
        <v>199999.94320567377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5968677.8208226953</v>
      </c>
      <c r="O13" s="15">
        <f t="shared" si="1"/>
        <v>6249.9982251773054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200000+300000</f>
        <v>500000</v>
      </c>
      <c r="H14" s="16">
        <f t="shared" si="0"/>
        <v>2.9853903459396468E-8</v>
      </c>
      <c r="N14" s="49"/>
      <c r="O14" s="15">
        <f t="shared" si="1"/>
        <v>15625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ref="F15:F22" si="3">E15/$E$29*$L$11</f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E21/$E$29*$L$11</f>
        <v>230003.65390070918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6248251.2940709218</v>
      </c>
      <c r="H23" s="30">
        <f>SUM(H8:H22)</f>
        <v>1</v>
      </c>
      <c r="J23" t="s">
        <v>48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195257.85293971631</v>
      </c>
    </row>
    <row r="24" spans="1:15" x14ac:dyDescent="0.2">
      <c r="J24" t="s">
        <v>49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32</v>
      </c>
      <c r="J25" t="s">
        <v>51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221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</f>
        <v>2148000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2577600</v>
      </c>
      <c r="O8" s="15">
        <f t="shared" ref="O8:O22" si="1">+F8/$F$29*$O$29</f>
        <v>153428.57142857142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429600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14</v>
      </c>
      <c r="M11" s="18">
        <f>K11*L11</f>
        <v>443466.54660992895</v>
      </c>
      <c r="O11" s="15">
        <f t="shared" si="1"/>
        <v>30685.714285714286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88401.711205673753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E13/$E$29*$L$11+370363</f>
        <v>531510.41265248228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3021066.5466099288</v>
      </c>
      <c r="O13" s="15">
        <f t="shared" si="1"/>
        <v>37965.029475177304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6.0368794345475249E-2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14810.551148936169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841.98581560283685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45.640397163120021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77391.078581560287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12.420085106382979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100626.59858156026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189.08777304964539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3391429.5466099298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242244.96761499488</v>
      </c>
    </row>
    <row r="24" spans="1:15" x14ac:dyDescent="0.2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14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14</v>
      </c>
      <c r="M28" s="25">
        <f>SUM(M16:M27)</f>
        <v>2148000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14</v>
      </c>
      <c r="M34" s="37">
        <f>+K34*L34</f>
        <v>443466.54660992895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hidden="1" customWidth="1"/>
    <col min="5" max="5" width="13.85546875" hidden="1" customWidth="1"/>
    <col min="6" max="6" width="2.5703125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9.42578125" hidden="1" customWidth="1"/>
    <col min="17" max="17" width="20.570312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232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2157000</v>
      </c>
      <c r="H8" s="15"/>
      <c r="I8" s="16">
        <f t="shared" ref="I8:I22" si="0">+G8/$G$23</f>
        <v>0.6248277961861054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134812.5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431400</v>
      </c>
      <c r="H11" s="15"/>
      <c r="I11" s="16">
        <f t="shared" si="0"/>
        <v>0.12496555923722108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26962.5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+(100*12*16)+(500*12*11)+((10000/9)*4)+30000+25000+25000</f>
        <v>169644.44444444444</v>
      </c>
      <c r="H12" s="15"/>
      <c r="I12" s="16">
        <f t="shared" si="0"/>
        <v>4.914166173270209E-2</v>
      </c>
      <c r="K12" s="7"/>
      <c r="L12" s="8"/>
      <c r="M12" s="8"/>
      <c r="N12" s="9"/>
      <c r="O12" s="15">
        <f t="shared" si="1"/>
        <v>10602.777777777777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+(3*1100*11)+(2*1100*5)+(8*1100*11)+(5*1100*5)+(16*300*6)</f>
        <v>200400</v>
      </c>
      <c r="H13" s="15"/>
      <c r="I13" s="16">
        <f t="shared" si="0"/>
        <v>5.8050760480155547E-2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12525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120000+40000</f>
        <v>160000</v>
      </c>
      <c r="H14" s="15"/>
      <c r="I14" s="16">
        <f t="shared" si="0"/>
        <v>4.6347912559006429E-2</v>
      </c>
      <c r="O14" s="15">
        <f t="shared" si="1"/>
        <v>10000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46080</v>
      </c>
      <c r="H15" s="15"/>
      <c r="I15" s="16">
        <f t="shared" si="0"/>
        <v>1.3348198816993851E-2</v>
      </c>
      <c r="O15" s="15">
        <f t="shared" si="1"/>
        <v>2880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20000</v>
      </c>
      <c r="H16" s="15"/>
      <c r="I16" s="16">
        <f t="shared" si="0"/>
        <v>5.7934890698758037E-3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1250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6094</v>
      </c>
      <c r="H17" s="15"/>
      <c r="I17" s="16">
        <f t="shared" si="0"/>
        <v>1.7652761195911574E-3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380.875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+(75*12*16)+(3000*12)+(3000*12)+(500*12)</f>
        <v>92400</v>
      </c>
      <c r="H18" s="15"/>
      <c r="I18" s="16">
        <f t="shared" si="0"/>
        <v>2.676591950282621E-2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5775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(82000/15*11)+(22000/9*5)</f>
        <v>72355.555555555562</v>
      </c>
      <c r="H19" s="15"/>
      <c r="I19" s="16">
        <f t="shared" si="0"/>
        <v>2.095955601279513E-2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4522.2222222222226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75000</v>
      </c>
      <c r="H21" s="15"/>
      <c r="I21" s="16">
        <f t="shared" si="0"/>
        <v>2.1725584012034262E-2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4687.5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21777.15775280898</v>
      </c>
      <c r="H22" s="15"/>
      <c r="I22" s="16">
        <f t="shared" si="0"/>
        <v>6.3082862706929973E-3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  <c r="P22" s="124"/>
      <c r="Q22" s="124"/>
      <c r="R22" s="124"/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3452151.1577528091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215759.44735955057</v>
      </c>
      <c r="P23" s="124"/>
      <c r="Q23" s="124"/>
      <c r="R23" s="124"/>
    </row>
    <row r="24" spans="1:18" x14ac:dyDescent="0.2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">
      <c r="M28">
        <f>SUM(M16:M27)</f>
        <v>16</v>
      </c>
      <c r="N28" s="25">
        <f>SUM(N16:N27)*1.2</f>
        <v>2588400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20.28515625" hidden="1" customWidth="1"/>
    <col min="17" max="17" width="20.8554687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233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1896000</v>
      </c>
      <c r="H8" s="15"/>
      <c r="I8" s="16">
        <f t="shared" ref="I8:I22" si="0">+G8/$G$23</f>
        <v>0.57104930833292755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158000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379200</v>
      </c>
      <c r="H11" s="15"/>
      <c r="I11" s="16">
        <f t="shared" si="0"/>
        <v>0.1142098616665855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31600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+E12/$E$29*$M$11</f>
        <v>141975.94894382026</v>
      </c>
      <c r="H12" s="15"/>
      <c r="I12" s="16">
        <f t="shared" si="0"/>
        <v>4.2761217006476573E-2</v>
      </c>
      <c r="K12" s="7"/>
      <c r="L12" s="8"/>
      <c r="M12" s="8"/>
      <c r="N12" s="9"/>
      <c r="O12" s="15">
        <f t="shared" si="1"/>
        <v>11831.329078651688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+(4000*12)*12</f>
        <v>576000</v>
      </c>
      <c r="H13" s="15"/>
      <c r="I13" s="16">
        <f t="shared" si="0"/>
        <v>0.17348333417709191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48000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50000</v>
      </c>
      <c r="H14" s="15"/>
      <c r="I14" s="16">
        <f t="shared" si="0"/>
        <v>1.5059317202872562E-2</v>
      </c>
      <c r="O14" s="15">
        <f t="shared" si="1"/>
        <v>4166.666666666667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31680</v>
      </c>
      <c r="H15" s="15"/>
      <c r="I15" s="16">
        <f t="shared" si="0"/>
        <v>9.5415833797400547E-3</v>
      </c>
      <c r="O15" s="15">
        <f t="shared" si="1"/>
        <v>2640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2437.7528089887637</v>
      </c>
      <c r="H17" s="15"/>
      <c r="I17" s="16">
        <f t="shared" si="0"/>
        <v>7.3421785625510795E-4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70640.411325842695</v>
      </c>
      <c r="H18" s="15"/>
      <c r="I18" s="16">
        <f t="shared" si="0"/>
        <v>2.1275927229945132E-2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33620.57420224719</v>
      </c>
      <c r="H19" s="15"/>
      <c r="I19" s="16">
        <f t="shared" si="0"/>
        <v>1.012605782908709E-2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25.057078651685394</v>
      </c>
      <c r="H20" s="15"/>
      <c r="I20" s="16">
        <f t="shared" si="0"/>
        <v>7.5468499118611333E-6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122291.04107865173</v>
      </c>
      <c r="H21" s="15"/>
      <c r="I21" s="16">
        <f t="shared" si="0"/>
        <v>3.6832391573458703E-2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16332.868314606734</v>
      </c>
      <c r="H22" s="15"/>
      <c r="I22" s="16">
        <f t="shared" si="0"/>
        <v>4.9192368956481871E-3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3320203.6537528085</v>
      </c>
      <c r="H23" s="29"/>
      <c r="I23" s="30">
        <f>SUM(I8:I22)</f>
        <v>1.0000000000000004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276683.63781273406</v>
      </c>
    </row>
    <row r="24" spans="1:18" x14ac:dyDescent="0.2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">
      <c r="M28">
        <f>SUM(M16:M27)</f>
        <v>12</v>
      </c>
      <c r="N28" s="25">
        <f>SUM(N16:N27)*1.2</f>
        <v>2275200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236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990504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307603.49199999997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7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237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1206504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374671.49199999997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ref="G13:G22" si="1">(E13/$E$29)*$G$29</f>
        <v>85787.089919999984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542.48256000000003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5532.0249599999997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15075.313919999999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5693.5209600000126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1758.7296000000026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9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34" t="str">
        <f>'[15]Team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'[15]Pull Sheet'!E9</f>
        <v>Office of the Chair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642840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128568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12000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147.5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-0.12699999999967984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2730.2580000000003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3600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828886.03100000008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230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17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280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+'East-Trading AA'!H8+'West-Trading AA'!H8+'Texas-Trading AA'!H8+'Financial - AA'!H8+'Derivatives AA'!H8+'Central - Trading AA'!H8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+'East-Trading AA'!H9+'West-Trading AA'!H9+'Texas-Trading AA'!H9+'Financial - AA'!H9+'Derivatives AA'!H9+'Central - Trading AA'!H9</f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+'East-Trading AA'!H10+'West-Trading AA'!H10+'Texas-Trading AA'!H10+'Financial - AA'!H10+'Derivatives AA'!H10+'Central - Trading AA'!H10</f>
        <v>912100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+'East-Trading AA'!H11+'West-Trading AA'!H11+'Texas-Trading AA'!H11+'Financial - AA'!H11+'Derivatives AA'!H11+'Central - Trading AA'!H11</f>
        <v>188804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+'East-Trading AA'!H12+'West-Trading AA'!H12+'Texas-Trading AA'!H12+'Financial - AA'!H12+'Derivatives AA'!H12+'Central - Trading AA'!H12</f>
        <v>77949.947500000009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+'East-Trading AA'!H13+'West-Trading AA'!H13+'Texas-Trading AA'!H13+'Financial - AA'!H13+'Derivatives AA'!H13+'Central - Trading AA'!H13</f>
        <v>107609.95691666666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+'East-Trading AA'!H14+'West-Trading AA'!H14+'Texas-Trading AA'!H14+'Financial - AA'!H14+'Derivatives AA'!H14+'Central - Trading AA'!H14</f>
        <v>2000.0040000000004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+'East-Trading AA'!H15+'West-Trading AA'!H15+'Texas-Trading AA'!H15+'Financial - AA'!H15+'Derivatives AA'!H15+'Central - Trading AA'!H15</f>
        <v>47242.71666666666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+'East-Trading AA'!H16+'West-Trading AA'!H16+'Texas-Trading AA'!H16+'Financial - AA'!H16+'Derivatives AA'!H16+'Central - Trading AA'!H16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+'East-Trading AA'!H17+'West-Trading AA'!H17+'Texas-Trading AA'!H17+'Financial - AA'!H17+'Derivatives AA'!H17+'Central - Trading AA'!H17</f>
        <v>672.16666666666663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+'East-Trading AA'!H18+'West-Trading AA'!H18+'Texas-Trading AA'!H18+'Financial - AA'!H18+'Derivatives AA'!H18+'Central - Trading AA'!H18</f>
        <v>9285.8306666666667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+'East-Trading AA'!H19+'West-Trading AA'!H19+'Texas-Trading AA'!H19+'Financial - AA'!H19+'Derivatives AA'!H19+'Central - Trading AA'!H19</f>
        <v>86140.343999999997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+'East-Trading AA'!H20+'West-Trading AA'!H20+'Texas-Trading AA'!H20+'Financial - AA'!H20+'Derivatives AA'!H20+'Central - Trading AA'!H20</f>
        <v>2.0583333333333331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+'East-Trading AA'!H21+'West-Trading AA'!H21+'Texas-Trading AA'!H21+'Financial - AA'!H21+'Derivatives AA'!H21+'Central - Trading AA'!H21</f>
        <v>18288.148499999996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1450095.1732499998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</f>
        <v>12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  <col min="51" max="51" width="0" hidden="1" customWidth="1"/>
    <col min="52" max="52" width="21.140625" hidden="1" customWidth="1"/>
    <col min="53" max="53" width="11.5703125" hidden="1" customWidth="1"/>
    <col min="54" max="54" width="8.5703125" customWidth="1"/>
  </cols>
  <sheetData>
    <row r="1" spans="1:54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25">
      <c r="B2" s="134" t="s">
        <v>234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">
      <c r="K4" s="4"/>
      <c r="L4" s="5"/>
      <c r="M4" s="5"/>
      <c r="N4" s="6"/>
    </row>
    <row r="5" spans="1:54" x14ac:dyDescent="0.2">
      <c r="K5" s="7"/>
      <c r="L5" s="8" t="s">
        <v>1</v>
      </c>
      <c r="M5" s="8" t="s">
        <v>2</v>
      </c>
      <c r="N5" s="9" t="s">
        <v>3</v>
      </c>
    </row>
    <row r="6" spans="1:54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0.63153793215229126</v>
      </c>
      <c r="K10" s="7"/>
      <c r="L10" s="8"/>
      <c r="M10" s="8"/>
      <c r="N10" s="9"/>
      <c r="O10" s="15">
        <f t="shared" si="1"/>
        <v>69900</v>
      </c>
      <c r="AZ10" s="124"/>
      <c r="BA10" s="124"/>
      <c r="BB10" s="124"/>
    </row>
    <row r="11" spans="1:54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0.12630758643045825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  <c r="AZ11" s="124"/>
      <c r="BA11" s="124"/>
      <c r="BB11" s="124"/>
    </row>
    <row r="12" spans="1:54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+(100*12*8)+(500*12*4)+((10000/9)*4)</f>
        <v>38044.444444444445</v>
      </c>
      <c r="H12" s="15"/>
      <c r="I12" s="16">
        <f t="shared" si="0"/>
        <v>4.2965861542072908E-2</v>
      </c>
      <c r="K12" s="7"/>
      <c r="L12" s="8"/>
      <c r="M12" s="8"/>
      <c r="N12" s="9"/>
      <c r="O12" s="15">
        <f t="shared" si="1"/>
        <v>4755.5555555555557</v>
      </c>
      <c r="AZ12" s="124"/>
      <c r="BA12" s="124"/>
      <c r="BB12" s="124"/>
    </row>
    <row r="13" spans="1:54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+(3*1100*4)+(2*1100*4)+(8*1100*4)+(5*1100*4)+(6*300*8)</f>
        <v>93600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11700</v>
      </c>
      <c r="AZ13" s="124"/>
      <c r="BA13" s="124"/>
      <c r="BB13" s="124"/>
    </row>
    <row r="14" spans="1:54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+E14/$E$29*$M$11</f>
        <v>3.4516853897759076E-2</v>
      </c>
      <c r="H14" s="15"/>
      <c r="I14" s="16">
        <f t="shared" si="0"/>
        <v>3.8981943016798142E-8</v>
      </c>
      <c r="O14" s="15">
        <f t="shared" si="1"/>
        <v>4.3146067372198844E-3</v>
      </c>
      <c r="AZ14" s="124"/>
      <c r="BA14" s="124"/>
      <c r="BB14" s="124"/>
    </row>
    <row r="15" spans="1:54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23040</v>
      </c>
      <c r="H15" s="15"/>
      <c r="I15" s="16">
        <f t="shared" si="0"/>
        <v>2.6020446989965647E-2</v>
      </c>
      <c r="O15" s="15">
        <f t="shared" si="1"/>
        <v>2880</v>
      </c>
      <c r="AZ15" s="124"/>
      <c r="BA15" s="124"/>
      <c r="BB15" s="124"/>
    </row>
    <row r="16" spans="1:54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+(75*12*8)</f>
        <v>7200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54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(82000/15*4)+(22000/9*4)</f>
        <v>31644.444444444445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3955.5555555555557</v>
      </c>
    </row>
    <row r="20" spans="1:54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10000</v>
      </c>
      <c r="H21" s="15"/>
      <c r="I21" s="16">
        <f t="shared" si="0"/>
        <v>1.1293596783839257E-2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1250</v>
      </c>
    </row>
    <row r="22" spans="1:54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10888.57887640449</v>
      </c>
      <c r="H22" s="15"/>
      <c r="I22" s="16">
        <f t="shared" si="0"/>
        <v>1.2297121937914181E-2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1361.0723595505613</v>
      </c>
    </row>
    <row r="23" spans="1:54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885457.5022821473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110682.18778526841</v>
      </c>
    </row>
    <row r="24" spans="1:54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">
      <c r="M28">
        <f>SUM(M16:M27)</f>
        <v>8</v>
      </c>
      <c r="N28" s="25">
        <f>SUM(N16:N27)*1.2</f>
        <v>671040</v>
      </c>
    </row>
    <row r="29" spans="1:54" x14ac:dyDescent="0.2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">
      <c r="J31" s="33" t="s">
        <v>56</v>
      </c>
      <c r="K31" s="25"/>
      <c r="L31" s="25"/>
      <c r="M31" s="25"/>
    </row>
    <row r="32" spans="1:54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</f>
        <v>244798.2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104850.88767999999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663.03424000000007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6761.36384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18425.383679999999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6958.7478400000164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2149.5584000000031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229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24000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2.4000000001979056E-2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910351.69200000016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231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4.1406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8" hidden="1" customWidth="1"/>
    <col min="17" max="17" width="24.14062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235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297600</v>
      </c>
      <c r="H8" s="15"/>
      <c r="I8" s="16">
        <f t="shared" ref="I8:I22" si="0">+G8/$G$23</f>
        <v>0.64982928399023165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49600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59520</v>
      </c>
      <c r="H11" s="15"/>
      <c r="I11" s="16">
        <f t="shared" si="0"/>
        <v>0.12996585679804631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9920</v>
      </c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10000</v>
      </c>
      <c r="H12" s="15"/>
      <c r="I12" s="16">
        <f t="shared" si="0"/>
        <v>2.1835661424402946E-2</v>
      </c>
      <c r="K12" s="7"/>
      <c r="L12" s="8"/>
      <c r="M12" s="8"/>
      <c r="N12" s="9"/>
      <c r="O12" s="15">
        <f t="shared" si="1"/>
        <v>1666.6666666666667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10000</v>
      </c>
      <c r="H13" s="15"/>
      <c r="I13" s="16">
        <f t="shared" si="0"/>
        <v>2.1835661424402946E-2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1666.6666666666667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40000</v>
      </c>
      <c r="H14" s="15"/>
      <c r="I14" s="16">
        <f t="shared" si="0"/>
        <v>8.7342645697611784E-2</v>
      </c>
      <c r="O14" s="15">
        <f t="shared" si="1"/>
        <v>6666.666666666667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17280</v>
      </c>
      <c r="H15" s="15"/>
      <c r="I15" s="16">
        <f t="shared" si="0"/>
        <v>3.7732022941368286E-2</v>
      </c>
      <c r="O15" s="15">
        <f t="shared" si="1"/>
        <v>2880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+(75*12*6)</f>
        <v>5400</v>
      </c>
      <c r="H18" s="15"/>
      <c r="I18" s="16">
        <f t="shared" si="0"/>
        <v>1.179125716917759E-2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5000</v>
      </c>
      <c r="H19" s="15"/>
      <c r="I19" s="16">
        <f t="shared" si="0"/>
        <v>1.0917830712201473E-2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833.33333333333337</v>
      </c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1.0917830712201473E-2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833.33333333333337</v>
      </c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8166.4341573033671</v>
      </c>
      <c r="H22" s="15"/>
      <c r="I22" s="16">
        <f t="shared" si="0"/>
        <v>1.783194913035557E-2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457966.43415730336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76327.739026217212</v>
      </c>
    </row>
    <row r="24" spans="1:18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">
      <c r="M28">
        <f>SUM(M16:M27)</f>
        <v>6</v>
      </c>
      <c r="N28" s="25">
        <f>SUM(N16:N27)*1.2</f>
        <v>357120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88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239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104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273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1025000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205000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21875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21875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17500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437.5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87500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0.875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21875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3571655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4972718.375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106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330000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6420100.5251779929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E17/$E$29*7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E20/$E$29*46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(E21/$E$29*7)+2000+250000</f>
        <v>258799.98394822006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43133.330658036677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1305476.9097734629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217579.48496224385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34" t="str">
        <f>'[10]Team Report'!B1</f>
        <v>Enron North America</v>
      </c>
      <c r="C1" s="134"/>
      <c r="D1" s="136"/>
      <c r="E1" s="136"/>
      <c r="F1" s="136"/>
      <c r="G1" s="136"/>
      <c r="H1" s="1"/>
      <c r="I1" s="1"/>
      <c r="J1" s="1"/>
      <c r="K1" s="1"/>
      <c r="L1" s="1"/>
      <c r="M1" s="1"/>
    </row>
    <row r="2" spans="1:15" ht="18" x14ac:dyDescent="0.25">
      <c r="B2" s="134" t="s">
        <v>132</v>
      </c>
      <c r="C2" s="134"/>
      <c r="D2" s="136"/>
      <c r="E2" s="136"/>
      <c r="F2" s="136"/>
      <c r="G2" s="136"/>
      <c r="H2" s="1"/>
      <c r="I2" s="1"/>
      <c r="J2" s="1"/>
      <c r="K2" s="1"/>
      <c r="L2" s="1"/>
      <c r="M2" s="1"/>
    </row>
    <row r="3" spans="1:15" ht="18" x14ac:dyDescent="0.25">
      <c r="B3" s="134" t="s">
        <v>0</v>
      </c>
      <c r="C3" s="134"/>
      <c r="D3" s="136"/>
      <c r="E3" s="136"/>
      <c r="F3" s="136"/>
      <c r="G3" s="136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x14ac:dyDescent="0.2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x14ac:dyDescent="0.2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">
      <c r="I39" t="s">
        <v>134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D64" sqref="D64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53" width="9.140625" hidden="1" customWidth="1"/>
  </cols>
  <sheetData>
    <row r="1" spans="1:45" ht="18" x14ac:dyDescent="0.25">
      <c r="B1" s="134" t="str">
        <f>'[3]Team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'[3]Pull Sheet'!E9</f>
        <v>Tax</v>
      </c>
      <c r="C2" s="134"/>
      <c r="D2" s="134"/>
      <c r="E2" s="134"/>
      <c r="F2" s="134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x14ac:dyDescent="0.2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L23+L24+45000</f>
        <v>735000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147000</v>
      </c>
    </row>
    <row r="9" spans="1:45" hidden="1" x14ac:dyDescent="0.2">
      <c r="A9" s="13"/>
      <c r="B9" s="14" t="s">
        <v>11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12</v>
      </c>
      <c r="C10" s="15">
        <v>0</v>
      </c>
      <c r="E10" s="21">
        <f>((C10/9)*12)*1.2</f>
        <v>0</v>
      </c>
      <c r="F10" s="21"/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F8*0.2</f>
        <v>147000</v>
      </c>
      <c r="J11" s="66"/>
      <c r="K11" s="17"/>
      <c r="L11" s="17"/>
      <c r="M11" s="17"/>
      <c r="N11" s="17"/>
      <c r="O11" s="17"/>
      <c r="P11" s="69"/>
      <c r="Q11" s="21">
        <f t="shared" si="0"/>
        <v>29400</v>
      </c>
    </row>
    <row r="12" spans="1:45" x14ac:dyDescent="0.2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9904.8473283950625</v>
      </c>
    </row>
    <row r="13" spans="1:45" x14ac:dyDescent="0.2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5263.5002469135798</v>
      </c>
    </row>
    <row r="14" spans="1:45" x14ac:dyDescent="0.2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-54000.000000000116</v>
      </c>
      <c r="Q14" s="21">
        <f t="shared" si="0"/>
        <v>2.2281481482916407E-2</v>
      </c>
    </row>
    <row r="15" spans="1:45" x14ac:dyDescent="0.2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3860.3162864197534</v>
      </c>
    </row>
    <row r="16" spans="1:45" x14ac:dyDescent="0.2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E16/$E$25*$N$8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E17/$E$25*$N$8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E18/$E$25*$N$8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94</v>
      </c>
      <c r="K19" s="25">
        <v>48000</v>
      </c>
      <c r="L19" s="17">
        <f t="shared" si="1"/>
        <v>0</v>
      </c>
      <c r="Q19" s="21">
        <f t="shared" si="0"/>
        <v>3877.3499259259261</v>
      </c>
    </row>
    <row r="20" spans="1:17" x14ac:dyDescent="0.2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E20/$E$25*$N$8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95</v>
      </c>
      <c r="K21" s="25">
        <v>62000</v>
      </c>
      <c r="L21" s="17">
        <f t="shared" si="1"/>
        <v>0</v>
      </c>
      <c r="Q21" s="21">
        <f t="shared" si="0"/>
        <v>3469.963456790123</v>
      </c>
    </row>
    <row r="22" spans="1:17" x14ac:dyDescent="0.2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96</v>
      </c>
      <c r="K22" s="25">
        <v>75000</v>
      </c>
      <c r="L22" s="17">
        <f t="shared" si="1"/>
        <v>0</v>
      </c>
      <c r="Q22" s="21">
        <f t="shared" si="0"/>
        <v>23.913797530864194</v>
      </c>
    </row>
    <row r="23" spans="1:17" x14ac:dyDescent="0.2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1013999.5666172841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202799.91332345677</v>
      </c>
    </row>
    <row r="24" spans="1:17" x14ac:dyDescent="0.2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idden="1" x14ac:dyDescent="0.2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34" t="str">
        <f>'[5]Team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116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1</v>
      </c>
      <c r="K5" s="8" t="s">
        <v>2</v>
      </c>
      <c r="L5" s="9" t="s">
        <v>3</v>
      </c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x14ac:dyDescent="0.2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L28+46200</f>
        <v>1695000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169500</v>
      </c>
    </row>
    <row r="9" spans="1:44" hidden="1" x14ac:dyDescent="0.2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L32-L28+9240</f>
        <v>339000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33900</v>
      </c>
    </row>
    <row r="12" spans="1:44" x14ac:dyDescent="0.2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(E12/$E$29)*$K$11+51275</f>
        <v>99999.682282282287</v>
      </c>
      <c r="I12" s="7"/>
      <c r="J12" s="8"/>
      <c r="K12" s="8"/>
      <c r="L12" s="9"/>
      <c r="O12" s="15">
        <f t="shared" si="1"/>
        <v>9999.9682282282283</v>
      </c>
    </row>
    <row r="13" spans="1:44" ht="13.5" thickBot="1" x14ac:dyDescent="0.2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(E13/$E$29)*$K$11+522073</f>
        <v>599999.74714714708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59999.974714714706</v>
      </c>
      <c r="P13" s="49">
        <f>N13-L13</f>
        <v>-307350.34294294287</v>
      </c>
    </row>
    <row r="14" spans="1:44" x14ac:dyDescent="0.2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3500000</v>
      </c>
      <c r="J14"/>
      <c r="K14"/>
      <c r="L14"/>
      <c r="O14" s="15">
        <f t="shared" si="1"/>
        <v>350000</v>
      </c>
    </row>
    <row r="15" spans="1:44" x14ac:dyDescent="0.2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 t="shared" ref="G15:G22" si="2">(E15/$E$29)*$K$11</f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 t="shared" si="2"/>
        <v>0</v>
      </c>
      <c r="I16" t="s">
        <v>27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 t="shared" si="2"/>
        <v>0</v>
      </c>
      <c r="I17" t="s">
        <v>30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(E18/$E$29)*$K$11+49310</f>
        <v>49999.981981981982</v>
      </c>
      <c r="I18" t="s">
        <v>117</v>
      </c>
      <c r="J18" s="25">
        <v>48000</v>
      </c>
      <c r="K18">
        <v>0</v>
      </c>
      <c r="L18" s="25">
        <f t="shared" si="3"/>
        <v>0</v>
      </c>
      <c r="O18" s="15">
        <f t="shared" si="1"/>
        <v>4999.9981981981982</v>
      </c>
    </row>
    <row r="19" spans="1:15" x14ac:dyDescent="0.2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36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 t="shared" si="2"/>
        <v>0</v>
      </c>
      <c r="I20" t="s">
        <v>39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42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45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6378975.3429429419</v>
      </c>
      <c r="I23" t="s">
        <v>48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637897.53429429419</v>
      </c>
    </row>
    <row r="24" spans="1:15" x14ac:dyDescent="0.2">
      <c r="I24" t="s">
        <v>49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52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102</v>
      </c>
      <c r="L30" s="52">
        <v>0.2</v>
      </c>
    </row>
    <row r="31" spans="1:15" hidden="1" x14ac:dyDescent="0.2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73</v>
      </c>
      <c r="B32" s="14" t="s">
        <v>74</v>
      </c>
      <c r="C32" s="15">
        <f>'[5]Team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75</v>
      </c>
      <c r="B33" s="14" t="s">
        <v>76</v>
      </c>
      <c r="C33" s="15">
        <f>'[5]Team Report'!BA31</f>
        <v>0</v>
      </c>
      <c r="E33" s="15">
        <f t="shared" si="4"/>
        <v>0</v>
      </c>
    </row>
    <row r="34" spans="1:13" hidden="1" x14ac:dyDescent="0.2">
      <c r="A34" s="13" t="s">
        <v>77</v>
      </c>
      <c r="B34" s="14" t="s">
        <v>78</v>
      </c>
      <c r="C34" s="15">
        <f>'[5]Team Report'!BA39</f>
        <v>0</v>
      </c>
      <c r="E34" s="15">
        <f t="shared" si="4"/>
        <v>0</v>
      </c>
      <c r="I34" s="33" t="s">
        <v>56</v>
      </c>
    </row>
    <row r="35" spans="1:13" hidden="1" x14ac:dyDescent="0.2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81</v>
      </c>
      <c r="B36" s="14" t="s">
        <v>82</v>
      </c>
      <c r="C36" s="15">
        <f>'[5]Team Report'!BA41</f>
        <v>945381.27</v>
      </c>
      <c r="E36" s="15">
        <f t="shared" si="4"/>
        <v>1260508.3600000001</v>
      </c>
      <c r="I36" s="34" t="s">
        <v>118</v>
      </c>
    </row>
    <row r="37" spans="1:13" hidden="1" x14ac:dyDescent="0.2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85</v>
      </c>
      <c r="B38" s="14" t="s">
        <v>86</v>
      </c>
      <c r="C38" s="15">
        <f>'[5]Team Report'!BA45</f>
        <v>0</v>
      </c>
      <c r="E38" s="15">
        <f t="shared" si="4"/>
        <v>0</v>
      </c>
      <c r="L38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34" t="s">
        <v>120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9" t="s">
        <v>121</v>
      </c>
      <c r="J4" s="139"/>
      <c r="K4" s="139"/>
      <c r="L4" s="139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x14ac:dyDescent="0.2">
      <c r="A8" s="13" t="s">
        <v>9</v>
      </c>
      <c r="B8" s="14" t="s">
        <v>10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122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(E13/$E$30)*$G$30+9324</f>
        <v>74999.52827586206</v>
      </c>
      <c r="I13" s="7"/>
      <c r="J13" s="17"/>
      <c r="K13" s="17"/>
      <c r="L13" s="43"/>
      <c r="M13" s="8"/>
      <c r="O13" s="15">
        <f t="shared" si="0"/>
        <v>9999.9371034482738</v>
      </c>
    </row>
    <row r="14" spans="1:36" ht="13.5" thickBot="1" x14ac:dyDescent="0.2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(E14/$E$30)*$G$30+25000</f>
        <v>25000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3333.3333333333335</v>
      </c>
    </row>
    <row r="15" spans="1:36" x14ac:dyDescent="0.2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 t="shared" si="2"/>
        <v>0</v>
      </c>
      <c r="I17" s="8" t="s">
        <v>27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(E18/$E$30)*$G$30+237</f>
        <v>1000.1710344827585</v>
      </c>
      <c r="I18" t="s">
        <v>93</v>
      </c>
      <c r="J18" s="17">
        <v>49200</v>
      </c>
      <c r="K18">
        <v>1</v>
      </c>
      <c r="L18" s="17">
        <f t="shared" si="3"/>
        <v>49200</v>
      </c>
      <c r="O18" s="15">
        <f t="shared" si="0"/>
        <v>133.35613793103445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123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(E20/$E$30)*$G$30+37797</f>
        <v>50000.474482758626</v>
      </c>
      <c r="I20" t="s">
        <v>33</v>
      </c>
      <c r="J20" s="17">
        <v>49200</v>
      </c>
      <c r="K20">
        <v>0</v>
      </c>
      <c r="L20" s="17">
        <f t="shared" si="3"/>
        <v>0</v>
      </c>
      <c r="O20" s="15">
        <f t="shared" si="0"/>
        <v>6666.7299310344833</v>
      </c>
    </row>
    <row r="21" spans="1:15" x14ac:dyDescent="0.2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 t="shared" si="2"/>
        <v>0</v>
      </c>
      <c r="I21" t="s">
        <v>94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(E22/$E$30)*$G$30+299149</f>
        <v>300000.03586206894</v>
      </c>
      <c r="I22" t="s">
        <v>36</v>
      </c>
      <c r="J22" s="17">
        <v>66000</v>
      </c>
      <c r="K22">
        <v>1</v>
      </c>
      <c r="L22" s="17">
        <f t="shared" si="3"/>
        <v>66000</v>
      </c>
      <c r="O22" s="15">
        <f t="shared" si="0"/>
        <v>40000.00478160919</v>
      </c>
    </row>
    <row r="23" spans="1:15" x14ac:dyDescent="0.2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 t="shared" si="2"/>
        <v>0</v>
      </c>
      <c r="I23" t="s">
        <v>108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2622807.4731034478</v>
      </c>
      <c r="I24" t="s">
        <v>96</v>
      </c>
      <c r="J24" s="17">
        <v>105600</v>
      </c>
      <c r="K24">
        <v>5</v>
      </c>
      <c r="L24" s="17">
        <f t="shared" si="3"/>
        <v>528000</v>
      </c>
      <c r="O24" s="28">
        <f>SUM(O8:O23)</f>
        <v>349707.66308045975</v>
      </c>
    </row>
    <row r="25" spans="1:15" x14ac:dyDescent="0.2">
      <c r="I25" t="s">
        <v>97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99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102</v>
      </c>
      <c r="K31" s="52"/>
      <c r="L31" s="52">
        <v>0.2</v>
      </c>
    </row>
    <row r="32" spans="1:15" hidden="1" x14ac:dyDescent="0.2">
      <c r="A32" s="13" t="s">
        <v>71</v>
      </c>
      <c r="B32" s="14" t="s">
        <v>72</v>
      </c>
      <c r="C32" s="15">
        <f>'[4]Team Report'!BA29</f>
        <v>0</v>
      </c>
      <c r="E32" s="15">
        <f t="shared" ref="E32:E39" si="4">(C32/9)*12</f>
        <v>0</v>
      </c>
    </row>
    <row r="33" spans="1:13" hidden="1" x14ac:dyDescent="0.2">
      <c r="A33" s="13" t="s">
        <v>73</v>
      </c>
      <c r="B33" s="14" t="s">
        <v>74</v>
      </c>
      <c r="C33" s="15">
        <f>'[4]Team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75</v>
      </c>
      <c r="B34" s="14" t="s">
        <v>76</v>
      </c>
      <c r="C34" s="15">
        <f>'[4]Team Report'!BA31</f>
        <v>0</v>
      </c>
      <c r="E34" s="15">
        <f t="shared" si="4"/>
        <v>0</v>
      </c>
    </row>
    <row r="35" spans="1:13" hidden="1" x14ac:dyDescent="0.2">
      <c r="A35" s="13" t="s">
        <v>77</v>
      </c>
      <c r="B35" s="14" t="s">
        <v>78</v>
      </c>
      <c r="C35" s="15">
        <f>'[4]Team Report'!BA39</f>
        <v>0</v>
      </c>
      <c r="E35" s="15">
        <f t="shared" si="4"/>
        <v>0</v>
      </c>
    </row>
    <row r="36" spans="1:13" hidden="1" x14ac:dyDescent="0.2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4"/>
        <v>641393.90666666673</v>
      </c>
      <c r="H37" s="33" t="s">
        <v>56</v>
      </c>
      <c r="I37" s="25"/>
      <c r="L37"/>
    </row>
    <row r="38" spans="1:13" hidden="1" x14ac:dyDescent="0.2">
      <c r="A38" s="13" t="s">
        <v>83</v>
      </c>
      <c r="B38" s="14" t="s">
        <v>84</v>
      </c>
      <c r="C38" s="15">
        <f>'[4]Team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85</v>
      </c>
      <c r="B39" s="14" t="s">
        <v>86</v>
      </c>
      <c r="C39" s="15">
        <f>'[4]Team Report'!BA45</f>
        <v>0</v>
      </c>
      <c r="E39" s="15">
        <f t="shared" si="4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tr">
        <f>'[7]Pull Sheet'!E9</f>
        <v>Research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">
        <v>177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34" t="s">
        <v>172</v>
      </c>
      <c r="C2" s="134"/>
      <c r="D2" s="134"/>
      <c r="E2" s="134"/>
      <c r="F2" s="134"/>
      <c r="G2" s="134"/>
      <c r="H2" s="134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35" t="s">
        <v>0</v>
      </c>
      <c r="C3" s="135"/>
      <c r="D3" s="135"/>
      <c r="E3" s="135"/>
      <c r="F3" s="135"/>
      <c r="G3" s="135"/>
      <c r="H3" s="135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9" t="s">
        <v>173</v>
      </c>
      <c r="J4" s="139"/>
      <c r="K4" s="139"/>
      <c r="L4" s="139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70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 t="shared" si="1"/>
        <v>0</v>
      </c>
      <c r="I17" s="8" t="s">
        <v>27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93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 t="shared" si="1"/>
        <v>226101.69491525422</v>
      </c>
      <c r="I19" t="s">
        <v>33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 t="shared" si="1"/>
        <v>0</v>
      </c>
      <c r="I20" t="s">
        <v>45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94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36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108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50</v>
      </c>
      <c r="C25" s="55"/>
      <c r="E25" s="55">
        <v>114</v>
      </c>
      <c r="H25" s="55">
        <f>SUM(K17:K19,K22:K28)</f>
        <v>165</v>
      </c>
      <c r="I25" t="s">
        <v>97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3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34" t="str">
        <f>'[8]Team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125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0" t="s">
        <v>0</v>
      </c>
      <c r="C3" s="140"/>
      <c r="D3" s="140"/>
      <c r="E3" s="140"/>
      <c r="F3" s="140"/>
      <c r="G3" s="140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x14ac:dyDescent="0.2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L29-G10+212800</f>
        <v>1420000</v>
      </c>
      <c r="I8" s="7"/>
      <c r="J8" s="17"/>
      <c r="K8" s="17"/>
      <c r="L8" s="43"/>
      <c r="O8" s="15">
        <f>+G8/$G$29*$O$29</f>
        <v>101428.57142857143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idden="1" x14ac:dyDescent="0.2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L33-L29+141960</f>
        <v>383400</v>
      </c>
      <c r="I11" s="7"/>
      <c r="J11" s="17"/>
      <c r="K11" s="17"/>
      <c r="L11" s="43"/>
      <c r="O11" s="15">
        <f t="shared" si="0"/>
        <v>27385.714285714286</v>
      </c>
    </row>
    <row r="12" spans="1:44" x14ac:dyDescent="0.2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(E12/$E$29)*$G$29+13466</f>
        <v>40000.483111111105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2857.1773650793648</v>
      </c>
    </row>
    <row r="13" spans="1:44" x14ac:dyDescent="0.2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(E13/$E$29)*$G$29-19151</f>
        <v>55000.255111111124</v>
      </c>
      <c r="I13" s="7"/>
      <c r="J13" s="17"/>
      <c r="K13" s="17"/>
      <c r="L13" s="43"/>
      <c r="O13" s="15">
        <f t="shared" si="0"/>
        <v>3928.5896507936518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(E14/$E$29)*$G$29+80000</f>
        <v>80000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5714.2857142857147</v>
      </c>
      <c r="P14" s="49">
        <f>N14-L14</f>
        <v>499752.89641269832</v>
      </c>
    </row>
    <row r="15" spans="1:44" x14ac:dyDescent="0.2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 t="shared" ref="G15:G22" si="1">(E15/$E$29)*$G$29</f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 t="shared" si="1"/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93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33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(E20/$E$29)*$G$29-336</f>
        <v>-0.47999999999996135</v>
      </c>
      <c r="I20" t="s">
        <v>94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-3.4285714285711526E-2</v>
      </c>
    </row>
    <row r="21" spans="1:15" x14ac:dyDescent="0.2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(E21/$E$29)*$G$29+7698</f>
        <v>19537.452444444443</v>
      </c>
      <c r="I21" t="s">
        <v>45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1395.5323174603175</v>
      </c>
    </row>
    <row r="22" spans="1:15" x14ac:dyDescent="0.2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36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2075454.2342222224</v>
      </c>
      <c r="I23" t="s">
        <v>95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148246.731015873</v>
      </c>
    </row>
    <row r="24" spans="1:15" x14ac:dyDescent="0.2">
      <c r="I24" t="s">
        <v>96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119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100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'[8]Team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3"/>
        <v>902832.72</v>
      </c>
    </row>
    <row r="37" spans="1:12" hidden="1" x14ac:dyDescent="0.2">
      <c r="A37" s="13" t="s">
        <v>83</v>
      </c>
      <c r="B37" s="14" t="s">
        <v>84</v>
      </c>
      <c r="C37" s="15">
        <f>'[8]Team Report'!BA43</f>
        <v>-1637349.75</v>
      </c>
      <c r="E37" s="15">
        <f t="shared" si="3"/>
        <v>-2183133</v>
      </c>
      <c r="H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'[8]Team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2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SUM(M17:M28)+348000</f>
        <v>16582800</v>
      </c>
      <c r="J8" s="7"/>
      <c r="K8" s="17"/>
      <c r="L8" s="17"/>
      <c r="M8" s="43"/>
      <c r="O8" s="15">
        <f t="shared" ref="O8:O22" si="1">+G8/$G$29*$O$29</f>
        <v>117608.51063829787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3316560</v>
      </c>
      <c r="J11" s="7"/>
      <c r="K11" s="17"/>
      <c r="L11" s="17"/>
      <c r="M11" s="43"/>
      <c r="O11" s="15">
        <f t="shared" si="1"/>
        <v>23521.702127659573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15633.631205673759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8484.098156028369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3513.4002836879431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Dev'!G19+'IT EOL'!G19+2775700</f>
        <v>5600999.9199999999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39723.403687943261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Dev'!G21+'IT EOL'!G21-7942105</f>
        <v>1845972.4000000004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13092.002836879436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31242321.600000001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221576.74893617022</v>
      </c>
    </row>
    <row r="24" spans="1:15" x14ac:dyDescent="0.2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1062600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1360244.264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1062600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1275120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34" t="str">
        <f>'[11]Team Report'!B1</f>
        <v>Enron North America</v>
      </c>
      <c r="C1" s="134"/>
      <c r="D1" s="134"/>
      <c r="E1" s="134"/>
      <c r="F1" s="136"/>
      <c r="G1" s="136"/>
      <c r="H1" s="136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"IT Infrastructure"</f>
        <v>IT Infrastructure</v>
      </c>
      <c r="C2" s="134"/>
      <c r="D2" s="134"/>
      <c r="E2" s="134"/>
      <c r="F2" s="136"/>
      <c r="G2" s="136"/>
      <c r="H2" s="136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136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122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2000000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33898.305084745763</v>
      </c>
    </row>
    <row r="15" spans="1:45" x14ac:dyDescent="0.2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1936000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32813.5593220339</v>
      </c>
    </row>
    <row r="19" spans="1:17" x14ac:dyDescent="0.2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(2485728*0.29+2500000)*0.559633027522936+3445700</f>
        <v>5248200.2598165143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88952.546776551084</v>
      </c>
    </row>
    <row r="20" spans="1:17" x14ac:dyDescent="0.2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2485728*0.15+2500000+35100000-32660209</f>
        <v>5312650.200000003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90044.918644067846</v>
      </c>
    </row>
    <row r="22" spans="1:17" x14ac:dyDescent="0.2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(F22/9)*12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24865013.28990826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421440.90321878402</v>
      </c>
    </row>
    <row r="24" spans="1:17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idden="1" x14ac:dyDescent="0.2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idden="1" x14ac:dyDescent="0.2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idden="1" x14ac:dyDescent="0.2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idden="1" x14ac:dyDescent="0.2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">
      <c r="J40">
        <f>61/109</f>
        <v>0.55963302752293576</v>
      </c>
    </row>
    <row r="42" spans="1:13" x14ac:dyDescent="0.2">
      <c r="B42" s="14" t="s">
        <v>168</v>
      </c>
    </row>
    <row r="43" spans="1:13" x14ac:dyDescent="0.2">
      <c r="B43" s="14" t="s">
        <v>174</v>
      </c>
    </row>
    <row r="44" spans="1:13" x14ac:dyDescent="0.2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34" t="str">
        <f>'[4]Team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139</v>
      </c>
      <c r="C2" s="134"/>
      <c r="D2" s="134"/>
      <c r="E2" s="134"/>
      <c r="F2" s="136"/>
      <c r="G2" s="136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5" t="s">
        <v>0</v>
      </c>
      <c r="C3" s="135"/>
      <c r="D3" s="135"/>
      <c r="E3" s="135"/>
      <c r="F3" s="136"/>
      <c r="G3" s="136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9"/>
      <c r="L4" s="139"/>
      <c r="M4" s="139"/>
      <c r="N4" s="139"/>
      <c r="P4" s="141"/>
      <c r="Q4" s="141"/>
      <c r="R4" s="141"/>
      <c r="S4" s="141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SUM(N17:N19,N21:N27)+172800+561516</f>
        <v>3526716</v>
      </c>
      <c r="K8" s="7"/>
      <c r="L8" s="17"/>
      <c r="M8" s="17"/>
      <c r="N8" s="43"/>
      <c r="O8" s="15">
        <f>+G8/$G$29*$O$29</f>
        <v>90428.61538461539</v>
      </c>
      <c r="P8" s="8"/>
      <c r="Q8" s="17"/>
      <c r="R8" s="17"/>
      <c r="S8" s="17"/>
      <c r="T8" s="8"/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idden="1" x14ac:dyDescent="0.2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SUM(G8:G10)*0.2+49374</f>
        <v>754717.20000000007</v>
      </c>
      <c r="K11" s="7"/>
      <c r="L11" s="17"/>
      <c r="M11" s="17"/>
      <c r="N11" s="43"/>
      <c r="O11" s="15">
        <f t="shared" si="0"/>
        <v>19351.723076923077</v>
      </c>
      <c r="P11" s="8"/>
      <c r="Q11" s="17"/>
      <c r="R11" s="17"/>
      <c r="S11" s="17"/>
      <c r="T11" s="8"/>
    </row>
    <row r="12" spans="1:45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348924+240000-409440+61200</f>
        <v>240684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6171.3846153846152</v>
      </c>
      <c r="P12" s="8"/>
      <c r="Q12" s="17"/>
      <c r="R12" s="17"/>
      <c r="S12" s="17"/>
      <c r="T12" s="8"/>
    </row>
    <row r="13" spans="1:45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262411+100000-5411</f>
        <v>357000</v>
      </c>
      <c r="K13" s="7"/>
      <c r="L13" s="17"/>
      <c r="M13" s="17"/>
      <c r="N13" s="43"/>
      <c r="O13" s="15">
        <f t="shared" si="0"/>
        <v>9153.8461538461543</v>
      </c>
      <c r="P13" s="8"/>
      <c r="Q13" s="17"/>
      <c r="R13" s="17"/>
      <c r="S13" s="17"/>
      <c r="T13" s="8"/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25500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653.84615384615381</v>
      </c>
      <c r="P14" s="8"/>
      <c r="Q14" s="17"/>
      <c r="R14" s="17"/>
      <c r="S14" s="17"/>
      <c r="T14" s="8"/>
    </row>
    <row r="15" spans="1:45" x14ac:dyDescent="0.2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96365+40000-136365+92328</f>
        <v>92328</v>
      </c>
      <c r="K15" s="8"/>
      <c r="L15" s="17"/>
      <c r="M15" s="17"/>
      <c r="N15" s="17"/>
      <c r="O15" s="15">
        <f t="shared" si="0"/>
        <v>2367.3846153846152</v>
      </c>
      <c r="P15" s="8"/>
      <c r="Q15" s="8"/>
      <c r="R15" s="8"/>
      <c r="S15" s="8"/>
      <c r="T15" s="8"/>
    </row>
    <row r="16" spans="1:45" x14ac:dyDescent="0.2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340000</v>
      </c>
      <c r="K16" s="8"/>
      <c r="L16" s="17"/>
      <c r="M16" s="17"/>
      <c r="N16" s="17"/>
      <c r="O16" s="15">
        <f t="shared" si="0"/>
        <v>8717.9487179487187</v>
      </c>
      <c r="P16" s="8"/>
      <c r="Q16" s="8"/>
      <c r="R16" s="8"/>
      <c r="S16" s="8"/>
      <c r="T16" s="8"/>
    </row>
    <row r="17" spans="1:20" x14ac:dyDescent="0.2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6000</f>
        <v>6000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153.84615384615384</v>
      </c>
      <c r="Q18" s="25"/>
      <c r="S18" s="49"/>
    </row>
    <row r="19" spans="1:20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+$N$12*0.19+150000-438915+107240+169200+435536</f>
        <v>711975.63309738983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18255.785464035638</v>
      </c>
      <c r="Q19" s="25"/>
      <c r="S19" s="49"/>
    </row>
    <row r="20" spans="1:20" x14ac:dyDescent="0.2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264168+100000+405121-769289+553800+420160+443302</f>
        <v>1417262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36340.051282051281</v>
      </c>
      <c r="Q21" s="25"/>
      <c r="S21" s="49"/>
    </row>
    <row r="22" spans="1:20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7472182.8330973899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191594.43161788181</v>
      </c>
      <c r="Q23" s="25"/>
      <c r="S23" s="49"/>
    </row>
    <row r="24" spans="1:20" x14ac:dyDescent="0.2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134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D64" sqref="D64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34" t="str">
        <f>'[9]Team Report'!B1</f>
        <v>Enron North America</v>
      </c>
      <c r="C1" s="134"/>
      <c r="D1" s="136"/>
      <c r="E1" s="136"/>
      <c r="F1" s="1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34" t="str">
        <f>'[9]Pull Sheet'!E9</f>
        <v>Canada Support</v>
      </c>
      <c r="C2" s="134"/>
      <c r="D2" s="136"/>
      <c r="E2" s="136"/>
      <c r="F2" s="1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34" t="s">
        <v>0</v>
      </c>
      <c r="C3" s="134"/>
      <c r="D3" s="136"/>
      <c r="E3" s="136"/>
      <c r="F3" s="1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1</v>
      </c>
      <c r="L5" s="8" t="s">
        <v>2</v>
      </c>
      <c r="M5" s="9" t="s">
        <v>3</v>
      </c>
    </row>
    <row r="6" spans="1:35" x14ac:dyDescent="0.2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x14ac:dyDescent="0.2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x14ac:dyDescent="0.2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126</v>
      </c>
      <c r="N15" s="25"/>
      <c r="O15" s="15">
        <f t="shared" si="0"/>
        <v>2360.8496551724143</v>
      </c>
    </row>
    <row r="16" spans="1:35" x14ac:dyDescent="0.2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8726.4331257401627</v>
      </c>
    </row>
    <row r="19" spans="1:15" x14ac:dyDescent="0.2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127</v>
      </c>
    </row>
    <row r="25" spans="1:15" x14ac:dyDescent="0.2">
      <c r="B25" s="27" t="s">
        <v>50</v>
      </c>
      <c r="C25" s="15"/>
      <c r="E25" s="31">
        <v>82</v>
      </c>
      <c r="F25" s="31">
        <f>SUM(L16:L21,L25:L27,L31:L36,L40:L42,L46,L49:L50)-1</f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128</v>
      </c>
    </row>
    <row r="31" spans="1:15" hidden="1" x14ac:dyDescent="0.2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idden="1" x14ac:dyDescent="0.2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56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30</v>
      </c>
    </row>
    <row r="46" spans="1:14" hidden="1" x14ac:dyDescent="0.2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131</v>
      </c>
    </row>
    <row r="49" spans="10:13" hidden="1" x14ac:dyDescent="0.2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34" t="str">
        <f>'[14]Team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129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 t="s">
        <v>129</v>
      </c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M21+M25+M26+M27+M28+360800</f>
        <v>3230000</v>
      </c>
      <c r="J8" s="7"/>
      <c r="K8" s="17"/>
      <c r="L8" s="17"/>
      <c r="M8" s="43"/>
      <c r="O8" s="15">
        <f>+F8/$F$29*$O$29</f>
        <v>153809.52380952382</v>
      </c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70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F8*0.2</f>
        <v>646000</v>
      </c>
      <c r="J11" s="7"/>
      <c r="K11" s="17"/>
      <c r="L11" s="17"/>
      <c r="M11" s="43"/>
      <c r="O11" s="15">
        <f t="shared" si="0"/>
        <v>30761.904761904763</v>
      </c>
    </row>
    <row r="12" spans="1:45" x14ac:dyDescent="0.2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E12/$E$29*$L$12+179963</f>
        <v>445999.76526126126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21238.08406006006</v>
      </c>
    </row>
    <row r="13" spans="1:45" x14ac:dyDescent="0.2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E13/$E$29*$L$12+68434</f>
        <v>417000.33998918912</v>
      </c>
      <c r="J13" s="7"/>
      <c r="K13" s="17"/>
      <c r="L13" s="17"/>
      <c r="M13" s="43"/>
      <c r="O13" s="15">
        <f t="shared" si="0"/>
        <v>19857.159047104244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v>0</v>
      </c>
      <c r="F14" s="21">
        <v>3500000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166666.66666666666</v>
      </c>
    </row>
    <row r="15" spans="1:45" x14ac:dyDescent="0.2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E15/$E$29*$L$12+4276</f>
        <v>44999.672216216226</v>
      </c>
      <c r="I15" s="49">
        <f>M14-F23</f>
        <v>1326287</v>
      </c>
      <c r="J15" s="8"/>
      <c r="K15" s="17"/>
      <c r="L15" s="17"/>
      <c r="M15" s="17"/>
      <c r="O15" s="15">
        <f t="shared" si="0"/>
        <v>2142.8415341055347</v>
      </c>
    </row>
    <row r="16" spans="1:45" x14ac:dyDescent="0.2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E16/$E$29*$L$12</f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8691449.0902594589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413878.5281075933</v>
      </c>
    </row>
    <row r="24" spans="1:15" x14ac:dyDescent="0.2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50</v>
      </c>
      <c r="C25" s="55"/>
      <c r="E25" s="55">
        <v>111</v>
      </c>
      <c r="F25" s="79">
        <f>+L29</f>
        <v>21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idden="1" x14ac:dyDescent="0.2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142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54890.303030303032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1269500</v>
      </c>
      <c r="I10" s="42"/>
      <c r="J10" s="17"/>
      <c r="K10" s="17"/>
      <c r="L10" s="43"/>
      <c r="Q10" s="15">
        <f t="shared" si="1"/>
        <v>38469.696969696968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616176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18672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179533.47917426541</v>
      </c>
      <c r="I12" s="42"/>
      <c r="J12" s="17"/>
      <c r="K12" s="17"/>
      <c r="L12" s="43"/>
      <c r="Q12" s="15">
        <f t="shared" si="1"/>
        <v>5440.4084598262243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240573.79887386021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7290.1151173897033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2035600.0094285714</v>
      </c>
      <c r="Q14" s="15">
        <f t="shared" si="1"/>
        <v>61684.84877056277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46295.705931610937</v>
      </c>
      <c r="Q15" s="15">
        <f t="shared" si="1"/>
        <v>1402.9001797457859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33.615946701053076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19073.593603343463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577.98768494980186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168546.1389563767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5107.4587562538391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0.31825165024101193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193730.09370570793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5870.6089001729679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140838.43616528375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4267.831398947993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6722367.0843846137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203708.09346620034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119040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+'West - Struct'!G10+'Gas - Struct'!H10</f>
        <v>97200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19440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+'West - Struct'!G11+'Gas - Struct'!H11</f>
        <v>138480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27696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32887.421249999992</v>
      </c>
      <c r="H12" s="15"/>
      <c r="I12" s="16">
        <f t="shared" si="0"/>
        <v>3.4968825085234974E-2</v>
      </c>
      <c r="K12" s="7"/>
      <c r="L12" s="8"/>
      <c r="M12" s="8"/>
      <c r="N12" s="9"/>
      <c r="O12" s="15">
        <f t="shared" si="1"/>
        <v>6577.4842499999986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44254.870750000002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8850.97415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1.4629213474934533E-2</v>
      </c>
      <c r="H14" s="15"/>
      <c r="I14" s="16">
        <f t="shared" si="0"/>
        <v>1.5555078133088597E-8</v>
      </c>
      <c r="O14" s="15">
        <f t="shared" si="1"/>
        <v>2.9258426949869067E-3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+'West - Struct'!G15+'Gas - Struct'!H15</f>
        <v>8374.0750000000007</v>
      </c>
      <c r="H15" s="15"/>
      <c r="I15" s="16">
        <f t="shared" si="0"/>
        <v>8.9040597528040957E-3</v>
      </c>
      <c r="O15" s="15">
        <f t="shared" si="1"/>
        <v>1674.8150000000001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+'West - Struct'!G17+'Gas - Struct'!H17</f>
        <v>147.5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29.5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4478.8730000000005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895.77460000000008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+'West - Struct'!G19+'Gas - Struct'!H19</f>
        <v>8333.6870337078653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1666.7374067415731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+'West - Struct'!G20+'Gas - Struct'!H20</f>
        <v>4.5761797752808997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0.91523595505617994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8394.7227499999972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1678.9445499999995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2722.5617191011675</v>
      </c>
      <c r="H22" s="15"/>
      <c r="I22" s="16">
        <f t="shared" si="0"/>
        <v>2.8948692515380898E-3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544.51234382023347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940478.30231179774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188095.66046235958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133800</v>
      </c>
      <c r="Q14" s="15">
        <f t="shared" si="1"/>
        <v>26760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1172895.8962500002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234579.17925000002</v>
      </c>
    </row>
    <row r="24" spans="1:17" x14ac:dyDescent="0.2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34" t="str">
        <f>'[13]Team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"IT EOL"</f>
        <v>IT EOL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197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23594400</v>
      </c>
      <c r="J8" s="7"/>
      <c r="K8" s="17"/>
      <c r="L8" s="17"/>
      <c r="M8" s="43"/>
      <c r="O8" s="15">
        <f t="shared" ref="O8:O22" si="1">+G8/$G$29*$O$29</f>
        <v>118564.82412060302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4718880</v>
      </c>
      <c r="J11" s="7"/>
      <c r="K11" s="17"/>
      <c r="L11" s="17"/>
      <c r="M11" s="43"/>
      <c r="O11" s="15">
        <f t="shared" si="1"/>
        <v>23712.964824120601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2000000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10050.251256281406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1936000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9728.6432160804015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10849200.179816514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54518.593868424694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7158622.6000000034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35972.977889447255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56107334.889908269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281946.40648195101</v>
      </c>
    </row>
    <row r="24" spans="1:15" x14ac:dyDescent="0.2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198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281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713715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621671.25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129448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122078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236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969399.8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1479541.25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27" width="0" hidden="1" customWidth="1"/>
  </cols>
  <sheetData>
    <row r="1" spans="1:16" ht="18" x14ac:dyDescent="0.25">
      <c r="B1" s="134" t="str">
        <f>'[6]Team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34" t="str">
        <f>'[6]Pull Sheet'!E9</f>
        <v>Competitive Analysis</v>
      </c>
      <c r="C2" s="134"/>
      <c r="D2" s="134"/>
      <c r="E2" s="134"/>
      <c r="F2" s="134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x14ac:dyDescent="0.2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idden="1" x14ac:dyDescent="0.2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idden="1" x14ac:dyDescent="0.2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2.7109375" hidden="1" customWidth="1"/>
    <col min="18" max="52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188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192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190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191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189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193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L28-H10+17820</f>
        <v>1037520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L30-L28+3564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261</v>
      </c>
      <c r="O11" s="124" t="s">
        <v>260</v>
      </c>
      <c r="P11" s="124" t="s">
        <v>262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36974.842499999984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32909.741500000004</v>
      </c>
      <c r="I13" s="46" t="s">
        <v>20</v>
      </c>
      <c r="J13" s="47"/>
      <c r="K13" s="47"/>
      <c r="L13" s="48">
        <f>L8+L11</f>
        <v>1513261.0874999999</v>
      </c>
      <c r="N13" s="124" t="s">
        <v>264</v>
      </c>
      <c r="O13" s="124" t="s">
        <v>256</v>
      </c>
      <c r="P13" s="124" t="s">
        <v>262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1.2000000000989528E-2</v>
      </c>
      <c r="N14" s="124" t="s">
        <v>265</v>
      </c>
      <c r="O14" s="124" t="s">
        <v>257</v>
      </c>
      <c r="P14" s="124" t="s">
        <v>262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5228.1499999999996</v>
      </c>
      <c r="N15" s="124" t="s">
        <v>266</v>
      </c>
      <c r="O15" s="124" t="s">
        <v>258</v>
      </c>
      <c r="P15" s="124" t="s">
        <v>262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295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5357.746000000001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5460.5159999999996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0.8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6789.4454999999944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1338040.2535000001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6</v>
      </c>
      <c r="L28" s="25">
        <f>SUM(L16:L27)*1.2</f>
        <v>1019700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1223640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573145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91502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67829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388571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40000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109829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8571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45714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11429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1336590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">
      <c r="K28" s="25">
        <f>SUM(K16:K27)</f>
        <v>4</v>
      </c>
      <c r="L28" s="25">
        <f>SUM(L16:L27)*1.2</f>
        <v>699600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839520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0.7109375" customWidth="1"/>
  </cols>
  <sheetData>
    <row r="1" spans="1:41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">
        <v>272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I4" s="39"/>
      <c r="J4" s="40"/>
      <c r="K4" s="40"/>
      <c r="L4" s="41"/>
    </row>
    <row r="5" spans="1:41" x14ac:dyDescent="0.2">
      <c r="I5" s="42"/>
      <c r="J5" s="17" t="s">
        <v>1</v>
      </c>
      <c r="K5" s="17" t="s">
        <v>2</v>
      </c>
      <c r="L5" s="43" t="s">
        <v>3</v>
      </c>
    </row>
    <row r="6" spans="1:41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567600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</row>
    <row r="10" spans="1:41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116920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/>
    </row>
    <row r="13" spans="1:41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/>
    </row>
    <row r="16" spans="1:41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5652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990172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">
      <c r="K28" s="25">
        <f>SUM(K16:K27)</f>
        <v>4</v>
      </c>
      <c r="L28" s="25">
        <f>SUM(L16:L27)*1.2</f>
        <v>712800</v>
      </c>
      <c r="N28" s="8"/>
    </row>
    <row r="29" spans="1:14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">
      <c r="L30" s="25">
        <f>L28*1.2</f>
        <v>855360</v>
      </c>
      <c r="N30" s="8"/>
    </row>
    <row r="31" spans="1:14" hidden="1" x14ac:dyDescent="0.2">
      <c r="H31" s="33" t="s">
        <v>56</v>
      </c>
      <c r="L31"/>
      <c r="N31" s="8"/>
    </row>
    <row r="32" spans="1:14" hidden="1" x14ac:dyDescent="0.2">
      <c r="B32" s="14" t="s">
        <v>22</v>
      </c>
      <c r="C32" s="15">
        <v>254512</v>
      </c>
      <c r="L32"/>
      <c r="N32" s="8"/>
    </row>
    <row r="33" spans="8:14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">
      <c r="N35" s="8"/>
    </row>
    <row r="36" spans="8:14" hidden="1" x14ac:dyDescent="0.2">
      <c r="N36" s="8"/>
    </row>
    <row r="37" spans="8:14" hidden="1" x14ac:dyDescent="0.2">
      <c r="N37" s="8"/>
    </row>
    <row r="38" spans="8:14" hidden="1" x14ac:dyDescent="0.2">
      <c r="N38" s="8"/>
    </row>
    <row r="39" spans="8:14" x14ac:dyDescent="0.2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67</vt:i4>
      </vt:variant>
    </vt:vector>
  </HeadingPairs>
  <TitlesOfParts>
    <vt:vector size="134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</vt:lpstr>
      <vt:lpstr>Mexico</vt:lpstr>
      <vt:lpstr>Crude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East Power Trading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East Power A&amp;A</vt:lpstr>
      <vt:lpstr>Gas A&amp;A</vt:lpstr>
      <vt:lpstr>West Power A&amp;A</vt:lpstr>
      <vt:lpstr>Canada A&amp;A</vt:lpstr>
      <vt:lpstr>Natural Gas Admin</vt:lpstr>
      <vt:lpstr>East Power Admins</vt:lpstr>
      <vt:lpstr>West Power Admins</vt:lpstr>
      <vt:lpstr>Canada</vt:lpstr>
      <vt:lpstr>Canada Admins</vt:lpstr>
      <vt:lpstr>Fin Ops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Crude!Print_Area</vt:lpstr>
      <vt:lpstr>'Derivatives AA'!Print_Area</vt:lpstr>
      <vt:lpstr>'Derivatives w-o  AA'!Print_Area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 Admin'!Print_Area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2002-01-03T23:34:49Z</cp:lastPrinted>
  <dcterms:created xsi:type="dcterms:W3CDTF">2001-12-05T13:20:56Z</dcterms:created>
  <dcterms:modified xsi:type="dcterms:W3CDTF">2023-09-16T22:14:22Z</dcterms:modified>
</cp:coreProperties>
</file>