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883768-D763-4872-A093-026E9C00BF56}" xr6:coauthVersionLast="47" xr6:coauthVersionMax="47" xr10:uidLastSave="{00000000-0000-0000-0000-000000000000}"/>
  <bookViews>
    <workbookView xWindow="-120" yWindow="-120" windowWidth="38640" windowHeight="15720" tabRatio="857" activeTab="18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<sst xmlns="http://schemas.openxmlformats.org/spreadsheetml/2006/main" count="971" uniqueCount="67">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</sst>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-2293087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-25624490</v>
          </cell>
        </row>
        <row r="22">
          <cell r="J22">
            <v>13420502</v>
          </cell>
        </row>
      </sheetData>
      <sheetData sheetId="9">
        <row r="12">
          <cell r="K12">
            <v>1254000</v>
          </cell>
        </row>
      </sheetData>
      <sheetData sheetId="10"/>
      <sheetData sheetId="11">
        <row r="13">
          <cell r="I13">
            <v>1385120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8184592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122981480.2</v>
          </cell>
        </row>
      </sheetData>
      <sheetData sheetId="15"/>
      <sheetData sheetId="16"/>
      <sheetData sheetId="17"/>
      <sheetData sheetId="18">
        <row r="12">
          <cell r="I12">
            <v>740752</v>
          </cell>
        </row>
      </sheetData>
      <sheetData sheetId="19"/>
      <sheetData sheetId="20">
        <row r="12">
          <cell r="I12">
            <v>4163530.04</v>
          </cell>
        </row>
      </sheetData>
      <sheetData sheetId="21">
        <row r="16">
          <cell r="K16">
            <v>2896189</v>
          </cell>
        </row>
        <row r="17">
          <cell r="K17">
            <v>2896189</v>
          </cell>
        </row>
        <row r="47">
          <cell r="I47">
            <v>2896189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17565.479999999981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17565.479999999981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-3556305.5700000059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-3556305.5700000059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299893.9700000002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299893.9700000002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299893.9700000002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6379489.5990291433</v>
          </cell>
        </row>
        <row r="1184">
          <cell r="FF1184" t="str">
            <v>Fut. Fees</v>
          </cell>
        </row>
        <row r="1185">
          <cell r="FF1185">
            <v>0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6277139.9037082512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39658371.46599979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39658371.46599979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39658371.46599979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182178094.53000003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182178094.53000003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-396747.27399997599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-396747.27399997599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-396747.27399997599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133850.77000000328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133850.77000000328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133850.77000000328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-26452169.410000004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-26452169.410000004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-26452169.410000004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2559637.318591</v>
          </cell>
          <cell r="CG1181">
            <v>327447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2559637.318591</v>
          </cell>
          <cell r="CG1223">
            <v>327447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2559637.318591</v>
          </cell>
          <cell r="CG1265">
            <v>327447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1542924.3099999996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1542924.3099999996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5" sqref="A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299859.72600002401</v>
      </c>
      <c r="C8" s="68"/>
      <c r="D8" s="68">
        <f t="shared" ref="D8:D26" si="0">B8-C8</f>
        <v>299859.72600002401</v>
      </c>
      <c r="E8" s="68">
        <v>0</v>
      </c>
      <c r="F8" s="68">
        <f>'[1]ABN-AMRO'!$K$12</f>
        <v>1254000</v>
      </c>
      <c r="G8" s="69"/>
      <c r="H8" s="68">
        <f t="shared" ref="H8:H26" si="1">F8-G8</f>
        <v>1254000</v>
      </c>
      <c r="I8" s="68"/>
      <c r="J8" s="68"/>
      <c r="K8" s="68"/>
      <c r="L8" s="68">
        <f t="shared" ref="L8:L13" si="2">B8+E8-F8+J8</f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SUMIF([15]Statements!$A$5:$A$1305,$A$3,[15]Statements!$FF$5:$FF$1305)+11241+71</f>
        <v>3474749.7876531943</v>
      </c>
      <c r="C12" s="68"/>
      <c r="D12" s="68">
        <f t="shared" si="0"/>
        <v>3474749.7876531943</v>
      </c>
      <c r="E12" s="68">
        <v>0</v>
      </c>
      <c r="F12" s="68">
        <f>'[1]CARR FUTURES'!$I$12</f>
        <v>4163530.04</v>
      </c>
      <c r="G12" s="68"/>
      <c r="H12" s="68">
        <f t="shared" si="1"/>
        <v>4163530.04</v>
      </c>
      <c r="I12" s="68"/>
      <c r="J12" s="68"/>
      <c r="K12" s="68"/>
      <c r="L12" s="68">
        <f t="shared" si="2"/>
        <v>-688780.25234680576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341785.06000000238</v>
      </c>
      <c r="C13" s="68"/>
      <c r="D13" s="68">
        <f t="shared" si="0"/>
        <v>341785.06000000238</v>
      </c>
      <c r="E13" s="68">
        <v>0</v>
      </c>
      <c r="F13" s="68">
        <f>'[1]CREDIT SUISSE FIRST BOSTON'!$I$12</f>
        <v>740752</v>
      </c>
      <c r="G13" s="68"/>
      <c r="H13" s="68">
        <f t="shared" si="1"/>
        <v>740752</v>
      </c>
      <c r="I13" s="68"/>
      <c r="J13" s="68"/>
      <c r="K13" s="68"/>
      <c r="L13" s="68">
        <f t="shared" si="2"/>
        <v>-398966.93999999762</v>
      </c>
      <c r="M13" s="12"/>
      <c r="N13" s="46"/>
      <c r="O13" s="46"/>
    </row>
    <row r="14" spans="1:17" x14ac:dyDescent="0.2">
      <c r="A14" t="s">
        <v>66</v>
      </c>
      <c r="B14" s="68">
        <f>SUMIF([16]Statements!$A$5:$A$1305,$A$3,[16]Statements!$CT$5:$CT$1305)-SUMIF([16]Statements!$A$5:$A$1305,$A$3,[16]Statements!$CX$5:$CX$1305)-5</f>
        <v>36635363.29599978</v>
      </c>
      <c r="C14" s="68"/>
      <c r="D14" s="68">
        <f t="shared" si="0"/>
        <v>36635363.29599978</v>
      </c>
      <c r="E14" s="68">
        <f>+'[1]EDF MANN'!$J$20</f>
        <v>-25624490</v>
      </c>
      <c r="F14" s="68">
        <f>'[1]EDF MANN'!$J$22</f>
        <v>13420502</v>
      </c>
      <c r="G14" s="69"/>
      <c r="H14" s="68">
        <f t="shared" si="1"/>
        <v>13420502</v>
      </c>
      <c r="I14" s="69"/>
      <c r="J14" s="69"/>
      <c r="K14" s="69"/>
      <c r="L14" s="68">
        <f t="shared" ref="L14:L20" si="3">B14+E14-F14+J14</f>
        <v>-2409628.7040002197</v>
      </c>
      <c r="M14" s="12"/>
      <c r="N14" s="46"/>
      <c r="O14" s="46"/>
    </row>
    <row r="15" spans="1:17" x14ac:dyDescent="0.2">
      <c r="A15" t="s">
        <v>65</v>
      </c>
      <c r="B15" s="70">
        <f>SUMIF([5]Statements!$A$5:$A$1305,$A$3,[5]Statements!$BB$5:$BB$1305)-3</f>
        <v>6227056.0899999961</v>
      </c>
      <c r="C15" s="70"/>
      <c r="D15" s="68">
        <f t="shared" si="0"/>
        <v>6227056.0899999961</v>
      </c>
      <c r="E15" s="70">
        <v>0</v>
      </c>
      <c r="F15" s="70">
        <f>[1]Fimat!$K$12</f>
        <v>8184592</v>
      </c>
      <c r="G15" s="54"/>
      <c r="H15" s="54">
        <f t="shared" si="1"/>
        <v>8184592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-1957535.9100000039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SUMIF([6]Statements!$A$5:$A$1305,$A$3,[6]Statements!$CA$5:$CA$1305)-851-240888</f>
        <v>159010.81859100005</v>
      </c>
      <c r="C16" s="68"/>
      <c r="D16" s="68">
        <f t="shared" si="0"/>
        <v>159010.81859100005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302717</v>
      </c>
      <c r="O17" s="46">
        <f>SUMIF([6]Statements!$BX$5:$BX$1305,$A$3,[6]Statements!$CH$5:$CH$1305)</f>
        <v>342764</v>
      </c>
    </row>
    <row r="18" spans="1:15" x14ac:dyDescent="0.2">
      <c r="A18" t="s">
        <v>35</v>
      </c>
      <c r="B18" s="68">
        <f>SUMIF([7]Statements!$A$5:$A$1305,$A$3,[7]Statements!$BB$5:$BB$1305)-5-416138</f>
        <v>1024751.1799999997</v>
      </c>
      <c r="C18" s="68"/>
      <c r="D18" s="68">
        <f t="shared" si="0"/>
        <v>1024751.1799999997</v>
      </c>
      <c r="E18" s="68">
        <v>0</v>
      </c>
      <c r="F18" s="68">
        <f>'[1]JP Morgan'!$I$13</f>
        <v>1385120</v>
      </c>
      <c r="G18" s="68"/>
      <c r="H18" s="68">
        <f t="shared" si="1"/>
        <v>1385120</v>
      </c>
      <c r="I18" s="68"/>
      <c r="J18" s="68"/>
      <c r="K18" s="68"/>
      <c r="L18" s="68">
        <f t="shared" si="3"/>
        <v>-360368.8200000003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SUMIF([17]Statements!$A$5:$A$1305,$A$3,[17]Statements!$DB$5:$DB$1305)-67725-3260000</f>
        <v>151056656.13000011</v>
      </c>
      <c r="C20" s="69"/>
      <c r="D20" s="68">
        <f t="shared" si="0"/>
        <v>151056656.13000011</v>
      </c>
      <c r="E20" s="69">
        <v>0</v>
      </c>
      <c r="F20" s="69">
        <f>[1]PARIBAS!$J$19</f>
        <v>122981480.2</v>
      </c>
      <c r="G20" s="69"/>
      <c r="H20" s="68">
        <f t="shared" si="1"/>
        <v>122981480.2</v>
      </c>
      <c r="I20" s="69"/>
      <c r="J20" s="69"/>
      <c r="K20" s="69"/>
      <c r="L20" s="68">
        <f t="shared" si="3"/>
        <v>28075175.930000111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</f>
        <v>17565.479999999981</v>
      </c>
      <c r="C23" s="68"/>
      <c r="D23" s="68">
        <f t="shared" si="0"/>
        <v>17565.479999999981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17565.479999999981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</f>
        <v>39516.179999999993</v>
      </c>
      <c r="C24" s="68"/>
      <c r="D24" s="68">
        <f t="shared" si="0"/>
        <v>39516.179999999993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39516.179999999993</v>
      </c>
      <c r="M24" s="12"/>
      <c r="N24" s="46"/>
      <c r="O24" s="46"/>
    </row>
    <row r="25" spans="1:15" ht="12" customHeight="1" x14ac:dyDescent="0.2">
      <c r="A25" s="18" t="s">
        <v>62</v>
      </c>
      <c r="B25" s="68">
        <f>SUMIF([12]Statements!$A$5:$A$1305,$A$3,[12]Statements!$CP$5:$CP$1305)-575200-27904</f>
        <v>3924779.4299999941</v>
      </c>
      <c r="C25" s="68"/>
      <c r="D25" s="68">
        <f t="shared" si="0"/>
        <v>3924779.4299999941</v>
      </c>
      <c r="E25" s="69">
        <v>0</v>
      </c>
      <c r="F25" s="69">
        <f>'[1]Smith Barney'!ReqTotal</f>
        <v>2896189</v>
      </c>
      <c r="G25" s="69">
        <f>IF('[1]Smith Barney'!CurrentLoanValue&lt;50000000,IF('[1]Smith Barney'!CurrentLoanValue&gt;'[1]Smith Barney'!K16,'[1]Smith Barney'!K16,'[1]Smith Barney'!CurrentLoanValue),50000000)</f>
        <v>2896189</v>
      </c>
      <c r="H25" s="69">
        <f t="shared" si="1"/>
        <v>0</v>
      </c>
      <c r="I25" s="69"/>
      <c r="J25" s="69">
        <f>SUMIF('[1]WIRE WORKSHEET'!$B$4:$B$36,A2,'[1]WIRE WORKSHEET'!$BF$4:$BF$36)</f>
        <v>-2293087</v>
      </c>
      <c r="K25" s="69"/>
      <c r="L25" s="68">
        <f t="shared" si="4"/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f>SUMIF([13]Statements!$A$5:$A$1305,$A$3,[13]Statements!$CP$5:$CP$1305)</f>
        <v>400693.49000000022</v>
      </c>
      <c r="C26" s="68"/>
      <c r="D26" s="68">
        <f t="shared" si="0"/>
        <v>400693.49000000022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203601786.95766535</v>
      </c>
      <c r="C28" s="72">
        <f>SUM(C7:C26)</f>
        <v>0</v>
      </c>
      <c r="D28" s="72">
        <f>SUM(D7:D26)</f>
        <v>203601786.95766535</v>
      </c>
      <c r="E28" s="72">
        <f t="shared" ref="E28:L28" si="5">SUM(E7:E26)</f>
        <v>-25624490</v>
      </c>
      <c r="F28" s="72">
        <f t="shared" si="5"/>
        <v>155744176.24000001</v>
      </c>
      <c r="G28" s="72">
        <f t="shared" si="5"/>
        <v>2896189</v>
      </c>
      <c r="H28" s="72">
        <f t="shared" si="5"/>
        <v>152847987.24000001</v>
      </c>
      <c r="I28" s="72"/>
      <c r="J28" s="72">
        <f t="shared" si="5"/>
        <v>-2293087</v>
      </c>
      <c r="K28" s="72"/>
      <c r="L28" s="72">
        <f t="shared" si="5"/>
        <v>19940033.717665352</v>
      </c>
      <c r="M28" s="40"/>
      <c r="N28" s="39">
        <f>SUM(N7:N27)</f>
        <v>302717</v>
      </c>
      <c r="O28" s="39">
        <f>SUM(O7:O27)</f>
        <v>342764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19940033.717665344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2896189</v>
      </c>
      <c r="E36" s="83">
        <f>C36+D36</f>
        <v>2896189</v>
      </c>
      <c r="F36" s="84">
        <f>+B36-E36</f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34" sqref="L3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2001-11-29T17:32:41Z</cp:lastPrinted>
  <dcterms:created xsi:type="dcterms:W3CDTF">2000-04-03T19:03:47Z</dcterms:created>
  <dcterms:modified xsi:type="dcterms:W3CDTF">2023-09-16T22:16:37Z</dcterms:modified>
</cp:coreProperties>
</file>