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FCA507-9FDB-48AC-AF6C-90E1803984B9}" xr6:coauthVersionLast="47" xr6:coauthVersionMax="47" xr10:uidLastSave="{00000000-0000-0000-0000-000000000000}"/>
  <bookViews>
    <workbookView xWindow="-120" yWindow="-120" windowWidth="38640" windowHeight="15720" firstSheet="10" activeTab="23"/>
  </bookViews>
  <sheets>
    <sheet name="Bank Request" sheetId="23" r:id="rId1"/>
    <sheet name="Summary" sheetId="9" r:id="rId2"/>
    <sheet name="Jan 00" sheetId="22" state="hidden" r:id="rId3"/>
    <sheet name="Feb 00" sheetId="21" state="hidden" r:id="rId4"/>
    <sheet name="Mar 00" sheetId="20" state="hidden" r:id="rId5"/>
    <sheet name="Apr 00" sheetId="19" state="hidden" r:id="rId6"/>
    <sheet name="May 00" sheetId="18" state="hidden" r:id="rId7"/>
    <sheet name="Jun 00" sheetId="17" r:id="rId8"/>
    <sheet name="Jul 00" sheetId="16" r:id="rId9"/>
    <sheet name="Aug 00" sheetId="15" r:id="rId10"/>
    <sheet name="Sep 00" sheetId="14" r:id="rId11"/>
    <sheet name="Oct 00" sheetId="13" r:id="rId12"/>
    <sheet name="Nov 00" sheetId="1" r:id="rId13"/>
    <sheet name="Dec 00" sheetId="2" r:id="rId14"/>
    <sheet name="Jan" sheetId="3" r:id="rId15"/>
    <sheet name="Feb" sheetId="6" r:id="rId16"/>
    <sheet name="Mar" sheetId="5" r:id="rId17"/>
    <sheet name="Apr" sheetId="4" r:id="rId18"/>
    <sheet name="May" sheetId="7" r:id="rId19"/>
    <sheet name="June" sheetId="8" r:id="rId20"/>
    <sheet name="Jul" sheetId="12" state="hidden" r:id="rId21"/>
    <sheet name="Aug" sheetId="11" state="hidden" r:id="rId22"/>
    <sheet name="Sep" sheetId="10" state="hidden" r:id="rId23"/>
    <sheet name="Earnings By Month" sheetId="24" r:id="rId24"/>
  </sheets>
  <definedNames>
    <definedName name="_xlnm.Print_Area" localSheetId="17">Apr!$A$1:$W$28</definedName>
    <definedName name="_xlnm.Print_Area" localSheetId="13">'Dec 00'!$A$1:$W$26</definedName>
    <definedName name="_xlnm.Print_Area" localSheetId="23">'Earnings By Month'!$A$1:$AJ$24</definedName>
    <definedName name="_xlnm.Print_Area" localSheetId="15">Feb!$A$1:$V$28</definedName>
    <definedName name="_xlnm.Print_Area" localSheetId="14">Jan!$A$1:$X$28</definedName>
    <definedName name="_xlnm.Print_Area" localSheetId="19">June!$A$1:$X$31</definedName>
    <definedName name="_xlnm.Print_Area" localSheetId="16">Mar!$A$1:$Y$28</definedName>
    <definedName name="_xlnm.Print_Area" localSheetId="18">May!$A$1:$Z$28</definedName>
    <definedName name="_xlnm.Print_Area" localSheetId="12">'Nov 00'!$A$1:$W$24</definedName>
    <definedName name="_xlnm.Print_Area" localSheetId="1">Summary!$A$1:$M$32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4" l="1"/>
  <c r="V11" i="4"/>
  <c r="V12" i="4"/>
  <c r="V13" i="4"/>
  <c r="J14" i="4"/>
  <c r="O14" i="4"/>
  <c r="V14" i="4"/>
  <c r="G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V21" i="4"/>
  <c r="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Y8" i="15"/>
  <c r="Y9" i="15"/>
  <c r="Y10" i="15"/>
  <c r="Y11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Y18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G8" i="23"/>
  <c r="S8" i="23"/>
  <c r="S9" i="23"/>
  <c r="C10" i="23"/>
  <c r="D10" i="23"/>
  <c r="E10" i="23"/>
  <c r="F10" i="23"/>
  <c r="G10" i="23"/>
  <c r="I10" i="23"/>
  <c r="K10" i="23"/>
  <c r="M10" i="23"/>
  <c r="O10" i="23"/>
  <c r="Q10" i="23"/>
  <c r="S10" i="23"/>
  <c r="K15" i="23"/>
  <c r="V8" i="2"/>
  <c r="V9" i="2"/>
  <c r="V10" i="2"/>
  <c r="O11" i="2"/>
  <c r="U11" i="2"/>
  <c r="V11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U18" i="2"/>
  <c r="V18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12" i="24"/>
  <c r="C12" i="24"/>
  <c r="D12" i="24"/>
  <c r="E12" i="24"/>
  <c r="F12" i="24"/>
  <c r="G12" i="24"/>
  <c r="H12" i="24"/>
  <c r="I12" i="24"/>
  <c r="L12" i="24"/>
  <c r="M12" i="24"/>
  <c r="N12" i="24"/>
  <c r="O12" i="24"/>
  <c r="P12" i="24"/>
  <c r="Q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B13" i="24"/>
  <c r="C13" i="24"/>
  <c r="D13" i="24"/>
  <c r="E13" i="24"/>
  <c r="F13" i="24"/>
  <c r="H13" i="24"/>
  <c r="I13" i="24"/>
  <c r="L13" i="24"/>
  <c r="M13" i="24"/>
  <c r="N13" i="24"/>
  <c r="O13" i="24"/>
  <c r="P13" i="24"/>
  <c r="Q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B14" i="24"/>
  <c r="C14" i="24"/>
  <c r="D14" i="24"/>
  <c r="E14" i="24"/>
  <c r="F14" i="24"/>
  <c r="H14" i="24"/>
  <c r="I14" i="24"/>
  <c r="J14" i="24"/>
  <c r="L14" i="24"/>
  <c r="M14" i="24"/>
  <c r="N14" i="24"/>
  <c r="O14" i="24"/>
  <c r="P14" i="24"/>
  <c r="Q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Z15" i="24"/>
  <c r="AA15" i="24"/>
  <c r="AB15" i="24"/>
  <c r="AC15" i="24"/>
  <c r="AD15" i="24"/>
  <c r="AE15" i="24"/>
  <c r="AI15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B17" i="24"/>
  <c r="C17" i="24"/>
  <c r="D17" i="24"/>
  <c r="E17" i="24"/>
  <c r="F17" i="24"/>
  <c r="H17" i="24"/>
  <c r="I17" i="24"/>
  <c r="J17" i="24"/>
  <c r="L17" i="24"/>
  <c r="M17" i="24"/>
  <c r="O17" i="24"/>
  <c r="P17" i="24"/>
  <c r="S17" i="24"/>
  <c r="X17" i="24"/>
  <c r="Y17" i="24"/>
  <c r="Z17" i="24"/>
  <c r="AA17" i="24"/>
  <c r="AB17" i="24"/>
  <c r="AC17" i="24"/>
  <c r="AD17" i="24"/>
  <c r="AE17" i="24"/>
  <c r="AG17" i="24"/>
  <c r="AH17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U10" i="6"/>
  <c r="U11" i="6"/>
  <c r="U12" i="6"/>
  <c r="U13" i="6"/>
  <c r="B14" i="6"/>
  <c r="U14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U21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10" i="3"/>
  <c r="W11" i="3"/>
  <c r="W12" i="3"/>
  <c r="W13" i="3"/>
  <c r="R14" i="3"/>
  <c r="W14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W21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W8" i="16"/>
  <c r="W9" i="16"/>
  <c r="W10" i="16"/>
  <c r="W11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W18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8" i="17"/>
  <c r="X9" i="17"/>
  <c r="X10" i="17"/>
  <c r="X11" i="17"/>
  <c r="X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X18" i="17"/>
  <c r="W19" i="17"/>
  <c r="X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W12" i="8"/>
  <c r="W13" i="8"/>
  <c r="H14" i="8"/>
  <c r="V14" i="8"/>
  <c r="W14" i="8"/>
  <c r="W15" i="8"/>
  <c r="B16" i="8"/>
  <c r="G16" i="8"/>
  <c r="L16" i="8"/>
  <c r="O16" i="8"/>
  <c r="S16" i="8"/>
  <c r="W16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V24" i="8"/>
  <c r="W24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10" i="5"/>
  <c r="X11" i="5"/>
  <c r="X12" i="5"/>
  <c r="X13" i="5"/>
  <c r="D14" i="5"/>
  <c r="F14" i="5"/>
  <c r="G14" i="5"/>
  <c r="H14" i="5"/>
  <c r="S14" i="5"/>
  <c r="U14" i="5"/>
  <c r="V14" i="5"/>
  <c r="W14" i="5"/>
  <c r="X14" i="5"/>
  <c r="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W21" i="5"/>
  <c r="X21" i="5"/>
  <c r="W22" i="5"/>
  <c r="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10" i="7"/>
  <c r="Y11" i="7"/>
  <c r="E12" i="7"/>
  <c r="J12" i="7"/>
  <c r="Y12" i="7"/>
  <c r="Y13" i="7"/>
  <c r="D14" i="7"/>
  <c r="Y14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Y21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V8" i="1"/>
  <c r="V9" i="1"/>
  <c r="V10" i="1"/>
  <c r="V11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8" i="13"/>
  <c r="X9" i="13"/>
  <c r="X10" i="13"/>
  <c r="X11" i="13"/>
  <c r="X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X18" i="13"/>
  <c r="X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W8" i="14"/>
  <c r="W9" i="14"/>
  <c r="W10" i="14"/>
  <c r="W11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W18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G8" i="9"/>
  <c r="I8" i="9"/>
  <c r="K8" i="9"/>
  <c r="M8" i="9"/>
  <c r="G9" i="9"/>
  <c r="I9" i="9"/>
  <c r="K9" i="9"/>
  <c r="M9" i="9"/>
  <c r="G10" i="9"/>
  <c r="I10" i="9"/>
  <c r="K10" i="9"/>
  <c r="M10" i="9"/>
  <c r="I11" i="9"/>
  <c r="K11" i="9"/>
  <c r="M11" i="9"/>
  <c r="G12" i="9"/>
  <c r="I12" i="9"/>
  <c r="K12" i="9"/>
  <c r="M12" i="9"/>
  <c r="G13" i="9"/>
  <c r="I13" i="9"/>
  <c r="K13" i="9"/>
  <c r="M13" i="9"/>
  <c r="C14" i="9"/>
  <c r="E14" i="9"/>
  <c r="G14" i="9"/>
  <c r="I14" i="9"/>
  <c r="K14" i="9"/>
  <c r="M14" i="9"/>
  <c r="C19" i="9"/>
  <c r="E19" i="9"/>
  <c r="G19" i="9"/>
  <c r="I19" i="9"/>
  <c r="K19" i="9"/>
  <c r="M19" i="9"/>
  <c r="C20" i="9"/>
  <c r="E20" i="9"/>
  <c r="G20" i="9"/>
  <c r="I20" i="9"/>
  <c r="K20" i="9"/>
  <c r="M20" i="9"/>
  <c r="C21" i="9"/>
  <c r="E21" i="9"/>
  <c r="G21" i="9"/>
  <c r="I21" i="9"/>
  <c r="K21" i="9"/>
  <c r="M21" i="9"/>
  <c r="C23" i="9"/>
  <c r="E23" i="9"/>
  <c r="G23" i="9"/>
  <c r="I23" i="9"/>
  <c r="K23" i="9"/>
  <c r="M23" i="9"/>
  <c r="G29" i="9"/>
</calcChain>
</file>

<file path=xl/comments1.xml><?xml version="1.0" encoding="utf-8"?>
<comments xmlns="http://schemas.openxmlformats.org/spreadsheetml/2006/main">
  <authors>
    <author>thardy</author>
  </authors>
  <commentList>
    <comment ref="W19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56 is TVA General Prudency from Schedule D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U18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23.4 is COF from Schedule D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W2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12.8 is COF Schedule D 
7.3 is Alamac from Schedule D</t>
        </r>
      </text>
    </comment>
    <comment ref="W2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Alberta PPA from Schedule D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V24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7.9 Bammel Accrual on schedule D
(23.8) COF Release from Schedule D</t>
        </r>
      </text>
    </comment>
    <comment ref="V25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(87.5) Alberta PPA adjustment from Schedule D.   Includes a 1 time adjustment for currency exchange since 1Q.</t>
        </r>
      </text>
    </comment>
  </commentList>
</comments>
</file>

<file path=xl/sharedStrings.xml><?xml version="1.0" encoding="utf-8"?>
<sst xmlns="http://schemas.openxmlformats.org/spreadsheetml/2006/main" count="293" uniqueCount="68">
  <si>
    <t>1Q 2001</t>
  </si>
  <si>
    <t>in Millions of $</t>
  </si>
  <si>
    <t>Nov</t>
  </si>
  <si>
    <t>Dec</t>
  </si>
  <si>
    <t>Total</t>
  </si>
  <si>
    <t>Trading Margin</t>
  </si>
  <si>
    <t xml:space="preserve">   Gas Trading</t>
  </si>
  <si>
    <t xml:space="preserve">   Power Trading</t>
  </si>
  <si>
    <t>Total Power &amp; Gas Trading Margin</t>
  </si>
  <si>
    <t>Schedule C</t>
  </si>
  <si>
    <t xml:space="preserve">   Gas</t>
  </si>
  <si>
    <t xml:space="preserve">   Power</t>
  </si>
  <si>
    <t xml:space="preserve"> Schedule C</t>
  </si>
  <si>
    <t>Total Daily Power &amp; Gas Trading Margin</t>
  </si>
  <si>
    <t>November 2000</t>
  </si>
  <si>
    <t>December 2000</t>
  </si>
  <si>
    <t>Jan</t>
  </si>
  <si>
    <t>January 2001</t>
  </si>
  <si>
    <t>February 2001</t>
  </si>
  <si>
    <t>March 2001</t>
  </si>
  <si>
    <t>Mar</t>
  </si>
  <si>
    <t>April 2001</t>
  </si>
  <si>
    <t>Apr</t>
  </si>
  <si>
    <t>May 2001</t>
  </si>
  <si>
    <t>May</t>
  </si>
  <si>
    <t>June 2001</t>
  </si>
  <si>
    <t>Jun</t>
  </si>
  <si>
    <t>Feb</t>
  </si>
  <si>
    <t>2Q 2001</t>
  </si>
  <si>
    <t>Schedule C*</t>
  </si>
  <si>
    <t>*Schedule D items not included:</t>
  </si>
  <si>
    <t xml:space="preserve">  Other(COF Rediscounting)</t>
  </si>
  <si>
    <t xml:space="preserve">  Alberta PPA</t>
  </si>
  <si>
    <t xml:space="preserve"> </t>
  </si>
  <si>
    <t xml:space="preserve">    Gas Trading</t>
  </si>
  <si>
    <t xml:space="preserve">   Other Trading</t>
  </si>
  <si>
    <t xml:space="preserve">   MPR</t>
  </si>
  <si>
    <t>Margin</t>
  </si>
  <si>
    <t>Total Margin</t>
  </si>
  <si>
    <t>Total Daily Margin</t>
  </si>
  <si>
    <t xml:space="preserve">  Power Trading</t>
  </si>
  <si>
    <t xml:space="preserve">  Other Trading</t>
  </si>
  <si>
    <t xml:space="preserve">  MPR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</si>
  <si>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</si>
  <si>
    <t xml:space="preserve">   Peakers</t>
  </si>
  <si>
    <t xml:space="preserve">  Peakers</t>
  </si>
  <si>
    <t xml:space="preserve">  Originations/Office of the Chair/Other</t>
  </si>
  <si>
    <t xml:space="preserve">   Originations/Office of the Chair/Other</t>
  </si>
  <si>
    <t>October 2000</t>
  </si>
  <si>
    <t>Oct</t>
  </si>
  <si>
    <t>September 2000</t>
  </si>
  <si>
    <t>August 2000</t>
  </si>
  <si>
    <t>Sep</t>
  </si>
  <si>
    <t>July 2000</t>
  </si>
  <si>
    <t>Jul</t>
  </si>
  <si>
    <t>Aug</t>
  </si>
  <si>
    <t>4Q 2000</t>
  </si>
  <si>
    <t>June 2000</t>
  </si>
  <si>
    <t>2Q 2000</t>
  </si>
  <si>
    <t>3Q 2000</t>
  </si>
  <si>
    <t>2Q2000 - 2Q2001</t>
  </si>
  <si>
    <t>3Q 2001</t>
  </si>
  <si>
    <t>Specific Reserves</t>
  </si>
  <si>
    <t>1Q 2000</t>
  </si>
  <si>
    <t>As of 12/31/1999</t>
  </si>
  <si>
    <t>12/31/99 - 3Q2001</t>
  </si>
  <si>
    <t>1999-2001 Margin From DPR</t>
  </si>
  <si>
    <t>Numbers from 01/99-10/2000 are off the DPR.  From 11/2000 forward, the numbers are off the Management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</si>
</sst>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  <numFmt numFmtId="167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0" fillId="0" borderId="4" xfId="0" applyBorder="1" applyAlignment="1"/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164" fontId="8" fillId="0" borderId="0" xfId="2" applyNumberFormat="1" applyFont="1" applyFill="1" applyAlignment="1"/>
    <xf numFmtId="164" fontId="8" fillId="0" borderId="4" xfId="2" applyNumberFormat="1" applyFont="1" applyFill="1" applyBorder="1" applyAlignment="1"/>
    <xf numFmtId="0" fontId="8" fillId="0" borderId="0" xfId="0" applyFont="1"/>
    <xf numFmtId="166" fontId="8" fillId="0" borderId="0" xfId="1" applyNumberFormat="1" applyFont="1" applyAlignment="1"/>
    <xf numFmtId="166" fontId="8" fillId="0" borderId="2" xfId="1" applyNumberFormat="1" applyFont="1" applyBorder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5" xfId="1" applyNumberFormat="1" applyFont="1" applyBorder="1" applyAlignment="1"/>
    <xf numFmtId="164" fontId="7" fillId="0" borderId="6" xfId="1" applyNumberFormat="1" applyFont="1" applyBorder="1" applyAlignment="1"/>
    <xf numFmtId="164" fontId="7" fillId="0" borderId="0" xfId="1" applyNumberFormat="1" applyFont="1" applyBorder="1" applyAlignment="1"/>
    <xf numFmtId="164" fontId="7" fillId="0" borderId="4" xfId="1" applyNumberFormat="1" applyFont="1" applyBorder="1" applyAlignment="1"/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164" fontId="8" fillId="0" borderId="0" xfId="1" applyNumberFormat="1" applyFont="1" applyAlignment="1"/>
    <xf numFmtId="164" fontId="8" fillId="0" borderId="4" xfId="1" applyNumberFormat="1" applyFont="1" applyBorder="1" applyAlignment="1"/>
    <xf numFmtId="164" fontId="8" fillId="0" borderId="0" xfId="1" applyNumberFormat="1" applyFont="1" applyBorder="1" applyAlignment="1"/>
    <xf numFmtId="167" fontId="8" fillId="0" borderId="2" xfId="1" applyNumberFormat="1" applyFont="1" applyBorder="1" applyAlignment="1"/>
    <xf numFmtId="167" fontId="8" fillId="0" borderId="3" xfId="1" applyNumberFormat="1" applyFont="1" applyBorder="1" applyAlignment="1"/>
    <xf numFmtId="167" fontId="8" fillId="0" borderId="0" xfId="1" applyNumberFormat="1" applyFont="1" applyBorder="1" applyAlignment="1"/>
    <xf numFmtId="0" fontId="0" fillId="0" borderId="4" xfId="0" applyBorder="1"/>
    <xf numFmtId="164" fontId="9" fillId="0" borderId="4" xfId="0" applyNumberFormat="1" applyFont="1" applyBorder="1"/>
    <xf numFmtId="164" fontId="9" fillId="0" borderId="0" xfId="0" applyNumberFormat="1" applyFont="1" applyBorder="1"/>
    <xf numFmtId="0" fontId="0" fillId="0" borderId="7" xfId="0" applyBorder="1"/>
    <xf numFmtId="164" fontId="9" fillId="0" borderId="7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0" xfId="1" applyNumberFormat="1" applyFont="1" applyFill="1" applyAlignment="1"/>
    <xf numFmtId="166" fontId="8" fillId="0" borderId="4" xfId="1" applyNumberFormat="1" applyFont="1" applyBorder="1"/>
    <xf numFmtId="167" fontId="7" fillId="0" borderId="0" xfId="1" applyNumberFormat="1" applyFont="1" applyAlignment="1"/>
    <xf numFmtId="0" fontId="8" fillId="0" borderId="4" xfId="0" applyFont="1" applyBorder="1"/>
    <xf numFmtId="167" fontId="7" fillId="0" borderId="0" xfId="1" applyNumberFormat="1" applyFont="1" applyFill="1" applyBorder="1" applyAlignment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17" fontId="5" fillId="0" borderId="0" xfId="0" quotePrefix="1" applyNumberFormat="1" applyFont="1"/>
    <xf numFmtId="0" fontId="5" fillId="0" borderId="0" xfId="0" quotePrefix="1" applyFont="1"/>
    <xf numFmtId="0" fontId="9" fillId="0" borderId="0" xfId="0" applyFont="1"/>
    <xf numFmtId="164" fontId="0" fillId="0" borderId="4" xfId="0" applyNumberFormat="1" applyBorder="1"/>
    <xf numFmtId="167" fontId="0" fillId="0" borderId="4" xfId="0" applyNumberFormat="1" applyBorder="1"/>
    <xf numFmtId="165" fontId="7" fillId="0" borderId="4" xfId="0" applyNumberFormat="1" applyFont="1" applyBorder="1" applyAlignment="1">
      <alignment horizontal="center"/>
    </xf>
    <xf numFmtId="166" fontId="8" fillId="0" borderId="3" xfId="1" applyNumberFormat="1" applyFont="1" applyBorder="1"/>
    <xf numFmtId="0" fontId="7" fillId="0" borderId="1" xfId="0" applyFont="1" applyBorder="1" applyAlignment="1">
      <alignment horizontal="center"/>
    </xf>
    <xf numFmtId="166" fontId="0" fillId="0" borderId="0" xfId="1" applyNumberFormat="1" applyFont="1"/>
    <xf numFmtId="0" fontId="10" fillId="0" borderId="0" xfId="0" applyFont="1"/>
    <xf numFmtId="0" fontId="10" fillId="0" borderId="5" xfId="0" applyFont="1" applyBorder="1"/>
    <xf numFmtId="166" fontId="8" fillId="0" borderId="0" xfId="1" applyNumberFormat="1" applyFont="1" applyBorder="1" applyAlignment="1"/>
    <xf numFmtId="166" fontId="8" fillId="0" borderId="4" xfId="1" applyNumberFormat="1" applyFont="1" applyFill="1" applyBorder="1" applyAlignment="1"/>
    <xf numFmtId="166" fontId="8" fillId="0" borderId="4" xfId="1" applyNumberFormat="1" applyFont="1" applyBorder="1" applyAlignment="1"/>
    <xf numFmtId="166" fontId="8" fillId="0" borderId="0" xfId="1" applyNumberFormat="1" applyFont="1" applyAlignment="1">
      <alignment horizontal="left"/>
    </xf>
    <xf numFmtId="166" fontId="8" fillId="0" borderId="0" xfId="1" applyNumberFormat="1" applyFont="1" applyFill="1" applyBorder="1" applyAlignment="1"/>
    <xf numFmtId="166" fontId="0" fillId="0" borderId="4" xfId="1" applyNumberFormat="1" applyFont="1" applyBorder="1"/>
    <xf numFmtId="43" fontId="0" fillId="0" borderId="0" xfId="0" applyNumberFormat="1"/>
    <xf numFmtId="17" fontId="5" fillId="0" borderId="0" xfId="0" applyNumberFormat="1" applyFont="1"/>
    <xf numFmtId="0" fontId="13" fillId="0" borderId="0" xfId="0" applyFont="1"/>
    <xf numFmtId="0" fontId="0" fillId="0" borderId="0" xfId="0" applyFill="1"/>
    <xf numFmtId="164" fontId="14" fillId="2" borderId="8" xfId="1" applyNumberFormat="1" applyFont="1" applyFill="1" applyBorder="1" applyAlignment="1"/>
    <xf numFmtId="0" fontId="14" fillId="2" borderId="9" xfId="0" applyFont="1" applyFill="1" applyBorder="1" applyAlignment="1">
      <alignment horizontal="left"/>
    </xf>
    <xf numFmtId="164" fontId="14" fillId="2" borderId="9" xfId="1" applyNumberFormat="1" applyFont="1" applyFill="1" applyBorder="1" applyAlignment="1"/>
    <xf numFmtId="0" fontId="13" fillId="2" borderId="9" xfId="0" applyFont="1" applyFill="1" applyBorder="1"/>
    <xf numFmtId="164" fontId="14" fillId="2" borderId="10" xfId="1" applyNumberFormat="1" applyFont="1" applyFill="1" applyBorder="1" applyAlignment="1"/>
    <xf numFmtId="43" fontId="8" fillId="0" borderId="0" xfId="1" applyFont="1" applyAlignment="1"/>
    <xf numFmtId="17" fontId="7" fillId="0" borderId="2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5" fillId="0" borderId="0" xfId="0" applyFont="1"/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7" sqref="A7"/>
    </sheetView>
  </sheetViews>
  <sheetFormatPr defaultRowHeight="12.75" x14ac:dyDescent="0.2"/>
  <cols>
    <col min="1" max="1" width="47" bestFit="1" customWidth="1"/>
    <col min="2" max="2" width="2.85546875" customWidth="1"/>
    <col min="3" max="3" width="17" bestFit="1" customWidth="1"/>
    <col min="4" max="4" width="2.85546875" customWidth="1"/>
    <col min="5" max="5" width="16.28515625" customWidth="1"/>
    <col min="6" max="6" width="2.85546875" customWidth="1"/>
    <col min="7" max="7" width="16.28515625" customWidth="1"/>
    <col min="8" max="8" width="2.85546875" customWidth="1"/>
    <col min="9" max="9" width="16.28515625" customWidth="1"/>
    <col min="10" max="10" width="2.85546875" customWidth="1"/>
    <col min="11" max="11" width="16.28515625" bestFit="1" customWidth="1"/>
    <col min="12" max="12" width="2.7109375" customWidth="1"/>
    <col min="13" max="13" width="16.28515625" bestFit="1" customWidth="1"/>
    <col min="14" max="14" width="2.7109375" customWidth="1"/>
    <col min="15" max="15" width="16.28515625" bestFit="1" customWidth="1"/>
    <col min="16" max="16" width="2.85546875" customWidth="1"/>
    <col min="17" max="17" width="16.28515625" customWidth="1"/>
    <col min="18" max="18" width="2.85546875" customWidth="1"/>
    <col min="19" max="19" width="10.42578125" bestFit="1" customWidth="1"/>
  </cols>
  <sheetData>
    <row r="1" spans="1:19" ht="27.75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19" ht="15.75" x14ac:dyDescent="0.25">
      <c r="A2" s="74" t="s">
        <v>65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x14ac:dyDescent="0.2">
      <c r="A3" t="s">
        <v>1</v>
      </c>
    </row>
    <row r="4" spans="1:19" ht="13.5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9" ht="15" x14ac:dyDescent="0.25">
      <c r="C5" s="13" t="s">
        <v>64</v>
      </c>
      <c r="E5" s="13" t="s">
        <v>63</v>
      </c>
      <c r="G5" s="13" t="s">
        <v>58</v>
      </c>
      <c r="I5" s="13" t="s">
        <v>59</v>
      </c>
      <c r="K5" s="13" t="s">
        <v>56</v>
      </c>
      <c r="M5" s="13" t="s">
        <v>0</v>
      </c>
      <c r="O5" s="13" t="s">
        <v>28</v>
      </c>
      <c r="Q5" s="13" t="s">
        <v>61</v>
      </c>
      <c r="S5" s="13" t="s">
        <v>4</v>
      </c>
    </row>
    <row r="6" spans="1:19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9" ht="15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O7" s="28"/>
      <c r="S7" s="28"/>
    </row>
    <row r="8" spans="1:19" ht="14.25" x14ac:dyDescent="0.2">
      <c r="A8" s="21" t="s">
        <v>9</v>
      </c>
      <c r="B8" s="21"/>
      <c r="C8" s="35">
        <v>50.7</v>
      </c>
      <c r="D8" s="21"/>
      <c r="E8" s="35">
        <v>-50.5</v>
      </c>
      <c r="F8" s="21"/>
      <c r="G8" s="35">
        <f>114.5-0.2</f>
        <v>114.3</v>
      </c>
      <c r="H8" s="21"/>
      <c r="I8" s="35">
        <v>248.9</v>
      </c>
      <c r="J8" s="21"/>
      <c r="K8" s="35">
        <v>509.6</v>
      </c>
      <c r="M8" s="35">
        <v>481.2</v>
      </c>
      <c r="O8" s="35">
        <v>-1</v>
      </c>
      <c r="Q8" s="35">
        <v>-395.2</v>
      </c>
      <c r="S8" s="35">
        <f>SUM(C8:Q8)</f>
        <v>958</v>
      </c>
    </row>
    <row r="9" spans="1:19" ht="14.25" x14ac:dyDescent="0.2">
      <c r="A9" s="19" t="s">
        <v>62</v>
      </c>
      <c r="B9" s="19"/>
      <c r="C9" s="40">
        <v>28.8</v>
      </c>
      <c r="D9" s="19"/>
      <c r="E9" s="40">
        <v>-8.9</v>
      </c>
      <c r="F9" s="19"/>
      <c r="G9" s="40">
        <v>-0.8</v>
      </c>
      <c r="H9" s="19"/>
      <c r="I9" s="40">
        <v>7</v>
      </c>
      <c r="J9" s="19"/>
      <c r="K9" s="40">
        <v>71.8</v>
      </c>
      <c r="M9" s="40">
        <v>0.6</v>
      </c>
      <c r="O9" s="40">
        <v>2.6</v>
      </c>
      <c r="Q9" s="40">
        <v>113.1</v>
      </c>
      <c r="S9" s="82">
        <f>SUM(C9:Q9)</f>
        <v>214.2</v>
      </c>
    </row>
    <row r="10" spans="1:19" ht="15" x14ac:dyDescent="0.25">
      <c r="A10" s="34" t="s">
        <v>4</v>
      </c>
      <c r="B10" s="34"/>
      <c r="C10" s="77">
        <f>SUM(C8:C9)</f>
        <v>79.5</v>
      </c>
      <c r="D10" s="79">
        <f>SUM(D8:D9)</f>
        <v>0</v>
      </c>
      <c r="E10" s="79">
        <f>SUM(E8:E9)</f>
        <v>-59.4</v>
      </c>
      <c r="F10" s="79">
        <f>SUM(F8:F9)</f>
        <v>0</v>
      </c>
      <c r="G10" s="79">
        <f>SUM(G8:G9)</f>
        <v>113.5</v>
      </c>
      <c r="H10" s="78"/>
      <c r="I10" s="79">
        <f>SUM(I8:I9)</f>
        <v>255.9</v>
      </c>
      <c r="J10" s="78"/>
      <c r="K10" s="79">
        <f>SUM(K8:K9)</f>
        <v>581.4</v>
      </c>
      <c r="L10" s="80"/>
      <c r="M10" s="79">
        <f>SUM(M8:M9)</f>
        <v>481.8</v>
      </c>
      <c r="N10" s="80"/>
      <c r="O10" s="79">
        <f>SUM(O8:O9)</f>
        <v>1.6</v>
      </c>
      <c r="P10" s="80"/>
      <c r="Q10" s="79">
        <f>SUM(Q8:Q9)</f>
        <v>-282.10000000000002</v>
      </c>
      <c r="R10" s="80"/>
      <c r="S10" s="81">
        <f>SUM(S8:S9)</f>
        <v>1172.2</v>
      </c>
    </row>
    <row r="12" spans="1:19" hidden="1" x14ac:dyDescent="0.2">
      <c r="A12" s="65" t="s">
        <v>30</v>
      </c>
      <c r="B12" s="65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9" hidden="1" x14ac:dyDescent="0.2">
      <c r="A13" s="65" t="s">
        <v>32</v>
      </c>
      <c r="B13" s="65"/>
      <c r="C13" s="65"/>
      <c r="D13" s="65"/>
      <c r="E13" s="65"/>
      <c r="F13" s="65"/>
      <c r="G13" s="65"/>
      <c r="H13" s="65"/>
      <c r="I13" s="65"/>
      <c r="J13" s="65"/>
      <c r="K13" s="65">
        <v>197.7</v>
      </c>
      <c r="L13" s="65"/>
      <c r="M13" s="65"/>
    </row>
    <row r="14" spans="1:19" hidden="1" x14ac:dyDescent="0.2">
      <c r="A14" s="65" t="s">
        <v>31</v>
      </c>
      <c r="B14" s="65"/>
      <c r="C14" s="65"/>
      <c r="D14" s="65"/>
      <c r="E14" s="65"/>
      <c r="F14" s="65"/>
      <c r="G14" s="65"/>
      <c r="H14" s="65"/>
      <c r="I14" s="65"/>
      <c r="J14" s="65"/>
      <c r="K14" s="65">
        <v>83.6</v>
      </c>
      <c r="L14" s="65"/>
      <c r="M14" s="65"/>
    </row>
    <row r="15" spans="1:19" hidden="1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>
        <f>SUM(K13:K14)</f>
        <v>281.29999999999995</v>
      </c>
      <c r="L15" s="65"/>
      <c r="M15" s="65"/>
    </row>
    <row r="16" spans="1:19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opLeftCell="L1" workbookViewId="0">
      <selection activeCell="A18" sqref="A18"/>
    </sheetView>
  </sheetViews>
  <sheetFormatPr defaultRowHeight="12.75" x14ac:dyDescent="0.2"/>
  <cols>
    <col min="1" max="1" width="47" bestFit="1" customWidth="1"/>
  </cols>
  <sheetData>
    <row r="1" spans="1:45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AO1" s="87"/>
      <c r="AP1" s="87"/>
      <c r="AQ1" s="87"/>
      <c r="AR1" s="87"/>
      <c r="AS1" s="87"/>
    </row>
    <row r="2" spans="1:45" s="6" customFormat="1" ht="15.75" customHeight="1" x14ac:dyDescent="0.25">
      <c r="A2" s="56" t="s">
        <v>51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K2" s="7"/>
    </row>
    <row r="3" spans="1:45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45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Y4" s="8" t="s">
        <v>55</v>
      </c>
    </row>
    <row r="5" spans="1:45" s="6" customFormat="1" ht="15" customHeight="1" x14ac:dyDescent="0.25">
      <c r="A5"/>
      <c r="B5" s="13">
        <v>37104</v>
      </c>
      <c r="C5" s="13">
        <v>37105</v>
      </c>
      <c r="D5" s="13">
        <v>37106</v>
      </c>
      <c r="E5" s="13">
        <v>37107</v>
      </c>
      <c r="F5" s="13">
        <v>37110</v>
      </c>
      <c r="G5" s="13">
        <v>37111</v>
      </c>
      <c r="H5" s="13">
        <v>37112</v>
      </c>
      <c r="I5" s="13">
        <v>37113</v>
      </c>
      <c r="J5" s="13">
        <v>37114</v>
      </c>
      <c r="K5" s="13">
        <v>37117</v>
      </c>
      <c r="L5" s="13">
        <v>37118</v>
      </c>
      <c r="M5" s="13">
        <v>37119</v>
      </c>
      <c r="N5" s="13">
        <v>37120</v>
      </c>
      <c r="O5" s="13">
        <v>37121</v>
      </c>
      <c r="P5" s="13">
        <v>37124</v>
      </c>
      <c r="Q5" s="13">
        <v>37125</v>
      </c>
      <c r="R5" s="13">
        <v>37126</v>
      </c>
      <c r="S5" s="13">
        <v>37127</v>
      </c>
      <c r="T5" s="13">
        <v>37128</v>
      </c>
      <c r="U5" s="13">
        <v>37131</v>
      </c>
      <c r="V5" s="13">
        <v>37132</v>
      </c>
      <c r="W5" s="13">
        <v>37133</v>
      </c>
      <c r="X5" s="13">
        <v>37134</v>
      </c>
      <c r="Y5" s="14" t="s">
        <v>4</v>
      </c>
    </row>
    <row r="6" spans="1:4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spans="1:45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45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3">
        <f>SUM(B8:X8)</f>
        <v>0</v>
      </c>
    </row>
    <row r="9" spans="1:45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8">
        <f>SUM(B9:X9)</f>
        <v>0</v>
      </c>
    </row>
    <row r="10" spans="1:45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8">
        <f>SUM(B10:X10)</f>
        <v>0</v>
      </c>
    </row>
    <row r="11" spans="1:45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8">
        <f>SUM(B11:X11)</f>
        <v>0</v>
      </c>
    </row>
    <row r="12" spans="1:45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68">
        <f>SUM(B12:X12)</f>
        <v>0</v>
      </c>
    </row>
    <row r="13" spans="1:45" s="24" customFormat="1" ht="15" x14ac:dyDescent="0.25">
      <c r="A13" s="28" t="s">
        <v>38</v>
      </c>
      <c r="B13" s="29">
        <f>SUM(B8:B12)</f>
        <v>0</v>
      </c>
      <c r="C13" s="29">
        <f t="shared" ref="C13:X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>SUM(V8:V12)</f>
        <v>0</v>
      </c>
      <c r="W13" s="29">
        <f>SUM(W8:W12)</f>
        <v>0</v>
      </c>
      <c r="X13" s="29">
        <f t="shared" si="0"/>
        <v>0</v>
      </c>
      <c r="Y13" s="30">
        <f>SUM(Y8:Y12)</f>
        <v>0</v>
      </c>
      <c r="Z13" s="46"/>
    </row>
    <row r="14" spans="1:45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45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45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3"/>
    </row>
    <row r="17" spans="1:25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</row>
    <row r="18" spans="1:25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f>SUM(B18:X18)</f>
        <v>0</v>
      </c>
    </row>
    <row r="19" spans="1:25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9">
        <f>SUM(B19:X19)</f>
        <v>0</v>
      </c>
    </row>
    <row r="20" spans="1:25" s="24" customFormat="1" ht="15" x14ac:dyDescent="0.25">
      <c r="A20" s="34" t="s">
        <v>12</v>
      </c>
      <c r="B20" s="29">
        <f>SUM(B18:B19)</f>
        <v>0</v>
      </c>
      <c r="C20" s="29">
        <f t="shared" ref="C20:X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>SUM(V18:V19)</f>
        <v>0</v>
      </c>
      <c r="W20" s="29">
        <f>SUM(W18:W19)</f>
        <v>0</v>
      </c>
      <c r="X20" s="29">
        <f t="shared" si="1"/>
        <v>0</v>
      </c>
      <c r="Y20" s="30">
        <f>SUM(Y18:Y19)</f>
        <v>0</v>
      </c>
    </row>
    <row r="21" spans="1:25" x14ac:dyDescent="0.2">
      <c r="Y21" s="41"/>
    </row>
    <row r="22" spans="1:25" ht="15" x14ac:dyDescent="0.25">
      <c r="A22" s="28" t="s">
        <v>39</v>
      </c>
      <c r="B22" s="10">
        <f>B13+B20</f>
        <v>0</v>
      </c>
      <c r="C22" s="10">
        <f t="shared" ref="C22:X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42">
        <f>Y13+Y20</f>
        <v>0</v>
      </c>
    </row>
    <row r="23" spans="1:25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Y23" s="44"/>
    </row>
    <row r="24" spans="1:25" ht="13.5" thickTop="1" x14ac:dyDescent="0.2"/>
  </sheetData>
  <mergeCells count="1">
    <mergeCell ref="AO1:AS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activeCell="V19" sqref="V19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52</v>
      </c>
    </row>
    <row r="5" spans="1:43" s="6" customFormat="1" ht="15" customHeight="1" x14ac:dyDescent="0.25">
      <c r="A5"/>
      <c r="B5" s="13">
        <v>37135</v>
      </c>
      <c r="C5" s="13">
        <v>37138</v>
      </c>
      <c r="D5" s="13">
        <v>37139</v>
      </c>
      <c r="E5" s="13">
        <v>37140</v>
      </c>
      <c r="F5" s="13">
        <v>37141</v>
      </c>
      <c r="G5" s="13">
        <v>37142</v>
      </c>
      <c r="H5" s="13">
        <v>37145</v>
      </c>
      <c r="I5" s="13">
        <v>37146</v>
      </c>
      <c r="J5" s="13">
        <v>37147</v>
      </c>
      <c r="K5" s="13">
        <v>37148</v>
      </c>
      <c r="L5" s="13">
        <v>37149</v>
      </c>
      <c r="M5" s="13">
        <v>37152</v>
      </c>
      <c r="N5" s="13">
        <v>37153</v>
      </c>
      <c r="O5" s="13">
        <v>37154</v>
      </c>
      <c r="P5" s="13">
        <v>37155</v>
      </c>
      <c r="Q5" s="13">
        <v>37156</v>
      </c>
      <c r="R5" s="13">
        <v>37159</v>
      </c>
      <c r="S5" s="13">
        <v>37160</v>
      </c>
      <c r="T5" s="13">
        <v>37161</v>
      </c>
      <c r="U5" s="13">
        <v>37162</v>
      </c>
      <c r="V5" s="13">
        <v>37163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30.8</v>
      </c>
      <c r="W18" s="36">
        <f>SUM(B18:V18)</f>
        <v>30.8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218.1</v>
      </c>
      <c r="W19" s="39">
        <f>SUM(B19:V19)</f>
        <v>218.1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248.9</v>
      </c>
      <c r="W20" s="30">
        <f>SUM(W18:W19)</f>
        <v>248.9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248.9</v>
      </c>
      <c r="W22" s="42">
        <f>W13+W20</f>
        <v>248.9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L1"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49</v>
      </c>
    </row>
    <row r="5" spans="1:44" s="6" customFormat="1" ht="15" customHeight="1" x14ac:dyDescent="0.25">
      <c r="A5"/>
      <c r="B5" s="13">
        <v>37166</v>
      </c>
      <c r="C5" s="13">
        <v>37167</v>
      </c>
      <c r="D5" s="13">
        <v>37168</v>
      </c>
      <c r="E5" s="13">
        <v>37169</v>
      </c>
      <c r="F5" s="13">
        <v>37170</v>
      </c>
      <c r="G5" s="13">
        <v>37173</v>
      </c>
      <c r="H5" s="13">
        <v>37174</v>
      </c>
      <c r="I5" s="13">
        <v>37175</v>
      </c>
      <c r="J5" s="13">
        <v>37176</v>
      </c>
      <c r="K5" s="13">
        <v>37177</v>
      </c>
      <c r="L5" s="13">
        <v>37180</v>
      </c>
      <c r="M5" s="13">
        <v>37181</v>
      </c>
      <c r="N5" s="13">
        <v>37182</v>
      </c>
      <c r="O5" s="13">
        <v>37183</v>
      </c>
      <c r="P5" s="13">
        <v>37184</v>
      </c>
      <c r="Q5" s="13">
        <v>37187</v>
      </c>
      <c r="R5" s="13">
        <v>37188</v>
      </c>
      <c r="S5" s="13">
        <v>37189</v>
      </c>
      <c r="T5" s="13">
        <v>37190</v>
      </c>
      <c r="U5" s="13">
        <v>37191</v>
      </c>
      <c r="V5" s="13">
        <v>37194</v>
      </c>
      <c r="W5" s="13">
        <v>37195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>SUM(U8:U12)</f>
        <v>0</v>
      </c>
      <c r="V13" s="29">
        <f>SUM(V8:V12)</f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-2.2999999999999998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1.4</v>
      </c>
      <c r="X18" s="36">
        <f>SUM(B18:W18)</f>
        <v>-0.89999999999999991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3.4</v>
      </c>
      <c r="X19" s="39">
        <f>SUM(B19:W19)</f>
        <v>3.4</v>
      </c>
    </row>
    <row r="20" spans="1:24" s="24" customFormat="1" ht="15" x14ac:dyDescent="0.25">
      <c r="A20" s="34" t="s">
        <v>12</v>
      </c>
      <c r="B20" s="29">
        <f>SUM(B18:B19)</f>
        <v>-2.2999999999999998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>SUM(U18:U19)</f>
        <v>0</v>
      </c>
      <c r="V20" s="29">
        <f>SUM(V18:V19)</f>
        <v>0</v>
      </c>
      <c r="W20" s="29">
        <f t="shared" si="1"/>
        <v>4.8</v>
      </c>
      <c r="X20" s="30">
        <f>SUM(X18:X19)</f>
        <v>2.5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-2.2999999999999998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4.8</v>
      </c>
      <c r="X22" s="42">
        <f>X13+X20</f>
        <v>2.5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workbookViewId="0">
      <pane xSplit="1" topLeftCell="V1" activePane="topRight" state="frozen"/>
      <selection pane="topRight" sqref="A1:IV65536"/>
    </sheetView>
  </sheetViews>
  <sheetFormatPr defaultRowHeight="12.75" x14ac:dyDescent="0.2"/>
  <cols>
    <col min="1" max="1" width="47" bestFit="1" customWidth="1"/>
  </cols>
  <sheetData>
    <row r="1" spans="1:42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AL1" s="87"/>
      <c r="AM1" s="87"/>
      <c r="AN1" s="87"/>
      <c r="AO1" s="87"/>
      <c r="AP1" s="87"/>
    </row>
    <row r="2" spans="1:42" s="6" customFormat="1" ht="15.75" customHeight="1" x14ac:dyDescent="0.25">
      <c r="A2" s="5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AH2" s="7"/>
    </row>
    <row r="3" spans="1:42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2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V4" s="8" t="s">
        <v>2</v>
      </c>
    </row>
    <row r="5" spans="1:42" s="6" customFormat="1" ht="15" customHeight="1" x14ac:dyDescent="0.25">
      <c r="A5"/>
      <c r="B5" s="13">
        <v>37196</v>
      </c>
      <c r="C5" s="13">
        <v>37197</v>
      </c>
      <c r="D5" s="13">
        <v>37198</v>
      </c>
      <c r="E5" s="13">
        <v>37201</v>
      </c>
      <c r="F5" s="13">
        <v>37202</v>
      </c>
      <c r="G5" s="13">
        <v>37203</v>
      </c>
      <c r="H5" s="13">
        <v>37204</v>
      </c>
      <c r="I5" s="13">
        <v>37205</v>
      </c>
      <c r="J5" s="13">
        <v>37208</v>
      </c>
      <c r="K5" s="13">
        <v>37209</v>
      </c>
      <c r="L5" s="13">
        <v>37210</v>
      </c>
      <c r="M5" s="13">
        <v>37211</v>
      </c>
      <c r="N5" s="13">
        <v>37212</v>
      </c>
      <c r="O5" s="13">
        <v>37215</v>
      </c>
      <c r="P5" s="13">
        <v>37216</v>
      </c>
      <c r="Q5" s="13">
        <v>37217</v>
      </c>
      <c r="R5" s="13">
        <v>37222</v>
      </c>
      <c r="S5" s="13">
        <v>37223</v>
      </c>
      <c r="T5" s="13">
        <v>37224</v>
      </c>
      <c r="U5" s="13">
        <v>37225</v>
      </c>
      <c r="V5" s="14" t="s">
        <v>4</v>
      </c>
    </row>
    <row r="6" spans="1:4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42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1:42" s="24" customFormat="1" ht="14.25" x14ac:dyDescent="0.2">
      <c r="A8" s="21" t="s">
        <v>34</v>
      </c>
      <c r="B8" s="22">
        <v>3.4</v>
      </c>
      <c r="C8" s="22">
        <v>4.5</v>
      </c>
      <c r="D8" s="22">
        <v>16.5</v>
      </c>
      <c r="E8" s="22">
        <v>-14.9</v>
      </c>
      <c r="F8" s="22">
        <v>15.9</v>
      </c>
      <c r="G8" s="22">
        <v>12.2</v>
      </c>
      <c r="H8" s="22">
        <v>26.1</v>
      </c>
      <c r="I8" s="22">
        <v>15.3</v>
      </c>
      <c r="J8" s="22">
        <v>21.8</v>
      </c>
      <c r="K8" s="22">
        <v>22.4</v>
      </c>
      <c r="L8" s="22">
        <v>29.8</v>
      </c>
      <c r="M8" s="22">
        <v>-72.400000000000006</v>
      </c>
      <c r="N8" s="22">
        <v>55.7</v>
      </c>
      <c r="O8" s="22">
        <v>18.899999999999999</v>
      </c>
      <c r="P8" s="22">
        <v>36.700000000000003</v>
      </c>
      <c r="Q8" s="22">
        <v>-33.6</v>
      </c>
      <c r="R8" s="22">
        <v>49.3</v>
      </c>
      <c r="S8" s="22">
        <v>55.3</v>
      </c>
      <c r="T8" s="22">
        <v>28.7</v>
      </c>
      <c r="U8" s="22">
        <v>4.5</v>
      </c>
      <c r="V8" s="23">
        <f>SUM(B8:U8)</f>
        <v>296.10000000000002</v>
      </c>
    </row>
    <row r="9" spans="1:42" s="24" customFormat="1" ht="14.25" x14ac:dyDescent="0.2">
      <c r="A9" s="67" t="s">
        <v>7</v>
      </c>
      <c r="B9" s="67">
        <v>0.9</v>
      </c>
      <c r="C9" s="67">
        <v>15.4</v>
      </c>
      <c r="D9" s="67">
        <v>10.5</v>
      </c>
      <c r="E9" s="67">
        <v>8.8000000000000007</v>
      </c>
      <c r="F9" s="67">
        <v>-0.6</v>
      </c>
      <c r="G9" s="67">
        <v>10.3</v>
      </c>
      <c r="H9" s="67">
        <v>1</v>
      </c>
      <c r="I9" s="67">
        <v>-2.1</v>
      </c>
      <c r="J9" s="67">
        <v>-2.1</v>
      </c>
      <c r="K9" s="67">
        <v>12.1</v>
      </c>
      <c r="L9" s="67">
        <v>-1</v>
      </c>
      <c r="M9" s="67">
        <v>-24.1</v>
      </c>
      <c r="N9" s="67">
        <v>14.8</v>
      </c>
      <c r="O9" s="67">
        <v>11</v>
      </c>
      <c r="P9" s="67">
        <v>8.1</v>
      </c>
      <c r="Q9" s="67">
        <v>-10.5</v>
      </c>
      <c r="R9" s="67">
        <v>14.6</v>
      </c>
      <c r="S9" s="67">
        <v>-7.6</v>
      </c>
      <c r="T9" s="67">
        <v>17</v>
      </c>
      <c r="U9" s="67">
        <v>7.9</v>
      </c>
      <c r="V9" s="68">
        <f>SUM(B9:U9)</f>
        <v>84.4</v>
      </c>
    </row>
    <row r="10" spans="1:42" s="24" customFormat="1" ht="14.25" x14ac:dyDescent="0.2">
      <c r="A10" s="67" t="s">
        <v>35</v>
      </c>
      <c r="B10" s="67">
        <v>0.5</v>
      </c>
      <c r="C10" s="67">
        <v>0.6</v>
      </c>
      <c r="D10" s="67">
        <v>0.5</v>
      </c>
      <c r="E10" s="67">
        <v>1.6</v>
      </c>
      <c r="F10" s="67">
        <v>0.6</v>
      </c>
      <c r="G10" s="67">
        <v>0.6</v>
      </c>
      <c r="H10" s="67">
        <v>0.4</v>
      </c>
      <c r="I10" s="67">
        <v>0.7</v>
      </c>
      <c r="J10" s="67">
        <v>1.8</v>
      </c>
      <c r="K10" s="67">
        <v>0.6</v>
      </c>
      <c r="L10" s="67">
        <v>0.7</v>
      </c>
      <c r="M10" s="67">
        <v>0.6</v>
      </c>
      <c r="N10" s="67">
        <v>0.9</v>
      </c>
      <c r="O10" s="67">
        <v>2.2000000000000002</v>
      </c>
      <c r="P10" s="67">
        <v>0.7</v>
      </c>
      <c r="Q10" s="67">
        <v>0.8</v>
      </c>
      <c r="R10" s="67">
        <v>4.2</v>
      </c>
      <c r="S10" s="67">
        <v>0.8</v>
      </c>
      <c r="T10" s="67">
        <v>0.8</v>
      </c>
      <c r="U10" s="67">
        <v>0.7</v>
      </c>
      <c r="V10" s="68">
        <f>SUM(B10:U10)</f>
        <v>20.3</v>
      </c>
    </row>
    <row r="11" spans="1:42" s="24" customFormat="1" ht="14.25" x14ac:dyDescent="0.2">
      <c r="A11" s="67" t="s">
        <v>47</v>
      </c>
      <c r="B11" s="67">
        <v>0</v>
      </c>
      <c r="C11" s="67">
        <v>6.9</v>
      </c>
      <c r="D11" s="67">
        <v>0</v>
      </c>
      <c r="E11" s="67">
        <v>0</v>
      </c>
      <c r="F11" s="67">
        <v>0</v>
      </c>
      <c r="G11" s="67">
        <v>0</v>
      </c>
      <c r="H11" s="67">
        <v>6</v>
      </c>
      <c r="I11" s="67">
        <v>0</v>
      </c>
      <c r="J11" s="67">
        <v>0</v>
      </c>
      <c r="K11" s="67">
        <v>0</v>
      </c>
      <c r="L11" s="67">
        <v>0</v>
      </c>
      <c r="M11" s="67">
        <v>1.8</v>
      </c>
      <c r="N11" s="67">
        <v>0</v>
      </c>
      <c r="O11" s="67">
        <v>0</v>
      </c>
      <c r="P11" s="67">
        <v>0</v>
      </c>
      <c r="Q11" s="67">
        <v>1.5</v>
      </c>
      <c r="R11" s="67">
        <v>0</v>
      </c>
      <c r="S11" s="67">
        <v>0</v>
      </c>
      <c r="T11" s="67">
        <v>0</v>
      </c>
      <c r="U11" s="67">
        <v>3.1</v>
      </c>
      <c r="V11" s="68">
        <f>SUM(B11:U11)</f>
        <v>19.300000000000004</v>
      </c>
    </row>
    <row r="12" spans="1:42" s="27" customFormat="1" ht="14.25" x14ac:dyDescent="0.2">
      <c r="A12" s="25" t="s">
        <v>36</v>
      </c>
      <c r="B12" s="26">
        <v>4.7</v>
      </c>
      <c r="C12" s="26">
        <v>0.3</v>
      </c>
      <c r="D12" s="26">
        <v>0.3</v>
      </c>
      <c r="E12" s="26">
        <v>-2.2999999999999998</v>
      </c>
      <c r="F12" s="26">
        <v>-0.7</v>
      </c>
      <c r="G12" s="26">
        <v>0.4</v>
      </c>
      <c r="H12" s="26">
        <v>0.2</v>
      </c>
      <c r="I12" s="26">
        <v>-1</v>
      </c>
      <c r="J12" s="26">
        <v>-5.8</v>
      </c>
      <c r="K12" s="26">
        <v>3.2</v>
      </c>
      <c r="L12" s="26">
        <v>1.3</v>
      </c>
      <c r="M12" s="26">
        <v>1.5</v>
      </c>
      <c r="N12" s="26">
        <v>0.4</v>
      </c>
      <c r="O12" s="26">
        <v>0.2</v>
      </c>
      <c r="P12" s="26">
        <v>2.5</v>
      </c>
      <c r="Q12" s="26">
        <v>-4.3</v>
      </c>
      <c r="R12" s="26">
        <v>2.2000000000000002</v>
      </c>
      <c r="S12" s="26">
        <v>-4.9000000000000004</v>
      </c>
      <c r="T12" s="26">
        <v>-0.6</v>
      </c>
      <c r="U12" s="26">
        <v>-3.9</v>
      </c>
      <c r="V12" s="68">
        <f>SUM(B12:U12)</f>
        <v>-6.2999999999999989</v>
      </c>
    </row>
    <row r="13" spans="1:42" s="24" customFormat="1" ht="15" x14ac:dyDescent="0.25">
      <c r="A13" s="28" t="s">
        <v>38</v>
      </c>
      <c r="B13" s="29">
        <f>SUM(B8:B12)</f>
        <v>9.5</v>
      </c>
      <c r="C13" s="29">
        <f t="shared" ref="C13:U13" si="0">SUM(C8:C12)</f>
        <v>27.7</v>
      </c>
      <c r="D13" s="29">
        <f t="shared" si="0"/>
        <v>27.8</v>
      </c>
      <c r="E13" s="29">
        <f t="shared" si="0"/>
        <v>-6.8</v>
      </c>
      <c r="F13" s="29">
        <f t="shared" si="0"/>
        <v>15.200000000000001</v>
      </c>
      <c r="G13" s="29">
        <f t="shared" si="0"/>
        <v>23.5</v>
      </c>
      <c r="H13" s="29">
        <f t="shared" si="0"/>
        <v>33.700000000000003</v>
      </c>
      <c r="I13" s="29">
        <f t="shared" si="0"/>
        <v>12.9</v>
      </c>
      <c r="J13" s="29">
        <f t="shared" si="0"/>
        <v>15.7</v>
      </c>
      <c r="K13" s="29">
        <f t="shared" si="0"/>
        <v>38.300000000000004</v>
      </c>
      <c r="L13" s="29">
        <f t="shared" si="0"/>
        <v>30.8</v>
      </c>
      <c r="M13" s="29">
        <f t="shared" si="0"/>
        <v>-92.600000000000009</v>
      </c>
      <c r="N13" s="29">
        <f t="shared" si="0"/>
        <v>71.800000000000011</v>
      </c>
      <c r="O13" s="29">
        <f t="shared" si="0"/>
        <v>32.300000000000004</v>
      </c>
      <c r="P13" s="29">
        <f t="shared" si="0"/>
        <v>48.000000000000007</v>
      </c>
      <c r="Q13" s="29">
        <f t="shared" si="0"/>
        <v>-46.1</v>
      </c>
      <c r="R13" s="29">
        <f t="shared" si="0"/>
        <v>70.3</v>
      </c>
      <c r="S13" s="29">
        <f t="shared" si="0"/>
        <v>43.599999999999994</v>
      </c>
      <c r="T13" s="29">
        <f t="shared" si="0"/>
        <v>45.9</v>
      </c>
      <c r="U13" s="29">
        <f t="shared" si="0"/>
        <v>12.299999999999999</v>
      </c>
      <c r="V13" s="30">
        <f>SUM(V8:V12)</f>
        <v>413.8</v>
      </c>
      <c r="W13" s="46"/>
    </row>
    <row r="14" spans="1:42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42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42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3"/>
    </row>
    <row r="17" spans="1:22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8"/>
    </row>
    <row r="18" spans="1:22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18.8</v>
      </c>
      <c r="M18" s="35">
        <v>0</v>
      </c>
      <c r="N18" s="35">
        <v>0</v>
      </c>
      <c r="O18" s="35">
        <v>35</v>
      </c>
      <c r="P18" s="35">
        <v>64.2</v>
      </c>
      <c r="Q18" s="35">
        <v>0</v>
      </c>
      <c r="R18" s="35">
        <v>30</v>
      </c>
      <c r="S18" s="35">
        <v>50</v>
      </c>
      <c r="T18" s="35">
        <v>25</v>
      </c>
      <c r="U18" s="35">
        <v>25</v>
      </c>
      <c r="V18" s="36">
        <v>248</v>
      </c>
    </row>
    <row r="19" spans="1:22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-0.5</v>
      </c>
      <c r="N19" s="38">
        <v>0</v>
      </c>
      <c r="O19" s="38">
        <v>25</v>
      </c>
      <c r="P19" s="38">
        <v>15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39.5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18.8</v>
      </c>
      <c r="M20" s="29">
        <f t="shared" si="1"/>
        <v>-0.5</v>
      </c>
      <c r="N20" s="29">
        <f t="shared" si="1"/>
        <v>0</v>
      </c>
      <c r="O20" s="29">
        <f t="shared" si="1"/>
        <v>60</v>
      </c>
      <c r="P20" s="29">
        <f t="shared" si="1"/>
        <v>79.2</v>
      </c>
      <c r="Q20" s="29">
        <f t="shared" si="1"/>
        <v>0</v>
      </c>
      <c r="R20" s="29">
        <f t="shared" si="1"/>
        <v>30</v>
      </c>
      <c r="S20" s="29">
        <f t="shared" si="1"/>
        <v>50</v>
      </c>
      <c r="T20" s="29">
        <f t="shared" si="1"/>
        <v>25</v>
      </c>
      <c r="U20" s="29">
        <f t="shared" si="1"/>
        <v>25</v>
      </c>
      <c r="V20" s="30">
        <f>SUM(V18:V19)</f>
        <v>287.5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9.5</v>
      </c>
      <c r="C22" s="10">
        <f t="shared" ref="C22:U22" si="2">C13+C20</f>
        <v>27.7</v>
      </c>
      <c r="D22" s="10">
        <f t="shared" si="2"/>
        <v>27.8</v>
      </c>
      <c r="E22" s="10">
        <f t="shared" si="2"/>
        <v>-6.8</v>
      </c>
      <c r="F22" s="10">
        <f t="shared" si="2"/>
        <v>15.200000000000001</v>
      </c>
      <c r="G22" s="10">
        <f t="shared" si="2"/>
        <v>23.5</v>
      </c>
      <c r="H22" s="10">
        <f t="shared" si="2"/>
        <v>33.700000000000003</v>
      </c>
      <c r="I22" s="10">
        <f t="shared" si="2"/>
        <v>12.9</v>
      </c>
      <c r="J22" s="10">
        <f t="shared" si="2"/>
        <v>15.7</v>
      </c>
      <c r="K22" s="10">
        <f t="shared" si="2"/>
        <v>38.300000000000004</v>
      </c>
      <c r="L22" s="10">
        <f t="shared" si="2"/>
        <v>49.6</v>
      </c>
      <c r="M22" s="10">
        <f t="shared" si="2"/>
        <v>-93.100000000000009</v>
      </c>
      <c r="N22" s="10">
        <f t="shared" si="2"/>
        <v>71.800000000000011</v>
      </c>
      <c r="O22" s="10">
        <f t="shared" si="2"/>
        <v>92.300000000000011</v>
      </c>
      <c r="P22" s="10">
        <f t="shared" si="2"/>
        <v>127.20000000000002</v>
      </c>
      <c r="Q22" s="10">
        <f t="shared" si="2"/>
        <v>-46.1</v>
      </c>
      <c r="R22" s="10">
        <f t="shared" si="2"/>
        <v>100.3</v>
      </c>
      <c r="S22" s="10">
        <f t="shared" si="2"/>
        <v>93.6</v>
      </c>
      <c r="T22" s="10">
        <f t="shared" si="2"/>
        <v>70.900000000000006</v>
      </c>
      <c r="U22" s="10">
        <f t="shared" si="2"/>
        <v>37.299999999999997</v>
      </c>
      <c r="V22" s="42">
        <f>V13+V20</f>
        <v>701.3</v>
      </c>
    </row>
    <row r="23" spans="1:22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V23" s="44"/>
    </row>
    <row r="24" spans="1:22" ht="13.5" thickTop="1" x14ac:dyDescent="0.2"/>
  </sheetData>
  <mergeCells count="1">
    <mergeCell ref="AL1:AP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24"/>
  <sheetViews>
    <sheetView workbookViewId="0">
      <pane xSplit="1" topLeftCell="S1" activePane="topRight" state="frozen"/>
      <selection pane="topRight" activeCell="X13" sqref="X13"/>
    </sheetView>
  </sheetViews>
  <sheetFormatPr defaultRowHeight="12.75" x14ac:dyDescent="0.2"/>
  <cols>
    <col min="1" max="1" width="47" bestFit="1" customWidth="1"/>
    <col min="2" max="5" width="9.28515625" bestFit="1" customWidth="1"/>
    <col min="6" max="6" width="9.42578125" bestFit="1" customWidth="1"/>
    <col min="7" max="8" width="9.28515625" bestFit="1" customWidth="1"/>
    <col min="9" max="10" width="9.42578125" bestFit="1" customWidth="1"/>
    <col min="11" max="20" width="9.28515625" bestFit="1" customWidth="1"/>
    <col min="21" max="21" width="9.42578125" bestFit="1" customWidth="1"/>
    <col min="22" max="22" width="9.28515625" bestFit="1" customWidth="1"/>
  </cols>
  <sheetData>
    <row r="1" spans="1:76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BT1" s="87" t="s">
        <v>0</v>
      </c>
      <c r="BU1" s="87"/>
      <c r="BV1" s="87"/>
      <c r="BW1" s="87"/>
      <c r="BX1" s="87"/>
    </row>
    <row r="2" spans="1:76" s="6" customFormat="1" ht="15.75" customHeight="1" x14ac:dyDescent="0.25">
      <c r="A2" s="57" t="s">
        <v>15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BP2" s="7"/>
    </row>
    <row r="3" spans="1:76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S3" s="7"/>
    </row>
    <row r="4" spans="1:76" s="6" customFormat="1" ht="15" customHeight="1" thickTop="1" x14ac:dyDescent="0.25">
      <c r="G4" s="9"/>
      <c r="H4" s="9"/>
      <c r="I4" s="9"/>
      <c r="J4" s="9"/>
      <c r="K4" s="9"/>
      <c r="L4" s="10"/>
      <c r="M4" s="10"/>
      <c r="N4"/>
      <c r="O4"/>
      <c r="P4"/>
      <c r="Q4"/>
      <c r="R4"/>
      <c r="S4"/>
      <c r="T4"/>
      <c r="U4"/>
      <c r="V4" s="8" t="s">
        <v>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1"/>
      <c r="AI4" s="12"/>
      <c r="AJ4" s="11"/>
      <c r="AK4" s="12"/>
    </row>
    <row r="5" spans="1:76" s="6" customFormat="1" ht="15" customHeight="1" x14ac:dyDescent="0.25">
      <c r="A5"/>
      <c r="B5" s="13">
        <v>37226</v>
      </c>
      <c r="C5" s="13">
        <v>37229</v>
      </c>
      <c r="D5" s="13">
        <v>37230</v>
      </c>
      <c r="E5" s="13">
        <v>37231</v>
      </c>
      <c r="F5" s="13">
        <v>37232</v>
      </c>
      <c r="G5" s="13">
        <v>37233</v>
      </c>
      <c r="H5" s="13">
        <v>37236</v>
      </c>
      <c r="I5" s="13">
        <v>37237</v>
      </c>
      <c r="J5" s="13">
        <v>37238</v>
      </c>
      <c r="K5" s="13">
        <v>37239</v>
      </c>
      <c r="L5" s="13">
        <v>37240</v>
      </c>
      <c r="M5" s="13">
        <v>37243</v>
      </c>
      <c r="N5" s="13">
        <v>37244</v>
      </c>
      <c r="O5" s="13">
        <v>37245</v>
      </c>
      <c r="P5" s="13">
        <v>37246</v>
      </c>
      <c r="Q5" s="13">
        <v>37247</v>
      </c>
      <c r="R5" s="13">
        <v>37251</v>
      </c>
      <c r="S5" s="13">
        <v>37252</v>
      </c>
      <c r="T5" s="13">
        <v>37253</v>
      </c>
      <c r="U5" s="13">
        <v>37254</v>
      </c>
      <c r="V5" s="14" t="s">
        <v>4</v>
      </c>
    </row>
    <row r="6" spans="1:7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76" ht="15" x14ac:dyDescent="0.25">
      <c r="A7" s="17" t="s">
        <v>37</v>
      </c>
      <c r="B7" s="17"/>
      <c r="C7" s="17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76" s="24" customFormat="1" ht="14.25" x14ac:dyDescent="0.2">
      <c r="A8" s="21" t="s">
        <v>6</v>
      </c>
      <c r="B8" s="22">
        <v>3.2</v>
      </c>
      <c r="C8" s="22">
        <v>116.2</v>
      </c>
      <c r="D8" s="22">
        <v>-22.3</v>
      </c>
      <c r="E8" s="22">
        <v>45.6</v>
      </c>
      <c r="F8" s="22">
        <v>-46.9</v>
      </c>
      <c r="G8" s="22">
        <v>59.3</v>
      </c>
      <c r="H8" s="22">
        <v>-29.9</v>
      </c>
      <c r="I8" s="22">
        <v>-11.1</v>
      </c>
      <c r="J8" s="22">
        <v>-91.2</v>
      </c>
      <c r="K8" s="22">
        <v>21.6</v>
      </c>
      <c r="L8" s="22">
        <v>-12.1</v>
      </c>
      <c r="M8" s="22">
        <v>-3.8</v>
      </c>
      <c r="N8" s="22">
        <v>-7.4</v>
      </c>
      <c r="O8" s="22">
        <v>-6.3</v>
      </c>
      <c r="P8" s="22">
        <v>6.4</v>
      </c>
      <c r="Q8" s="22">
        <v>9.1999999999999993</v>
      </c>
      <c r="R8" s="22">
        <v>2.5</v>
      </c>
      <c r="S8" s="22">
        <v>7.1</v>
      </c>
      <c r="T8" s="22">
        <v>-51.9</v>
      </c>
      <c r="U8" s="22">
        <v>142.5</v>
      </c>
      <c r="V8" s="23">
        <f>SUM(B8:U8)</f>
        <v>130.70000000000002</v>
      </c>
    </row>
    <row r="9" spans="1:76" s="27" customFormat="1" ht="14.25" x14ac:dyDescent="0.2">
      <c r="A9" s="25" t="s">
        <v>40</v>
      </c>
      <c r="B9" s="67">
        <v>20.100000000000001</v>
      </c>
      <c r="C9" s="67">
        <v>104.5</v>
      </c>
      <c r="D9" s="67">
        <v>-11.8</v>
      </c>
      <c r="E9" s="67">
        <v>14</v>
      </c>
      <c r="F9" s="67">
        <v>-76.2</v>
      </c>
      <c r="G9" s="67">
        <v>25.6</v>
      </c>
      <c r="H9" s="67">
        <v>-5.5</v>
      </c>
      <c r="I9" s="67">
        <v>-95.4</v>
      </c>
      <c r="J9" s="67">
        <v>-5.9</v>
      </c>
      <c r="K9" s="67">
        <v>10</v>
      </c>
      <c r="L9" s="67">
        <v>24</v>
      </c>
      <c r="M9" s="67">
        <v>14.8</v>
      </c>
      <c r="N9" s="67">
        <v>10.8</v>
      </c>
      <c r="O9" s="67">
        <v>31.1</v>
      </c>
      <c r="P9" s="67">
        <v>12.9</v>
      </c>
      <c r="Q9" s="67">
        <v>-2.9</v>
      </c>
      <c r="R9" s="67">
        <v>-0.9</v>
      </c>
      <c r="S9" s="67">
        <v>-5.5</v>
      </c>
      <c r="T9" s="67">
        <v>-6.8</v>
      </c>
      <c r="U9" s="67">
        <v>6.6</v>
      </c>
      <c r="V9" s="68">
        <f>SUM(B9:U9)</f>
        <v>63.499999999999979</v>
      </c>
    </row>
    <row r="10" spans="1:76" s="27" customFormat="1" ht="14.25" x14ac:dyDescent="0.2">
      <c r="A10" s="70" t="s">
        <v>41</v>
      </c>
      <c r="B10" s="48">
        <v>0.8</v>
      </c>
      <c r="C10" s="48">
        <v>2.2999999999999998</v>
      </c>
      <c r="D10" s="48">
        <v>1.1000000000000001</v>
      </c>
      <c r="E10" s="48">
        <v>0.8</v>
      </c>
      <c r="F10" s="48">
        <v>0.8</v>
      </c>
      <c r="G10" s="48">
        <v>1</v>
      </c>
      <c r="H10" s="48">
        <v>2.6</v>
      </c>
      <c r="I10" s="48">
        <v>0.9</v>
      </c>
      <c r="J10" s="48">
        <v>0.8</v>
      </c>
      <c r="K10" s="48">
        <v>0.8</v>
      </c>
      <c r="L10" s="48">
        <v>0.8</v>
      </c>
      <c r="M10" s="48">
        <v>2.6</v>
      </c>
      <c r="N10" s="48">
        <v>0.9</v>
      </c>
      <c r="O10" s="48">
        <v>0.9</v>
      </c>
      <c r="P10" s="48">
        <v>1.1000000000000001</v>
      </c>
      <c r="Q10" s="48">
        <v>1.1000000000000001</v>
      </c>
      <c r="R10" s="48">
        <v>0</v>
      </c>
      <c r="S10" s="48">
        <v>3.3</v>
      </c>
      <c r="T10" s="48">
        <v>0.8</v>
      </c>
      <c r="U10" s="48">
        <v>0.4</v>
      </c>
      <c r="V10" s="68">
        <f>SUM(B10:U10)</f>
        <v>23.8</v>
      </c>
    </row>
    <row r="11" spans="1:76" s="27" customFormat="1" ht="14.25" x14ac:dyDescent="0.2">
      <c r="A11" s="70" t="s">
        <v>46</v>
      </c>
      <c r="B11" s="48">
        <v>0</v>
      </c>
      <c r="C11" s="48">
        <v>0</v>
      </c>
      <c r="D11" s="48">
        <v>0</v>
      </c>
      <c r="E11" s="48">
        <v>3.2</v>
      </c>
      <c r="F11" s="48">
        <v>1.3</v>
      </c>
      <c r="G11" s="48">
        <v>0</v>
      </c>
      <c r="H11" s="48">
        <v>0.2</v>
      </c>
      <c r="I11" s="48">
        <v>0</v>
      </c>
      <c r="J11" s="48">
        <v>0.2</v>
      </c>
      <c r="K11" s="48">
        <v>1.3</v>
      </c>
      <c r="L11" s="48">
        <v>0</v>
      </c>
      <c r="M11" s="48">
        <v>-0.2</v>
      </c>
      <c r="N11" s="48">
        <v>-0.1</v>
      </c>
      <c r="O11" s="48">
        <f>-0.1-8</f>
        <v>-8.1</v>
      </c>
      <c r="P11" s="48">
        <v>10.199999999999999</v>
      </c>
      <c r="Q11" s="48">
        <v>0</v>
      </c>
      <c r="R11" s="48">
        <v>-0.2</v>
      </c>
      <c r="S11" s="48">
        <v>3.2</v>
      </c>
      <c r="T11" s="48">
        <v>3</v>
      </c>
      <c r="U11" s="48">
        <f>21.2-7.4</f>
        <v>13.799999999999999</v>
      </c>
      <c r="V11" s="68">
        <f>SUM(B11:U11)</f>
        <v>27.799999999999997</v>
      </c>
    </row>
    <row r="12" spans="1:76" s="27" customFormat="1" ht="14.25" x14ac:dyDescent="0.2">
      <c r="A12" s="25" t="s">
        <v>42</v>
      </c>
      <c r="B12" s="26">
        <v>6.2</v>
      </c>
      <c r="C12" s="26">
        <v>1.9</v>
      </c>
      <c r="D12" s="26">
        <v>2.6</v>
      </c>
      <c r="E12" s="26">
        <v>-0.3</v>
      </c>
      <c r="F12" s="26">
        <v>-0.3</v>
      </c>
      <c r="G12" s="26">
        <v>5.3</v>
      </c>
      <c r="H12" s="26">
        <v>3.3</v>
      </c>
      <c r="I12" s="26">
        <v>-2.2999999999999998</v>
      </c>
      <c r="J12" s="26">
        <v>0.4</v>
      </c>
      <c r="K12" s="26">
        <v>-2.7</v>
      </c>
      <c r="L12" s="26">
        <v>-2.8</v>
      </c>
      <c r="M12" s="26">
        <v>11</v>
      </c>
      <c r="N12" s="26">
        <v>6</v>
      </c>
      <c r="O12" s="26">
        <v>62.3</v>
      </c>
      <c r="P12" s="26">
        <v>0</v>
      </c>
      <c r="Q12" s="26">
        <v>5.5</v>
      </c>
      <c r="R12" s="26">
        <v>5.9</v>
      </c>
      <c r="S12" s="26">
        <v>18.399999999999999</v>
      </c>
      <c r="T12" s="26">
        <v>0.1</v>
      </c>
      <c r="U12" s="26">
        <v>17.899999999999999</v>
      </c>
      <c r="V12" s="68">
        <f>SUM(B12:U12)</f>
        <v>138.4</v>
      </c>
    </row>
    <row r="13" spans="1:76" s="24" customFormat="1" ht="15" x14ac:dyDescent="0.25">
      <c r="A13" s="28" t="s">
        <v>38</v>
      </c>
      <c r="B13" s="29">
        <f>SUM(B8:B12)</f>
        <v>30.3</v>
      </c>
      <c r="C13" s="29">
        <f t="shared" ref="C13:U13" si="0">SUM(C8:C12)</f>
        <v>224.9</v>
      </c>
      <c r="D13" s="29">
        <f t="shared" si="0"/>
        <v>-30.4</v>
      </c>
      <c r="E13" s="29">
        <f t="shared" si="0"/>
        <v>63.300000000000004</v>
      </c>
      <c r="F13" s="29">
        <f t="shared" si="0"/>
        <v>-121.3</v>
      </c>
      <c r="G13" s="29">
        <f t="shared" si="0"/>
        <v>91.2</v>
      </c>
      <c r="H13" s="29">
        <f t="shared" si="0"/>
        <v>-29.299999999999994</v>
      </c>
      <c r="I13" s="29">
        <f t="shared" si="0"/>
        <v>-107.89999999999999</v>
      </c>
      <c r="J13" s="29">
        <f t="shared" si="0"/>
        <v>-95.7</v>
      </c>
      <c r="K13" s="29">
        <f t="shared" si="0"/>
        <v>30.999999999999996</v>
      </c>
      <c r="L13" s="29">
        <f t="shared" si="0"/>
        <v>9.9000000000000021</v>
      </c>
      <c r="M13" s="29">
        <f t="shared" si="0"/>
        <v>24.4</v>
      </c>
      <c r="N13" s="29">
        <f t="shared" si="0"/>
        <v>10.200000000000001</v>
      </c>
      <c r="O13" s="29">
        <f t="shared" si="0"/>
        <v>79.900000000000006</v>
      </c>
      <c r="P13" s="29">
        <f t="shared" si="0"/>
        <v>30.6</v>
      </c>
      <c r="Q13" s="29">
        <f t="shared" si="0"/>
        <v>12.899999999999999</v>
      </c>
      <c r="R13" s="29">
        <f t="shared" si="0"/>
        <v>7.3000000000000007</v>
      </c>
      <c r="S13" s="29">
        <f t="shared" si="0"/>
        <v>26.5</v>
      </c>
      <c r="T13" s="29">
        <f t="shared" si="0"/>
        <v>-54.8</v>
      </c>
      <c r="U13" s="29">
        <f t="shared" si="0"/>
        <v>181.20000000000002</v>
      </c>
      <c r="V13" s="30">
        <f>SUM(V8:V12)</f>
        <v>384.20000000000005</v>
      </c>
    </row>
    <row r="14" spans="1:76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76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76" s="24" customFormat="1" ht="15" x14ac:dyDescent="0.25">
      <c r="A16" s="28"/>
      <c r="B16" s="28"/>
      <c r="C16" s="28"/>
      <c r="D16" s="2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1:22" s="24" customFormat="1" ht="15" x14ac:dyDescent="0.25">
      <c r="A17" s="34" t="s">
        <v>9</v>
      </c>
      <c r="B17" s="34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3"/>
    </row>
    <row r="18" spans="1:22" s="24" customFormat="1" ht="14.25" x14ac:dyDescent="0.2">
      <c r="A18" s="21" t="s">
        <v>10</v>
      </c>
      <c r="B18" s="35">
        <v>0</v>
      </c>
      <c r="C18" s="35">
        <v>120</v>
      </c>
      <c r="D18" s="35">
        <v>150</v>
      </c>
      <c r="E18" s="35">
        <v>40</v>
      </c>
      <c r="F18" s="35">
        <v>0</v>
      </c>
      <c r="G18" s="35">
        <v>0</v>
      </c>
      <c r="H18" s="35">
        <v>-25</v>
      </c>
      <c r="I18" s="35">
        <v>-500</v>
      </c>
      <c r="J18" s="35">
        <v>-62</v>
      </c>
      <c r="K18" s="35">
        <v>0</v>
      </c>
      <c r="L18" s="35">
        <v>130</v>
      </c>
      <c r="M18" s="35">
        <v>70</v>
      </c>
      <c r="N18" s="35">
        <v>80</v>
      </c>
      <c r="O18" s="35">
        <v>80</v>
      </c>
      <c r="P18" s="35">
        <v>125</v>
      </c>
      <c r="Q18" s="35">
        <v>0</v>
      </c>
      <c r="R18" s="35">
        <v>40</v>
      </c>
      <c r="S18" s="35">
        <v>0.7</v>
      </c>
      <c r="T18" s="35">
        <v>40</v>
      </c>
      <c r="U18" s="35">
        <f>-176+23.4</f>
        <v>-152.6</v>
      </c>
      <c r="V18" s="36">
        <f>SUM(B18:U18)</f>
        <v>136.1</v>
      </c>
    </row>
    <row r="19" spans="1:22" s="24" customFormat="1" ht="14.25" x14ac:dyDescent="0.2">
      <c r="A19" s="19" t="s">
        <v>11</v>
      </c>
      <c r="B19" s="38">
        <v>0</v>
      </c>
      <c r="C19" s="38">
        <v>107.6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-40</v>
      </c>
      <c r="K19" s="38">
        <v>0</v>
      </c>
      <c r="L19" s="38">
        <v>0</v>
      </c>
      <c r="M19" s="38">
        <v>15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0.9</v>
      </c>
      <c r="U19" s="38">
        <v>0</v>
      </c>
      <c r="V19" s="69">
        <v>83.5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227.6</v>
      </c>
      <c r="D20" s="29">
        <f t="shared" si="1"/>
        <v>150</v>
      </c>
      <c r="E20" s="29">
        <f t="shared" si="1"/>
        <v>40</v>
      </c>
      <c r="F20" s="29">
        <f t="shared" si="1"/>
        <v>0</v>
      </c>
      <c r="G20" s="29">
        <f t="shared" si="1"/>
        <v>0</v>
      </c>
      <c r="H20" s="29">
        <f t="shared" si="1"/>
        <v>-25</v>
      </c>
      <c r="I20" s="29">
        <f t="shared" si="1"/>
        <v>-500</v>
      </c>
      <c r="J20" s="29">
        <f t="shared" si="1"/>
        <v>-102</v>
      </c>
      <c r="K20" s="29">
        <f t="shared" si="1"/>
        <v>0</v>
      </c>
      <c r="L20" s="29">
        <f t="shared" si="1"/>
        <v>130</v>
      </c>
      <c r="M20" s="29">
        <f t="shared" si="1"/>
        <v>85</v>
      </c>
      <c r="N20" s="29">
        <f t="shared" si="1"/>
        <v>80</v>
      </c>
      <c r="O20" s="29">
        <f t="shared" si="1"/>
        <v>80</v>
      </c>
      <c r="P20" s="29">
        <f t="shared" si="1"/>
        <v>125</v>
      </c>
      <c r="Q20" s="29">
        <f t="shared" si="1"/>
        <v>0</v>
      </c>
      <c r="R20" s="29">
        <f t="shared" si="1"/>
        <v>40</v>
      </c>
      <c r="S20" s="29">
        <f t="shared" si="1"/>
        <v>0.7</v>
      </c>
      <c r="T20" s="29">
        <f t="shared" si="1"/>
        <v>40.9</v>
      </c>
      <c r="U20" s="29">
        <f t="shared" si="1"/>
        <v>-152.6</v>
      </c>
      <c r="V20" s="30">
        <f>SUM(V18:V19)</f>
        <v>219.6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30.3</v>
      </c>
      <c r="C22" s="10">
        <f t="shared" ref="C22:U22" si="2">C13+C20</f>
        <v>452.5</v>
      </c>
      <c r="D22" s="10">
        <f t="shared" si="2"/>
        <v>119.6</v>
      </c>
      <c r="E22" s="10">
        <f t="shared" si="2"/>
        <v>103.30000000000001</v>
      </c>
      <c r="F22" s="10">
        <f t="shared" si="2"/>
        <v>-121.3</v>
      </c>
      <c r="G22" s="10">
        <f t="shared" si="2"/>
        <v>91.2</v>
      </c>
      <c r="H22" s="10">
        <f t="shared" si="2"/>
        <v>-54.3</v>
      </c>
      <c r="I22" s="10">
        <f t="shared" si="2"/>
        <v>-607.9</v>
      </c>
      <c r="J22" s="10">
        <f t="shared" si="2"/>
        <v>-197.7</v>
      </c>
      <c r="K22" s="10">
        <f t="shared" si="2"/>
        <v>30.999999999999996</v>
      </c>
      <c r="L22" s="10">
        <f t="shared" si="2"/>
        <v>139.9</v>
      </c>
      <c r="M22" s="10">
        <f t="shared" si="2"/>
        <v>109.4</v>
      </c>
      <c r="N22" s="10">
        <f t="shared" si="2"/>
        <v>90.2</v>
      </c>
      <c r="O22" s="10">
        <f t="shared" si="2"/>
        <v>159.9</v>
      </c>
      <c r="P22" s="10">
        <f t="shared" si="2"/>
        <v>155.6</v>
      </c>
      <c r="Q22" s="10">
        <f t="shared" si="2"/>
        <v>12.899999999999999</v>
      </c>
      <c r="R22" s="10">
        <f t="shared" si="2"/>
        <v>47.3</v>
      </c>
      <c r="S22" s="10">
        <f t="shared" si="2"/>
        <v>27.2</v>
      </c>
      <c r="T22" s="10">
        <f t="shared" si="2"/>
        <v>-13.899999999999999</v>
      </c>
      <c r="U22" s="10">
        <f t="shared" si="2"/>
        <v>28.600000000000023</v>
      </c>
      <c r="V22" s="42">
        <f>V13+V20</f>
        <v>603.80000000000007</v>
      </c>
    </row>
    <row r="23" spans="1:22" ht="15.75" thickBot="1" x14ac:dyDescent="0.3">
      <c r="A23" s="28"/>
      <c r="N23" s="10"/>
      <c r="O23" s="10"/>
      <c r="P23" s="10"/>
      <c r="Q23" s="10"/>
      <c r="R23" s="10"/>
      <c r="S23" s="10"/>
      <c r="T23" s="10"/>
      <c r="U23" s="10"/>
      <c r="V23" s="45"/>
    </row>
    <row r="24" spans="1:22" ht="13.5" thickTop="1" x14ac:dyDescent="0.2"/>
  </sheetData>
  <mergeCells count="1">
    <mergeCell ref="BT1:BX1"/>
  </mergeCells>
  <phoneticPr fontId="0" type="noConversion"/>
  <pageMargins left="0.75" right="0.75" top="1" bottom="1" header="0.5" footer="0.5"/>
  <pageSetup scale="4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workbookViewId="0">
      <pane xSplit="1" topLeftCell="V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29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87"/>
      <c r="Z1" s="87"/>
      <c r="AA1" s="87"/>
      <c r="AB1" s="87"/>
      <c r="AC1" s="87"/>
    </row>
    <row r="2" spans="1:29" s="6" customFormat="1" ht="15.75" customHeight="1" x14ac:dyDescent="0.25">
      <c r="A2" s="56" t="s">
        <v>17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9" ht="15.75" thickTop="1" x14ac:dyDescent="0.25">
      <c r="W6" s="8" t="s">
        <v>16</v>
      </c>
    </row>
    <row r="7" spans="1:29" s="58" customFormat="1" ht="15" x14ac:dyDescent="0.25">
      <c r="B7" s="13">
        <v>36893</v>
      </c>
      <c r="C7" s="13">
        <v>36894</v>
      </c>
      <c r="D7" s="13">
        <v>36895</v>
      </c>
      <c r="E7" s="13">
        <v>36896</v>
      </c>
      <c r="F7" s="13">
        <v>36899</v>
      </c>
      <c r="G7" s="13">
        <v>36900</v>
      </c>
      <c r="H7" s="13">
        <v>36901</v>
      </c>
      <c r="I7" s="13">
        <v>36902</v>
      </c>
      <c r="J7" s="13">
        <v>36903</v>
      </c>
      <c r="K7" s="13">
        <v>36907</v>
      </c>
      <c r="L7" s="13">
        <v>36908</v>
      </c>
      <c r="M7" s="13">
        <v>36909</v>
      </c>
      <c r="N7" s="13">
        <v>36910</v>
      </c>
      <c r="O7" s="13">
        <v>36913</v>
      </c>
      <c r="P7" s="13">
        <v>36914</v>
      </c>
      <c r="Q7" s="13">
        <v>36915</v>
      </c>
      <c r="R7" s="13">
        <v>36916</v>
      </c>
      <c r="S7" s="13">
        <v>36917</v>
      </c>
      <c r="T7" s="13">
        <v>36920</v>
      </c>
      <c r="U7" s="13">
        <v>36921</v>
      </c>
      <c r="V7" s="13">
        <v>36922</v>
      </c>
      <c r="W7" s="14" t="s">
        <v>4</v>
      </c>
    </row>
    <row r="8" spans="1:29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1"/>
    </row>
    <row r="9" spans="1:29" ht="15" x14ac:dyDescent="0.25">
      <c r="A9" s="17" t="s">
        <v>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41"/>
    </row>
    <row r="10" spans="1:29" ht="14.25" x14ac:dyDescent="0.2">
      <c r="A10" s="21" t="s">
        <v>6</v>
      </c>
      <c r="B10" s="22">
        <v>14.1</v>
      </c>
      <c r="C10" s="22">
        <v>-29.3</v>
      </c>
      <c r="D10" s="22">
        <v>37.6</v>
      </c>
      <c r="E10" s="22">
        <v>44.1</v>
      </c>
      <c r="F10" s="22">
        <v>-77.5</v>
      </c>
      <c r="G10" s="22">
        <v>5.8</v>
      </c>
      <c r="H10" s="22">
        <v>-52.4</v>
      </c>
      <c r="I10" s="22">
        <v>-12.9</v>
      </c>
      <c r="J10" s="22">
        <v>-10.3</v>
      </c>
      <c r="K10" s="22">
        <v>65.5</v>
      </c>
      <c r="L10" s="22">
        <v>11.5</v>
      </c>
      <c r="M10" s="22">
        <v>51.1</v>
      </c>
      <c r="N10" s="22">
        <v>90.9</v>
      </c>
      <c r="O10" s="22">
        <v>-17.2</v>
      </c>
      <c r="P10" s="22">
        <v>-27.7</v>
      </c>
      <c r="Q10" s="22">
        <v>25.9</v>
      </c>
      <c r="R10" s="22">
        <v>-7.3</v>
      </c>
      <c r="S10" s="22">
        <v>-15.4</v>
      </c>
      <c r="T10" s="22">
        <v>-31.8</v>
      </c>
      <c r="U10" s="22">
        <v>13.5</v>
      </c>
      <c r="V10" s="22">
        <v>70.900000000000006</v>
      </c>
      <c r="W10" s="59">
        <f t="shared" ref="W10:W15" si="0">SUM(B10:V10)</f>
        <v>149.10000000000002</v>
      </c>
    </row>
    <row r="11" spans="1:29" s="64" customFormat="1" ht="14.25" x14ac:dyDescent="0.2">
      <c r="A11" s="25" t="s">
        <v>40</v>
      </c>
      <c r="B11" s="67">
        <v>-47.5</v>
      </c>
      <c r="C11" s="67">
        <v>-5</v>
      </c>
      <c r="D11" s="71">
        <v>43.6</v>
      </c>
      <c r="E11" s="71">
        <v>25.3</v>
      </c>
      <c r="F11" s="71">
        <v>32.9</v>
      </c>
      <c r="G11" s="71">
        <v>24.7</v>
      </c>
      <c r="H11" s="71">
        <v>66.900000000000006</v>
      </c>
      <c r="I11" s="71">
        <v>29.9</v>
      </c>
      <c r="J11" s="71">
        <v>-4.0999999999999996</v>
      </c>
      <c r="K11" s="71">
        <v>-4</v>
      </c>
      <c r="L11" s="71">
        <v>-16.5</v>
      </c>
      <c r="M11" s="71">
        <v>40.9</v>
      </c>
      <c r="N11" s="71">
        <v>3.6</v>
      </c>
      <c r="O11" s="71">
        <v>28.6</v>
      </c>
      <c r="P11" s="71">
        <v>20.8</v>
      </c>
      <c r="Q11" s="71">
        <v>11.6</v>
      </c>
      <c r="R11" s="71">
        <v>30.6</v>
      </c>
      <c r="S11" s="71">
        <v>33.5</v>
      </c>
      <c r="T11" s="71">
        <v>31.8</v>
      </c>
      <c r="U11" s="71">
        <v>15.6</v>
      </c>
      <c r="V11" s="71">
        <v>27.4</v>
      </c>
      <c r="W11" s="72">
        <f t="shared" si="0"/>
        <v>390.6</v>
      </c>
    </row>
    <row r="12" spans="1:29" s="64" customFormat="1" ht="14.25" x14ac:dyDescent="0.2">
      <c r="A12" s="70" t="s">
        <v>41</v>
      </c>
      <c r="B12" s="48">
        <v>3.7</v>
      </c>
      <c r="C12" s="48">
        <v>0.6</v>
      </c>
      <c r="D12" s="48">
        <v>0.8</v>
      </c>
      <c r="E12" s="48">
        <v>1</v>
      </c>
      <c r="F12" s="48">
        <v>1.7</v>
      </c>
      <c r="G12" s="48">
        <v>0.6</v>
      </c>
      <c r="H12" s="48">
        <v>0.4</v>
      </c>
      <c r="I12" s="48">
        <v>0.7</v>
      </c>
      <c r="J12" s="48">
        <v>0.5</v>
      </c>
      <c r="K12" s="48">
        <v>2.5</v>
      </c>
      <c r="L12" s="48">
        <v>0.5</v>
      </c>
      <c r="M12" s="48">
        <v>0.5</v>
      </c>
      <c r="N12" s="48">
        <v>0.7</v>
      </c>
      <c r="O12" s="48">
        <v>1.4</v>
      </c>
      <c r="P12" s="48">
        <v>0.6</v>
      </c>
      <c r="Q12" s="48">
        <v>0.5</v>
      </c>
      <c r="R12" s="48">
        <v>0.6</v>
      </c>
      <c r="S12" s="48">
        <v>0.6</v>
      </c>
      <c r="T12" s="48">
        <v>1.9</v>
      </c>
      <c r="U12" s="48">
        <v>0.5</v>
      </c>
      <c r="V12" s="48">
        <v>0.6</v>
      </c>
      <c r="W12" s="72">
        <f t="shared" si="0"/>
        <v>20.900000000000002</v>
      </c>
    </row>
    <row r="13" spans="1:29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72">
        <f t="shared" si="0"/>
        <v>0</v>
      </c>
    </row>
    <row r="14" spans="1:29" s="64" customFormat="1" ht="14.25" x14ac:dyDescent="0.2">
      <c r="A14" s="70" t="s">
        <v>46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3.2</v>
      </c>
      <c r="J14" s="48">
        <v>0</v>
      </c>
      <c r="K14" s="48">
        <v>0</v>
      </c>
      <c r="L14" s="48">
        <v>0</v>
      </c>
      <c r="M14" s="48">
        <v>-10.4</v>
      </c>
      <c r="N14" s="48">
        <v>0</v>
      </c>
      <c r="O14" s="48">
        <v>0</v>
      </c>
      <c r="P14" s="48">
        <v>0</v>
      </c>
      <c r="Q14" s="48">
        <v>0</v>
      </c>
      <c r="R14" s="48">
        <f>5.4-253.3</f>
        <v>-247.9</v>
      </c>
      <c r="S14" s="48">
        <v>0</v>
      </c>
      <c r="T14" s="48">
        <v>0</v>
      </c>
      <c r="U14" s="48">
        <v>0</v>
      </c>
      <c r="V14" s="48">
        <v>0</v>
      </c>
      <c r="W14" s="72">
        <f t="shared" si="0"/>
        <v>-255.1</v>
      </c>
    </row>
    <row r="15" spans="1:29" s="64" customFormat="1" ht="14.25" x14ac:dyDescent="0.2">
      <c r="A15" s="25" t="s">
        <v>42</v>
      </c>
      <c r="B15" s="26">
        <v>-10</v>
      </c>
      <c r="C15" s="26">
        <v>-6.3</v>
      </c>
      <c r="D15" s="26">
        <v>-6.8</v>
      </c>
      <c r="E15" s="26">
        <v>-0.1</v>
      </c>
      <c r="F15" s="26">
        <v>1.7</v>
      </c>
      <c r="G15" s="26">
        <v>-0.7</v>
      </c>
      <c r="H15" s="26">
        <v>23.4</v>
      </c>
      <c r="I15" s="26">
        <v>1.1000000000000001</v>
      </c>
      <c r="J15" s="26">
        <v>-0.5</v>
      </c>
      <c r="K15" s="26">
        <v>1.5</v>
      </c>
      <c r="L15" s="26">
        <v>0.8</v>
      </c>
      <c r="M15" s="26">
        <v>-0.5</v>
      </c>
      <c r="N15" s="26">
        <v>0.3</v>
      </c>
      <c r="O15" s="26">
        <v>-0.2</v>
      </c>
      <c r="P15" s="26">
        <v>-0.1</v>
      </c>
      <c r="Q15" s="26">
        <v>-0.2</v>
      </c>
      <c r="R15" s="26">
        <v>4.3</v>
      </c>
      <c r="S15" s="26">
        <v>0.4</v>
      </c>
      <c r="T15" s="26">
        <v>-4</v>
      </c>
      <c r="U15" s="26">
        <v>0.2</v>
      </c>
      <c r="V15" s="26">
        <v>0.2</v>
      </c>
      <c r="W15" s="72">
        <f t="shared" si="0"/>
        <v>4.4999999999999964</v>
      </c>
    </row>
    <row r="16" spans="1:29" ht="15" x14ac:dyDescent="0.25">
      <c r="A16" s="28" t="s">
        <v>38</v>
      </c>
      <c r="B16" s="29">
        <f>SUM(B10:B15)</f>
        <v>-39.700000000000003</v>
      </c>
      <c r="C16" s="29">
        <f t="shared" ref="C16:V16" si="1">SUM(C10:C15)</f>
        <v>-39.999999999999993</v>
      </c>
      <c r="D16" s="29">
        <f t="shared" si="1"/>
        <v>75.2</v>
      </c>
      <c r="E16" s="29">
        <f t="shared" si="1"/>
        <v>70.300000000000011</v>
      </c>
      <c r="F16" s="29">
        <f t="shared" si="1"/>
        <v>-41.199999999999996</v>
      </c>
      <c r="G16" s="29">
        <f t="shared" si="1"/>
        <v>30.400000000000002</v>
      </c>
      <c r="H16" s="29">
        <f t="shared" si="1"/>
        <v>38.300000000000004</v>
      </c>
      <c r="I16" s="29">
        <f t="shared" si="1"/>
        <v>22</v>
      </c>
      <c r="J16" s="29">
        <f t="shared" si="1"/>
        <v>-14.4</v>
      </c>
      <c r="K16" s="29">
        <f t="shared" si="1"/>
        <v>65.5</v>
      </c>
      <c r="L16" s="29">
        <f t="shared" si="1"/>
        <v>-3.7</v>
      </c>
      <c r="M16" s="29">
        <f t="shared" si="1"/>
        <v>81.599999999999994</v>
      </c>
      <c r="N16" s="29">
        <f t="shared" si="1"/>
        <v>95.5</v>
      </c>
      <c r="O16" s="29">
        <f t="shared" si="1"/>
        <v>12.600000000000003</v>
      </c>
      <c r="P16" s="29">
        <f t="shared" si="1"/>
        <v>-6.3999999999999986</v>
      </c>
      <c r="Q16" s="29">
        <f t="shared" si="1"/>
        <v>37.799999999999997</v>
      </c>
      <c r="R16" s="29">
        <f t="shared" si="1"/>
        <v>-219.7</v>
      </c>
      <c r="S16" s="29">
        <f t="shared" si="1"/>
        <v>19.100000000000001</v>
      </c>
      <c r="T16" s="29">
        <f t="shared" si="1"/>
        <v>-2.1</v>
      </c>
      <c r="U16" s="29">
        <f t="shared" si="1"/>
        <v>29.8</v>
      </c>
      <c r="V16" s="29">
        <f t="shared" si="1"/>
        <v>99.100000000000009</v>
      </c>
      <c r="W16" s="30">
        <f>SUM(W10:W15)</f>
        <v>310</v>
      </c>
    </row>
    <row r="17" spans="1:23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1"/>
    </row>
    <row r="18" spans="1:23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1"/>
    </row>
    <row r="19" spans="1:23" ht="15" x14ac:dyDescent="0.25">
      <c r="A19" s="28"/>
      <c r="B19" s="19"/>
      <c r="C19" s="1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41"/>
    </row>
    <row r="20" spans="1:23" ht="15" x14ac:dyDescent="0.25">
      <c r="A20" s="34" t="s">
        <v>9</v>
      </c>
      <c r="B20" s="28"/>
      <c r="C20" s="28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1"/>
    </row>
    <row r="21" spans="1:23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-55</v>
      </c>
      <c r="L21" s="35">
        <v>11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59">
        <f>SUM(B21:V21)</f>
        <v>-44</v>
      </c>
    </row>
    <row r="22" spans="1:23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20</v>
      </c>
      <c r="V22" s="38">
        <v>0</v>
      </c>
      <c r="W22" s="60">
        <f>SUM(B22:V22)</f>
        <v>20</v>
      </c>
    </row>
    <row r="23" spans="1:23" ht="15" x14ac:dyDescent="0.25">
      <c r="A23" s="34" t="s">
        <v>12</v>
      </c>
      <c r="B23" s="29">
        <f>SUM(B21:B22)</f>
        <v>0</v>
      </c>
      <c r="C23" s="29">
        <f t="shared" ref="C23:V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-55</v>
      </c>
      <c r="L23" s="29">
        <f t="shared" si="2"/>
        <v>11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20</v>
      </c>
      <c r="V23" s="29">
        <f t="shared" si="2"/>
        <v>0</v>
      </c>
      <c r="W23" s="30">
        <f>SUM(W21:W22)</f>
        <v>-24</v>
      </c>
    </row>
    <row r="24" spans="1:23" x14ac:dyDescent="0.2">
      <c r="W24" s="41"/>
    </row>
    <row r="25" spans="1:23" ht="15" x14ac:dyDescent="0.25">
      <c r="A25" s="28" t="s">
        <v>39</v>
      </c>
      <c r="B25" s="10">
        <f>B16+B23</f>
        <v>-39.700000000000003</v>
      </c>
      <c r="C25" s="10">
        <f t="shared" ref="C25:V25" si="3">C16+C23</f>
        <v>-39.999999999999993</v>
      </c>
      <c r="D25" s="10">
        <f t="shared" si="3"/>
        <v>75.2</v>
      </c>
      <c r="E25" s="10">
        <f t="shared" si="3"/>
        <v>70.300000000000011</v>
      </c>
      <c r="F25" s="10">
        <f t="shared" si="3"/>
        <v>-41.199999999999996</v>
      </c>
      <c r="G25" s="10">
        <f t="shared" si="3"/>
        <v>30.400000000000002</v>
      </c>
      <c r="H25" s="10">
        <f t="shared" si="3"/>
        <v>38.300000000000004</v>
      </c>
      <c r="I25" s="10">
        <f t="shared" si="3"/>
        <v>22</v>
      </c>
      <c r="J25" s="10">
        <f t="shared" si="3"/>
        <v>-14.4</v>
      </c>
      <c r="K25" s="10">
        <f t="shared" si="3"/>
        <v>10.5</v>
      </c>
      <c r="L25" s="10">
        <f t="shared" si="3"/>
        <v>7.3</v>
      </c>
      <c r="M25" s="10">
        <f t="shared" si="3"/>
        <v>81.599999999999994</v>
      </c>
      <c r="N25" s="10">
        <f t="shared" si="3"/>
        <v>95.5</v>
      </c>
      <c r="O25" s="10">
        <f t="shared" si="3"/>
        <v>12.600000000000003</v>
      </c>
      <c r="P25" s="10">
        <f t="shared" si="3"/>
        <v>-6.3999999999999986</v>
      </c>
      <c r="Q25" s="10">
        <f t="shared" si="3"/>
        <v>37.799999999999997</v>
      </c>
      <c r="R25" s="10">
        <f t="shared" si="3"/>
        <v>-219.7</v>
      </c>
      <c r="S25" s="10">
        <f t="shared" si="3"/>
        <v>19.100000000000001</v>
      </c>
      <c r="T25" s="10">
        <f t="shared" si="3"/>
        <v>-2.1</v>
      </c>
      <c r="U25" s="10">
        <f t="shared" si="3"/>
        <v>49.8</v>
      </c>
      <c r="V25" s="10">
        <f t="shared" si="3"/>
        <v>99.100000000000009</v>
      </c>
      <c r="W25" s="42">
        <f>W16+W23</f>
        <v>286</v>
      </c>
    </row>
    <row r="26" spans="1:23" ht="13.5" thickBot="1" x14ac:dyDescent="0.25">
      <c r="W26" s="44"/>
    </row>
    <row r="27" spans="1:23" ht="13.5" thickTop="1" x14ac:dyDescent="0.2"/>
  </sheetData>
  <mergeCells count="1">
    <mergeCell ref="Y1:AC1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7"/>
  <sheetViews>
    <sheetView workbookViewId="0">
      <pane xSplit="1" topLeftCell="M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36" s="3" customFormat="1" ht="29.25" customHeight="1" x14ac:dyDescent="0.4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AF1" s="87" t="s">
        <v>0</v>
      </c>
      <c r="AG1" s="87"/>
      <c r="AH1" s="87"/>
      <c r="AI1" s="87"/>
      <c r="AJ1" s="87"/>
    </row>
    <row r="2" spans="1:36" s="6" customFormat="1" ht="15.75" customHeight="1" x14ac:dyDescent="0.25">
      <c r="A2" s="57" t="s">
        <v>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AB2" s="7"/>
    </row>
    <row r="3" spans="1:36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36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6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36" ht="15.75" thickTop="1" x14ac:dyDescent="0.25">
      <c r="U6" s="8" t="s">
        <v>27</v>
      </c>
    </row>
    <row r="7" spans="1:36" s="58" customFormat="1" ht="15" x14ac:dyDescent="0.25">
      <c r="B7" s="13">
        <v>36923</v>
      </c>
      <c r="C7" s="13">
        <v>36924</v>
      </c>
      <c r="D7" s="13">
        <v>36927</v>
      </c>
      <c r="E7" s="13">
        <v>36928</v>
      </c>
      <c r="F7" s="13">
        <v>36929</v>
      </c>
      <c r="G7" s="13">
        <v>36930</v>
      </c>
      <c r="H7" s="13">
        <v>36931</v>
      </c>
      <c r="I7" s="13">
        <v>36934</v>
      </c>
      <c r="J7" s="13">
        <v>36935</v>
      </c>
      <c r="K7" s="13">
        <v>36936</v>
      </c>
      <c r="L7" s="13">
        <v>36937</v>
      </c>
      <c r="M7" s="13">
        <v>36938</v>
      </c>
      <c r="N7" s="13">
        <v>36942</v>
      </c>
      <c r="O7" s="13">
        <v>36943</v>
      </c>
      <c r="P7" s="13">
        <v>36944</v>
      </c>
      <c r="Q7" s="13">
        <v>36945</v>
      </c>
      <c r="R7" s="13">
        <v>36948</v>
      </c>
      <c r="S7" s="13">
        <v>36949</v>
      </c>
      <c r="T7" s="13">
        <v>36950</v>
      </c>
      <c r="U7" s="61" t="s">
        <v>4</v>
      </c>
    </row>
    <row r="8" spans="1:36" x14ac:dyDescent="0.2">
      <c r="A8" s="2"/>
      <c r="B8" s="2"/>
      <c r="C8" s="2"/>
      <c r="D8" s="2"/>
      <c r="E8" s="2"/>
      <c r="F8" s="2"/>
      <c r="G8" s="2"/>
      <c r="H8" s="2"/>
      <c r="I8" s="2"/>
      <c r="U8" s="41"/>
    </row>
    <row r="9" spans="1:36" ht="15" x14ac:dyDescent="0.25">
      <c r="A9" s="17" t="s">
        <v>5</v>
      </c>
      <c r="B9" s="19"/>
      <c r="C9" s="19"/>
      <c r="D9" s="19"/>
      <c r="E9" s="19"/>
      <c r="F9" s="19"/>
      <c r="G9" s="19"/>
      <c r="H9" s="19"/>
      <c r="I9" s="19"/>
      <c r="U9" s="41"/>
    </row>
    <row r="10" spans="1:36" ht="14.25" x14ac:dyDescent="0.2">
      <c r="A10" s="21" t="s">
        <v>6</v>
      </c>
      <c r="B10" s="22">
        <v>28</v>
      </c>
      <c r="C10" s="22">
        <v>5.0999999999999996</v>
      </c>
      <c r="D10" s="22">
        <v>-39.700000000000003</v>
      </c>
      <c r="E10" s="22">
        <v>-15.7</v>
      </c>
      <c r="F10" s="22">
        <v>30.1</v>
      </c>
      <c r="G10" s="22">
        <v>-53.5</v>
      </c>
      <c r="H10" s="22">
        <v>21.8</v>
      </c>
      <c r="I10" s="22">
        <v>17.100000000000001</v>
      </c>
      <c r="J10" s="46">
        <v>68.599999999999994</v>
      </c>
      <c r="K10" s="46">
        <v>-26.1</v>
      </c>
      <c r="L10" s="46">
        <v>7.9</v>
      </c>
      <c r="M10" s="46">
        <v>12.4</v>
      </c>
      <c r="N10" s="46">
        <v>2</v>
      </c>
      <c r="O10" s="46">
        <v>3.3</v>
      </c>
      <c r="P10" s="46">
        <v>-45.6</v>
      </c>
      <c r="Q10" s="46">
        <v>13.2</v>
      </c>
      <c r="R10" s="46">
        <v>12.8</v>
      </c>
      <c r="S10" s="46">
        <v>13.6</v>
      </c>
      <c r="T10" s="46">
        <v>-11.3</v>
      </c>
      <c r="U10" s="47">
        <f t="shared" ref="U10:U15" si="0">SUM(B10:T10)</f>
        <v>43.999999999999986</v>
      </c>
    </row>
    <row r="11" spans="1:36" s="64" customFormat="1" ht="14.25" x14ac:dyDescent="0.2">
      <c r="A11" s="25" t="s">
        <v>40</v>
      </c>
      <c r="B11" s="48">
        <v>13.8</v>
      </c>
      <c r="C11" s="48">
        <v>-23.8</v>
      </c>
      <c r="D11" s="48">
        <v>-31.6</v>
      </c>
      <c r="E11" s="48">
        <v>6.1</v>
      </c>
      <c r="F11" s="48">
        <v>-57.1</v>
      </c>
      <c r="G11" s="48">
        <v>37.1</v>
      </c>
      <c r="H11" s="48">
        <v>3.7</v>
      </c>
      <c r="I11" s="48">
        <v>19.100000000000001</v>
      </c>
      <c r="J11" s="27">
        <v>19.100000000000001</v>
      </c>
      <c r="K11" s="27">
        <v>10.7</v>
      </c>
      <c r="L11" s="27">
        <v>-11.3</v>
      </c>
      <c r="M11" s="27">
        <v>3.1</v>
      </c>
      <c r="N11" s="27">
        <v>-20.3</v>
      </c>
      <c r="O11" s="27">
        <v>-32.1</v>
      </c>
      <c r="P11" s="27">
        <v>-13.7</v>
      </c>
      <c r="Q11" s="27">
        <v>9.1</v>
      </c>
      <c r="R11" s="27">
        <v>-3</v>
      </c>
      <c r="S11" s="27">
        <v>-2.2000000000000002</v>
      </c>
      <c r="T11" s="27">
        <v>-7.6</v>
      </c>
      <c r="U11" s="49">
        <f t="shared" si="0"/>
        <v>-80.899999999999991</v>
      </c>
    </row>
    <row r="12" spans="1:36" s="64" customFormat="1" ht="14.25" x14ac:dyDescent="0.2">
      <c r="A12" s="70" t="s">
        <v>41</v>
      </c>
      <c r="B12" s="48">
        <v>0.6</v>
      </c>
      <c r="C12" s="48">
        <v>0.4</v>
      </c>
      <c r="D12" s="48">
        <v>1.5</v>
      </c>
      <c r="E12" s="48">
        <v>0.6</v>
      </c>
      <c r="F12" s="48">
        <v>0.5</v>
      </c>
      <c r="G12" s="48">
        <v>0.5</v>
      </c>
      <c r="H12" s="48">
        <v>0.5</v>
      </c>
      <c r="I12" s="48">
        <v>1.5</v>
      </c>
      <c r="J12" s="27">
        <v>0.5</v>
      </c>
      <c r="K12" s="27">
        <v>0.5</v>
      </c>
      <c r="L12" s="27">
        <v>0.5</v>
      </c>
      <c r="M12" s="27">
        <v>0.4</v>
      </c>
      <c r="N12" s="27">
        <v>2</v>
      </c>
      <c r="O12" s="27">
        <v>0.5</v>
      </c>
      <c r="P12" s="27">
        <v>0.6</v>
      </c>
      <c r="Q12" s="27">
        <v>0.5</v>
      </c>
      <c r="R12" s="27">
        <v>1.5</v>
      </c>
      <c r="S12" s="27">
        <v>0.5</v>
      </c>
      <c r="T12" s="27">
        <v>0.5</v>
      </c>
      <c r="U12" s="49">
        <f t="shared" si="0"/>
        <v>14.1</v>
      </c>
    </row>
    <row r="13" spans="1:36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49">
        <f t="shared" si="0"/>
        <v>0</v>
      </c>
    </row>
    <row r="14" spans="1:36" s="64" customFormat="1" ht="14.25" x14ac:dyDescent="0.2">
      <c r="A14" s="70" t="s">
        <v>46</v>
      </c>
      <c r="B14" s="48">
        <f>5.6-0.7</f>
        <v>4.8999999999999995</v>
      </c>
      <c r="C14" s="48">
        <v>0</v>
      </c>
      <c r="D14" s="48">
        <v>0</v>
      </c>
      <c r="E14" s="48">
        <v>0</v>
      </c>
      <c r="F14" s="48">
        <v>0</v>
      </c>
      <c r="G14" s="48">
        <v>25.6</v>
      </c>
      <c r="H14" s="48">
        <v>0</v>
      </c>
      <c r="I14" s="48">
        <v>-9.1</v>
      </c>
      <c r="J14" s="27">
        <v>0</v>
      </c>
      <c r="K14" s="27">
        <v>0</v>
      </c>
      <c r="L14" s="27">
        <v>-3</v>
      </c>
      <c r="M14" s="27">
        <v>0</v>
      </c>
      <c r="N14" s="27">
        <v>0</v>
      </c>
      <c r="O14" s="27">
        <v>25.9</v>
      </c>
      <c r="P14" s="27">
        <v>-3.6</v>
      </c>
      <c r="Q14" s="27">
        <v>-17.100000000000001</v>
      </c>
      <c r="R14" s="27">
        <v>0</v>
      </c>
      <c r="S14" s="27">
        <v>0</v>
      </c>
      <c r="T14" s="27">
        <v>0</v>
      </c>
      <c r="U14" s="49">
        <f t="shared" si="0"/>
        <v>23.599999999999994</v>
      </c>
    </row>
    <row r="15" spans="1:36" s="64" customFormat="1" ht="14.25" x14ac:dyDescent="0.2">
      <c r="A15" s="25" t="s">
        <v>42</v>
      </c>
      <c r="B15" s="48">
        <v>-0.5</v>
      </c>
      <c r="C15" s="48">
        <v>-0.2</v>
      </c>
      <c r="D15" s="48">
        <v>0</v>
      </c>
      <c r="E15" s="48">
        <v>0</v>
      </c>
      <c r="F15" s="48">
        <v>0.3</v>
      </c>
      <c r="G15" s="48">
        <v>-0.8</v>
      </c>
      <c r="H15" s="48">
        <v>-0.4</v>
      </c>
      <c r="I15" s="48">
        <v>0</v>
      </c>
      <c r="J15" s="48">
        <v>0.1</v>
      </c>
      <c r="K15" s="48">
        <v>0.1</v>
      </c>
      <c r="L15" s="48">
        <v>1.4</v>
      </c>
      <c r="M15" s="48">
        <v>0.2</v>
      </c>
      <c r="N15" s="48">
        <v>1.6</v>
      </c>
      <c r="O15" s="48">
        <v>-0.2</v>
      </c>
      <c r="P15" s="48">
        <v>0</v>
      </c>
      <c r="Q15" s="48">
        <v>-0.5</v>
      </c>
      <c r="R15" s="48">
        <v>0.3</v>
      </c>
      <c r="S15" s="48">
        <v>0.1</v>
      </c>
      <c r="T15" s="48">
        <v>-0.4</v>
      </c>
      <c r="U15" s="62">
        <f t="shared" si="0"/>
        <v>1.1000000000000001</v>
      </c>
    </row>
    <row r="16" spans="1:36" ht="15" x14ac:dyDescent="0.25">
      <c r="A16" s="28" t="s">
        <v>8</v>
      </c>
      <c r="B16" s="29">
        <f>SUM(B10:B15)</f>
        <v>46.8</v>
      </c>
      <c r="C16" s="29">
        <f t="shared" ref="C16:T16" si="1">SUM(C10:C15)</f>
        <v>-18.500000000000004</v>
      </c>
      <c r="D16" s="29">
        <f t="shared" si="1"/>
        <v>-69.800000000000011</v>
      </c>
      <c r="E16" s="29">
        <f t="shared" si="1"/>
        <v>-9</v>
      </c>
      <c r="F16" s="29">
        <f t="shared" si="1"/>
        <v>-26.2</v>
      </c>
      <c r="G16" s="29">
        <f t="shared" si="1"/>
        <v>8.9000000000000021</v>
      </c>
      <c r="H16" s="29">
        <f t="shared" si="1"/>
        <v>25.6</v>
      </c>
      <c r="I16" s="29">
        <f t="shared" si="1"/>
        <v>28.6</v>
      </c>
      <c r="J16" s="29">
        <f t="shared" si="1"/>
        <v>88.299999999999983</v>
      </c>
      <c r="K16" s="29">
        <f t="shared" si="1"/>
        <v>-14.800000000000002</v>
      </c>
      <c r="L16" s="29">
        <f t="shared" si="1"/>
        <v>-4.5</v>
      </c>
      <c r="M16" s="29">
        <f t="shared" si="1"/>
        <v>16.100000000000001</v>
      </c>
      <c r="N16" s="29">
        <f t="shared" si="1"/>
        <v>-14.700000000000001</v>
      </c>
      <c r="O16" s="29">
        <f t="shared" si="1"/>
        <v>-2.6000000000000023</v>
      </c>
      <c r="P16" s="29">
        <f t="shared" si="1"/>
        <v>-62.3</v>
      </c>
      <c r="Q16" s="29">
        <f t="shared" si="1"/>
        <v>5.1999999999999957</v>
      </c>
      <c r="R16" s="29">
        <f t="shared" si="1"/>
        <v>11.600000000000001</v>
      </c>
      <c r="S16" s="29">
        <f t="shared" si="1"/>
        <v>11.999999999999998</v>
      </c>
      <c r="T16" s="29">
        <f t="shared" si="1"/>
        <v>-18.799999999999997</v>
      </c>
      <c r="U16" s="32">
        <f>SUM(U10:U15)</f>
        <v>1.8999999999999901</v>
      </c>
    </row>
    <row r="17" spans="1:21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</row>
    <row r="19" spans="1:21" ht="15" x14ac:dyDescent="0.25">
      <c r="A19" s="28"/>
      <c r="B19" s="50"/>
      <c r="C19" s="50"/>
      <c r="D19" s="50"/>
      <c r="E19" s="50"/>
      <c r="F19" s="50"/>
      <c r="G19" s="50"/>
      <c r="H19" s="50"/>
      <c r="I19" s="5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1"/>
    </row>
    <row r="20" spans="1:21" ht="15" x14ac:dyDescent="0.25">
      <c r="A20" s="34" t="s">
        <v>9</v>
      </c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1"/>
    </row>
    <row r="21" spans="1:21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100</v>
      </c>
      <c r="R21" s="35">
        <v>-100</v>
      </c>
      <c r="S21" s="35">
        <v>0</v>
      </c>
      <c r="T21" s="35">
        <v>0</v>
      </c>
      <c r="U21" s="36">
        <f>SUM(B21:T21)</f>
        <v>0</v>
      </c>
    </row>
    <row r="22" spans="1:21" ht="14.25" x14ac:dyDescent="0.2">
      <c r="A22" s="19" t="s">
        <v>11</v>
      </c>
      <c r="B22" s="38">
        <v>11.4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9">
        <f>SUM(B22:T22)</f>
        <v>11.4</v>
      </c>
    </row>
    <row r="23" spans="1:21" ht="15" x14ac:dyDescent="0.25">
      <c r="A23" s="34" t="s">
        <v>12</v>
      </c>
      <c r="B23" s="29">
        <f>SUM(B21:B22)</f>
        <v>11.4</v>
      </c>
      <c r="C23" s="29">
        <f t="shared" ref="C23:T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100</v>
      </c>
      <c r="R23" s="29">
        <f t="shared" si="2"/>
        <v>-100</v>
      </c>
      <c r="S23" s="29">
        <f t="shared" si="2"/>
        <v>0</v>
      </c>
      <c r="T23" s="29">
        <f t="shared" si="2"/>
        <v>0</v>
      </c>
      <c r="U23" s="32">
        <f>SUM(U21:U22)</f>
        <v>11.4</v>
      </c>
    </row>
    <row r="24" spans="1:21" x14ac:dyDescent="0.2">
      <c r="U24" s="41"/>
    </row>
    <row r="25" spans="1:21" ht="15" x14ac:dyDescent="0.25">
      <c r="A25" s="28" t="s">
        <v>13</v>
      </c>
      <c r="B25" s="10">
        <f>B16+B23</f>
        <v>58.199999999999996</v>
      </c>
      <c r="C25" s="10">
        <f t="shared" ref="C25:T25" si="3">C16+C23</f>
        <v>-18.500000000000004</v>
      </c>
      <c r="D25" s="10">
        <f t="shared" si="3"/>
        <v>-69.800000000000011</v>
      </c>
      <c r="E25" s="10">
        <f t="shared" si="3"/>
        <v>-9</v>
      </c>
      <c r="F25" s="10">
        <f t="shared" si="3"/>
        <v>-26.2</v>
      </c>
      <c r="G25" s="10">
        <f t="shared" si="3"/>
        <v>8.9000000000000021</v>
      </c>
      <c r="H25" s="10">
        <f t="shared" si="3"/>
        <v>25.6</v>
      </c>
      <c r="I25" s="10">
        <f t="shared" si="3"/>
        <v>28.6</v>
      </c>
      <c r="J25" s="10">
        <f t="shared" si="3"/>
        <v>88.299999999999983</v>
      </c>
      <c r="K25" s="10">
        <f t="shared" si="3"/>
        <v>-14.800000000000002</v>
      </c>
      <c r="L25" s="10">
        <f t="shared" si="3"/>
        <v>-4.5</v>
      </c>
      <c r="M25" s="10">
        <f t="shared" si="3"/>
        <v>16.100000000000001</v>
      </c>
      <c r="N25" s="10">
        <f t="shared" si="3"/>
        <v>-14.700000000000001</v>
      </c>
      <c r="O25" s="10">
        <f t="shared" si="3"/>
        <v>-2.6000000000000023</v>
      </c>
      <c r="P25" s="10">
        <f t="shared" si="3"/>
        <v>-62.3</v>
      </c>
      <c r="Q25" s="10">
        <f t="shared" si="3"/>
        <v>105.19999999999999</v>
      </c>
      <c r="R25" s="10">
        <f t="shared" si="3"/>
        <v>-88.4</v>
      </c>
      <c r="S25" s="10">
        <f t="shared" si="3"/>
        <v>11.999999999999998</v>
      </c>
      <c r="T25" s="10">
        <f t="shared" si="3"/>
        <v>-18.799999999999997</v>
      </c>
      <c r="U25" s="42">
        <f>U16+U23</f>
        <v>13.29999999999999</v>
      </c>
    </row>
    <row r="26" spans="1:21" ht="13.5" thickBot="1" x14ac:dyDescent="0.25">
      <c r="U26" s="44"/>
    </row>
    <row r="27" spans="1:21" ht="13.5" thickTop="1" x14ac:dyDescent="0.2"/>
  </sheetData>
  <mergeCells count="1">
    <mergeCell ref="AF1:AJ1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27"/>
  <sheetViews>
    <sheetView topLeftCell="A2" workbookViewId="0">
      <pane xSplit="1" topLeftCell="U1" activePane="topRight" state="frozen"/>
      <selection pane="topRight" activeCell="Z18" sqref="Z18"/>
    </sheetView>
  </sheetViews>
  <sheetFormatPr defaultRowHeight="12.75" x14ac:dyDescent="0.2"/>
  <cols>
    <col min="1" max="1" width="47" bestFit="1" customWidth="1"/>
    <col min="24" max="24" width="10.42578125" bestFit="1" customWidth="1"/>
  </cols>
  <sheetData>
    <row r="1" spans="1:73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BQ1" s="87" t="s">
        <v>0</v>
      </c>
      <c r="BR1" s="87"/>
      <c r="BS1" s="87"/>
      <c r="BT1" s="87"/>
      <c r="BU1" s="87"/>
    </row>
    <row r="2" spans="1:73" s="6" customFormat="1" ht="15.75" customHeight="1" x14ac:dyDescent="0.25">
      <c r="A2" s="57" t="s">
        <v>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BM2" s="7"/>
    </row>
    <row r="3" spans="1:73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P3" s="7"/>
    </row>
    <row r="4" spans="1:73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P4" s="7"/>
    </row>
    <row r="5" spans="1:73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P5" s="7"/>
    </row>
    <row r="6" spans="1:73" ht="15.75" thickTop="1" x14ac:dyDescent="0.25">
      <c r="X6" s="8" t="s">
        <v>20</v>
      </c>
    </row>
    <row r="7" spans="1:73" s="58" customFormat="1" ht="15" x14ac:dyDescent="0.25">
      <c r="B7" s="13">
        <v>36951</v>
      </c>
      <c r="C7" s="13">
        <v>36952</v>
      </c>
      <c r="D7" s="13">
        <v>36955</v>
      </c>
      <c r="E7" s="13">
        <v>36956</v>
      </c>
      <c r="F7" s="13">
        <v>36957</v>
      </c>
      <c r="G7" s="13">
        <v>36958</v>
      </c>
      <c r="H7" s="13">
        <v>36959</v>
      </c>
      <c r="I7" s="13">
        <v>36962</v>
      </c>
      <c r="J7" s="13">
        <v>36963</v>
      </c>
      <c r="K7" s="13">
        <v>36964</v>
      </c>
      <c r="L7" s="13">
        <v>36965</v>
      </c>
      <c r="M7" s="13">
        <v>36966</v>
      </c>
      <c r="N7" s="13">
        <v>36969</v>
      </c>
      <c r="O7" s="13">
        <v>36970</v>
      </c>
      <c r="P7" s="13">
        <v>36971</v>
      </c>
      <c r="Q7" s="13">
        <v>36972</v>
      </c>
      <c r="R7" s="13">
        <v>36973</v>
      </c>
      <c r="S7" s="13">
        <v>36976</v>
      </c>
      <c r="T7" s="13">
        <v>36977</v>
      </c>
      <c r="U7" s="13">
        <v>36978</v>
      </c>
      <c r="V7" s="13">
        <v>36979</v>
      </c>
      <c r="W7" s="13">
        <v>36980</v>
      </c>
      <c r="X7" s="14" t="s">
        <v>4</v>
      </c>
    </row>
    <row r="8" spans="1:73" x14ac:dyDescent="0.2">
      <c r="A8" s="2"/>
      <c r="X8" s="41"/>
    </row>
    <row r="9" spans="1:73" ht="15" x14ac:dyDescent="0.25">
      <c r="A9" s="17" t="s">
        <v>37</v>
      </c>
      <c r="X9" s="41"/>
    </row>
    <row r="10" spans="1:73" ht="14.25" x14ac:dyDescent="0.2">
      <c r="A10" s="21" t="s">
        <v>6</v>
      </c>
      <c r="B10" s="46">
        <v>-13.8</v>
      </c>
      <c r="C10" s="46">
        <v>7.9</v>
      </c>
      <c r="D10" s="46">
        <v>39.799999999999997</v>
      </c>
      <c r="E10" s="46">
        <v>-22.5</v>
      </c>
      <c r="F10" s="46">
        <v>23.9</v>
      </c>
      <c r="G10" s="46">
        <v>6.9</v>
      </c>
      <c r="H10" s="46">
        <v>40.799999999999997</v>
      </c>
      <c r="I10" s="46">
        <v>23</v>
      </c>
      <c r="J10" s="46">
        <v>-16.5</v>
      </c>
      <c r="K10" s="46">
        <v>-11.7</v>
      </c>
      <c r="L10" s="46">
        <v>9.5</v>
      </c>
      <c r="M10" s="46">
        <v>11.1</v>
      </c>
      <c r="N10" s="46">
        <v>38.5</v>
      </c>
      <c r="O10" s="46">
        <v>44.9</v>
      </c>
      <c r="P10" s="46">
        <v>12.4</v>
      </c>
      <c r="Q10" s="46">
        <v>-9.9</v>
      </c>
      <c r="R10" s="46">
        <v>15.1</v>
      </c>
      <c r="S10" s="46">
        <v>20.3</v>
      </c>
      <c r="T10" s="46">
        <v>-27.3</v>
      </c>
      <c r="U10" s="46">
        <v>67.3</v>
      </c>
      <c r="V10" s="46">
        <v>33.4</v>
      </c>
      <c r="W10" s="46">
        <v>42.7</v>
      </c>
      <c r="X10" s="47">
        <f t="shared" ref="X10:X15" si="0">SUM(B10:W10)</f>
        <v>335.79999999999995</v>
      </c>
    </row>
    <row r="11" spans="1:73" s="64" customFormat="1" ht="14.25" x14ac:dyDescent="0.2">
      <c r="A11" s="25" t="s">
        <v>40</v>
      </c>
      <c r="B11" s="27">
        <v>25.3</v>
      </c>
      <c r="C11" s="27">
        <v>7</v>
      </c>
      <c r="D11" s="27">
        <v>40.6</v>
      </c>
      <c r="E11" s="27">
        <v>10.1</v>
      </c>
      <c r="F11" s="27">
        <v>-8.1</v>
      </c>
      <c r="G11" s="27">
        <v>8.1</v>
      </c>
      <c r="H11" s="27">
        <v>5.3</v>
      </c>
      <c r="I11" s="27">
        <v>-20.7</v>
      </c>
      <c r="J11" s="27">
        <v>-21.1</v>
      </c>
      <c r="K11" s="27">
        <v>-0.5</v>
      </c>
      <c r="L11" s="27">
        <v>16.5</v>
      </c>
      <c r="M11" s="27">
        <v>30.5</v>
      </c>
      <c r="N11" s="27">
        <v>25.5</v>
      </c>
      <c r="O11" s="27">
        <v>4.0999999999999996</v>
      </c>
      <c r="P11" s="27">
        <v>10</v>
      </c>
      <c r="Q11" s="27">
        <v>3.8</v>
      </c>
      <c r="R11" s="27">
        <v>7.4</v>
      </c>
      <c r="S11" s="27">
        <v>1.5</v>
      </c>
      <c r="T11" s="27">
        <v>15.2</v>
      </c>
      <c r="U11" s="27">
        <v>7.4</v>
      </c>
      <c r="V11" s="27">
        <v>1</v>
      </c>
      <c r="W11" s="27">
        <v>18</v>
      </c>
      <c r="X11" s="49">
        <f t="shared" si="0"/>
        <v>186.9</v>
      </c>
    </row>
    <row r="12" spans="1:73" s="64" customFormat="1" ht="14.25" x14ac:dyDescent="0.2">
      <c r="A12" s="70" t="s">
        <v>41</v>
      </c>
      <c r="B12" s="27">
        <v>0.6</v>
      </c>
      <c r="C12" s="27">
        <v>0.5</v>
      </c>
      <c r="D12" s="27">
        <v>1.5</v>
      </c>
      <c r="E12" s="27">
        <v>0.6</v>
      </c>
      <c r="F12" s="27">
        <v>0.5</v>
      </c>
      <c r="G12" s="27">
        <v>0.5</v>
      </c>
      <c r="H12" s="27">
        <v>0.4</v>
      </c>
      <c r="I12" s="27">
        <v>1.5</v>
      </c>
      <c r="J12" s="27">
        <v>0.5</v>
      </c>
      <c r="K12" s="27">
        <v>0.4</v>
      </c>
      <c r="L12" s="27">
        <v>0.5</v>
      </c>
      <c r="M12" s="27">
        <v>0.5</v>
      </c>
      <c r="N12" s="27">
        <v>1.5</v>
      </c>
      <c r="O12" s="27">
        <v>0.4</v>
      </c>
      <c r="P12" s="27">
        <v>0.5</v>
      </c>
      <c r="Q12" s="27">
        <v>0.3</v>
      </c>
      <c r="R12" s="27">
        <v>0.5</v>
      </c>
      <c r="S12" s="27">
        <v>1.3</v>
      </c>
      <c r="T12" s="27">
        <v>0.4</v>
      </c>
      <c r="U12" s="27">
        <v>0.5</v>
      </c>
      <c r="V12" s="27">
        <v>0.4</v>
      </c>
      <c r="W12" s="27">
        <v>0.3</v>
      </c>
      <c r="X12" s="49">
        <f t="shared" si="0"/>
        <v>14.100000000000003</v>
      </c>
    </row>
    <row r="13" spans="1:73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225</v>
      </c>
      <c r="T13" s="27">
        <v>0</v>
      </c>
      <c r="U13" s="27">
        <v>0</v>
      </c>
      <c r="V13" s="27">
        <v>0</v>
      </c>
      <c r="W13" s="27">
        <v>0</v>
      </c>
      <c r="X13" s="49">
        <f t="shared" si="0"/>
        <v>225</v>
      </c>
    </row>
    <row r="14" spans="1:73" s="64" customFormat="1" ht="14.25" x14ac:dyDescent="0.2">
      <c r="A14" s="70" t="s">
        <v>46</v>
      </c>
      <c r="B14" s="27">
        <v>0</v>
      </c>
      <c r="C14" s="27">
        <v>1.7</v>
      </c>
      <c r="D14" s="27">
        <f>0.2</f>
        <v>0.2</v>
      </c>
      <c r="E14" s="27">
        <v>0</v>
      </c>
      <c r="F14" s="27">
        <f>0.2</f>
        <v>0.2</v>
      </c>
      <c r="G14" s="27">
        <f>0.3</f>
        <v>0.3</v>
      </c>
      <c r="H14" s="27">
        <f>4.9-3</f>
        <v>1.9000000000000004</v>
      </c>
      <c r="I14" s="27">
        <v>0</v>
      </c>
      <c r="J14" s="27">
        <v>0</v>
      </c>
      <c r="K14" s="27">
        <v>0.3</v>
      </c>
      <c r="L14" s="27">
        <v>0.7</v>
      </c>
      <c r="M14" s="27">
        <v>-0.1</v>
      </c>
      <c r="N14" s="27">
        <v>0</v>
      </c>
      <c r="O14" s="27">
        <v>0</v>
      </c>
      <c r="P14" s="27">
        <v>0</v>
      </c>
      <c r="Q14" s="27">
        <v>1</v>
      </c>
      <c r="R14" s="27">
        <v>-2.1</v>
      </c>
      <c r="S14" s="27">
        <f>225-4.3-225</f>
        <v>-4.3000000000000114</v>
      </c>
      <c r="T14" s="27">
        <v>0</v>
      </c>
      <c r="U14" s="27">
        <f>3.4+0.2-4</f>
        <v>-0.39999999999999991</v>
      </c>
      <c r="V14" s="27">
        <f>3.1+1.1</f>
        <v>4.2</v>
      </c>
      <c r="W14" s="27">
        <f>0.9+2.6+247.3</f>
        <v>250.8</v>
      </c>
      <c r="X14" s="49">
        <f t="shared" si="0"/>
        <v>254.4</v>
      </c>
    </row>
    <row r="15" spans="1:73" s="64" customFormat="1" ht="14.25" x14ac:dyDescent="0.2">
      <c r="A15" s="25" t="s">
        <v>42</v>
      </c>
      <c r="B15" s="27">
        <v>0.2</v>
      </c>
      <c r="C15" s="27">
        <v>-0.3</v>
      </c>
      <c r="D15" s="27">
        <v>0.1</v>
      </c>
      <c r="E15" s="27">
        <v>0.2</v>
      </c>
      <c r="F15" s="27">
        <v>0.3</v>
      </c>
      <c r="G15" s="27">
        <v>3.2</v>
      </c>
      <c r="H15" s="27">
        <v>0</v>
      </c>
      <c r="I15" s="27">
        <v>-0.2</v>
      </c>
      <c r="J15" s="27">
        <v>0.6</v>
      </c>
      <c r="K15" s="27">
        <v>-0.5</v>
      </c>
      <c r="L15" s="27">
        <v>-0.6</v>
      </c>
      <c r="M15" s="27">
        <v>1</v>
      </c>
      <c r="N15" s="27">
        <v>-2.6</v>
      </c>
      <c r="O15" s="27">
        <v>-5.8</v>
      </c>
      <c r="P15" s="27">
        <v>-4.3</v>
      </c>
      <c r="Q15" s="27">
        <v>-3.3</v>
      </c>
      <c r="R15" s="27">
        <v>3.1</v>
      </c>
      <c r="S15" s="27">
        <v>4.0999999999999996</v>
      </c>
      <c r="T15" s="27">
        <v>4.0999999999999996</v>
      </c>
      <c r="U15" s="27">
        <v>-3</v>
      </c>
      <c r="V15" s="27">
        <v>-2.8</v>
      </c>
      <c r="W15" s="27">
        <v>11.1</v>
      </c>
      <c r="X15" s="49">
        <f t="shared" si="0"/>
        <v>4.5999999999999988</v>
      </c>
    </row>
    <row r="16" spans="1:73" ht="15" x14ac:dyDescent="0.25">
      <c r="A16" s="28" t="s">
        <v>38</v>
      </c>
      <c r="B16" s="29">
        <f>SUM(B10:B15)</f>
        <v>12.299999999999999</v>
      </c>
      <c r="C16" s="29">
        <f t="shared" ref="C16:W16" si="1">SUM(C10:C15)</f>
        <v>16.8</v>
      </c>
      <c r="D16" s="29">
        <f t="shared" si="1"/>
        <v>82.2</v>
      </c>
      <c r="E16" s="29">
        <f t="shared" si="1"/>
        <v>-11.600000000000001</v>
      </c>
      <c r="F16" s="29">
        <f t="shared" si="1"/>
        <v>16.799999999999997</v>
      </c>
      <c r="G16" s="29">
        <f t="shared" si="1"/>
        <v>19</v>
      </c>
      <c r="H16" s="29">
        <f t="shared" si="1"/>
        <v>48.399999999999991</v>
      </c>
      <c r="I16" s="29">
        <f t="shared" si="1"/>
        <v>3.6000000000000005</v>
      </c>
      <c r="J16" s="29">
        <f t="shared" si="1"/>
        <v>-36.5</v>
      </c>
      <c r="K16" s="29">
        <f t="shared" si="1"/>
        <v>-11.999999999999998</v>
      </c>
      <c r="L16" s="29">
        <f t="shared" si="1"/>
        <v>26.599999999999998</v>
      </c>
      <c r="M16" s="29">
        <f t="shared" si="1"/>
        <v>43</v>
      </c>
      <c r="N16" s="29">
        <f t="shared" si="1"/>
        <v>62.9</v>
      </c>
      <c r="O16" s="29">
        <f t="shared" si="1"/>
        <v>43.6</v>
      </c>
      <c r="P16" s="29">
        <f t="shared" si="1"/>
        <v>18.599999999999998</v>
      </c>
      <c r="Q16" s="29">
        <f t="shared" si="1"/>
        <v>-8.1000000000000014</v>
      </c>
      <c r="R16" s="29">
        <f t="shared" si="1"/>
        <v>24</v>
      </c>
      <c r="S16" s="29">
        <f t="shared" si="1"/>
        <v>247.89999999999998</v>
      </c>
      <c r="T16" s="29">
        <f t="shared" si="1"/>
        <v>-7.6000000000000014</v>
      </c>
      <c r="U16" s="29">
        <f t="shared" si="1"/>
        <v>71.8</v>
      </c>
      <c r="V16" s="29">
        <f t="shared" si="1"/>
        <v>36.200000000000003</v>
      </c>
      <c r="W16" s="29">
        <f t="shared" si="1"/>
        <v>322.90000000000003</v>
      </c>
      <c r="X16" s="30">
        <f>SUM(X10:X15)</f>
        <v>1020.8</v>
      </c>
    </row>
    <row r="17" spans="1:24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1:24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51"/>
    </row>
    <row r="20" spans="1:24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1"/>
    </row>
    <row r="21" spans="1:24" ht="14.25" x14ac:dyDescent="0.2">
      <c r="A21" s="21" t="s">
        <v>10</v>
      </c>
      <c r="B21" s="35">
        <v>0</v>
      </c>
      <c r="C21" s="35">
        <v>0</v>
      </c>
      <c r="D21" s="35">
        <v>-1.7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40</v>
      </c>
      <c r="Q21" s="35">
        <v>0</v>
      </c>
      <c r="R21" s="35">
        <v>0</v>
      </c>
      <c r="S21" s="35">
        <v>0</v>
      </c>
      <c r="T21" s="35">
        <v>0</v>
      </c>
      <c r="U21" s="35">
        <v>75</v>
      </c>
      <c r="V21" s="35">
        <v>0</v>
      </c>
      <c r="W21" s="35">
        <f>67+12.8+7.3</f>
        <v>87.1</v>
      </c>
      <c r="X21" s="36">
        <f>SUM(B21:W21)</f>
        <v>200.39999999999998</v>
      </c>
    </row>
    <row r="22" spans="1:24" ht="14.25" x14ac:dyDescent="0.2">
      <c r="A22" s="19" t="s">
        <v>11</v>
      </c>
      <c r="B22" s="38">
        <v>0</v>
      </c>
      <c r="C22" s="38">
        <v>0</v>
      </c>
      <c r="D22" s="38">
        <v>-18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26.2</v>
      </c>
      <c r="V22" s="38">
        <v>0</v>
      </c>
      <c r="W22" s="38">
        <f>285.2</f>
        <v>285.2</v>
      </c>
      <c r="X22" s="36">
        <f>SUM(B22:W22)</f>
        <v>293.39999999999998</v>
      </c>
    </row>
    <row r="23" spans="1:24" ht="15" x14ac:dyDescent="0.25">
      <c r="A23" s="34" t="s">
        <v>12</v>
      </c>
      <c r="B23" s="29">
        <f>SUM(B21:B22)</f>
        <v>0</v>
      </c>
      <c r="C23" s="29">
        <f t="shared" ref="C23:W23" si="2">SUM(C21:C22)</f>
        <v>0</v>
      </c>
      <c r="D23" s="29">
        <f t="shared" si="2"/>
        <v>-19.7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40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101.2</v>
      </c>
      <c r="V23" s="29">
        <f t="shared" si="2"/>
        <v>0</v>
      </c>
      <c r="W23" s="29">
        <f t="shared" si="2"/>
        <v>372.29999999999995</v>
      </c>
      <c r="X23" s="30">
        <f>SUM(X21:X22)</f>
        <v>493.79999999999995</v>
      </c>
    </row>
    <row r="24" spans="1:24" x14ac:dyDescent="0.2">
      <c r="X24" s="41"/>
    </row>
    <row r="25" spans="1:24" ht="15" x14ac:dyDescent="0.25">
      <c r="A25" s="28" t="s">
        <v>39</v>
      </c>
      <c r="B25" s="10">
        <f>B16+B23</f>
        <v>12.299999999999999</v>
      </c>
      <c r="C25" s="10">
        <f t="shared" ref="C25:W25" si="3">C16+C23</f>
        <v>16.8</v>
      </c>
      <c r="D25" s="10">
        <f t="shared" si="3"/>
        <v>62.5</v>
      </c>
      <c r="E25" s="10">
        <f t="shared" si="3"/>
        <v>-11.600000000000001</v>
      </c>
      <c r="F25" s="10">
        <f t="shared" si="3"/>
        <v>16.799999999999997</v>
      </c>
      <c r="G25" s="10">
        <f t="shared" si="3"/>
        <v>19</v>
      </c>
      <c r="H25" s="10">
        <f t="shared" si="3"/>
        <v>48.399999999999991</v>
      </c>
      <c r="I25" s="10">
        <f t="shared" si="3"/>
        <v>3.6000000000000005</v>
      </c>
      <c r="J25" s="10">
        <f t="shared" si="3"/>
        <v>-36.5</v>
      </c>
      <c r="K25" s="10">
        <f t="shared" si="3"/>
        <v>-11.999999999999998</v>
      </c>
      <c r="L25" s="10">
        <f t="shared" si="3"/>
        <v>26.599999999999998</v>
      </c>
      <c r="M25" s="10">
        <f t="shared" si="3"/>
        <v>43</v>
      </c>
      <c r="N25" s="10">
        <f t="shared" si="3"/>
        <v>62.9</v>
      </c>
      <c r="O25" s="10">
        <f t="shared" si="3"/>
        <v>43.6</v>
      </c>
      <c r="P25" s="10">
        <f t="shared" si="3"/>
        <v>58.599999999999994</v>
      </c>
      <c r="Q25" s="10">
        <f t="shared" si="3"/>
        <v>-8.1000000000000014</v>
      </c>
      <c r="R25" s="10">
        <f t="shared" si="3"/>
        <v>24</v>
      </c>
      <c r="S25" s="10">
        <f t="shared" si="3"/>
        <v>247.89999999999998</v>
      </c>
      <c r="T25" s="10">
        <f t="shared" si="3"/>
        <v>-7.6000000000000014</v>
      </c>
      <c r="U25" s="10">
        <f t="shared" si="3"/>
        <v>173</v>
      </c>
      <c r="V25" s="10">
        <f t="shared" si="3"/>
        <v>36.200000000000003</v>
      </c>
      <c r="W25" s="10">
        <f t="shared" si="3"/>
        <v>695.2</v>
      </c>
      <c r="X25" s="42">
        <f>X16+X23</f>
        <v>1514.6</v>
      </c>
    </row>
    <row r="26" spans="1:24" ht="13.5" thickBot="1" x14ac:dyDescent="0.25">
      <c r="X26" s="44"/>
    </row>
    <row r="27" spans="1:24" ht="13.5" thickTop="1" x14ac:dyDescent="0.2"/>
  </sheetData>
  <mergeCells count="1">
    <mergeCell ref="BQ1:BU1"/>
  </mergeCells>
  <phoneticPr fontId="0" type="noConversion"/>
  <pageMargins left="0.75" right="0.75" top="1" bottom="1" header="0.5" footer="0.5"/>
  <pageSetup scale="4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"/>
  <sheetViews>
    <sheetView workbookViewId="0">
      <pane xSplit="1" topLeftCell="O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38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H1" s="87" t="s">
        <v>0</v>
      </c>
      <c r="AI1" s="87"/>
      <c r="AJ1" s="87"/>
      <c r="AK1" s="87"/>
      <c r="AL1" s="87"/>
    </row>
    <row r="2" spans="1:38" s="6" customFormat="1" ht="15.75" customHeight="1" x14ac:dyDescent="0.25">
      <c r="A2" s="57" t="s">
        <v>21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AD2" s="7"/>
    </row>
    <row r="3" spans="1:38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38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38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38" ht="15.75" thickTop="1" x14ac:dyDescent="0.25">
      <c r="V6" s="8" t="s">
        <v>22</v>
      </c>
    </row>
    <row r="7" spans="1:38" s="58" customFormat="1" ht="15" x14ac:dyDescent="0.25">
      <c r="B7" s="13">
        <v>36983</v>
      </c>
      <c r="C7" s="13">
        <v>36984</v>
      </c>
      <c r="D7" s="13">
        <v>36985</v>
      </c>
      <c r="E7" s="13">
        <v>36986</v>
      </c>
      <c r="F7" s="13">
        <v>36987</v>
      </c>
      <c r="G7" s="13">
        <v>36990</v>
      </c>
      <c r="H7" s="13">
        <v>36991</v>
      </c>
      <c r="I7" s="13">
        <v>36992</v>
      </c>
      <c r="J7" s="13">
        <v>36993</v>
      </c>
      <c r="K7" s="13">
        <v>36997</v>
      </c>
      <c r="L7" s="13">
        <v>36998</v>
      </c>
      <c r="M7" s="13">
        <v>36999</v>
      </c>
      <c r="N7" s="13">
        <v>37000</v>
      </c>
      <c r="O7" s="13">
        <v>37001</v>
      </c>
      <c r="P7" s="13">
        <v>37004</v>
      </c>
      <c r="Q7" s="13">
        <v>37005</v>
      </c>
      <c r="R7" s="13">
        <v>37006</v>
      </c>
      <c r="S7" s="13">
        <v>37007</v>
      </c>
      <c r="T7" s="13">
        <v>37008</v>
      </c>
      <c r="U7" s="13">
        <v>37011</v>
      </c>
      <c r="V7" s="14" t="s">
        <v>4</v>
      </c>
    </row>
    <row r="8" spans="1:38" x14ac:dyDescent="0.2">
      <c r="A8" s="2"/>
      <c r="V8" s="41"/>
    </row>
    <row r="9" spans="1:38" ht="15" x14ac:dyDescent="0.25">
      <c r="A9" s="17" t="s">
        <v>37</v>
      </c>
      <c r="V9" s="41"/>
    </row>
    <row r="10" spans="1:38" ht="14.25" x14ac:dyDescent="0.2">
      <c r="A10" s="21" t="s">
        <v>6</v>
      </c>
      <c r="B10" s="46">
        <v>66.400000000000006</v>
      </c>
      <c r="C10" s="46">
        <v>57.3</v>
      </c>
      <c r="D10" s="46">
        <v>75.3</v>
      </c>
      <c r="E10" s="46">
        <v>-44</v>
      </c>
      <c r="F10" s="46">
        <v>-38.299999999999997</v>
      </c>
      <c r="G10" s="46">
        <v>-213.5</v>
      </c>
      <c r="H10" s="46">
        <v>99.4</v>
      </c>
      <c r="I10" s="46">
        <v>-62.2</v>
      </c>
      <c r="J10" s="46">
        <v>-60.8</v>
      </c>
      <c r="K10" s="46">
        <v>-9.6999999999999993</v>
      </c>
      <c r="L10" s="46">
        <v>6</v>
      </c>
      <c r="M10" s="46">
        <v>0</v>
      </c>
      <c r="N10" s="46">
        <v>57.9</v>
      </c>
      <c r="O10" s="46">
        <v>-51.3</v>
      </c>
      <c r="P10" s="46">
        <v>24.7</v>
      </c>
      <c r="Q10" s="46">
        <v>-15.7</v>
      </c>
      <c r="R10" s="46">
        <v>-155.19999999999999</v>
      </c>
      <c r="S10" s="46">
        <v>63</v>
      </c>
      <c r="T10" s="46">
        <v>77.2</v>
      </c>
      <c r="U10" s="46">
        <v>-14.6</v>
      </c>
      <c r="V10" s="47">
        <f t="shared" ref="V10:V15" si="0">SUM(B10:U10)</f>
        <v>-138.1</v>
      </c>
    </row>
    <row r="11" spans="1:38" s="64" customFormat="1" ht="14.25" x14ac:dyDescent="0.2">
      <c r="A11" s="25" t="s">
        <v>40</v>
      </c>
      <c r="B11" s="27">
        <v>8.8000000000000007</v>
      </c>
      <c r="C11" s="27">
        <v>9.3000000000000007</v>
      </c>
      <c r="D11" s="27">
        <v>-4.5999999999999996</v>
      </c>
      <c r="E11" s="27">
        <v>-5.5</v>
      </c>
      <c r="F11" s="27">
        <v>-3.9</v>
      </c>
      <c r="G11" s="27">
        <v>8.9</v>
      </c>
      <c r="H11" s="27">
        <v>1.8</v>
      </c>
      <c r="I11" s="27">
        <v>17.5</v>
      </c>
      <c r="J11" s="27">
        <v>6.5</v>
      </c>
      <c r="K11" s="27">
        <v>-5.7</v>
      </c>
      <c r="L11" s="27">
        <v>2</v>
      </c>
      <c r="M11" s="27">
        <v>20.3</v>
      </c>
      <c r="N11" s="27">
        <v>-4.5</v>
      </c>
      <c r="O11" s="27">
        <v>-13.8</v>
      </c>
      <c r="P11" s="27">
        <v>21.2</v>
      </c>
      <c r="Q11" s="27">
        <v>37.799999999999997</v>
      </c>
      <c r="R11" s="27">
        <v>7.4</v>
      </c>
      <c r="S11" s="27">
        <v>1.5</v>
      </c>
      <c r="T11" s="27">
        <v>10.6</v>
      </c>
      <c r="U11" s="27">
        <v>27.4</v>
      </c>
      <c r="V11" s="49">
        <f t="shared" si="0"/>
        <v>143</v>
      </c>
    </row>
    <row r="12" spans="1:38" s="64" customFormat="1" ht="14.25" x14ac:dyDescent="0.2">
      <c r="A12" s="70" t="s">
        <v>41</v>
      </c>
      <c r="B12" s="27">
        <v>0.4</v>
      </c>
      <c r="C12" s="27">
        <v>1.5</v>
      </c>
      <c r="D12" s="27">
        <v>0.6</v>
      </c>
      <c r="E12" s="27">
        <v>0.5</v>
      </c>
      <c r="F12" s="27">
        <v>0.5</v>
      </c>
      <c r="G12" s="27">
        <v>1.6</v>
      </c>
      <c r="H12" s="27">
        <v>0.4</v>
      </c>
      <c r="I12" s="27">
        <v>0.4</v>
      </c>
      <c r="J12" s="27">
        <v>0.4</v>
      </c>
      <c r="K12" s="27">
        <v>2</v>
      </c>
      <c r="L12" s="27">
        <v>0.4</v>
      </c>
      <c r="M12" s="27">
        <v>0.5</v>
      </c>
      <c r="N12" s="27">
        <v>2.2000000000000002</v>
      </c>
      <c r="O12" s="27">
        <v>0.5</v>
      </c>
      <c r="P12" s="27">
        <v>2.1</v>
      </c>
      <c r="Q12" s="27">
        <v>0.4</v>
      </c>
      <c r="R12" s="27">
        <v>0.5</v>
      </c>
      <c r="S12" s="27">
        <v>0.4</v>
      </c>
      <c r="T12" s="27">
        <v>0.7</v>
      </c>
      <c r="U12" s="27">
        <v>1</v>
      </c>
      <c r="V12" s="49">
        <f t="shared" si="0"/>
        <v>17.000000000000004</v>
      </c>
    </row>
    <row r="13" spans="1:38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49">
        <f t="shared" si="0"/>
        <v>0</v>
      </c>
    </row>
    <row r="14" spans="1:38" s="64" customFormat="1" ht="14.25" x14ac:dyDescent="0.2">
      <c r="A14" s="70" t="s">
        <v>46</v>
      </c>
      <c r="B14" s="27">
        <v>1.1000000000000001</v>
      </c>
      <c r="C14" s="27">
        <v>0</v>
      </c>
      <c r="D14" s="27">
        <v>0.7</v>
      </c>
      <c r="E14" s="27">
        <v>0</v>
      </c>
      <c r="F14" s="27">
        <v>0.1</v>
      </c>
      <c r="G14" s="27">
        <v>0.1</v>
      </c>
      <c r="H14" s="27">
        <v>0.2</v>
      </c>
      <c r="I14" s="27">
        <v>0</v>
      </c>
      <c r="J14" s="27">
        <f>0.1+49.4</f>
        <v>49.5</v>
      </c>
      <c r="K14" s="27">
        <v>0.6</v>
      </c>
      <c r="L14" s="27">
        <v>0.8</v>
      </c>
      <c r="M14" s="27">
        <v>-0.7</v>
      </c>
      <c r="N14" s="27">
        <v>0.1</v>
      </c>
      <c r="O14" s="27">
        <f>49-53.5-6.6</f>
        <v>-11.1</v>
      </c>
      <c r="P14" s="27">
        <v>0</v>
      </c>
      <c r="Q14" s="27">
        <v>0</v>
      </c>
      <c r="R14" s="27">
        <v>0</v>
      </c>
      <c r="S14" s="27">
        <v>0.1</v>
      </c>
      <c r="T14" s="27">
        <v>-1.6</v>
      </c>
      <c r="U14" s="27"/>
      <c r="V14" s="49">
        <f t="shared" si="0"/>
        <v>39.9</v>
      </c>
    </row>
    <row r="15" spans="1:38" s="64" customFormat="1" ht="14.25" x14ac:dyDescent="0.2">
      <c r="A15" s="25" t="s">
        <v>42</v>
      </c>
      <c r="B15" s="27">
        <v>0.2</v>
      </c>
      <c r="C15" s="27">
        <v>-3.9</v>
      </c>
      <c r="D15" s="27">
        <v>2.7</v>
      </c>
      <c r="E15" s="27">
        <v>5.3</v>
      </c>
      <c r="F15" s="27">
        <v>-2.1</v>
      </c>
      <c r="G15" s="27">
        <f>3.5+0.7</f>
        <v>4.2</v>
      </c>
      <c r="H15" s="27">
        <v>3.2</v>
      </c>
      <c r="I15" s="27">
        <v>-0.6</v>
      </c>
      <c r="J15" s="27">
        <v>3.8</v>
      </c>
      <c r="K15" s="27">
        <v>1.4</v>
      </c>
      <c r="L15" s="27">
        <v>-1.3</v>
      </c>
      <c r="M15" s="27">
        <v>-1</v>
      </c>
      <c r="N15" s="27">
        <v>-1.7</v>
      </c>
      <c r="O15" s="27">
        <v>-0.9</v>
      </c>
      <c r="P15" s="27">
        <v>0</v>
      </c>
      <c r="Q15" s="27">
        <v>0.3</v>
      </c>
      <c r="R15" s="27">
        <v>1.3</v>
      </c>
      <c r="S15" s="27">
        <v>1</v>
      </c>
      <c r="T15" s="27">
        <v>1.5</v>
      </c>
      <c r="U15" s="27">
        <v>0</v>
      </c>
      <c r="V15" s="62">
        <f t="shared" si="0"/>
        <v>13.400000000000002</v>
      </c>
    </row>
    <row r="16" spans="1:38" ht="15" x14ac:dyDescent="0.25">
      <c r="A16" s="28" t="s">
        <v>38</v>
      </c>
      <c r="B16" s="29">
        <f>SUM(B10:B15)</f>
        <v>76.900000000000006</v>
      </c>
      <c r="C16" s="29">
        <f t="shared" ref="C16:U16" si="1">SUM(C10:C15)</f>
        <v>64.199999999999989</v>
      </c>
      <c r="D16" s="29">
        <f t="shared" si="1"/>
        <v>74.7</v>
      </c>
      <c r="E16" s="29">
        <f t="shared" si="1"/>
        <v>-43.7</v>
      </c>
      <c r="F16" s="29">
        <f t="shared" si="1"/>
        <v>-43.699999999999996</v>
      </c>
      <c r="G16" s="29">
        <f t="shared" si="1"/>
        <v>-198.70000000000002</v>
      </c>
      <c r="H16" s="29">
        <f t="shared" si="1"/>
        <v>105.00000000000001</v>
      </c>
      <c r="I16" s="29">
        <f t="shared" si="1"/>
        <v>-44.900000000000006</v>
      </c>
      <c r="J16" s="29">
        <f t="shared" si="1"/>
        <v>-0.59999999999999876</v>
      </c>
      <c r="K16" s="29">
        <f t="shared" si="1"/>
        <v>-11.399999999999999</v>
      </c>
      <c r="L16" s="29">
        <f t="shared" si="1"/>
        <v>7.9000000000000012</v>
      </c>
      <c r="M16" s="29">
        <f t="shared" si="1"/>
        <v>19.100000000000001</v>
      </c>
      <c r="N16" s="29">
        <f t="shared" si="1"/>
        <v>54</v>
      </c>
      <c r="O16" s="29">
        <f t="shared" si="1"/>
        <v>-76.599999999999994</v>
      </c>
      <c r="P16" s="29">
        <f t="shared" si="1"/>
        <v>48</v>
      </c>
      <c r="Q16" s="29">
        <f t="shared" si="1"/>
        <v>22.799999999999997</v>
      </c>
      <c r="R16" s="29">
        <f t="shared" si="1"/>
        <v>-145.99999999999997</v>
      </c>
      <c r="S16" s="29">
        <f t="shared" si="1"/>
        <v>66</v>
      </c>
      <c r="T16" s="29">
        <f t="shared" si="1"/>
        <v>88.4</v>
      </c>
      <c r="U16" s="29">
        <f t="shared" si="1"/>
        <v>13.799999999999999</v>
      </c>
      <c r="V16" s="32">
        <f>SUM(V10:V15)</f>
        <v>75.200000000000017</v>
      </c>
    </row>
    <row r="17" spans="1:22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2"/>
    </row>
    <row r="18" spans="1:22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</row>
    <row r="19" spans="1:22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V19" s="41"/>
    </row>
    <row r="20" spans="1:22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V20" s="41"/>
    </row>
    <row r="21" spans="1:22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6">
        <f>SUM(B21:U21)</f>
        <v>0</v>
      </c>
    </row>
    <row r="22" spans="1:22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-26.2</v>
      </c>
      <c r="L22" s="38">
        <v>0</v>
      </c>
      <c r="M22" s="38">
        <v>0</v>
      </c>
      <c r="N22" s="38">
        <v>0.9</v>
      </c>
      <c r="O22" s="38">
        <v>0</v>
      </c>
      <c r="P22" s="38">
        <v>35.700000000000003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9">
        <f>SUM(B22:U22)</f>
        <v>10.400000000000002</v>
      </c>
    </row>
    <row r="23" spans="1:22" ht="15" x14ac:dyDescent="0.25">
      <c r="A23" s="34" t="s">
        <v>12</v>
      </c>
      <c r="B23" s="29">
        <f>SUM(B21:B22)</f>
        <v>0</v>
      </c>
      <c r="C23" s="29">
        <f t="shared" ref="C23:U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-26.2</v>
      </c>
      <c r="L23" s="29">
        <f t="shared" si="2"/>
        <v>0</v>
      </c>
      <c r="M23" s="29">
        <f t="shared" si="2"/>
        <v>0</v>
      </c>
      <c r="N23" s="29">
        <f t="shared" si="2"/>
        <v>0.9</v>
      </c>
      <c r="O23" s="29">
        <f t="shared" si="2"/>
        <v>0</v>
      </c>
      <c r="P23" s="29">
        <f t="shared" si="2"/>
        <v>35.700000000000003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32">
        <f>SUM(V21:V22)</f>
        <v>10.400000000000002</v>
      </c>
    </row>
    <row r="24" spans="1:22" x14ac:dyDescent="0.2">
      <c r="V24" s="41"/>
    </row>
    <row r="25" spans="1:22" ht="15" x14ac:dyDescent="0.25">
      <c r="A25" s="28" t="s">
        <v>39</v>
      </c>
      <c r="B25" s="10">
        <f>B16+B23</f>
        <v>76.900000000000006</v>
      </c>
      <c r="C25" s="10">
        <f t="shared" ref="C25:U25" si="3">C16+C23</f>
        <v>64.199999999999989</v>
      </c>
      <c r="D25" s="10">
        <f t="shared" si="3"/>
        <v>74.7</v>
      </c>
      <c r="E25" s="10">
        <f t="shared" si="3"/>
        <v>-43.7</v>
      </c>
      <c r="F25" s="10">
        <f t="shared" si="3"/>
        <v>-43.699999999999996</v>
      </c>
      <c r="G25" s="10">
        <f t="shared" si="3"/>
        <v>-198.70000000000002</v>
      </c>
      <c r="H25" s="10">
        <f t="shared" si="3"/>
        <v>105.00000000000001</v>
      </c>
      <c r="I25" s="10">
        <f t="shared" si="3"/>
        <v>-44.900000000000006</v>
      </c>
      <c r="J25" s="10">
        <f t="shared" si="3"/>
        <v>-0.59999999999999876</v>
      </c>
      <c r="K25" s="10">
        <f t="shared" si="3"/>
        <v>-37.599999999999994</v>
      </c>
      <c r="L25" s="10">
        <f t="shared" si="3"/>
        <v>7.9000000000000012</v>
      </c>
      <c r="M25" s="10">
        <f t="shared" si="3"/>
        <v>19.100000000000001</v>
      </c>
      <c r="N25" s="10">
        <f t="shared" si="3"/>
        <v>54.9</v>
      </c>
      <c r="O25" s="10">
        <f t="shared" si="3"/>
        <v>-76.599999999999994</v>
      </c>
      <c r="P25" s="10">
        <f t="shared" si="3"/>
        <v>83.7</v>
      </c>
      <c r="Q25" s="10">
        <f t="shared" si="3"/>
        <v>22.799999999999997</v>
      </c>
      <c r="R25" s="10">
        <f t="shared" si="3"/>
        <v>-145.99999999999997</v>
      </c>
      <c r="S25" s="10">
        <f t="shared" si="3"/>
        <v>66</v>
      </c>
      <c r="T25" s="10">
        <f t="shared" si="3"/>
        <v>88.4</v>
      </c>
      <c r="U25" s="10">
        <f t="shared" si="3"/>
        <v>13.799999999999999</v>
      </c>
      <c r="V25" s="42">
        <f>V16+V23</f>
        <v>85.600000000000023</v>
      </c>
    </row>
    <row r="26" spans="1:22" ht="13.5" thickBot="1" x14ac:dyDescent="0.25">
      <c r="V26" s="44"/>
    </row>
    <row r="27" spans="1:22" ht="13.5" thickTop="1" x14ac:dyDescent="0.2"/>
  </sheetData>
  <mergeCells count="1">
    <mergeCell ref="AH1:AL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7"/>
  <sheetViews>
    <sheetView workbookViewId="0">
      <pane xSplit="1" topLeftCell="X1" activePane="topRight" state="frozen"/>
      <selection pane="topRight" activeCell="Y12" sqref="Y12"/>
    </sheetView>
  </sheetViews>
  <sheetFormatPr defaultRowHeight="12.75" x14ac:dyDescent="0.2"/>
  <cols>
    <col min="1" max="1" width="47" bestFit="1" customWidth="1"/>
    <col min="2" max="2" width="8.28515625" bestFit="1" customWidth="1"/>
    <col min="3" max="3" width="7.5703125" bestFit="1" customWidth="1"/>
    <col min="4" max="4" width="8.7109375" bestFit="1" customWidth="1"/>
    <col min="5" max="5" width="8.28515625" bestFit="1" customWidth="1"/>
    <col min="6" max="6" width="8.7109375" bestFit="1" customWidth="1"/>
    <col min="7" max="7" width="9.42578125" bestFit="1" customWidth="1"/>
    <col min="8" max="8" width="8.7109375" bestFit="1" customWidth="1"/>
    <col min="9" max="12" width="8.28515625" bestFit="1" customWidth="1"/>
    <col min="13" max="13" width="7.5703125" bestFit="1" customWidth="1"/>
    <col min="14" max="14" width="8.7109375" bestFit="1" customWidth="1"/>
    <col min="15" max="15" width="7.5703125" bestFit="1" customWidth="1"/>
    <col min="16" max="16" width="8.7109375" bestFit="1" customWidth="1"/>
    <col min="17" max="17" width="7.5703125" bestFit="1" customWidth="1"/>
    <col min="18" max="19" width="8.28515625" bestFit="1" customWidth="1"/>
    <col min="20" max="20" width="7.5703125" bestFit="1" customWidth="1"/>
    <col min="21" max="21" width="6.42578125" bestFit="1" customWidth="1"/>
    <col min="22" max="23" width="8.28515625" bestFit="1" customWidth="1"/>
    <col min="24" max="24" width="7.5703125" bestFit="1" customWidth="1"/>
  </cols>
  <sheetData>
    <row r="1" spans="1:39" s="3" customFormat="1" ht="29.25" customHeight="1" x14ac:dyDescent="0.4">
      <c r="A1" s="1" t="s">
        <v>43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I1" s="87" t="s">
        <v>0</v>
      </c>
      <c r="AJ1" s="87"/>
      <c r="AK1" s="87"/>
      <c r="AL1" s="87"/>
      <c r="AM1" s="87"/>
    </row>
    <row r="2" spans="1:39" s="6" customFormat="1" ht="15.75" customHeight="1" x14ac:dyDescent="0.25">
      <c r="A2" s="57" t="s">
        <v>23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E2" s="7"/>
    </row>
    <row r="3" spans="1:3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3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3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9" ht="15.75" thickTop="1" x14ac:dyDescent="0.25">
      <c r="Y6" s="8" t="s">
        <v>4</v>
      </c>
    </row>
    <row r="7" spans="1:39" s="58" customFormat="1" ht="15" x14ac:dyDescent="0.25">
      <c r="B7" s="13">
        <v>37012</v>
      </c>
      <c r="C7" s="13">
        <v>37013</v>
      </c>
      <c r="D7" s="13">
        <v>37014</v>
      </c>
      <c r="E7" s="13">
        <v>37015</v>
      </c>
      <c r="F7" s="13">
        <v>37018</v>
      </c>
      <c r="G7" s="13">
        <v>37019</v>
      </c>
      <c r="H7" s="13">
        <v>37020</v>
      </c>
      <c r="I7" s="13">
        <v>37021</v>
      </c>
      <c r="J7" s="13">
        <v>37022</v>
      </c>
      <c r="K7" s="13">
        <v>37025</v>
      </c>
      <c r="L7" s="13">
        <v>37026</v>
      </c>
      <c r="M7" s="13">
        <v>37027</v>
      </c>
      <c r="N7" s="13">
        <v>37028</v>
      </c>
      <c r="O7" s="13">
        <v>37029</v>
      </c>
      <c r="P7" s="13">
        <v>37032</v>
      </c>
      <c r="Q7" s="13">
        <v>37033</v>
      </c>
      <c r="R7" s="13">
        <v>37034</v>
      </c>
      <c r="S7" s="13">
        <v>37035</v>
      </c>
      <c r="T7" s="13">
        <v>37036</v>
      </c>
      <c r="U7" s="13">
        <v>37039</v>
      </c>
      <c r="V7" s="13">
        <v>37040</v>
      </c>
      <c r="W7" s="13">
        <v>37041</v>
      </c>
      <c r="X7" s="13">
        <v>37042</v>
      </c>
      <c r="Y7" s="14" t="s">
        <v>24</v>
      </c>
    </row>
    <row r="8" spans="1:39" x14ac:dyDescent="0.2">
      <c r="A8" s="2"/>
      <c r="Y8" s="41"/>
    </row>
    <row r="9" spans="1:39" ht="15" x14ac:dyDescent="0.25">
      <c r="A9" s="17" t="s">
        <v>37</v>
      </c>
      <c r="Y9" s="41"/>
    </row>
    <row r="10" spans="1:39" ht="14.25" x14ac:dyDescent="0.2">
      <c r="A10" s="21" t="s">
        <v>6</v>
      </c>
      <c r="B10" s="46">
        <v>-34.4</v>
      </c>
      <c r="C10" s="46">
        <v>4.2</v>
      </c>
      <c r="D10" s="46">
        <v>-21</v>
      </c>
      <c r="E10" s="46">
        <v>31.8</v>
      </c>
      <c r="F10" s="46">
        <v>47.5</v>
      </c>
      <c r="G10" s="46">
        <v>-79.599999999999994</v>
      </c>
      <c r="H10" s="46">
        <v>51.6</v>
      </c>
      <c r="I10" s="46">
        <v>-35</v>
      </c>
      <c r="J10" s="46">
        <v>-91.1</v>
      </c>
      <c r="K10" s="46">
        <v>-82.6</v>
      </c>
      <c r="L10" s="46">
        <v>-24.7</v>
      </c>
      <c r="M10" s="46">
        <v>46.8</v>
      </c>
      <c r="N10" s="46">
        <v>67.8</v>
      </c>
      <c r="O10" s="46">
        <v>97.1</v>
      </c>
      <c r="P10" s="46">
        <v>141.69999999999999</v>
      </c>
      <c r="Q10" s="46">
        <v>42.4</v>
      </c>
      <c r="R10" s="46">
        <v>-57.7</v>
      </c>
      <c r="S10" s="46">
        <v>-22.5</v>
      </c>
      <c r="T10" s="46">
        <v>20.8</v>
      </c>
      <c r="U10" s="46">
        <v>0</v>
      </c>
      <c r="V10" s="46">
        <v>-10.6</v>
      </c>
      <c r="W10" s="46">
        <v>-95.1</v>
      </c>
      <c r="X10" s="46">
        <v>0.8</v>
      </c>
      <c r="Y10" s="47">
        <f t="shared" ref="Y10:Y15" si="0">SUM(B10:X10)</f>
        <v>-1.8000000000000227</v>
      </c>
    </row>
    <row r="11" spans="1:39" s="64" customFormat="1" ht="14.25" x14ac:dyDescent="0.2">
      <c r="A11" s="25" t="s">
        <v>40</v>
      </c>
      <c r="B11" s="27">
        <v>12.7</v>
      </c>
      <c r="C11" s="27">
        <v>38.4</v>
      </c>
      <c r="D11" s="27">
        <v>1</v>
      </c>
      <c r="E11" s="27">
        <v>-21.4</v>
      </c>
      <c r="F11" s="27">
        <v>39.799999999999997</v>
      </c>
      <c r="G11" s="27">
        <v>-16</v>
      </c>
      <c r="H11" s="27">
        <v>26.2</v>
      </c>
      <c r="I11" s="27">
        <v>-1.9</v>
      </c>
      <c r="J11" s="27">
        <v>0.9</v>
      </c>
      <c r="K11" s="27">
        <v>14.6</v>
      </c>
      <c r="L11" s="27">
        <v>0.1</v>
      </c>
      <c r="M11" s="27">
        <v>17.8</v>
      </c>
      <c r="N11" s="27">
        <v>26.7</v>
      </c>
      <c r="O11" s="27">
        <v>-1.2</v>
      </c>
      <c r="P11" s="27">
        <v>12.1</v>
      </c>
      <c r="Q11" s="27">
        <v>-8.3000000000000007</v>
      </c>
      <c r="R11" s="27">
        <v>0.1</v>
      </c>
      <c r="S11" s="27">
        <v>9.6999999999999993</v>
      </c>
      <c r="T11" s="27">
        <v>21.6</v>
      </c>
      <c r="U11" s="27">
        <v>0</v>
      </c>
      <c r="V11" s="27">
        <v>35.700000000000003</v>
      </c>
      <c r="W11" s="27">
        <v>36</v>
      </c>
      <c r="X11" s="27">
        <v>33.700000000000003</v>
      </c>
      <c r="Y11" s="49">
        <f t="shared" si="0"/>
        <v>278.29999999999995</v>
      </c>
    </row>
    <row r="12" spans="1:39" s="64" customFormat="1" ht="14.25" x14ac:dyDescent="0.2">
      <c r="A12" s="70" t="s">
        <v>41</v>
      </c>
      <c r="B12" s="27">
        <v>0.2</v>
      </c>
      <c r="C12" s="27">
        <v>0.9</v>
      </c>
      <c r="D12" s="27">
        <v>0.4</v>
      </c>
      <c r="E12" s="27">
        <f>2.9+0.6</f>
        <v>3.5</v>
      </c>
      <c r="F12" s="27">
        <v>1.5</v>
      </c>
      <c r="G12" s="27">
        <v>1.3</v>
      </c>
      <c r="H12" s="27">
        <v>0</v>
      </c>
      <c r="I12" s="27">
        <v>0.2</v>
      </c>
      <c r="J12" s="27">
        <f>3.1</f>
        <v>3.1</v>
      </c>
      <c r="K12" s="27">
        <v>1.4</v>
      </c>
      <c r="L12" s="27">
        <v>0.3</v>
      </c>
      <c r="M12" s="27">
        <v>0.7</v>
      </c>
      <c r="N12" s="27">
        <v>0.2</v>
      </c>
      <c r="O12" s="27">
        <v>0</v>
      </c>
      <c r="P12" s="27">
        <v>0.1</v>
      </c>
      <c r="Q12" s="27">
        <v>2.2000000000000002</v>
      </c>
      <c r="R12" s="27">
        <v>-0.5</v>
      </c>
      <c r="S12" s="27">
        <v>0.8</v>
      </c>
      <c r="T12" s="27">
        <v>0</v>
      </c>
      <c r="U12" s="27">
        <v>0</v>
      </c>
      <c r="V12" s="27">
        <v>1.2</v>
      </c>
      <c r="W12" s="27">
        <v>0.4</v>
      </c>
      <c r="X12" s="27">
        <v>0.4</v>
      </c>
      <c r="Y12" s="49">
        <f t="shared" si="0"/>
        <v>18.299999999999997</v>
      </c>
    </row>
    <row r="13" spans="1:39" s="64" customFormat="1" ht="14.25" x14ac:dyDescent="0.2">
      <c r="A13" s="70" t="s">
        <v>45</v>
      </c>
      <c r="B13" s="27">
        <v>0</v>
      </c>
      <c r="C13" s="27">
        <v>0</v>
      </c>
      <c r="D13" s="27">
        <v>435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49">
        <f t="shared" si="0"/>
        <v>435</v>
      </c>
    </row>
    <row r="14" spans="1:39" s="64" customFormat="1" ht="14.25" x14ac:dyDescent="0.2">
      <c r="A14" s="70" t="s">
        <v>46</v>
      </c>
      <c r="B14" s="27">
        <v>0</v>
      </c>
      <c r="C14" s="27">
        <v>0.5</v>
      </c>
      <c r="D14" s="27">
        <f>442.2+1.6-435</f>
        <v>8.8000000000000114</v>
      </c>
      <c r="E14" s="27">
        <v>-0.3</v>
      </c>
      <c r="F14" s="27">
        <v>0.1</v>
      </c>
      <c r="G14" s="27">
        <v>0</v>
      </c>
      <c r="H14" s="27">
        <v>0</v>
      </c>
      <c r="I14" s="27">
        <v>0.1</v>
      </c>
      <c r="J14" s="27">
        <v>2.8</v>
      </c>
      <c r="K14" s="27">
        <v>0</v>
      </c>
      <c r="L14" s="27">
        <v>0.1</v>
      </c>
      <c r="M14" s="27">
        <v>0</v>
      </c>
      <c r="N14" s="27">
        <v>4.7</v>
      </c>
      <c r="O14" s="27">
        <v>-8.8000000000000007</v>
      </c>
      <c r="P14" s="27">
        <v>0</v>
      </c>
      <c r="Q14" s="27">
        <v>0</v>
      </c>
      <c r="R14" s="27">
        <v>0</v>
      </c>
      <c r="S14" s="27">
        <v>0.4</v>
      </c>
      <c r="T14" s="27">
        <v>1.9</v>
      </c>
      <c r="U14" s="27">
        <v>0</v>
      </c>
      <c r="V14" s="27">
        <v>1.3</v>
      </c>
      <c r="W14" s="27">
        <v>0</v>
      </c>
      <c r="X14" s="27">
        <v>0</v>
      </c>
      <c r="Y14" s="49">
        <f t="shared" si="0"/>
        <v>11.600000000000012</v>
      </c>
    </row>
    <row r="15" spans="1:39" s="64" customFormat="1" ht="14.25" x14ac:dyDescent="0.2">
      <c r="A15" s="25" t="s">
        <v>42</v>
      </c>
      <c r="B15" s="27">
        <v>-0.5</v>
      </c>
      <c r="C15" s="27">
        <v>-1.3</v>
      </c>
      <c r="D15" s="27">
        <v>-2</v>
      </c>
      <c r="E15" s="27">
        <v>1.8</v>
      </c>
      <c r="F15" s="27">
        <v>-0.3</v>
      </c>
      <c r="G15" s="27">
        <v>1.2</v>
      </c>
      <c r="H15" s="27">
        <v>1.7</v>
      </c>
      <c r="I15" s="27">
        <v>0.5</v>
      </c>
      <c r="J15" s="27">
        <v>0.3</v>
      </c>
      <c r="K15" s="27">
        <v>0.4</v>
      </c>
      <c r="L15" s="27">
        <v>0.1</v>
      </c>
      <c r="M15" s="27">
        <v>0.7</v>
      </c>
      <c r="N15" s="27">
        <v>0.6</v>
      </c>
      <c r="O15" s="27">
        <v>0.1</v>
      </c>
      <c r="P15" s="27">
        <v>0.2</v>
      </c>
      <c r="Q15" s="27">
        <v>-0.2</v>
      </c>
      <c r="R15" s="27">
        <v>0.1</v>
      </c>
      <c r="S15" s="27">
        <v>-0.5</v>
      </c>
      <c r="T15" s="27">
        <v>0.4</v>
      </c>
      <c r="U15" s="27">
        <v>0</v>
      </c>
      <c r="V15" s="27">
        <v>0.1</v>
      </c>
      <c r="W15" s="27">
        <v>0</v>
      </c>
      <c r="X15" s="27">
        <v>-0.1</v>
      </c>
      <c r="Y15" s="62">
        <f t="shared" si="0"/>
        <v>3.3000000000000007</v>
      </c>
    </row>
    <row r="16" spans="1:39" ht="15" x14ac:dyDescent="0.25">
      <c r="A16" s="28" t="s">
        <v>38</v>
      </c>
      <c r="B16" s="29">
        <f>SUM(B10:B15)</f>
        <v>-22</v>
      </c>
      <c r="C16" s="29">
        <f t="shared" ref="C16:X16" si="1">SUM(C10:C15)</f>
        <v>42.7</v>
      </c>
      <c r="D16" s="29">
        <f t="shared" si="1"/>
        <v>422.2</v>
      </c>
      <c r="E16" s="29">
        <f t="shared" si="1"/>
        <v>15.400000000000002</v>
      </c>
      <c r="F16" s="29">
        <f t="shared" si="1"/>
        <v>88.6</v>
      </c>
      <c r="G16" s="29">
        <f t="shared" si="1"/>
        <v>-93.1</v>
      </c>
      <c r="H16" s="29">
        <f t="shared" si="1"/>
        <v>79.5</v>
      </c>
      <c r="I16" s="29">
        <f t="shared" si="1"/>
        <v>-36.099999999999994</v>
      </c>
      <c r="J16" s="29">
        <f t="shared" si="1"/>
        <v>-84</v>
      </c>
      <c r="K16" s="29">
        <f t="shared" si="1"/>
        <v>-66.199999999999989</v>
      </c>
      <c r="L16" s="29">
        <f t="shared" si="1"/>
        <v>-24.099999999999994</v>
      </c>
      <c r="M16" s="29">
        <f t="shared" si="1"/>
        <v>66</v>
      </c>
      <c r="N16" s="29">
        <f t="shared" si="1"/>
        <v>100</v>
      </c>
      <c r="O16" s="29">
        <f t="shared" si="1"/>
        <v>87.199999999999989</v>
      </c>
      <c r="P16" s="29">
        <f t="shared" si="1"/>
        <v>154.09999999999997</v>
      </c>
      <c r="Q16" s="29">
        <f t="shared" si="1"/>
        <v>36.099999999999994</v>
      </c>
      <c r="R16" s="29">
        <f t="shared" si="1"/>
        <v>-58</v>
      </c>
      <c r="S16" s="29">
        <f t="shared" si="1"/>
        <v>-12.1</v>
      </c>
      <c r="T16" s="29">
        <f t="shared" si="1"/>
        <v>44.7</v>
      </c>
      <c r="U16" s="29">
        <f t="shared" si="1"/>
        <v>0</v>
      </c>
      <c r="V16" s="29">
        <f t="shared" si="1"/>
        <v>27.700000000000003</v>
      </c>
      <c r="W16" s="29">
        <f t="shared" si="1"/>
        <v>-58.699999999999996</v>
      </c>
      <c r="X16" s="29">
        <f t="shared" si="1"/>
        <v>34.799999999999997</v>
      </c>
      <c r="Y16" s="32">
        <f>SUM(Y10:Y15)</f>
        <v>744.69999999999993</v>
      </c>
    </row>
    <row r="17" spans="1:25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5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ht="15" x14ac:dyDescent="0.25">
      <c r="A19" s="28"/>
      <c r="Y19" s="41"/>
    </row>
    <row r="20" spans="1:25" ht="15" x14ac:dyDescent="0.25">
      <c r="A20" s="34" t="s">
        <v>9</v>
      </c>
      <c r="Y20" s="41"/>
    </row>
    <row r="21" spans="1:25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1.3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6">
        <f>SUM(B21:X21)</f>
        <v>1.3</v>
      </c>
    </row>
    <row r="22" spans="1:25" ht="14.25" x14ac:dyDescent="0.2">
      <c r="A22" s="19" t="s">
        <v>11</v>
      </c>
      <c r="B22" s="38">
        <v>0</v>
      </c>
      <c r="C22" s="38">
        <v>0</v>
      </c>
      <c r="D22" s="38">
        <v>51.5</v>
      </c>
      <c r="E22" s="38">
        <v>-25</v>
      </c>
      <c r="F22" s="38">
        <v>0</v>
      </c>
      <c r="G22" s="38">
        <v>-5.5</v>
      </c>
      <c r="H22" s="38">
        <v>0</v>
      </c>
      <c r="I22" s="38">
        <v>0</v>
      </c>
      <c r="J22" s="38">
        <v>-4.5</v>
      </c>
      <c r="K22" s="38">
        <v>-0.2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-11.5</v>
      </c>
      <c r="X22" s="38">
        <v>0</v>
      </c>
      <c r="Y22" s="39">
        <f>SUM(B22:X22)</f>
        <v>4.8000000000000007</v>
      </c>
    </row>
    <row r="23" spans="1:25" ht="15" x14ac:dyDescent="0.25">
      <c r="A23" s="34" t="s">
        <v>12</v>
      </c>
      <c r="B23" s="29">
        <f>SUM(B21:B22)</f>
        <v>0</v>
      </c>
      <c r="C23" s="29">
        <f t="shared" ref="C23:X23" si="2">SUM(C21:C22)</f>
        <v>0</v>
      </c>
      <c r="D23" s="29">
        <f t="shared" si="2"/>
        <v>51.5</v>
      </c>
      <c r="E23" s="29">
        <f t="shared" si="2"/>
        <v>-25</v>
      </c>
      <c r="F23" s="29">
        <f t="shared" si="2"/>
        <v>0</v>
      </c>
      <c r="G23" s="29">
        <f t="shared" si="2"/>
        <v>-4.2</v>
      </c>
      <c r="H23" s="29">
        <f t="shared" si="2"/>
        <v>0</v>
      </c>
      <c r="I23" s="29">
        <f t="shared" si="2"/>
        <v>0</v>
      </c>
      <c r="J23" s="29">
        <f t="shared" si="2"/>
        <v>-4.5</v>
      </c>
      <c r="K23" s="29">
        <f t="shared" si="2"/>
        <v>-0.2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29">
        <f t="shared" si="2"/>
        <v>0</v>
      </c>
      <c r="W23" s="29">
        <f t="shared" si="2"/>
        <v>-11.5</v>
      </c>
      <c r="X23" s="29">
        <f t="shared" si="2"/>
        <v>0</v>
      </c>
      <c r="Y23" s="32">
        <f>SUM(Y21:Y22)</f>
        <v>6.1000000000000005</v>
      </c>
    </row>
    <row r="24" spans="1:25" x14ac:dyDescent="0.2">
      <c r="Y24" s="41"/>
    </row>
    <row r="25" spans="1:25" ht="15" x14ac:dyDescent="0.25">
      <c r="A25" s="28" t="s">
        <v>39</v>
      </c>
      <c r="B25" s="10">
        <f>B16+B23</f>
        <v>-22</v>
      </c>
      <c r="C25" s="10">
        <f t="shared" ref="C25:X25" si="3">C16+C23</f>
        <v>42.7</v>
      </c>
      <c r="D25" s="10">
        <f t="shared" si="3"/>
        <v>473.7</v>
      </c>
      <c r="E25" s="10">
        <f t="shared" si="3"/>
        <v>-9.5999999999999979</v>
      </c>
      <c r="F25" s="10">
        <f t="shared" si="3"/>
        <v>88.6</v>
      </c>
      <c r="G25" s="10">
        <f t="shared" si="3"/>
        <v>-97.3</v>
      </c>
      <c r="H25" s="10">
        <f t="shared" si="3"/>
        <v>79.5</v>
      </c>
      <c r="I25" s="10">
        <f t="shared" si="3"/>
        <v>-36.099999999999994</v>
      </c>
      <c r="J25" s="10">
        <f t="shared" si="3"/>
        <v>-88.5</v>
      </c>
      <c r="K25" s="10">
        <f t="shared" si="3"/>
        <v>-66.399999999999991</v>
      </c>
      <c r="L25" s="10">
        <f t="shared" si="3"/>
        <v>-24.099999999999994</v>
      </c>
      <c r="M25" s="10">
        <f t="shared" si="3"/>
        <v>66</v>
      </c>
      <c r="N25" s="10">
        <f t="shared" si="3"/>
        <v>100</v>
      </c>
      <c r="O25" s="10">
        <f t="shared" si="3"/>
        <v>87.199999999999989</v>
      </c>
      <c r="P25" s="10">
        <f t="shared" si="3"/>
        <v>154.09999999999997</v>
      </c>
      <c r="Q25" s="10">
        <f t="shared" si="3"/>
        <v>36.099999999999994</v>
      </c>
      <c r="R25" s="10">
        <f t="shared" si="3"/>
        <v>-58</v>
      </c>
      <c r="S25" s="10">
        <f t="shared" si="3"/>
        <v>-12.1</v>
      </c>
      <c r="T25" s="10">
        <f t="shared" si="3"/>
        <v>44.7</v>
      </c>
      <c r="U25" s="10">
        <f t="shared" si="3"/>
        <v>0</v>
      </c>
      <c r="V25" s="10">
        <f t="shared" si="3"/>
        <v>27.700000000000003</v>
      </c>
      <c r="W25" s="10">
        <f t="shared" si="3"/>
        <v>-70.199999999999989</v>
      </c>
      <c r="X25" s="10">
        <f t="shared" si="3"/>
        <v>34.799999999999997</v>
      </c>
      <c r="Y25" s="42">
        <f>Y16+Y23</f>
        <v>750.8</v>
      </c>
    </row>
    <row r="26" spans="1:25" ht="13.5" thickBot="1" x14ac:dyDescent="0.25">
      <c r="Y26" s="44"/>
    </row>
    <row r="27" spans="1:25" ht="13.5" thickTop="1" x14ac:dyDescent="0.2"/>
  </sheetData>
  <mergeCells count="1">
    <mergeCell ref="AI1:AM1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sqref="A1:IV65536"/>
    </sheetView>
  </sheetViews>
  <sheetFormatPr defaultRowHeight="12.75" x14ac:dyDescent="0.2"/>
  <cols>
    <col min="1" max="1" width="47" bestFit="1" customWidth="1"/>
    <col min="2" max="2" width="2.85546875" customWidth="1"/>
    <col min="3" max="3" width="16.28515625" customWidth="1"/>
    <col min="4" max="4" width="2.85546875" customWidth="1"/>
    <col min="5" max="5" width="16.28515625" customWidth="1"/>
    <col min="6" max="6" width="2.85546875" customWidth="1"/>
    <col min="7" max="7" width="16.28515625" bestFit="1" customWidth="1"/>
    <col min="8" max="8" width="2.7109375" customWidth="1"/>
    <col min="9" max="9" width="16.28515625" bestFit="1" customWidth="1"/>
    <col min="10" max="10" width="2.7109375" customWidth="1"/>
    <col min="11" max="11" width="16.28515625" bestFit="1" customWidth="1"/>
    <col min="12" max="12" width="2.85546875" customWidth="1"/>
    <col min="13" max="13" width="10.42578125" bestFit="1" customWidth="1"/>
  </cols>
  <sheetData>
    <row r="1" spans="1:17" ht="27.75" x14ac:dyDescent="0.4">
      <c r="A1" s="1" t="s">
        <v>43</v>
      </c>
      <c r="B1" s="1"/>
      <c r="C1" s="1"/>
      <c r="D1" s="1"/>
      <c r="E1" s="1"/>
      <c r="F1" s="1"/>
    </row>
    <row r="2" spans="1:17" ht="15.75" x14ac:dyDescent="0.25">
      <c r="A2" s="74" t="s">
        <v>60</v>
      </c>
      <c r="B2" s="56"/>
      <c r="C2" s="56"/>
      <c r="D2" s="56"/>
      <c r="E2" s="56"/>
      <c r="F2" s="56"/>
    </row>
    <row r="3" spans="1:17" x14ac:dyDescent="0.2">
      <c r="A3" t="s">
        <v>1</v>
      </c>
    </row>
    <row r="4" spans="1:17" ht="13.5" x14ac:dyDescent="0.25">
      <c r="A4" s="6"/>
      <c r="B4" s="6"/>
      <c r="C4" s="6"/>
      <c r="D4" s="6"/>
      <c r="E4" s="6"/>
      <c r="F4" s="6"/>
    </row>
    <row r="5" spans="1:17" ht="15" x14ac:dyDescent="0.25">
      <c r="C5" s="13" t="s">
        <v>58</v>
      </c>
      <c r="E5" s="13" t="s">
        <v>59</v>
      </c>
      <c r="G5" s="13" t="s">
        <v>56</v>
      </c>
      <c r="I5" s="13" t="s">
        <v>0</v>
      </c>
      <c r="K5" s="13" t="s">
        <v>28</v>
      </c>
      <c r="M5" s="13" t="s">
        <v>4</v>
      </c>
    </row>
    <row r="6" spans="1:17" x14ac:dyDescent="0.2">
      <c r="A6" s="2"/>
      <c r="B6" s="2"/>
      <c r="C6" s="2"/>
      <c r="D6" s="2"/>
      <c r="E6" s="2"/>
      <c r="F6" s="2"/>
      <c r="G6" s="2"/>
    </row>
    <row r="7" spans="1:17" ht="15" x14ac:dyDescent="0.25">
      <c r="A7" s="17" t="s">
        <v>37</v>
      </c>
      <c r="B7" s="17"/>
      <c r="C7" s="17"/>
      <c r="D7" s="17"/>
      <c r="E7" s="17"/>
      <c r="F7" s="17"/>
      <c r="G7" s="17"/>
    </row>
    <row r="8" spans="1:17" ht="14.25" x14ac:dyDescent="0.2">
      <c r="A8" s="21" t="s">
        <v>34</v>
      </c>
      <c r="B8" s="21"/>
      <c r="C8" s="22">
        <v>0</v>
      </c>
      <c r="D8" s="21"/>
      <c r="E8" s="22">
        <v>0</v>
      </c>
      <c r="F8" s="21"/>
      <c r="G8" s="22">
        <f>'Nov 00'!V8+'Dec 00'!V8+'Oct 00'!X8</f>
        <v>426.80000000000007</v>
      </c>
      <c r="I8" s="22">
        <f>Jan!W10+Feb!U10+Mar!X10</f>
        <v>528.9</v>
      </c>
      <c r="K8" s="22">
        <f>Apr!V10+May!Y10+June!W12</f>
        <v>148.50000000000003</v>
      </c>
      <c r="M8" s="22">
        <f t="shared" ref="M8:M13" si="0">G8+I8+K8</f>
        <v>1104.2</v>
      </c>
    </row>
    <row r="9" spans="1:17" ht="14.25" x14ac:dyDescent="0.2">
      <c r="A9" s="67" t="s">
        <v>7</v>
      </c>
      <c r="B9" s="25"/>
      <c r="C9" s="48">
        <v>0</v>
      </c>
      <c r="D9" s="25"/>
      <c r="E9" s="48">
        <v>0</v>
      </c>
      <c r="F9" s="25"/>
      <c r="G9" s="48">
        <f>'Nov 00'!V9+'Dec 00'!V9+'Oct 00'!X9</f>
        <v>147.89999999999998</v>
      </c>
      <c r="H9" s="64"/>
      <c r="I9" s="48">
        <f>Jan!W11+Feb!U11+Mar!X11</f>
        <v>496.6</v>
      </c>
      <c r="J9" s="64"/>
      <c r="K9" s="48">
        <f>Apr!V11+May!Y11+June!W13</f>
        <v>686.89999999999986</v>
      </c>
      <c r="M9" s="48">
        <f t="shared" si="0"/>
        <v>1331.3999999999999</v>
      </c>
    </row>
    <row r="10" spans="1:17" ht="14.25" x14ac:dyDescent="0.2">
      <c r="A10" s="67" t="s">
        <v>35</v>
      </c>
      <c r="B10" s="21"/>
      <c r="C10" s="48">
        <v>0</v>
      </c>
      <c r="D10" s="21"/>
      <c r="E10" s="48">
        <v>0</v>
      </c>
      <c r="F10" s="21"/>
      <c r="G10" s="48">
        <f>'Nov 00'!V10+'Dec 00'!V10+'Oct 00'!X10</f>
        <v>44.1</v>
      </c>
      <c r="I10" s="48">
        <f>Jan!W12+Feb!U12+Mar!X12</f>
        <v>49.1</v>
      </c>
      <c r="K10" s="48">
        <f>Apr!V12+May!Y12+June!W14</f>
        <v>42.199999999999996</v>
      </c>
      <c r="M10" s="48">
        <f t="shared" si="0"/>
        <v>135.4</v>
      </c>
      <c r="O10" s="76"/>
    </row>
    <row r="11" spans="1:17" ht="14.25" x14ac:dyDescent="0.2">
      <c r="A11" s="67" t="s">
        <v>44</v>
      </c>
      <c r="B11" s="21"/>
      <c r="C11" s="48">
        <v>0</v>
      </c>
      <c r="D11" s="21"/>
      <c r="E11" s="48">
        <v>0</v>
      </c>
      <c r="F11" s="21"/>
      <c r="G11" s="48">
        <v>0</v>
      </c>
      <c r="I11" s="48">
        <f>Jan!W13+Feb!U13+Mar!X13</f>
        <v>225</v>
      </c>
      <c r="K11" s="48">
        <f>Apr!V13+May!Y13+June!W15</f>
        <v>412</v>
      </c>
      <c r="M11" s="48">
        <f t="shared" si="0"/>
        <v>637</v>
      </c>
      <c r="Q11" s="75"/>
    </row>
    <row r="12" spans="1:17" ht="14.25" x14ac:dyDescent="0.2">
      <c r="A12" s="67" t="s">
        <v>47</v>
      </c>
      <c r="B12" s="21"/>
      <c r="C12" s="48">
        <v>0</v>
      </c>
      <c r="D12" s="21"/>
      <c r="E12" s="48">
        <v>0</v>
      </c>
      <c r="F12" s="21"/>
      <c r="G12" s="48">
        <f>'Nov 00'!V11+'Dec 00'!V11+'Oct 00'!X11</f>
        <v>47.1</v>
      </c>
      <c r="I12" s="48">
        <f>Jan!W14+Feb!U14+Mar!X14</f>
        <v>22.900000000000006</v>
      </c>
      <c r="K12" s="48">
        <f>Apr!V14+May!Y14+June!W16</f>
        <v>109.80000000000001</v>
      </c>
      <c r="M12" s="48">
        <f t="shared" si="0"/>
        <v>179.8</v>
      </c>
    </row>
    <row r="13" spans="1:17" ht="14.25" x14ac:dyDescent="0.2">
      <c r="A13" s="25" t="s">
        <v>36</v>
      </c>
      <c r="B13" s="25"/>
      <c r="C13" s="48">
        <v>0</v>
      </c>
      <c r="D13" s="25"/>
      <c r="E13" s="48">
        <v>0</v>
      </c>
      <c r="F13" s="25"/>
      <c r="G13" s="48">
        <f>'Nov 00'!V12+'Dec 00'!V12+'Oct 00'!X12</f>
        <v>132.1</v>
      </c>
      <c r="H13" s="64"/>
      <c r="I13" s="48">
        <f>Jan!W15+Feb!U15+Mar!X15</f>
        <v>10.199999999999996</v>
      </c>
      <c r="J13" s="64"/>
      <c r="K13" s="48">
        <f>Apr!V15+May!Y15+June!W17</f>
        <v>53.3</v>
      </c>
      <c r="M13" s="48">
        <f t="shared" si="0"/>
        <v>195.59999999999997</v>
      </c>
    </row>
    <row r="14" spans="1:17" ht="15" x14ac:dyDescent="0.25">
      <c r="A14" s="28" t="s">
        <v>38</v>
      </c>
      <c r="B14" s="28"/>
      <c r="C14" s="29">
        <f>SUM(C8:C13)</f>
        <v>0</v>
      </c>
      <c r="D14" s="28"/>
      <c r="E14" s="29">
        <f>SUM(E8:E13)</f>
        <v>0</v>
      </c>
      <c r="F14" s="28"/>
      <c r="G14" s="29">
        <f>SUM(G8:G13)</f>
        <v>798.00000000000011</v>
      </c>
      <c r="I14" s="29">
        <f>SUM(I8:I13)</f>
        <v>1332.7</v>
      </c>
      <c r="K14" s="29">
        <f>SUM(K8:K13)</f>
        <v>1452.6999999999998</v>
      </c>
      <c r="M14" s="29">
        <f>SUM(M8:M13)</f>
        <v>3583.4</v>
      </c>
    </row>
    <row r="15" spans="1:17" ht="15" x14ac:dyDescent="0.25">
      <c r="A15" s="28"/>
      <c r="B15" s="28"/>
      <c r="C15" s="31"/>
      <c r="D15" s="28"/>
      <c r="E15" s="31"/>
      <c r="F15" s="28"/>
      <c r="G15" s="31"/>
      <c r="I15" s="31"/>
      <c r="K15" s="31"/>
      <c r="M15" s="31"/>
    </row>
    <row r="16" spans="1:17" ht="15" x14ac:dyDescent="0.25">
      <c r="A16" s="28"/>
      <c r="B16" s="28"/>
      <c r="C16" s="31"/>
      <c r="D16" s="28"/>
      <c r="E16" s="31"/>
      <c r="F16" s="28"/>
      <c r="G16" s="31"/>
      <c r="I16" s="31"/>
      <c r="K16" s="31"/>
      <c r="M16" s="31"/>
    </row>
    <row r="17" spans="1:13" ht="15" x14ac:dyDescent="0.25">
      <c r="A17" s="28"/>
      <c r="B17" s="28"/>
      <c r="C17" s="28"/>
      <c r="D17" s="28"/>
      <c r="E17" s="28"/>
      <c r="F17" s="28"/>
      <c r="G17" s="28"/>
      <c r="I17" s="28"/>
      <c r="K17" s="28"/>
      <c r="M17" s="28"/>
    </row>
    <row r="18" spans="1:13" ht="15" x14ac:dyDescent="0.25">
      <c r="A18" s="34" t="s">
        <v>29</v>
      </c>
      <c r="B18" s="34"/>
      <c r="C18" s="34"/>
      <c r="D18" s="34"/>
      <c r="E18" s="34"/>
      <c r="F18" s="34"/>
      <c r="G18" s="34"/>
      <c r="I18" s="34"/>
      <c r="K18" s="34"/>
      <c r="M18" s="34"/>
    </row>
    <row r="19" spans="1:13" ht="14.25" x14ac:dyDescent="0.2">
      <c r="A19" s="21" t="s">
        <v>10</v>
      </c>
      <c r="B19" s="21"/>
      <c r="C19" s="35">
        <f>'Jun 00'!X18</f>
        <v>5.2</v>
      </c>
      <c r="D19" s="21"/>
      <c r="E19" s="35">
        <f>'Aug 00'!Y18+'Sep 00'!W18</f>
        <v>30.8</v>
      </c>
      <c r="F19" s="21"/>
      <c r="G19" s="35">
        <f>'Nov 00'!V18+'Dec 00'!V18+'Oct 00'!X18</f>
        <v>383.20000000000005</v>
      </c>
      <c r="I19" s="35">
        <f>Jan!W21+Feb!U21+Mar!X21</f>
        <v>156.39999999999998</v>
      </c>
      <c r="K19" s="35">
        <f>Apr!V21+May!Y21+June!W24</f>
        <v>60.8</v>
      </c>
      <c r="M19" s="35">
        <f>G19+I19+K19+E19+C19</f>
        <v>636.4</v>
      </c>
    </row>
    <row r="20" spans="1:13" ht="14.25" x14ac:dyDescent="0.2">
      <c r="A20" s="19" t="s">
        <v>11</v>
      </c>
      <c r="B20" s="19"/>
      <c r="C20" s="40">
        <f>'Jun 00'!X19</f>
        <v>109.3</v>
      </c>
      <c r="D20" s="19"/>
      <c r="E20" s="40">
        <f>'Aug 00'!Y19+'Sep 00'!W19</f>
        <v>218.1</v>
      </c>
      <c r="F20" s="19"/>
      <c r="G20" s="40">
        <f>'Nov 00'!V19+'Dec 00'!V19+'Oct 00'!X19</f>
        <v>126.4</v>
      </c>
      <c r="I20" s="40">
        <f>Jan!W22+Feb!U22+Mar!X22</f>
        <v>324.79999999999995</v>
      </c>
      <c r="K20" s="40">
        <f>Apr!V22+May!Y22+June!W25</f>
        <v>-61.8</v>
      </c>
      <c r="M20" s="40">
        <f>G20+I20+K20+E20+C20</f>
        <v>716.79999999999984</v>
      </c>
    </row>
    <row r="21" spans="1:13" ht="15" x14ac:dyDescent="0.25">
      <c r="A21" s="34" t="s">
        <v>12</v>
      </c>
      <c r="B21" s="34"/>
      <c r="C21" s="77">
        <f>SUM(C19:C20)</f>
        <v>114.5</v>
      </c>
      <c r="D21" s="78"/>
      <c r="E21" s="79">
        <f>SUM(E19:E20)</f>
        <v>248.9</v>
      </c>
      <c r="F21" s="78"/>
      <c r="G21" s="79">
        <f>SUM(G19:G20)</f>
        <v>509.6</v>
      </c>
      <c r="H21" s="80"/>
      <c r="I21" s="79">
        <f>SUM(I19:I20)</f>
        <v>481.19999999999993</v>
      </c>
      <c r="J21" s="80"/>
      <c r="K21" s="79">
        <f>SUM(K19:K20)</f>
        <v>-1</v>
      </c>
      <c r="L21" s="80"/>
      <c r="M21" s="81">
        <f>SUM(M19:M20)</f>
        <v>1353.1999999999998</v>
      </c>
    </row>
    <row r="23" spans="1:13" ht="15" x14ac:dyDescent="0.25">
      <c r="A23" s="28" t="s">
        <v>39</v>
      </c>
      <c r="B23" s="28"/>
      <c r="C23" s="10">
        <f>C14+C21</f>
        <v>114.5</v>
      </c>
      <c r="D23" s="28"/>
      <c r="E23" s="10">
        <f>E14+E21</f>
        <v>248.9</v>
      </c>
      <c r="F23" s="28"/>
      <c r="G23" s="10">
        <f>G14+G21</f>
        <v>1307.6000000000001</v>
      </c>
      <c r="I23" s="10">
        <f>I14+I21</f>
        <v>1813.9</v>
      </c>
      <c r="K23" s="10">
        <f>K14+K21</f>
        <v>1451.6999999999998</v>
      </c>
      <c r="M23" s="10">
        <f>M14+M21</f>
        <v>4936.6000000000004</v>
      </c>
    </row>
    <row r="24" spans="1:13" ht="15" x14ac:dyDescent="0.25">
      <c r="A24" s="28"/>
      <c r="B24" s="28"/>
      <c r="C24" s="28"/>
      <c r="D24" s="28"/>
      <c r="E24" s="28"/>
      <c r="F24" s="28"/>
    </row>
    <row r="26" spans="1:13" hidden="1" x14ac:dyDescent="0.2">
      <c r="A26" s="65" t="s">
        <v>30</v>
      </c>
      <c r="B26" s="65" t="s">
        <v>33</v>
      </c>
      <c r="C26" s="65"/>
      <c r="D26" s="65"/>
      <c r="E26" s="65"/>
      <c r="F26" s="65"/>
      <c r="G26" s="65"/>
      <c r="H26" s="65"/>
      <c r="I26" s="65"/>
    </row>
    <row r="27" spans="1:13" hidden="1" x14ac:dyDescent="0.2">
      <c r="A27" s="65" t="s">
        <v>32</v>
      </c>
      <c r="B27" s="65"/>
      <c r="C27" s="65"/>
      <c r="D27" s="65"/>
      <c r="E27" s="65"/>
      <c r="F27" s="65"/>
      <c r="G27" s="65">
        <v>197.7</v>
      </c>
      <c r="H27" s="65"/>
      <c r="I27" s="65"/>
    </row>
    <row r="28" spans="1:13" hidden="1" x14ac:dyDescent="0.2">
      <c r="A28" s="65" t="s">
        <v>31</v>
      </c>
      <c r="B28" s="65"/>
      <c r="C28" s="65"/>
      <c r="D28" s="65"/>
      <c r="E28" s="65"/>
      <c r="F28" s="65"/>
      <c r="G28" s="65">
        <v>83.6</v>
      </c>
      <c r="H28" s="65"/>
      <c r="I28" s="65"/>
    </row>
    <row r="29" spans="1:13" hidden="1" x14ac:dyDescent="0.2">
      <c r="A29" s="65"/>
      <c r="B29" s="65"/>
      <c r="C29" s="65"/>
      <c r="D29" s="65"/>
      <c r="E29" s="65"/>
      <c r="F29" s="65"/>
      <c r="G29" s="66">
        <f>SUM(G27:G28)</f>
        <v>281.29999999999995</v>
      </c>
      <c r="H29" s="65"/>
      <c r="I29" s="65"/>
    </row>
    <row r="30" spans="1:13" x14ac:dyDescent="0.2">
      <c r="A30" s="65"/>
      <c r="B30" s="65"/>
      <c r="C30" s="65"/>
      <c r="D30" s="65"/>
      <c r="E30" s="65"/>
      <c r="F30" s="65"/>
      <c r="G30" s="65"/>
      <c r="H30" s="65"/>
      <c r="I30" s="6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30"/>
  <sheetViews>
    <sheetView workbookViewId="0">
      <pane xSplit="1" topLeftCell="D1" activePane="topRight" state="frozen"/>
      <selection pane="topRight" activeCell="A5" sqref="A5"/>
    </sheetView>
  </sheetViews>
  <sheetFormatPr defaultRowHeight="12.75" x14ac:dyDescent="0.2"/>
  <cols>
    <col min="1" max="1" width="47" bestFit="1" customWidth="1"/>
    <col min="2" max="4" width="8.42578125" bestFit="1" customWidth="1"/>
    <col min="5" max="5" width="7.7109375" bestFit="1" customWidth="1"/>
    <col min="6" max="6" width="8.28515625" bestFit="1" customWidth="1"/>
    <col min="7" max="7" width="8.42578125" bestFit="1" customWidth="1"/>
    <col min="8" max="8" width="9.5703125" bestFit="1" customWidth="1"/>
    <col min="9" max="9" width="8.42578125" bestFit="1" customWidth="1"/>
    <col min="10" max="12" width="7.7109375" bestFit="1" customWidth="1"/>
    <col min="13" max="14" width="8.42578125" bestFit="1" customWidth="1"/>
    <col min="15" max="21" width="8.42578125" customWidth="1"/>
    <col min="22" max="22" width="8.85546875" bestFit="1" customWidth="1"/>
    <col min="23" max="23" width="9.5703125" bestFit="1" customWidth="1"/>
  </cols>
  <sheetData>
    <row r="1" spans="1:77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BU1" s="87" t="s">
        <v>0</v>
      </c>
      <c r="BV1" s="87"/>
      <c r="BW1" s="87"/>
      <c r="BX1" s="87"/>
      <c r="BY1" s="87"/>
    </row>
    <row r="2" spans="1:77" s="6" customFormat="1" ht="15.75" customHeight="1" x14ac:dyDescent="0.25">
      <c r="A2" s="57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BQ2" s="7"/>
    </row>
    <row r="3" spans="1:77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T3" s="7"/>
    </row>
    <row r="4" spans="1:77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T4" s="7"/>
    </row>
    <row r="5" spans="1:77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X5"/>
      <c r="Y5"/>
      <c r="Z5"/>
      <c r="AA5"/>
      <c r="AB5"/>
      <c r="AC5"/>
      <c r="AD5"/>
      <c r="AE5"/>
      <c r="AF5"/>
      <c r="AG5"/>
      <c r="BH5" s="53"/>
    </row>
    <row r="6" spans="1:77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X6"/>
      <c r="Y6"/>
      <c r="Z6"/>
      <c r="AA6"/>
      <c r="AB6"/>
      <c r="AC6"/>
      <c r="AD6"/>
      <c r="AE6"/>
      <c r="AF6"/>
      <c r="AG6"/>
      <c r="BH6" s="53"/>
    </row>
    <row r="7" spans="1:77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BH7" s="53"/>
    </row>
    <row r="8" spans="1:77" ht="15.75" thickTop="1" x14ac:dyDescent="0.25">
      <c r="W8" s="63" t="s">
        <v>26</v>
      </c>
    </row>
    <row r="9" spans="1:77" s="58" customFormat="1" ht="15" x14ac:dyDescent="0.25">
      <c r="B9" s="13">
        <v>37043</v>
      </c>
      <c r="C9" s="13">
        <v>37046</v>
      </c>
      <c r="D9" s="13">
        <v>37047</v>
      </c>
      <c r="E9" s="13">
        <v>37048</v>
      </c>
      <c r="F9" s="13">
        <v>37049</v>
      </c>
      <c r="G9" s="13">
        <v>37050</v>
      </c>
      <c r="H9" s="13">
        <v>37053</v>
      </c>
      <c r="I9" s="13">
        <v>37054</v>
      </c>
      <c r="J9" s="13">
        <v>37055</v>
      </c>
      <c r="K9" s="13">
        <v>37056</v>
      </c>
      <c r="L9" s="13">
        <v>37057</v>
      </c>
      <c r="M9" s="13">
        <v>37060</v>
      </c>
      <c r="N9" s="13">
        <v>37061</v>
      </c>
      <c r="O9" s="13">
        <v>37062</v>
      </c>
      <c r="P9" s="13">
        <v>37063</v>
      </c>
      <c r="Q9" s="13">
        <v>37064</v>
      </c>
      <c r="R9" s="13">
        <v>37067</v>
      </c>
      <c r="S9" s="13">
        <v>37068</v>
      </c>
      <c r="T9" s="13">
        <v>37069</v>
      </c>
      <c r="U9" s="13">
        <v>37070</v>
      </c>
      <c r="V9" s="13">
        <v>37071</v>
      </c>
      <c r="W9" s="14" t="s">
        <v>4</v>
      </c>
      <c r="X9" s="15"/>
      <c r="Y9" s="15"/>
      <c r="Z9" s="15"/>
      <c r="AA9" s="15"/>
    </row>
    <row r="10" spans="1:77" x14ac:dyDescent="0.2">
      <c r="A10" s="2"/>
      <c r="W10" s="41"/>
      <c r="X10" s="5"/>
      <c r="Y10" s="5"/>
      <c r="Z10" s="5"/>
      <c r="AA10" s="5"/>
    </row>
    <row r="11" spans="1:77" ht="15" x14ac:dyDescent="0.25">
      <c r="A11" s="17" t="s">
        <v>37</v>
      </c>
      <c r="W11" s="41"/>
      <c r="X11" s="5"/>
      <c r="Y11" s="5"/>
      <c r="Z11" s="5"/>
      <c r="AA11" s="5"/>
    </row>
    <row r="12" spans="1:77" ht="14.25" x14ac:dyDescent="0.2">
      <c r="A12" s="21" t="s">
        <v>6</v>
      </c>
      <c r="B12" s="46">
        <v>-13.4</v>
      </c>
      <c r="C12" s="46">
        <v>-29.2</v>
      </c>
      <c r="D12" s="46">
        <v>-13.2</v>
      </c>
      <c r="E12" s="46">
        <v>15.2</v>
      </c>
      <c r="F12" s="46">
        <v>30.9</v>
      </c>
      <c r="G12" s="46">
        <v>-24.4</v>
      </c>
      <c r="H12" s="46">
        <v>-87.3</v>
      </c>
      <c r="I12" s="46">
        <v>-83.5</v>
      </c>
      <c r="J12" s="46">
        <v>55.4</v>
      </c>
      <c r="K12" s="46">
        <v>16.3</v>
      </c>
      <c r="L12" s="46">
        <v>11.5</v>
      </c>
      <c r="M12" s="46">
        <v>-25.3</v>
      </c>
      <c r="N12" s="46">
        <v>6.1</v>
      </c>
      <c r="O12" s="46">
        <v>108.9</v>
      </c>
      <c r="P12" s="46">
        <v>24.7</v>
      </c>
      <c r="Q12" s="46">
        <v>15.3</v>
      </c>
      <c r="R12" s="46">
        <v>132.19999999999999</v>
      </c>
      <c r="S12" s="46">
        <v>33.6</v>
      </c>
      <c r="T12" s="46">
        <v>73.5</v>
      </c>
      <c r="U12" s="46">
        <v>9.1</v>
      </c>
      <c r="V12" s="46">
        <v>32</v>
      </c>
      <c r="W12" s="47">
        <f t="shared" ref="W12:W17" si="0">SUM(B12:V12)</f>
        <v>288.40000000000003</v>
      </c>
      <c r="X12" s="54"/>
      <c r="Y12" s="54"/>
      <c r="Z12" s="54"/>
      <c r="AA12" s="54"/>
    </row>
    <row r="13" spans="1:77" s="64" customFormat="1" ht="14.25" x14ac:dyDescent="0.2">
      <c r="A13" s="25" t="s">
        <v>40</v>
      </c>
      <c r="B13" s="27">
        <v>-33</v>
      </c>
      <c r="C13" s="27">
        <v>24</v>
      </c>
      <c r="D13" s="27">
        <v>13.2</v>
      </c>
      <c r="E13" s="27">
        <v>10.8</v>
      </c>
      <c r="F13" s="27">
        <v>-27.8</v>
      </c>
      <c r="G13" s="27">
        <v>-37.1</v>
      </c>
      <c r="H13" s="27">
        <v>-17.8</v>
      </c>
      <c r="I13" s="27">
        <v>15.9</v>
      </c>
      <c r="J13" s="27">
        <v>30.3</v>
      </c>
      <c r="K13" s="27">
        <v>36.799999999999997</v>
      </c>
      <c r="L13" s="27">
        <v>32.299999999999997</v>
      </c>
      <c r="M13" s="27">
        <v>29.1</v>
      </c>
      <c r="N13" s="27">
        <v>24</v>
      </c>
      <c r="O13" s="27">
        <v>35.700000000000003</v>
      </c>
      <c r="P13" s="27">
        <v>-8.8000000000000007</v>
      </c>
      <c r="Q13" s="27">
        <v>16.3</v>
      </c>
      <c r="R13" s="27">
        <v>34.700000000000003</v>
      </c>
      <c r="S13" s="27">
        <v>-9.5</v>
      </c>
      <c r="T13" s="27">
        <v>5.2</v>
      </c>
      <c r="U13" s="27">
        <v>-5.0999999999999996</v>
      </c>
      <c r="V13" s="27">
        <v>96.4</v>
      </c>
      <c r="W13" s="49">
        <f t="shared" si="0"/>
        <v>265.59999999999997</v>
      </c>
      <c r="X13" s="55"/>
      <c r="Y13" s="55"/>
      <c r="Z13" s="55"/>
      <c r="AA13" s="55"/>
    </row>
    <row r="14" spans="1:77" s="64" customFormat="1" ht="14.25" x14ac:dyDescent="0.2">
      <c r="A14" s="70" t="s">
        <v>41</v>
      </c>
      <c r="B14" s="27">
        <v>0.6</v>
      </c>
      <c r="C14" s="27">
        <v>0.6</v>
      </c>
      <c r="D14" s="27">
        <v>0.2</v>
      </c>
      <c r="E14" s="27">
        <v>0.6</v>
      </c>
      <c r="F14" s="27">
        <v>0.4</v>
      </c>
      <c r="G14" s="27">
        <v>0.4</v>
      </c>
      <c r="H14" s="27">
        <f>0.4-4.8</f>
        <v>-4.3999999999999995</v>
      </c>
      <c r="I14" s="27">
        <v>0.1</v>
      </c>
      <c r="J14" s="27">
        <v>0.5</v>
      </c>
      <c r="K14" s="27">
        <v>0.2</v>
      </c>
      <c r="L14" s="27">
        <v>0.8</v>
      </c>
      <c r="M14" s="27">
        <v>0.8</v>
      </c>
      <c r="N14" s="27">
        <v>0.3</v>
      </c>
      <c r="O14" s="27">
        <v>0.8</v>
      </c>
      <c r="P14" s="27">
        <v>0.3</v>
      </c>
      <c r="Q14" s="27">
        <v>0.3</v>
      </c>
      <c r="R14" s="27">
        <v>1.9</v>
      </c>
      <c r="S14" s="27">
        <v>1.9</v>
      </c>
      <c r="T14" s="27">
        <v>3.1</v>
      </c>
      <c r="U14" s="27">
        <v>2.2000000000000002</v>
      </c>
      <c r="V14" s="27">
        <f>-4-0.7</f>
        <v>-4.7</v>
      </c>
      <c r="W14" s="49">
        <f t="shared" si="0"/>
        <v>6.9000000000000012</v>
      </c>
      <c r="X14" s="55"/>
      <c r="Y14" s="55"/>
      <c r="Z14" s="55"/>
      <c r="AA14" s="55"/>
    </row>
    <row r="15" spans="1:77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-23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49">
        <f t="shared" si="0"/>
        <v>-23</v>
      </c>
      <c r="X15" s="55"/>
      <c r="Y15" s="55"/>
      <c r="Z15" s="55"/>
      <c r="AA15" s="55"/>
    </row>
    <row r="16" spans="1:77" s="64" customFormat="1" ht="14.25" x14ac:dyDescent="0.2">
      <c r="A16" s="70" t="s">
        <v>46</v>
      </c>
      <c r="B16" s="27">
        <f>8.7+20.2+0.3</f>
        <v>29.2</v>
      </c>
      <c r="C16" s="27">
        <v>0</v>
      </c>
      <c r="D16" s="27">
        <v>0.1</v>
      </c>
      <c r="E16" s="27">
        <v>0</v>
      </c>
      <c r="F16" s="27">
        <v>0</v>
      </c>
      <c r="G16" s="27">
        <f>-2.7-1.4</f>
        <v>-4.0999999999999996</v>
      </c>
      <c r="H16" s="27">
        <v>0.3</v>
      </c>
      <c r="I16" s="27">
        <v>0</v>
      </c>
      <c r="J16" s="27">
        <v>0.8</v>
      </c>
      <c r="K16" s="27">
        <v>0</v>
      </c>
      <c r="L16" s="27">
        <f>37.1-0.3</f>
        <v>36.800000000000004</v>
      </c>
      <c r="M16" s="27">
        <v>0</v>
      </c>
      <c r="N16" s="27">
        <v>0.8</v>
      </c>
      <c r="O16" s="27">
        <f>-22.7+23</f>
        <v>0.30000000000000071</v>
      </c>
      <c r="P16" s="27">
        <v>0.2</v>
      </c>
      <c r="Q16" s="27">
        <v>5</v>
      </c>
      <c r="R16" s="27">
        <v>0.3</v>
      </c>
      <c r="S16" s="27">
        <f>-3.7+12</f>
        <v>8.3000000000000007</v>
      </c>
      <c r="T16" s="27">
        <v>0.2</v>
      </c>
      <c r="U16" s="27">
        <v>5</v>
      </c>
      <c r="V16" s="27">
        <v>-24.9</v>
      </c>
      <c r="W16" s="49">
        <f t="shared" si="0"/>
        <v>58.300000000000004</v>
      </c>
      <c r="X16" s="55"/>
      <c r="Y16" s="55"/>
      <c r="Z16" s="55"/>
      <c r="AA16" s="55"/>
    </row>
    <row r="17" spans="1:27" s="64" customFormat="1" ht="14.25" x14ac:dyDescent="0.2">
      <c r="A17" s="25" t="s">
        <v>42</v>
      </c>
      <c r="B17" s="27">
        <v>1.9</v>
      </c>
      <c r="C17" s="27">
        <v>0.2</v>
      </c>
      <c r="D17" s="27">
        <v>0</v>
      </c>
      <c r="E17" s="27">
        <v>0.1</v>
      </c>
      <c r="F17" s="27">
        <v>-0.1</v>
      </c>
      <c r="G17" s="27">
        <v>4.0999999999999996</v>
      </c>
      <c r="H17" s="27">
        <v>0</v>
      </c>
      <c r="I17" s="27">
        <v>-0.5</v>
      </c>
      <c r="J17" s="27">
        <v>0.4</v>
      </c>
      <c r="K17" s="27">
        <v>0.1</v>
      </c>
      <c r="L17" s="27">
        <v>0.9</v>
      </c>
      <c r="M17" s="27">
        <v>0.6</v>
      </c>
      <c r="N17" s="27">
        <v>-0.3</v>
      </c>
      <c r="O17" s="27">
        <v>0.2</v>
      </c>
      <c r="P17" s="27">
        <v>0</v>
      </c>
      <c r="Q17" s="27">
        <v>0.7</v>
      </c>
      <c r="R17" s="27">
        <v>-1.8</v>
      </c>
      <c r="S17" s="27">
        <v>3.1</v>
      </c>
      <c r="T17" s="27">
        <v>-0.9</v>
      </c>
      <c r="U17" s="27">
        <v>1.2</v>
      </c>
      <c r="V17" s="27">
        <v>26.7</v>
      </c>
      <c r="W17" s="49">
        <f t="shared" si="0"/>
        <v>36.599999999999994</v>
      </c>
      <c r="X17" s="55"/>
      <c r="Y17" s="55"/>
      <c r="Z17" s="55"/>
      <c r="AA17" s="55"/>
    </row>
    <row r="18" spans="1:27" ht="15" x14ac:dyDescent="0.25">
      <c r="A18" s="28" t="s">
        <v>38</v>
      </c>
      <c r="B18" s="29">
        <f>SUM(B12:B17)</f>
        <v>-14.699999999999998</v>
      </c>
      <c r="C18" s="29">
        <f t="shared" ref="C18:V18" si="1">SUM(C12:C17)</f>
        <v>-4.3999999999999995</v>
      </c>
      <c r="D18" s="29">
        <f t="shared" si="1"/>
        <v>0.30000000000000004</v>
      </c>
      <c r="E18" s="29">
        <f t="shared" si="1"/>
        <v>26.700000000000003</v>
      </c>
      <c r="F18" s="29">
        <f t="shared" si="1"/>
        <v>3.3999999999999977</v>
      </c>
      <c r="G18" s="29">
        <f t="shared" si="1"/>
        <v>-61.1</v>
      </c>
      <c r="H18" s="29">
        <f t="shared" si="1"/>
        <v>-109.2</v>
      </c>
      <c r="I18" s="29">
        <f t="shared" si="1"/>
        <v>-68</v>
      </c>
      <c r="J18" s="29">
        <f t="shared" si="1"/>
        <v>87.4</v>
      </c>
      <c r="K18" s="29">
        <f t="shared" si="1"/>
        <v>53.4</v>
      </c>
      <c r="L18" s="29">
        <f t="shared" si="1"/>
        <v>82.300000000000011</v>
      </c>
      <c r="M18" s="29">
        <f t="shared" si="1"/>
        <v>5.2</v>
      </c>
      <c r="N18" s="29">
        <f t="shared" si="1"/>
        <v>30.900000000000002</v>
      </c>
      <c r="O18" s="29">
        <f t="shared" si="1"/>
        <v>122.90000000000003</v>
      </c>
      <c r="P18" s="29">
        <f t="shared" ref="P18:U18" si="2">SUM(P12:P17)</f>
        <v>16.399999999999999</v>
      </c>
      <c r="Q18" s="29">
        <f t="shared" si="2"/>
        <v>37.600000000000009</v>
      </c>
      <c r="R18" s="29">
        <f t="shared" si="2"/>
        <v>167.29999999999998</v>
      </c>
      <c r="S18" s="29">
        <f t="shared" si="2"/>
        <v>37.4</v>
      </c>
      <c r="T18" s="29">
        <f t="shared" si="2"/>
        <v>81.099999999999994</v>
      </c>
      <c r="U18" s="29">
        <f t="shared" si="2"/>
        <v>12.399999999999999</v>
      </c>
      <c r="V18" s="29">
        <f t="shared" si="1"/>
        <v>125.50000000000001</v>
      </c>
      <c r="W18" s="30">
        <f>SUM(W12:W17)</f>
        <v>632.79999999999995</v>
      </c>
      <c r="X18" s="31"/>
      <c r="Y18" s="31"/>
      <c r="Z18" s="31"/>
      <c r="AA18" s="31"/>
    </row>
    <row r="19" spans="1:27" ht="15" x14ac:dyDescent="0.25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1"/>
      <c r="Y19" s="31"/>
      <c r="Z19" s="31"/>
      <c r="AA19" s="31"/>
    </row>
    <row r="20" spans="1:27" ht="15" x14ac:dyDescent="0.25">
      <c r="A20" s="2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1"/>
      <c r="Y20" s="31"/>
      <c r="Z20" s="31"/>
      <c r="AA20" s="31"/>
    </row>
    <row r="21" spans="1:27" ht="15" x14ac:dyDescent="0.25">
      <c r="A21" s="2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31"/>
      <c r="Y21" s="31"/>
      <c r="Z21" s="31"/>
      <c r="AA21" s="31"/>
    </row>
    <row r="22" spans="1:27" ht="15" x14ac:dyDescent="0.25">
      <c r="A22" s="28"/>
      <c r="W22" s="41"/>
      <c r="X22" s="5"/>
      <c r="Y22" s="5"/>
      <c r="Z22" s="5"/>
      <c r="AA22" s="5"/>
    </row>
    <row r="23" spans="1:27" ht="15" x14ac:dyDescent="0.25">
      <c r="A23" s="34" t="s">
        <v>9</v>
      </c>
      <c r="W23" s="41"/>
      <c r="X23" s="5"/>
      <c r="Y23" s="5"/>
      <c r="Z23" s="5"/>
      <c r="AA23" s="5"/>
    </row>
    <row r="24" spans="1:27" ht="14.25" x14ac:dyDescent="0.2">
      <c r="A24" s="21" t="s">
        <v>10</v>
      </c>
      <c r="B24" s="35">
        <v>0</v>
      </c>
      <c r="C24" s="35">
        <v>0</v>
      </c>
      <c r="D24" s="35">
        <v>0</v>
      </c>
      <c r="E24" s="35">
        <v>0</v>
      </c>
      <c r="F24" s="35">
        <v>47.8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f>27.6+7.9-23.8</f>
        <v>11.7</v>
      </c>
      <c r="W24" s="36">
        <f>SUM(B24:V24)</f>
        <v>59.5</v>
      </c>
      <c r="X24" s="37"/>
      <c r="Y24" s="37"/>
      <c r="Z24" s="37"/>
      <c r="AA24" s="37"/>
    </row>
    <row r="25" spans="1:27" ht="14.25" x14ac:dyDescent="0.2">
      <c r="A25" s="19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-14.5</v>
      </c>
      <c r="O25" s="38">
        <v>25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-87.5</v>
      </c>
      <c r="W25" s="36">
        <f>SUM(B25:V25)</f>
        <v>-77</v>
      </c>
      <c r="X25" s="40"/>
      <c r="Y25" s="40"/>
      <c r="Z25" s="40"/>
      <c r="AA25" s="40"/>
    </row>
    <row r="26" spans="1:27" ht="15" x14ac:dyDescent="0.25">
      <c r="A26" s="34" t="s">
        <v>12</v>
      </c>
      <c r="B26" s="29">
        <f>SUM(B24:B25)</f>
        <v>0</v>
      </c>
      <c r="C26" s="29">
        <f t="shared" ref="C26:V26" si="3">SUM(C24:C25)</f>
        <v>0</v>
      </c>
      <c r="D26" s="29">
        <f t="shared" si="3"/>
        <v>0</v>
      </c>
      <c r="E26" s="29">
        <f t="shared" si="3"/>
        <v>0</v>
      </c>
      <c r="F26" s="29">
        <f t="shared" si="3"/>
        <v>47.8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-14.5</v>
      </c>
      <c r="O26" s="29">
        <f t="shared" si="3"/>
        <v>25</v>
      </c>
      <c r="P26" s="29"/>
      <c r="Q26" s="29"/>
      <c r="R26" s="29">
        <f>SUM(R24:R25)</f>
        <v>0</v>
      </c>
      <c r="S26" s="29">
        <f>SUM(S24:S25)</f>
        <v>0</v>
      </c>
      <c r="T26" s="29">
        <f>SUM(T24:T25)</f>
        <v>0</v>
      </c>
      <c r="U26" s="29">
        <f>SUM(U24:U25)</f>
        <v>0</v>
      </c>
      <c r="V26" s="29">
        <f t="shared" si="3"/>
        <v>-75.8</v>
      </c>
      <c r="W26" s="30">
        <f>SUM(W24:W25)</f>
        <v>-17.5</v>
      </c>
      <c r="X26" s="31"/>
      <c r="Y26" s="31"/>
      <c r="Z26" s="31"/>
      <c r="AA26" s="31"/>
    </row>
    <row r="27" spans="1:27" x14ac:dyDescent="0.2">
      <c r="W27" s="41"/>
      <c r="X27" s="5"/>
      <c r="Y27" s="5"/>
      <c r="Z27" s="5"/>
      <c r="AA27" s="5"/>
    </row>
    <row r="28" spans="1:27" ht="15" x14ac:dyDescent="0.25">
      <c r="A28" s="28" t="s">
        <v>39</v>
      </c>
      <c r="B28" s="10">
        <f>B18+B26</f>
        <v>-14.699999999999998</v>
      </c>
      <c r="C28" s="10">
        <f t="shared" ref="C28:V28" si="4">C18+C26</f>
        <v>-4.3999999999999995</v>
      </c>
      <c r="D28" s="10">
        <f t="shared" si="4"/>
        <v>0.30000000000000004</v>
      </c>
      <c r="E28" s="10">
        <f t="shared" si="4"/>
        <v>26.700000000000003</v>
      </c>
      <c r="F28" s="10">
        <f t="shared" si="4"/>
        <v>51.199999999999996</v>
      </c>
      <c r="G28" s="10">
        <f t="shared" si="4"/>
        <v>-61.1</v>
      </c>
      <c r="H28" s="10">
        <f t="shared" si="4"/>
        <v>-109.2</v>
      </c>
      <c r="I28" s="10">
        <f t="shared" si="4"/>
        <v>-68</v>
      </c>
      <c r="J28" s="10">
        <f t="shared" si="4"/>
        <v>87.4</v>
      </c>
      <c r="K28" s="10">
        <f t="shared" si="4"/>
        <v>53.4</v>
      </c>
      <c r="L28" s="10">
        <f t="shared" si="4"/>
        <v>82.300000000000011</v>
      </c>
      <c r="M28" s="10">
        <f t="shared" si="4"/>
        <v>5.2</v>
      </c>
      <c r="N28" s="10">
        <f t="shared" si="4"/>
        <v>16.400000000000002</v>
      </c>
      <c r="O28" s="10">
        <f t="shared" ref="O28:U28" si="5">O18+O26</f>
        <v>147.90000000000003</v>
      </c>
      <c r="P28" s="10">
        <f t="shared" si="5"/>
        <v>16.399999999999999</v>
      </c>
      <c r="Q28" s="10">
        <f t="shared" si="5"/>
        <v>37.600000000000009</v>
      </c>
      <c r="R28" s="10">
        <f t="shared" si="5"/>
        <v>167.29999999999998</v>
      </c>
      <c r="S28" s="10">
        <f t="shared" si="5"/>
        <v>37.4</v>
      </c>
      <c r="T28" s="10">
        <f t="shared" si="5"/>
        <v>81.099999999999994</v>
      </c>
      <c r="U28" s="10">
        <f t="shared" si="5"/>
        <v>12.399999999999999</v>
      </c>
      <c r="V28" s="10">
        <f t="shared" si="4"/>
        <v>49.700000000000017</v>
      </c>
      <c r="W28" s="42">
        <f>W18+W26</f>
        <v>615.29999999999995</v>
      </c>
      <c r="X28" s="43"/>
      <c r="Y28" s="43"/>
      <c r="Z28" s="43"/>
      <c r="AA28" s="43"/>
    </row>
    <row r="29" spans="1:27" ht="13.5" thickBot="1" x14ac:dyDescent="0.25">
      <c r="W29" s="44"/>
    </row>
    <row r="30" spans="1:27" ht="13.5" thickTop="1" x14ac:dyDescent="0.2"/>
  </sheetData>
  <mergeCells count="1">
    <mergeCell ref="BU1:BY1"/>
  </mergeCells>
  <phoneticPr fontId="0" type="noConversion"/>
  <pageMargins left="0.75" right="0.75" top="1" bottom="1" header="0.5" footer="0.5"/>
  <pageSetup scale="68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47" bestFit="1" customWidth="1"/>
    <col min="2" max="2" width="7.5703125" bestFit="1" customWidth="1"/>
    <col min="3" max="4" width="7.85546875" bestFit="1" customWidth="1"/>
    <col min="5" max="5" width="8.28515625" bestFit="1" customWidth="1"/>
    <col min="6" max="6" width="8" bestFit="1" customWidth="1"/>
    <col min="7" max="7" width="7.7109375" bestFit="1" customWidth="1"/>
    <col min="8" max="8" width="7.5703125" bestFit="1" customWidth="1"/>
    <col min="9" max="9" width="7.85546875" bestFit="1" customWidth="1"/>
    <col min="10" max="10" width="8.7109375" bestFit="1" customWidth="1"/>
    <col min="11" max="11" width="7.5703125" bestFit="1" customWidth="1"/>
    <col min="12" max="12" width="8.140625" bestFit="1" customWidth="1"/>
    <col min="13" max="13" width="8.7109375" bestFit="1" customWidth="1"/>
    <col min="14" max="14" width="7.5703125" bestFit="1" customWidth="1"/>
    <col min="15" max="16" width="8.7109375" bestFit="1" customWidth="1"/>
    <col min="17" max="17" width="8.28515625" bestFit="1" customWidth="1"/>
    <col min="18" max="22" width="8.7109375" bestFit="1" customWidth="1"/>
    <col min="23" max="23" width="7.5703125" bestFit="1" customWidth="1"/>
    <col min="24" max="26" width="8.7109375" bestFit="1" customWidth="1"/>
    <col min="27" max="27" width="8.28515625" bestFit="1" customWidth="1"/>
    <col min="28" max="28" width="10.42578125" bestFit="1" customWidth="1"/>
    <col min="29" max="29" width="9.42578125" bestFit="1" customWidth="1"/>
    <col min="30" max="31" width="8.7109375" bestFit="1" customWidth="1"/>
    <col min="32" max="32" width="9.28515625" bestFit="1" customWidth="1"/>
    <col min="33" max="33" width="11.5703125" bestFit="1" customWidth="1"/>
    <col min="34" max="34" width="8.7109375" bestFit="1" customWidth="1"/>
    <col min="35" max="35" width="10.42578125" hidden="1" customWidth="1"/>
    <col min="36" max="36" width="0" hidden="1" customWidth="1"/>
  </cols>
  <sheetData>
    <row r="1" spans="1:89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87" t="s">
        <v>0</v>
      </c>
      <c r="CH1" s="87"/>
      <c r="CI1" s="87"/>
      <c r="CJ1" s="87"/>
      <c r="CK1" s="87"/>
    </row>
    <row r="2" spans="1:89" s="6" customFormat="1" ht="15.75" customHeight="1" x14ac:dyDescent="0.25">
      <c r="A2" s="85" t="s">
        <v>66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53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53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53"/>
    </row>
    <row r="8" spans="1:89" ht="15.75" thickTop="1" x14ac:dyDescent="0.25">
      <c r="AI8" s="63" t="s">
        <v>4</v>
      </c>
    </row>
    <row r="9" spans="1:89" s="58" customFormat="1" ht="15" x14ac:dyDescent="0.25">
      <c r="B9" s="83">
        <v>36161</v>
      </c>
      <c r="C9" s="83">
        <v>36192</v>
      </c>
      <c r="D9" s="83">
        <v>36220</v>
      </c>
      <c r="E9" s="83">
        <v>36251</v>
      </c>
      <c r="F9" s="83">
        <v>36281</v>
      </c>
      <c r="G9" s="83">
        <v>36312</v>
      </c>
      <c r="H9" s="83">
        <v>36342</v>
      </c>
      <c r="I9" s="83">
        <v>36373</v>
      </c>
      <c r="J9" s="83">
        <v>36404</v>
      </c>
      <c r="K9" s="83">
        <v>36434</v>
      </c>
      <c r="L9" s="83">
        <v>36465</v>
      </c>
      <c r="M9" s="83">
        <v>36495</v>
      </c>
      <c r="N9" s="83">
        <v>36526</v>
      </c>
      <c r="O9" s="83">
        <v>36557</v>
      </c>
      <c r="P9" s="83">
        <v>36586</v>
      </c>
      <c r="Q9" s="83">
        <v>36617</v>
      </c>
      <c r="R9" s="83">
        <v>36647</v>
      </c>
      <c r="S9" s="83">
        <v>36678</v>
      </c>
      <c r="T9" s="83">
        <v>36708</v>
      </c>
      <c r="U9" s="83">
        <v>36739</v>
      </c>
      <c r="V9" s="83">
        <v>36770</v>
      </c>
      <c r="W9" s="83">
        <v>36800</v>
      </c>
      <c r="X9" s="83">
        <v>36831</v>
      </c>
      <c r="Y9" s="83">
        <v>36861</v>
      </c>
      <c r="Z9" s="83">
        <v>36892</v>
      </c>
      <c r="AA9" s="83">
        <v>36923</v>
      </c>
      <c r="AB9" s="83">
        <v>36951</v>
      </c>
      <c r="AC9" s="83">
        <v>36982</v>
      </c>
      <c r="AD9" s="83">
        <v>37012</v>
      </c>
      <c r="AE9" s="83">
        <v>37043</v>
      </c>
      <c r="AF9" s="83">
        <v>37073</v>
      </c>
      <c r="AG9" s="83">
        <v>37104</v>
      </c>
      <c r="AH9" s="83">
        <v>37135</v>
      </c>
      <c r="AI9" s="14" t="s">
        <v>37</v>
      </c>
      <c r="AJ9" s="15"/>
      <c r="AK9" s="15"/>
      <c r="AL9" s="15"/>
      <c r="AM9" s="15"/>
    </row>
    <row r="10" spans="1:89" x14ac:dyDescent="0.2">
      <c r="A10" s="2"/>
      <c r="AI10" s="41"/>
      <c r="AJ10" s="5"/>
      <c r="AK10" s="5"/>
      <c r="AL10" s="5"/>
      <c r="AM10" s="5"/>
    </row>
    <row r="11" spans="1:89" ht="15" x14ac:dyDescent="0.25">
      <c r="A11" s="17" t="s">
        <v>37</v>
      </c>
      <c r="AI11" s="41"/>
      <c r="AJ11" s="5"/>
      <c r="AK11" s="5"/>
      <c r="AL11" s="5"/>
      <c r="AM11" s="5"/>
    </row>
    <row r="12" spans="1:89" ht="14.25" x14ac:dyDescent="0.2">
      <c r="A12" s="21" t="s">
        <v>6</v>
      </c>
      <c r="B12" s="46">
        <f>18.9</f>
        <v>18.899999999999999</v>
      </c>
      <c r="C12" s="46">
        <f>33.7</f>
        <v>33.700000000000003</v>
      </c>
      <c r="D12" s="46">
        <f>3.7</f>
        <v>3.7</v>
      </c>
      <c r="E12" s="46">
        <f>5.9</f>
        <v>5.9</v>
      </c>
      <c r="F12" s="46">
        <f>15.6</f>
        <v>15.6</v>
      </c>
      <c r="G12" s="46">
        <f>31.4-1</f>
        <v>30.4</v>
      </c>
      <c r="H12" s="46">
        <f>28</f>
        <v>28</v>
      </c>
      <c r="I12" s="46">
        <f>34.4+3.4</f>
        <v>37.799999999999997</v>
      </c>
      <c r="J12" s="46">
        <v>17.600000000000001</v>
      </c>
      <c r="K12" s="46">
        <v>46.8</v>
      </c>
      <c r="L12" s="46">
        <f>-2.2</f>
        <v>-2.2000000000000002</v>
      </c>
      <c r="M12" s="46">
        <f>1.5</f>
        <v>1.5</v>
      </c>
      <c r="N12" s="46">
        <f>35.3</f>
        <v>35.299999999999997</v>
      </c>
      <c r="O12" s="46">
        <f>16.7</f>
        <v>16.7</v>
      </c>
      <c r="P12" s="46">
        <f>41.7</f>
        <v>41.7</v>
      </c>
      <c r="Q12" s="46">
        <f>52.6</f>
        <v>52.6</v>
      </c>
      <c r="R12" s="46">
        <v>234</v>
      </c>
      <c r="S12" s="46">
        <f>58.7-2.1-5.8</f>
        <v>50.800000000000004</v>
      </c>
      <c r="T12" s="46">
        <f>14.8+0.7</f>
        <v>15.5</v>
      </c>
      <c r="U12" s="46">
        <f>253.8</f>
        <v>253.8</v>
      </c>
      <c r="V12" s="46">
        <f>11.2</f>
        <v>11.2</v>
      </c>
      <c r="W12" s="46">
        <f>-0.2</f>
        <v>-0.2</v>
      </c>
      <c r="X12" s="46">
        <f>'Nov 00'!V8</f>
        <v>296.10000000000002</v>
      </c>
      <c r="Y12" s="46">
        <f>'Dec 00'!V8</f>
        <v>130.70000000000002</v>
      </c>
      <c r="Z12" s="46">
        <f>Jan!W10</f>
        <v>149.10000000000002</v>
      </c>
      <c r="AA12" s="46">
        <f>Feb!U10</f>
        <v>43.999999999999986</v>
      </c>
      <c r="AB12" s="46">
        <f>Mar!X10</f>
        <v>335.79999999999995</v>
      </c>
      <c r="AC12" s="46">
        <f>Apr!V10</f>
        <v>-138.1</v>
      </c>
      <c r="AD12" s="46">
        <f>May!Y10</f>
        <v>-1.8000000000000227</v>
      </c>
      <c r="AE12" s="46">
        <f>June!W12</f>
        <v>288.40000000000003</v>
      </c>
      <c r="AF12" s="46">
        <f>-51.8+6.1+1+0.9+0.2</f>
        <v>-43.599999999999994</v>
      </c>
      <c r="AG12" s="46">
        <f>-13.2-AF12</f>
        <v>30.399999999999995</v>
      </c>
      <c r="AH12" s="46">
        <f>551.7+20.1+0.7+1.8+0.9-AG12-AF12</f>
        <v>588.40000000000009</v>
      </c>
      <c r="AI12" s="47">
        <f t="shared" ref="AI12:AI17" si="0">SUM(B12:AH12)</f>
        <v>2628.5000000000005</v>
      </c>
      <c r="AJ12" s="54"/>
      <c r="AK12" s="54"/>
      <c r="AL12" s="54"/>
      <c r="AM12" s="54"/>
    </row>
    <row r="13" spans="1:89" s="64" customFormat="1" ht="14.25" x14ac:dyDescent="0.2">
      <c r="A13" s="25" t="s">
        <v>40</v>
      </c>
      <c r="B13" s="27">
        <f>-0.5</f>
        <v>-0.5</v>
      </c>
      <c r="C13" s="27">
        <f>23.4</f>
        <v>23.4</v>
      </c>
      <c r="D13" s="27">
        <f>45.6</f>
        <v>45.6</v>
      </c>
      <c r="E13" s="27">
        <f>-58.1</f>
        <v>-58.1</v>
      </c>
      <c r="F13" s="27">
        <f>63.2</f>
        <v>63.2</v>
      </c>
      <c r="G13" s="27">
        <v>34.6</v>
      </c>
      <c r="H13" s="27">
        <f>19</f>
        <v>19</v>
      </c>
      <c r="I13" s="27">
        <f>-18.9</f>
        <v>-18.899999999999999</v>
      </c>
      <c r="J13" s="27">
        <v>36.700000000000003</v>
      </c>
      <c r="K13" s="27">
        <v>7</v>
      </c>
      <c r="L13" s="27">
        <f>-3</f>
        <v>-3</v>
      </c>
      <c r="M13" s="27">
        <f>78</f>
        <v>78</v>
      </c>
      <c r="N13" s="27">
        <f>3.6</f>
        <v>3.6</v>
      </c>
      <c r="O13" s="27">
        <f>53.6</f>
        <v>53.6</v>
      </c>
      <c r="P13" s="27">
        <f>13.8</f>
        <v>13.8</v>
      </c>
      <c r="Q13" s="27">
        <f>40.6</f>
        <v>40.6</v>
      </c>
      <c r="R13" s="27">
        <v>59.5</v>
      </c>
      <c r="S13" s="27">
        <f>90.9</f>
        <v>90.9</v>
      </c>
      <c r="T13" s="27">
        <f>31.3+54.8</f>
        <v>86.1</v>
      </c>
      <c r="U13" s="27">
        <f>30.1</f>
        <v>30.1</v>
      </c>
      <c r="V13" s="27">
        <f>112.5</f>
        <v>112.5</v>
      </c>
      <c r="W13" s="27">
        <f>-25.1+0.5</f>
        <v>-24.6</v>
      </c>
      <c r="X13" s="27">
        <f>'Nov 00'!V9</f>
        <v>84.4</v>
      </c>
      <c r="Y13" s="27">
        <f>'Dec 00'!V9</f>
        <v>63.499999999999979</v>
      </c>
      <c r="Z13" s="27">
        <f>Jan!W11</f>
        <v>390.6</v>
      </c>
      <c r="AA13" s="27">
        <f>Feb!U11</f>
        <v>-80.899999999999991</v>
      </c>
      <c r="AB13" s="27">
        <f>Mar!X11</f>
        <v>186.9</v>
      </c>
      <c r="AC13" s="27">
        <f>Apr!V11</f>
        <v>143</v>
      </c>
      <c r="AD13" s="27">
        <f>May!Y11</f>
        <v>278.29999999999995</v>
      </c>
      <c r="AE13" s="27">
        <f>June!W13</f>
        <v>265.59999999999997</v>
      </c>
      <c r="AF13" s="27">
        <f>7.1-43.8+55.7+6.4</f>
        <v>25.400000000000006</v>
      </c>
      <c r="AG13" s="27">
        <f>-8.4+112.7+11+16.4-AF13</f>
        <v>106.29999999999998</v>
      </c>
      <c r="AH13" s="27">
        <f>-27.6+156+14.8+67.8-AG13-AF13</f>
        <v>79.300000000000011</v>
      </c>
      <c r="AI13" s="49">
        <f t="shared" si="0"/>
        <v>2235.5</v>
      </c>
      <c r="AJ13" s="55"/>
      <c r="AK13" s="55"/>
      <c r="AL13" s="55"/>
      <c r="AM13" s="55"/>
    </row>
    <row r="14" spans="1:89" s="64" customFormat="1" ht="14.25" x14ac:dyDescent="0.2">
      <c r="A14" s="70" t="s">
        <v>41</v>
      </c>
      <c r="B14" s="27">
        <f>5.7</f>
        <v>5.7</v>
      </c>
      <c r="C14" s="27">
        <f>5.7</f>
        <v>5.7</v>
      </c>
      <c r="D14" s="27">
        <f>9.9</f>
        <v>9.9</v>
      </c>
      <c r="E14" s="27">
        <f>7.5-2.1</f>
        <v>5.4</v>
      </c>
      <c r="F14" s="27">
        <f>6.8</f>
        <v>6.8</v>
      </c>
      <c r="G14" s="27">
        <v>6.1</v>
      </c>
      <c r="H14" s="27">
        <f>5.7</f>
        <v>5.7</v>
      </c>
      <c r="I14" s="27">
        <f>6.9-1.6</f>
        <v>5.3000000000000007</v>
      </c>
      <c r="J14" s="27">
        <f>9.4+0.7</f>
        <v>10.1</v>
      </c>
      <c r="K14" s="27">
        <v>7.6</v>
      </c>
      <c r="L14" s="27">
        <f>9.2</f>
        <v>9.1999999999999993</v>
      </c>
      <c r="M14" s="27">
        <f>5.3</f>
        <v>5.3</v>
      </c>
      <c r="N14" s="27">
        <f>7.9</f>
        <v>7.9</v>
      </c>
      <c r="O14" s="27">
        <f>8.5</f>
        <v>8.5</v>
      </c>
      <c r="P14" s="27">
        <f>9.5</f>
        <v>9.5</v>
      </c>
      <c r="Q14" s="27">
        <f>9.8</f>
        <v>9.8000000000000007</v>
      </c>
      <c r="R14" s="27">
        <v>13.4</v>
      </c>
      <c r="S14" s="27">
        <f>16+5.8</f>
        <v>21.8</v>
      </c>
      <c r="T14" s="27">
        <f>9.5-8.5</f>
        <v>1</v>
      </c>
      <c r="U14" s="27">
        <f>8+9</f>
        <v>17</v>
      </c>
      <c r="V14" s="27">
        <f>5.5+10.2</f>
        <v>15.7</v>
      </c>
      <c r="W14" s="27">
        <f>-2.2+20.9</f>
        <v>18.7</v>
      </c>
      <c r="X14" s="27">
        <f>'Nov 00'!V10</f>
        <v>20.3</v>
      </c>
      <c r="Y14" s="27">
        <f>'Dec 00'!V10</f>
        <v>23.8</v>
      </c>
      <c r="Z14" s="27">
        <f>Jan!W12</f>
        <v>20.900000000000002</v>
      </c>
      <c r="AA14" s="27">
        <f>Feb!U12</f>
        <v>14.1</v>
      </c>
      <c r="AB14" s="27">
        <f>Mar!X12</f>
        <v>14.100000000000003</v>
      </c>
      <c r="AC14" s="27">
        <f>Apr!V12</f>
        <v>17.000000000000004</v>
      </c>
      <c r="AD14" s="27">
        <f>May!Y12</f>
        <v>18.299999999999997</v>
      </c>
      <c r="AE14" s="27">
        <f>June!W14</f>
        <v>6.9000000000000012</v>
      </c>
      <c r="AF14" s="27">
        <f>-3.7+13.5</f>
        <v>9.8000000000000007</v>
      </c>
      <c r="AG14" s="27">
        <f>25.9+23.2+0.4-AF14</f>
        <v>39.699999999999989</v>
      </c>
      <c r="AH14" s="27">
        <f>31.8+20-AG14-AF14</f>
        <v>2.3000000000000078</v>
      </c>
      <c r="AI14" s="49">
        <f t="shared" si="0"/>
        <v>393.30000000000007</v>
      </c>
      <c r="AJ14" s="55"/>
      <c r="AK14" s="55"/>
      <c r="AL14" s="55"/>
      <c r="AM14" s="55"/>
    </row>
    <row r="15" spans="1:89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64">
        <v>0</v>
      </c>
      <c r="Y15" s="64">
        <v>0</v>
      </c>
      <c r="Z15" s="27">
        <f>Jan!W13</f>
        <v>0</v>
      </c>
      <c r="AA15" s="27">
        <f>Feb!U13</f>
        <v>0</v>
      </c>
      <c r="AB15" s="27">
        <f>Mar!X13</f>
        <v>225</v>
      </c>
      <c r="AC15" s="27">
        <f>Apr!V13</f>
        <v>0</v>
      </c>
      <c r="AD15" s="27">
        <f>May!Y13</f>
        <v>435</v>
      </c>
      <c r="AE15" s="27">
        <f>June!W15</f>
        <v>-23</v>
      </c>
      <c r="AF15" s="27">
        <v>0</v>
      </c>
      <c r="AG15" s="27">
        <v>0</v>
      </c>
      <c r="AH15" s="27">
        <v>0</v>
      </c>
      <c r="AI15" s="49">
        <f t="shared" si="0"/>
        <v>637</v>
      </c>
      <c r="AJ15" s="55"/>
      <c r="AK15" s="55"/>
      <c r="AL15" s="55"/>
      <c r="AM15" s="55"/>
    </row>
    <row r="16" spans="1:89" s="64" customFormat="1" ht="14.25" x14ac:dyDescent="0.2">
      <c r="A16" s="70" t="s">
        <v>46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f>'Nov 00'!V11</f>
        <v>19.300000000000004</v>
      </c>
      <c r="Y16" s="27">
        <f>'Dec 00'!V11</f>
        <v>27.799999999999997</v>
      </c>
      <c r="Z16" s="27">
        <f>Jan!W14</f>
        <v>-255.1</v>
      </c>
      <c r="AA16" s="27">
        <f>Feb!U14</f>
        <v>23.599999999999994</v>
      </c>
      <c r="AB16" s="27">
        <f>Mar!X14</f>
        <v>254.4</v>
      </c>
      <c r="AC16" s="27">
        <f>Apr!V14</f>
        <v>39.9</v>
      </c>
      <c r="AD16" s="27">
        <f>May!Y14</f>
        <v>11.600000000000012</v>
      </c>
      <c r="AE16" s="27">
        <f>June!W16</f>
        <v>58.300000000000004</v>
      </c>
      <c r="AF16" s="27">
        <f>3.1+1.3+5.3</f>
        <v>9.6999999999999993</v>
      </c>
      <c r="AG16" s="27">
        <f>2.1-AF16</f>
        <v>-7.6</v>
      </c>
      <c r="AH16" s="27">
        <f>72.3-5.1-44.4-AG16-AF16</f>
        <v>20.700000000000006</v>
      </c>
      <c r="AI16" s="49">
        <f t="shared" si="0"/>
        <v>202.60000000000002</v>
      </c>
      <c r="AJ16" s="55"/>
      <c r="AK16" s="55"/>
      <c r="AL16" s="55"/>
      <c r="AM16" s="55"/>
    </row>
    <row r="17" spans="1:39" s="64" customFormat="1" ht="14.25" x14ac:dyDescent="0.2">
      <c r="A17" s="25" t="s">
        <v>42</v>
      </c>
      <c r="B17" s="27">
        <f>-2.9</f>
        <v>-2.9</v>
      </c>
      <c r="C17" s="27">
        <f>-15.1</f>
        <v>-15.1</v>
      </c>
      <c r="D17" s="27">
        <f>4.5</f>
        <v>4.5</v>
      </c>
      <c r="E17" s="27">
        <f>-4.3+0.6</f>
        <v>-3.6999999999999997</v>
      </c>
      <c r="F17" s="27">
        <f>-7.5</f>
        <v>-7.5</v>
      </c>
      <c r="G17" s="27">
        <v>1.4</v>
      </c>
      <c r="H17" s="27">
        <f>-25+2.7</f>
        <v>-22.3</v>
      </c>
      <c r="I17" s="27">
        <f>4.7+0.5</f>
        <v>5.2</v>
      </c>
      <c r="J17" s="27">
        <f>62.7</f>
        <v>62.7</v>
      </c>
      <c r="K17" s="27">
        <v>-17.8</v>
      </c>
      <c r="L17" s="27">
        <f>-17</f>
        <v>-17</v>
      </c>
      <c r="M17" s="27">
        <f>59.6</f>
        <v>59.6</v>
      </c>
      <c r="N17" s="27">
        <v>-10.6</v>
      </c>
      <c r="O17" s="27">
        <f>29.8</f>
        <v>29.8</v>
      </c>
      <c r="P17" s="27">
        <f>102.2-O17-N17</f>
        <v>83</v>
      </c>
      <c r="Q17" s="27">
        <v>-30.5</v>
      </c>
      <c r="R17" s="27">
        <v>0.5</v>
      </c>
      <c r="S17" s="27">
        <f>60.8</f>
        <v>60.8</v>
      </c>
      <c r="T17" s="27">
        <v>0</v>
      </c>
      <c r="U17" s="27">
        <v>0</v>
      </c>
      <c r="V17" s="27">
        <v>0</v>
      </c>
      <c r="W17" s="27">
        <v>0</v>
      </c>
      <c r="X17" s="27">
        <f>'Nov 00'!V12</f>
        <v>-6.2999999999999989</v>
      </c>
      <c r="Y17" s="27">
        <f>'Dec 00'!V12</f>
        <v>138.4</v>
      </c>
      <c r="Z17" s="27">
        <f>Jan!W15</f>
        <v>4.4999999999999964</v>
      </c>
      <c r="AA17" s="27">
        <f>Feb!U15</f>
        <v>1.1000000000000001</v>
      </c>
      <c r="AB17" s="27">
        <f>Mar!X15</f>
        <v>4.5999999999999988</v>
      </c>
      <c r="AC17" s="27">
        <f>Apr!V15</f>
        <v>13.400000000000002</v>
      </c>
      <c r="AD17" s="27">
        <f>May!Y15</f>
        <v>3.3000000000000007</v>
      </c>
      <c r="AE17" s="27">
        <f>June!W17</f>
        <v>36.599999999999994</v>
      </c>
      <c r="AF17" s="27">
        <v>0</v>
      </c>
      <c r="AG17" s="27">
        <f>1-AF17</f>
        <v>1</v>
      </c>
      <c r="AH17" s="27">
        <f>-3-AG17-AF17</f>
        <v>-4</v>
      </c>
      <c r="AI17" s="49">
        <f t="shared" si="0"/>
        <v>372.70000000000005</v>
      </c>
      <c r="AJ17" s="55"/>
      <c r="AK17" s="55"/>
      <c r="AL17" s="55"/>
      <c r="AM17" s="55"/>
    </row>
    <row r="18" spans="1:39" ht="15" x14ac:dyDescent="0.25">
      <c r="A18" s="28" t="s">
        <v>38</v>
      </c>
      <c r="B18" s="29">
        <f>SUM(B12:B17)</f>
        <v>21.2</v>
      </c>
      <c r="C18" s="29">
        <f t="shared" ref="C18:S18" si="1">SUM(C12:C17)</f>
        <v>47.7</v>
      </c>
      <c r="D18" s="29">
        <f t="shared" si="1"/>
        <v>63.7</v>
      </c>
      <c r="E18" s="29">
        <f t="shared" si="1"/>
        <v>-50.500000000000007</v>
      </c>
      <c r="F18" s="29">
        <f t="shared" si="1"/>
        <v>78.099999999999994</v>
      </c>
      <c r="G18" s="29">
        <f t="shared" si="1"/>
        <v>72.5</v>
      </c>
      <c r="H18" s="29">
        <f t="shared" si="1"/>
        <v>30.400000000000002</v>
      </c>
      <c r="I18" s="29">
        <f t="shared" si="1"/>
        <v>29.4</v>
      </c>
      <c r="J18" s="29">
        <f t="shared" si="1"/>
        <v>127.10000000000001</v>
      </c>
      <c r="K18" s="29">
        <f t="shared" si="1"/>
        <v>43.599999999999994</v>
      </c>
      <c r="L18" s="29">
        <f t="shared" si="1"/>
        <v>-13</v>
      </c>
      <c r="M18" s="29">
        <f t="shared" si="1"/>
        <v>144.4</v>
      </c>
      <c r="N18" s="29">
        <f t="shared" si="1"/>
        <v>36.199999999999996</v>
      </c>
      <c r="O18" s="29">
        <f t="shared" si="1"/>
        <v>108.6</v>
      </c>
      <c r="P18" s="29">
        <f t="shared" si="1"/>
        <v>148</v>
      </c>
      <c r="Q18" s="29">
        <f t="shared" si="1"/>
        <v>72.5</v>
      </c>
      <c r="R18" s="29">
        <f t="shared" si="1"/>
        <v>307.39999999999998</v>
      </c>
      <c r="S18" s="29">
        <f t="shared" si="1"/>
        <v>224.3</v>
      </c>
      <c r="T18" s="29">
        <f t="shared" ref="T18:AI18" si="2">SUM(T12:T17)</f>
        <v>102.6</v>
      </c>
      <c r="U18" s="29">
        <f t="shared" si="2"/>
        <v>300.90000000000003</v>
      </c>
      <c r="V18" s="29">
        <f t="shared" si="2"/>
        <v>139.4</v>
      </c>
      <c r="W18" s="29">
        <f t="shared" si="2"/>
        <v>-6.1000000000000014</v>
      </c>
      <c r="X18" s="29">
        <f>SUM(X12:X17)</f>
        <v>413.8</v>
      </c>
      <c r="Y18" s="29">
        <f>SUM(Y12:Y17)</f>
        <v>384.20000000000005</v>
      </c>
      <c r="Z18" s="29">
        <f t="shared" si="2"/>
        <v>310</v>
      </c>
      <c r="AA18" s="29">
        <f t="shared" si="2"/>
        <v>1.8999999999999901</v>
      </c>
      <c r="AB18" s="29">
        <f t="shared" si="2"/>
        <v>1020.8</v>
      </c>
      <c r="AC18" s="29">
        <f t="shared" si="2"/>
        <v>75.200000000000017</v>
      </c>
      <c r="AD18" s="29">
        <f t="shared" si="2"/>
        <v>744.69999999999993</v>
      </c>
      <c r="AE18" s="29">
        <f t="shared" si="2"/>
        <v>632.79999999999995</v>
      </c>
      <c r="AF18" s="29">
        <f t="shared" si="2"/>
        <v>1.3000000000000114</v>
      </c>
      <c r="AG18" s="29">
        <f t="shared" si="2"/>
        <v>169.79999999999998</v>
      </c>
      <c r="AH18" s="29">
        <f t="shared" si="2"/>
        <v>686.7</v>
      </c>
      <c r="AI18" s="30">
        <f t="shared" si="2"/>
        <v>6469.6</v>
      </c>
      <c r="AJ18" s="31"/>
      <c r="AK18" s="31"/>
      <c r="AL18" s="31"/>
      <c r="AM18" s="31"/>
    </row>
    <row r="19" spans="1:39" ht="15.75" thickBot="1" x14ac:dyDescent="0.3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4"/>
      <c r="AJ19" s="31"/>
      <c r="AK19" s="31"/>
      <c r="AL19" s="31"/>
      <c r="AM19" s="31"/>
    </row>
    <row r="20" spans="1:39" ht="13.5" thickTop="1" x14ac:dyDescent="0.2"/>
    <row r="21" spans="1:39" x14ac:dyDescent="0.2">
      <c r="A21" s="86" t="s">
        <v>67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"/>
  <sheetViews>
    <sheetView workbookViewId="0">
      <selection activeCell="B8" sqref="B8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57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54</v>
      </c>
    </row>
    <row r="5" spans="1:44" s="6" customFormat="1" ht="15" customHeight="1" x14ac:dyDescent="0.25">
      <c r="A5"/>
      <c r="B5" s="13">
        <v>37043</v>
      </c>
      <c r="C5" s="13">
        <v>37044</v>
      </c>
      <c r="D5" s="13">
        <v>37047</v>
      </c>
      <c r="E5" s="13">
        <v>37048</v>
      </c>
      <c r="F5" s="13">
        <v>37049</v>
      </c>
      <c r="G5" s="13">
        <v>37050</v>
      </c>
      <c r="H5" s="13">
        <v>37051</v>
      </c>
      <c r="I5" s="13">
        <v>37054</v>
      </c>
      <c r="J5" s="13">
        <v>37055</v>
      </c>
      <c r="K5" s="13">
        <v>37056</v>
      </c>
      <c r="L5" s="13">
        <v>37057</v>
      </c>
      <c r="M5" s="13">
        <v>37058</v>
      </c>
      <c r="N5" s="13">
        <v>37061</v>
      </c>
      <c r="O5" s="13">
        <v>37062</v>
      </c>
      <c r="P5" s="13">
        <v>37063</v>
      </c>
      <c r="Q5" s="13">
        <v>37064</v>
      </c>
      <c r="R5" s="13">
        <v>37065</v>
      </c>
      <c r="S5" s="13">
        <v>37068</v>
      </c>
      <c r="T5" s="13">
        <v>37069</v>
      </c>
      <c r="U5" s="13">
        <v>37070</v>
      </c>
      <c r="V5" s="13">
        <v>37071</v>
      </c>
      <c r="W5" s="13">
        <v>37072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5.2</v>
      </c>
      <c r="X18" s="36">
        <f>SUM(B18:W18)</f>
        <v>5.2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f>53.3+56</f>
        <v>109.3</v>
      </c>
      <c r="X19" s="39">
        <f>SUM(B19:W19)</f>
        <v>109.3</v>
      </c>
    </row>
    <row r="20" spans="1:24" s="24" customFormat="1" ht="15" x14ac:dyDescent="0.25">
      <c r="A20" s="34" t="s">
        <v>12</v>
      </c>
      <c r="B20" s="29">
        <f>SUM(B18:B19)</f>
        <v>0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114.5</v>
      </c>
      <c r="X20" s="30">
        <f>SUM(X18:X19)</f>
        <v>114.5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0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V13+V20</f>
        <v>0</v>
      </c>
      <c r="W22" s="10">
        <f t="shared" si="2"/>
        <v>114.5</v>
      </c>
      <c r="X22" s="42">
        <f>X13+X20</f>
        <v>114.5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54</v>
      </c>
    </row>
    <row r="5" spans="1:43" s="6" customFormat="1" ht="15" customHeight="1" x14ac:dyDescent="0.25">
      <c r="A5"/>
      <c r="B5" s="13">
        <v>37075</v>
      </c>
      <c r="C5" s="13">
        <v>37076</v>
      </c>
      <c r="D5" s="13">
        <v>37077</v>
      </c>
      <c r="E5" s="13">
        <v>37078</v>
      </c>
      <c r="F5" s="13">
        <v>37079</v>
      </c>
      <c r="G5" s="13">
        <v>37082</v>
      </c>
      <c r="H5" s="13">
        <v>37083</v>
      </c>
      <c r="I5" s="13">
        <v>37084</v>
      </c>
      <c r="J5" s="13">
        <v>37085</v>
      </c>
      <c r="K5" s="13">
        <v>37086</v>
      </c>
      <c r="L5" s="13">
        <v>37089</v>
      </c>
      <c r="M5" s="13">
        <v>37090</v>
      </c>
      <c r="N5" s="13">
        <v>37091</v>
      </c>
      <c r="O5" s="13">
        <v>37092</v>
      </c>
      <c r="P5" s="13">
        <v>37093</v>
      </c>
      <c r="Q5" s="13">
        <v>37096</v>
      </c>
      <c r="R5" s="13">
        <v>37097</v>
      </c>
      <c r="S5" s="13">
        <v>37098</v>
      </c>
      <c r="T5" s="13">
        <v>37099</v>
      </c>
      <c r="U5" s="13">
        <v>37100</v>
      </c>
      <c r="V5" s="13">
        <v>37103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6">
        <f>SUM(B18:V18)</f>
        <v>0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9">
        <f>SUM(B19:V19)</f>
        <v>0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30">
        <f>SUM(W18:W19)</f>
        <v>0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42">
        <f>W13+W20</f>
        <v>0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Bank Request</vt:lpstr>
      <vt:lpstr>Summary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Sep 00</vt:lpstr>
      <vt:lpstr>Oct 00</vt:lpstr>
      <vt:lpstr>Nov 00</vt:lpstr>
      <vt:lpstr>Dec 00</vt:lpstr>
      <vt:lpstr>Jan</vt:lpstr>
      <vt:lpstr>Feb</vt:lpstr>
      <vt:lpstr>Mar</vt:lpstr>
      <vt:lpstr>Apr</vt:lpstr>
      <vt:lpstr>May</vt:lpstr>
      <vt:lpstr>June</vt:lpstr>
      <vt:lpstr>Jul</vt:lpstr>
      <vt:lpstr>Aug</vt:lpstr>
      <vt:lpstr>Sep</vt:lpstr>
      <vt:lpstr>Earnings By Month</vt:lpstr>
      <vt:lpstr>Apr!Print_Area</vt:lpstr>
      <vt:lpstr>'Dec 00'!Print_Area</vt:lpstr>
      <vt:lpstr>'Earnings By Month'!Print_Area</vt:lpstr>
      <vt:lpstr>Feb!Print_Area</vt:lpstr>
      <vt:lpstr>Jan!Print_Area</vt:lpstr>
      <vt:lpstr>June!Print_Area</vt:lpstr>
      <vt:lpstr>Mar!Print_Area</vt:lpstr>
      <vt:lpstr>May!Print_Area</vt:lpstr>
      <vt:lpstr>'Nov 00'!Print_Area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2001-11-05T01:18:44Z</cp:lastPrinted>
  <dcterms:created xsi:type="dcterms:W3CDTF">2001-06-21T15:43:06Z</dcterms:created>
  <dcterms:modified xsi:type="dcterms:W3CDTF">2023-09-16T22:20:34Z</dcterms:modified>
</cp:coreProperties>
</file>