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C4B20D-EE84-4DBC-B437-F3A39124CAB2}" xr6:coauthVersionLast="47" xr6:coauthVersionMax="47" xr10:uidLastSave="{00000000-0000-0000-0000-000000000000}"/>
  <bookViews>
    <workbookView xWindow="-120" yWindow="-120" windowWidth="38640" windowHeight="15720"/>
  </bookViews>
  <sheets>
    <sheet name="By Trader" sheetId="7" r:id="rId1"/>
    <sheet name="Daily Roll" sheetId="5" r:id="rId2"/>
    <sheet name="Schedule C" sheetId="8" r:id="rId3"/>
    <sheet name="Prudency Detail" sheetId="6" r:id="rId4"/>
    <sheet name="Forecast" sheetId="1" r:id="rId5"/>
    <sheet name="Prudency" sheetId="2" r:id="rId6"/>
    <sheet name="Prudency (2)" sheetId="4" r:id="rId7"/>
    <sheet name="Sheet3" sheetId="3" r:id="rId8"/>
  </sheets>
  <definedNames>
    <definedName name="_xlnm.Print_Area" localSheetId="0">'By Trader'!$1:$1048576</definedName>
    <definedName name="_xlnm.Print_Area" localSheetId="4">Forecast!$1:$1048576</definedName>
    <definedName name="_xlnm.Print_Area" localSheetId="2">'Schedule C'!$A$1:$N$40</definedName>
  </definedNames>
  <calcPr calcId="92512" fullCalcOnLoad="1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7" l="1"/>
  <c r="O6" i="7"/>
  <c r="O7" i="7"/>
  <c r="O8" i="7"/>
  <c r="O9" i="7"/>
  <c r="O10" i="7"/>
  <c r="O11" i="7"/>
  <c r="O12" i="7"/>
  <c r="O13" i="7"/>
  <c r="O14" i="7"/>
  <c r="B15" i="7"/>
  <c r="E15" i="7"/>
  <c r="F15" i="7"/>
  <c r="I15" i="7"/>
  <c r="J15" i="7"/>
  <c r="K15" i="7"/>
  <c r="L15" i="7"/>
  <c r="M15" i="7"/>
  <c r="N15" i="7"/>
  <c r="O15" i="7"/>
  <c r="M17" i="7"/>
  <c r="N17" i="7"/>
  <c r="M18" i="7"/>
  <c r="N18" i="7"/>
  <c r="O19" i="7"/>
  <c r="B20" i="7"/>
  <c r="C20" i="7"/>
  <c r="D20" i="7"/>
  <c r="F20" i="7"/>
  <c r="K20" i="7"/>
  <c r="M20" i="7"/>
  <c r="N20" i="7"/>
  <c r="O20" i="7"/>
  <c r="M22" i="7"/>
  <c r="N22" i="7"/>
  <c r="M23" i="7"/>
  <c r="N23" i="7"/>
  <c r="O24" i="7"/>
  <c r="O25" i="7"/>
  <c r="O26" i="7"/>
  <c r="O27" i="7"/>
  <c r="O28" i="7"/>
  <c r="O29" i="7"/>
  <c r="O30" i="7"/>
  <c r="O31" i="7"/>
  <c r="B32" i="7"/>
  <c r="C32" i="7"/>
  <c r="D32" i="7"/>
  <c r="G32" i="7"/>
  <c r="H32" i="7"/>
  <c r="K32" i="7"/>
  <c r="M32" i="7"/>
  <c r="N32" i="7"/>
  <c r="O32" i="7"/>
  <c r="M34" i="7"/>
  <c r="N34" i="7"/>
  <c r="M35" i="7"/>
  <c r="N35" i="7"/>
  <c r="K36" i="7"/>
  <c r="O36" i="7"/>
  <c r="O37" i="7"/>
  <c r="O38" i="7"/>
  <c r="O39" i="7"/>
  <c r="O40" i="7"/>
  <c r="O41" i="7"/>
  <c r="B42" i="7"/>
  <c r="K42" i="7"/>
  <c r="O42" i="7"/>
  <c r="O44" i="7"/>
  <c r="F1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B28" i="5"/>
  <c r="G28" i="5"/>
  <c r="B29" i="5"/>
  <c r="G29" i="5"/>
  <c r="B30" i="5"/>
  <c r="G30" i="5"/>
  <c r="G31" i="5"/>
  <c r="G32" i="5"/>
  <c r="B33" i="5"/>
  <c r="E33" i="5"/>
  <c r="F33" i="5"/>
  <c r="G33" i="5"/>
  <c r="G34" i="5"/>
  <c r="G35" i="5"/>
  <c r="G36" i="5"/>
  <c r="G37" i="5"/>
  <c r="G38" i="5"/>
  <c r="B39" i="5"/>
  <c r="G39" i="5"/>
  <c r="G40" i="5"/>
  <c r="B41" i="5"/>
  <c r="G41" i="5"/>
  <c r="B42" i="5"/>
  <c r="E42" i="5"/>
  <c r="F42" i="5"/>
  <c r="G42" i="5"/>
  <c r="G43" i="5"/>
  <c r="G44" i="5"/>
  <c r="G45" i="5"/>
  <c r="G46" i="5"/>
  <c r="G47" i="5"/>
  <c r="B48" i="5"/>
  <c r="G48" i="5"/>
  <c r="B49" i="5"/>
  <c r="G49" i="5"/>
  <c r="B50" i="5"/>
  <c r="G50" i="5"/>
  <c r="B51" i="5"/>
  <c r="E51" i="5"/>
  <c r="F51" i="5"/>
  <c r="G51" i="5"/>
  <c r="B52" i="5"/>
  <c r="G52" i="5"/>
  <c r="B53" i="5"/>
  <c r="E53" i="5"/>
  <c r="F53" i="5"/>
  <c r="G53" i="5"/>
  <c r="G56" i="5"/>
  <c r="G57" i="5"/>
  <c r="G58" i="5"/>
  <c r="G59" i="5"/>
  <c r="G60" i="5"/>
  <c r="B61" i="5"/>
  <c r="E61" i="5"/>
  <c r="F61" i="5"/>
  <c r="G61" i="5"/>
  <c r="B63" i="5"/>
  <c r="E63" i="5"/>
  <c r="F63" i="5"/>
  <c r="G63" i="5"/>
  <c r="E66" i="5"/>
  <c r="F66" i="5"/>
  <c r="G66" i="5"/>
  <c r="G67" i="5"/>
  <c r="G68" i="5"/>
  <c r="E69" i="5"/>
  <c r="F69" i="5"/>
  <c r="G69" i="5"/>
  <c r="G75" i="5"/>
  <c r="T1" i="1"/>
  <c r="D9" i="1"/>
  <c r="I9" i="1"/>
  <c r="T9" i="1"/>
  <c r="U9" i="1"/>
  <c r="D10" i="1"/>
  <c r="I10" i="1"/>
  <c r="I11" i="1"/>
  <c r="D12" i="1"/>
  <c r="I12" i="1"/>
  <c r="T12" i="1"/>
  <c r="U12" i="1"/>
  <c r="D13" i="1"/>
  <c r="I13" i="1"/>
  <c r="N13" i="1"/>
  <c r="I15" i="1"/>
  <c r="I16" i="1"/>
  <c r="I17" i="1"/>
  <c r="I18" i="1"/>
  <c r="I19" i="1"/>
  <c r="U19" i="1"/>
  <c r="I20" i="1"/>
  <c r="I21" i="1"/>
  <c r="I22" i="1"/>
  <c r="I23" i="1"/>
  <c r="I24" i="1"/>
  <c r="I25" i="1"/>
  <c r="D26" i="1"/>
  <c r="F26" i="1"/>
  <c r="I26" i="1"/>
  <c r="N26" i="1"/>
  <c r="I28" i="1"/>
  <c r="U28" i="1"/>
  <c r="I29" i="1"/>
  <c r="D30" i="1"/>
  <c r="I30" i="1"/>
  <c r="N30" i="1"/>
  <c r="I32" i="1"/>
  <c r="I33" i="1"/>
  <c r="D34" i="1"/>
  <c r="I34" i="1"/>
  <c r="N34" i="1"/>
  <c r="D36" i="1"/>
  <c r="F36" i="1"/>
  <c r="I36" i="1"/>
  <c r="L36" i="1"/>
  <c r="N36" i="1"/>
  <c r="N37" i="1"/>
  <c r="I38" i="1"/>
  <c r="L38" i="1"/>
  <c r="N38" i="1"/>
  <c r="D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C19" i="2"/>
  <c r="D19" i="2"/>
  <c r="E19" i="2"/>
  <c r="E20" i="2"/>
  <c r="E21" i="2"/>
  <c r="E22" i="2"/>
  <c r="E23" i="2"/>
  <c r="C24" i="2"/>
  <c r="D24" i="2"/>
  <c r="E24" i="2"/>
  <c r="E25" i="2"/>
  <c r="E26" i="2"/>
  <c r="E27" i="2"/>
  <c r="E28" i="2"/>
  <c r="E29" i="2"/>
  <c r="E30" i="2"/>
  <c r="E31" i="2"/>
  <c r="C32" i="2"/>
  <c r="D32" i="2"/>
  <c r="E32" i="2"/>
  <c r="E33" i="2"/>
  <c r="C34" i="2"/>
  <c r="D34" i="2"/>
  <c r="E34" i="2"/>
  <c r="E37" i="2"/>
  <c r="E38" i="2"/>
  <c r="E39" i="2"/>
  <c r="C40" i="2"/>
  <c r="D40" i="2"/>
  <c r="E40" i="2"/>
  <c r="C42" i="2"/>
  <c r="D42" i="2"/>
  <c r="E42" i="2"/>
  <c r="E56" i="2"/>
  <c r="D1" i="4"/>
  <c r="E4" i="4"/>
  <c r="C5" i="4"/>
  <c r="E5" i="4"/>
  <c r="C6" i="4"/>
  <c r="E6" i="4"/>
  <c r="C7" i="4"/>
  <c r="E7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D17" i="4"/>
  <c r="E17" i="4"/>
  <c r="E18" i="4"/>
  <c r="C19" i="4"/>
  <c r="E19" i="4"/>
  <c r="C20" i="4"/>
  <c r="E20" i="4"/>
  <c r="C21" i="4"/>
  <c r="E21" i="4"/>
  <c r="C22" i="4"/>
  <c r="D22" i="4"/>
  <c r="E22" i="4"/>
  <c r="C23" i="4"/>
  <c r="E23" i="4"/>
  <c r="C24" i="4"/>
  <c r="E24" i="4"/>
  <c r="C25" i="4"/>
  <c r="E25" i="4"/>
  <c r="E26" i="4"/>
  <c r="C27" i="4"/>
  <c r="E27" i="4"/>
  <c r="C28" i="4"/>
  <c r="E28" i="4"/>
  <c r="C29" i="4"/>
  <c r="E29" i="4"/>
  <c r="C30" i="4"/>
  <c r="D30" i="4"/>
  <c r="E30" i="4"/>
  <c r="C31" i="4"/>
  <c r="E31" i="4"/>
  <c r="C32" i="4"/>
  <c r="D32" i="4"/>
  <c r="E32" i="4"/>
  <c r="C35" i="4"/>
  <c r="E35" i="4"/>
  <c r="C36" i="4"/>
  <c r="E36" i="4"/>
  <c r="E37" i="4"/>
  <c r="E38" i="4"/>
  <c r="C39" i="4"/>
  <c r="E39" i="4"/>
  <c r="E40" i="4"/>
  <c r="E41" i="4"/>
  <c r="E42" i="4"/>
  <c r="C43" i="4"/>
  <c r="D43" i="4"/>
  <c r="E43" i="4"/>
  <c r="C45" i="4"/>
  <c r="D45" i="4"/>
  <c r="E45" i="4"/>
  <c r="E46" i="4"/>
  <c r="C47" i="4"/>
  <c r="D47" i="4"/>
  <c r="E47" i="4"/>
  <c r="O3" i="6"/>
  <c r="H9" i="6"/>
  <c r="Q9" i="6"/>
  <c r="H10" i="6"/>
  <c r="Q10" i="6"/>
  <c r="H11" i="6"/>
  <c r="Q11" i="6"/>
  <c r="H12" i="6"/>
  <c r="Q12" i="6"/>
  <c r="A13" i="6"/>
  <c r="Q13" i="6"/>
  <c r="H14" i="6"/>
  <c r="Q14" i="6"/>
  <c r="H15" i="6"/>
  <c r="Q15" i="6"/>
  <c r="A16" i="6"/>
  <c r="Q16" i="6"/>
  <c r="H17" i="6"/>
  <c r="Q17" i="6"/>
  <c r="H18" i="6"/>
  <c r="Q18" i="6"/>
  <c r="A19" i="6"/>
  <c r="Q19" i="6"/>
  <c r="C20" i="6"/>
  <c r="D20" i="6"/>
  <c r="E20" i="6"/>
  <c r="F20" i="6"/>
  <c r="G20" i="6"/>
  <c r="H20" i="6"/>
  <c r="K20" i="6"/>
  <c r="M20" i="6"/>
  <c r="O20" i="6"/>
  <c r="Q20" i="6"/>
  <c r="H29" i="6"/>
  <c r="H30" i="6"/>
  <c r="H31" i="6"/>
  <c r="H32" i="6"/>
  <c r="C33" i="6"/>
  <c r="D33" i="6"/>
  <c r="E33" i="6"/>
  <c r="F33" i="6"/>
  <c r="G33" i="6"/>
  <c r="H33" i="6"/>
  <c r="Q33" i="6"/>
  <c r="Q39" i="6"/>
  <c r="K10" i="8"/>
  <c r="M12" i="8"/>
  <c r="C16" i="8"/>
  <c r="M16" i="8"/>
  <c r="K17" i="8"/>
  <c r="M17" i="8"/>
  <c r="C18" i="8"/>
  <c r="E18" i="8"/>
  <c r="G18" i="8"/>
  <c r="I18" i="8"/>
  <c r="K18" i="8"/>
  <c r="M18" i="8"/>
  <c r="M23" i="8"/>
  <c r="C36" i="8"/>
  <c r="E36" i="8"/>
  <c r="G36" i="8"/>
  <c r="I36" i="8"/>
  <c r="K36" i="8"/>
  <c r="M36" i="8"/>
  <c r="E37" i="8"/>
  <c r="G37" i="8"/>
  <c r="C39" i="8"/>
  <c r="E39" i="8"/>
  <c r="G39" i="8"/>
  <c r="I39" i="8"/>
  <c r="K39" i="8"/>
  <c r="M39" i="8"/>
  <c r="A42" i="8"/>
  <c r="M44" i="8"/>
  <c r="M47" i="8"/>
  <c r="M50" i="8"/>
  <c r="D8" i="3"/>
  <c r="D10" i="3"/>
  <c r="D19" i="3"/>
  <c r="D21" i="3"/>
  <c r="D23" i="3"/>
</calcChain>
</file>

<file path=xl/sharedStrings.xml><?xml version="1.0" encoding="utf-8"?>
<sst xmlns="http://schemas.openxmlformats.org/spreadsheetml/2006/main" count="467" uniqueCount="265">
  <si>
    <t>Gas Trading</t>
  </si>
  <si>
    <t>Power Trading</t>
  </si>
  <si>
    <t>Other Trading</t>
  </si>
  <si>
    <t>Drift</t>
  </si>
  <si>
    <t>Total Trading</t>
  </si>
  <si>
    <t>East Origination</t>
  </si>
  <si>
    <t>West Origination</t>
  </si>
  <si>
    <t>Industrial</t>
  </si>
  <si>
    <t>Generation Invest</t>
  </si>
  <si>
    <t>Mexico</t>
  </si>
  <si>
    <t>Principal Investing</t>
  </si>
  <si>
    <t>ECR</t>
  </si>
  <si>
    <t>Upstream Origination</t>
  </si>
  <si>
    <t>HPL/LRC</t>
  </si>
  <si>
    <t>Canada</t>
  </si>
  <si>
    <t>Total Origination</t>
  </si>
  <si>
    <t>MPR</t>
  </si>
  <si>
    <t>MPR Changes</t>
  </si>
  <si>
    <t>Total Investing</t>
  </si>
  <si>
    <t>Office of the Chair</t>
  </si>
  <si>
    <t>Total Other</t>
  </si>
  <si>
    <t>Total Margin</t>
  </si>
  <si>
    <t>Expenses</t>
  </si>
  <si>
    <t>EBIT</t>
  </si>
  <si>
    <t>Plan</t>
  </si>
  <si>
    <t>Variance</t>
  </si>
  <si>
    <t>Portfolio Management</t>
  </si>
  <si>
    <t>Interest Related Charges</t>
  </si>
  <si>
    <t>Hot List</t>
  </si>
  <si>
    <t>Total</t>
  </si>
  <si>
    <t>DPR/MPR</t>
  </si>
  <si>
    <t>Actuals</t>
  </si>
  <si>
    <t>Forecast</t>
  </si>
  <si>
    <t>Earnings Forecast</t>
  </si>
  <si>
    <t>TVA</t>
  </si>
  <si>
    <t>Credit Reserve</t>
  </si>
  <si>
    <t>Sithe</t>
  </si>
  <si>
    <t>Badak ($9M A/R, $2M settler - credit)</t>
  </si>
  <si>
    <t>Citrus (future amortization)</t>
  </si>
  <si>
    <t>Pan Canadian (amortization - transport)</t>
  </si>
  <si>
    <t>Oxy (Btu swap - 14 months)</t>
  </si>
  <si>
    <t>Comments</t>
  </si>
  <si>
    <t>Bonus Accrual:</t>
  </si>
  <si>
    <t xml:space="preserve">   1st Quarter</t>
  </si>
  <si>
    <t xml:space="preserve">   2nd Quarter</t>
  </si>
  <si>
    <t xml:space="preserve">   YTD Accrual</t>
  </si>
  <si>
    <t>Actual</t>
  </si>
  <si>
    <t xml:space="preserve">   4th Quarter</t>
  </si>
  <si>
    <t xml:space="preserve">   2000 Total</t>
  </si>
  <si>
    <t>??</t>
  </si>
  <si>
    <t>Prudency Report</t>
  </si>
  <si>
    <t>As of:</t>
  </si>
  <si>
    <t>Schedule C:</t>
  </si>
  <si>
    <t>Required</t>
  </si>
  <si>
    <t>Excess</t>
  </si>
  <si>
    <t>Changes in Canada Toll Rates</t>
  </si>
  <si>
    <t>Bammel Storage</t>
  </si>
  <si>
    <t>Entex - swap fixed price for index</t>
  </si>
  <si>
    <t>Executive</t>
  </si>
  <si>
    <t>Texas</t>
  </si>
  <si>
    <t>Originations</t>
  </si>
  <si>
    <t>Prepay</t>
  </si>
  <si>
    <t>APEA Prepay Reserve</t>
  </si>
  <si>
    <t>FP&amp;L / JEA Hedge Gain</t>
  </si>
  <si>
    <t>Manitoba Hydro</t>
  </si>
  <si>
    <t>Engage Energy</t>
  </si>
  <si>
    <t>Welded Tube - MTM value over swaptions</t>
  </si>
  <si>
    <t>Colorado Springs - firm sale backed by non-firm purchase</t>
  </si>
  <si>
    <t>BPA - litigation</t>
  </si>
  <si>
    <t>General Prudency</t>
  </si>
  <si>
    <t>Total Schedule C</t>
  </si>
  <si>
    <t>Other Items:</t>
  </si>
  <si>
    <t>East Power Accrual</t>
  </si>
  <si>
    <t>ICAP Curves</t>
  </si>
  <si>
    <t>Expected Bonus Accrual - YTD 3Q</t>
  </si>
  <si>
    <t>Total Other Items</t>
  </si>
  <si>
    <t>Total Reserves</t>
  </si>
  <si>
    <t>Exposures:</t>
  </si>
  <si>
    <t>Potential Deal Earnings:</t>
  </si>
  <si>
    <t>Potential Reserves/Accruals:</t>
  </si>
  <si>
    <t>Third Quarter 2000</t>
  </si>
  <si>
    <t>PGT Transport (toll risk)</t>
  </si>
  <si>
    <t>Pan Nat / Duke</t>
  </si>
  <si>
    <t>Chicago index risk</t>
  </si>
  <si>
    <t>TBG - LILCO electricity tariff risk</t>
  </si>
  <si>
    <t>Entex - volumetric exposure</t>
  </si>
  <si>
    <t>Six items less than $0.5MM</t>
  </si>
  <si>
    <t>Silver Peak - litigation</t>
  </si>
  <si>
    <t>Onandaga</t>
  </si>
  <si>
    <t>North American Energy Conservation (NAEC)</t>
  </si>
  <si>
    <t>Merit</t>
  </si>
  <si>
    <t>Triad</t>
  </si>
  <si>
    <t xml:space="preserve">   Wind Deal</t>
  </si>
  <si>
    <t xml:space="preserve">   Garden State</t>
  </si>
  <si>
    <t xml:space="preserve">   GE Reval</t>
  </si>
  <si>
    <t xml:space="preserve">   Total Potential Deal Earnings</t>
  </si>
  <si>
    <t xml:space="preserve">   LTIP Accrual (New Plan)</t>
  </si>
  <si>
    <t xml:space="preserve">   Buildout Writedown</t>
  </si>
  <si>
    <t xml:space="preserve">   Turbine Impairment</t>
  </si>
  <si>
    <t xml:space="preserve">   CES Strategic Value</t>
  </si>
  <si>
    <t xml:space="preserve">   Asset Reserves (HPL)</t>
  </si>
  <si>
    <t xml:space="preserve">   Total Potential Reserves/Accruals:</t>
  </si>
  <si>
    <t>Total - Gas</t>
  </si>
  <si>
    <t>Total - East Power</t>
  </si>
  <si>
    <t>Total - West Power</t>
  </si>
  <si>
    <t>Total Exposures</t>
  </si>
  <si>
    <t xml:space="preserve">   3rd Quarter</t>
  </si>
  <si>
    <t>West Gas</t>
  </si>
  <si>
    <t>Credit Reserve - Socal counterparties</t>
  </si>
  <si>
    <t>Gas Assets</t>
  </si>
  <si>
    <t>Political Risk  (Wednesday)</t>
  </si>
  <si>
    <t>Socal counterparties - Thursday</t>
  </si>
  <si>
    <t>FERC Refund Reserve</t>
  </si>
  <si>
    <t>Hard Look</t>
  </si>
  <si>
    <t>Current Estimate</t>
  </si>
  <si>
    <t>Schedule C</t>
  </si>
  <si>
    <t>Uses:</t>
  </si>
  <si>
    <t>Corporate Overview</t>
  </si>
  <si>
    <t>ETOL (EEL)</t>
  </si>
  <si>
    <t>Restricted Stock Plan</t>
  </si>
  <si>
    <t>Special Pays</t>
  </si>
  <si>
    <t>Tax</t>
  </si>
  <si>
    <t>Corporate Bonus Accrual</t>
  </si>
  <si>
    <t>Net Overperformance (ENE)</t>
  </si>
  <si>
    <t>Less: Reserves Committed to Corporate</t>
  </si>
  <si>
    <t>Net Reserves</t>
  </si>
  <si>
    <t>Total Corporate Uses</t>
  </si>
  <si>
    <t>Enron North America</t>
  </si>
  <si>
    <t>Third Quarter Earnings Summary</t>
  </si>
  <si>
    <t>Expected Deal Flow (3rd Quarter)</t>
  </si>
  <si>
    <t>EPS Effect (¢ per share)</t>
  </si>
  <si>
    <t>Expected Overperformance to Plan (ENA)</t>
  </si>
  <si>
    <t>Doyle</t>
  </si>
  <si>
    <t>6Bs</t>
  </si>
  <si>
    <t>vs. Plan</t>
  </si>
  <si>
    <t>General Gas (Transport book)</t>
  </si>
  <si>
    <t>Cinergy hedges of 2000 peakers</t>
  </si>
  <si>
    <t>Credit Reserve - August 25</t>
  </si>
  <si>
    <t>Credit Reserve - August 28</t>
  </si>
  <si>
    <t>Release credit - Sept. 1</t>
  </si>
  <si>
    <t>Gas Transport Book</t>
  </si>
  <si>
    <t>Release Credit - Sept 1</t>
  </si>
  <si>
    <t>Daily Rollforward:</t>
  </si>
  <si>
    <t>Bammel</t>
  </si>
  <si>
    <t>TBG-Lilco</t>
  </si>
  <si>
    <t>PanNat/Duke</t>
  </si>
  <si>
    <t>PGT Tolls</t>
  </si>
  <si>
    <t>Chicago Index</t>
  </si>
  <si>
    <t>Executive Desk</t>
  </si>
  <si>
    <t>Socal</t>
  </si>
  <si>
    <t>FT - West</t>
  </si>
  <si>
    <t>Mgmt - West</t>
  </si>
  <si>
    <t>Daily Gas</t>
  </si>
  <si>
    <t>Date</t>
  </si>
  <si>
    <t>Grand</t>
  </si>
  <si>
    <t>By Day &amp; Desk</t>
  </si>
  <si>
    <t>Gas Schedule C Adjustments</t>
  </si>
  <si>
    <t>Mgmt West</t>
  </si>
  <si>
    <t>FT West</t>
  </si>
  <si>
    <t>Socal counterparties</t>
  </si>
  <si>
    <t>West Power Schedule C Adjustments</t>
  </si>
  <si>
    <t>BPA</t>
  </si>
  <si>
    <t>FERC Refund</t>
  </si>
  <si>
    <t>Political Risk</t>
  </si>
  <si>
    <t>Release</t>
  </si>
  <si>
    <t>West Power</t>
  </si>
  <si>
    <t>Current Reserves</t>
  </si>
  <si>
    <t>Prior Day Reserves</t>
  </si>
  <si>
    <t>As of 6/30</t>
  </si>
  <si>
    <t>Colorado Springs</t>
  </si>
  <si>
    <t>Unmarked NPS transaction</t>
  </si>
  <si>
    <t>UI Reserve</t>
  </si>
  <si>
    <t>Merrill Lynch</t>
  </si>
  <si>
    <t>Deals Booked:</t>
  </si>
  <si>
    <t>Cinergy Hedges</t>
  </si>
  <si>
    <t>EE&amp;CC Construction Fee</t>
  </si>
  <si>
    <t>East Power Schedule C</t>
  </si>
  <si>
    <t>East Power Accrual (Peakers)</t>
  </si>
  <si>
    <t>FP&amp;L/JEA Hedge Gain</t>
  </si>
  <si>
    <t>Current</t>
  </si>
  <si>
    <t>@ 6/30</t>
  </si>
  <si>
    <t>Balance @ 6/30: Colorado Springs ($17.2), Silver Peak ($10.0), Welded Tube ($0.6)</t>
  </si>
  <si>
    <t>No Additions in Quarter other Than Peakers (TVA)</t>
  </si>
  <si>
    <t>Beginning Balance: Entex ($4.1), APEA ($1.1), Canada Toll Rates ($0.5), 6 items &lt; $0.5 ($0.9)</t>
  </si>
  <si>
    <t>Schedule C by Day &amp; Desk</t>
  </si>
  <si>
    <t>Tom Martin</t>
  </si>
  <si>
    <t>Greg Whalley</t>
  </si>
  <si>
    <t>Rogers Herndon</t>
  </si>
  <si>
    <t>John Zufferli</t>
  </si>
  <si>
    <t>Phillip Allen</t>
  </si>
  <si>
    <t>Mike Grigsby</t>
  </si>
  <si>
    <t>Gas Daily</t>
  </si>
  <si>
    <t>Kieth Holst</t>
  </si>
  <si>
    <t>Tim Belden</t>
  </si>
  <si>
    <t>Matt Motley</t>
  </si>
  <si>
    <t>Mike Swerzbin</t>
  </si>
  <si>
    <t>Lavorato/Whalley</t>
  </si>
  <si>
    <t>Existing @</t>
  </si>
  <si>
    <t>Less than $0.5MM</t>
  </si>
  <si>
    <t>Total by</t>
  </si>
  <si>
    <t>Trader</t>
  </si>
  <si>
    <t>Exec - East Power</t>
  </si>
  <si>
    <t>Gas</t>
  </si>
  <si>
    <t>East Power</t>
  </si>
  <si>
    <t>Keith Holst</t>
  </si>
  <si>
    <t>Schedule C by Trader</t>
  </si>
  <si>
    <t>Tom Martin (Entex)</t>
  </si>
  <si>
    <t>John McKay (Tolls)</t>
  </si>
  <si>
    <t>Brad Richter</t>
  </si>
  <si>
    <t>Credit Release</t>
  </si>
  <si>
    <t>HPL Reserves</t>
  </si>
  <si>
    <t>ERCOT Transmission</t>
  </si>
  <si>
    <t>Doug Gilbert Smith</t>
  </si>
  <si>
    <t>Item:</t>
  </si>
  <si>
    <t>Entex - Volumetric exposure</t>
  </si>
  <si>
    <t>APEA Prepay</t>
  </si>
  <si>
    <t>Entex- Swap fixed/index</t>
  </si>
  <si>
    <t>Canada Toll Rates</t>
  </si>
  <si>
    <t>Items less than $0.5MM</t>
  </si>
  <si>
    <t>Gas Books</t>
  </si>
  <si>
    <t>Welded Tube</t>
  </si>
  <si>
    <t>Power Books</t>
  </si>
  <si>
    <t>Expected</t>
  </si>
  <si>
    <t>Unidentified</t>
  </si>
  <si>
    <t>JM Huber</t>
  </si>
  <si>
    <t>North Central Oil</t>
  </si>
  <si>
    <t>Whitt</t>
  </si>
  <si>
    <t>Mark Whitt</t>
  </si>
  <si>
    <t>OPPD</t>
  </si>
  <si>
    <t>VEPCO</t>
  </si>
  <si>
    <t>MJMUC</t>
  </si>
  <si>
    <t xml:space="preserve"> </t>
  </si>
  <si>
    <t xml:space="preserve">FP&amp;L / JEA </t>
  </si>
  <si>
    <t>California Political risk</t>
  </si>
  <si>
    <t xml:space="preserve">Exec </t>
  </si>
  <si>
    <t>John Arnold</t>
  </si>
  <si>
    <t>(B)</t>
  </si>
  <si>
    <t>Canfibre</t>
  </si>
  <si>
    <t>(C)</t>
  </si>
  <si>
    <t>Gas Reserve</t>
  </si>
  <si>
    <t>Power Reserve</t>
  </si>
  <si>
    <t>Jeff Richter</t>
  </si>
  <si>
    <t>Lavorato</t>
  </si>
  <si>
    <t>Jean Mrha</t>
  </si>
  <si>
    <t>Napoleonville Pad Gas</t>
  </si>
  <si>
    <t>Sean Crandell</t>
  </si>
  <si>
    <t>First Quarter 2001</t>
  </si>
  <si>
    <t>Canada Gas</t>
  </si>
  <si>
    <t>Total - Canada Gas</t>
  </si>
  <si>
    <t>Jon McKay</t>
  </si>
  <si>
    <t>Reserve for COF Rediscounting</t>
  </si>
  <si>
    <t>Lavorato - ENA Cal</t>
  </si>
  <si>
    <t>ENA CAL</t>
  </si>
  <si>
    <t>Delivery risk - BPA Federal Surplus Power Clause</t>
  </si>
  <si>
    <t>Long-Term Transport - El Paso</t>
  </si>
  <si>
    <t>Anita Schedule</t>
  </si>
  <si>
    <t>Reedy Creek</t>
  </si>
  <si>
    <t>Allowance for Doubtful Accounts (EES Neg-CTC)</t>
  </si>
  <si>
    <t>Other</t>
  </si>
  <si>
    <t>Modesto Risk</t>
  </si>
  <si>
    <t>Kevin Presto</t>
  </si>
  <si>
    <t>AEP</t>
  </si>
  <si>
    <t>BPA Pipe Loss</t>
  </si>
  <si>
    <t>Pat Ryder is going to have this run through  Controls Schedule C in April</t>
  </si>
  <si>
    <t>Will add to our Schedule C Pending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</si>
</sst>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mmmm\ d\,\ yyyy"/>
  </numFmts>
  <fonts count="22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i/>
      <sz val="12"/>
      <name val="Arial Narrow"/>
      <family val="2"/>
    </font>
    <font>
      <b/>
      <u/>
      <sz val="1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i/>
      <sz val="10"/>
      <name val="Arial Narrow"/>
      <family val="2"/>
    </font>
    <font>
      <b/>
      <i/>
      <sz val="14"/>
      <name val="Arial Narrow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Wingdings"/>
      <charset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2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164" fontId="2" fillId="0" borderId="1" xfId="0" applyNumberFormat="1" applyFont="1" applyBorder="1"/>
    <xf numFmtId="165" fontId="3" fillId="0" borderId="0" xfId="2" applyNumberFormat="1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3" fillId="0" borderId="7" xfId="0" applyFont="1" applyBorder="1" applyAlignment="1">
      <alignment horizontal="center"/>
    </xf>
    <xf numFmtId="0" fontId="2" fillId="0" borderId="7" xfId="0" applyFont="1" applyBorder="1"/>
    <xf numFmtId="165" fontId="2" fillId="0" borderId="0" xfId="2" applyNumberFormat="1" applyFont="1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164" fontId="2" fillId="0" borderId="7" xfId="0" applyNumberFormat="1" applyFont="1" applyBorder="1"/>
    <xf numFmtId="0" fontId="3" fillId="0" borderId="6" xfId="0" applyFont="1" applyBorder="1"/>
    <xf numFmtId="164" fontId="3" fillId="0" borderId="0" xfId="1" applyNumberFormat="1" applyFont="1" applyBorder="1"/>
    <xf numFmtId="0" fontId="3" fillId="0" borderId="0" xfId="0" applyFont="1" applyBorder="1"/>
    <xf numFmtId="164" fontId="3" fillId="0" borderId="7" xfId="1" applyNumberFormat="1" applyFont="1" applyBorder="1"/>
    <xf numFmtId="0" fontId="3" fillId="0" borderId="7" xfId="0" applyFont="1" applyBorder="1"/>
    <xf numFmtId="164" fontId="3" fillId="0" borderId="0" xfId="0" applyNumberFormat="1" applyFont="1" applyBorder="1"/>
    <xf numFmtId="164" fontId="3" fillId="0" borderId="7" xfId="0" applyNumberFormat="1" applyFont="1" applyBorder="1"/>
    <xf numFmtId="164" fontId="2" fillId="0" borderId="7" xfId="1" applyNumberFormat="1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165" fontId="2" fillId="0" borderId="7" xfId="2" applyNumberFormat="1" applyFont="1" applyBorder="1"/>
    <xf numFmtId="164" fontId="2" fillId="0" borderId="10" xfId="1" applyNumberFormat="1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165" fontId="4" fillId="2" borderId="11" xfId="2" applyNumberFormat="1" applyFont="1" applyFill="1" applyBorder="1"/>
    <xf numFmtId="165" fontId="4" fillId="2" borderId="7" xfId="2" applyNumberFormat="1" applyFont="1" applyFill="1" applyBorder="1"/>
    <xf numFmtId="165" fontId="4" fillId="2" borderId="0" xfId="2" applyNumberFormat="1" applyFont="1" applyFill="1"/>
    <xf numFmtId="0" fontId="4" fillId="2" borderId="0" xfId="0" applyFont="1" applyFill="1"/>
    <xf numFmtId="0" fontId="4" fillId="2" borderId="6" xfId="0" applyFont="1" applyFill="1" applyBorder="1"/>
    <xf numFmtId="0" fontId="4" fillId="2" borderId="0" xfId="0" applyFont="1" applyFill="1" applyBorder="1"/>
    <xf numFmtId="0" fontId="6" fillId="0" borderId="6" xfId="0" applyFont="1" applyBorder="1"/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7" fontId="2" fillId="0" borderId="12" xfId="1" applyNumberFormat="1" applyFont="1" applyBorder="1"/>
    <xf numFmtId="167" fontId="2" fillId="0" borderId="1" xfId="1" applyNumberFormat="1" applyFont="1" applyBorder="1"/>
    <xf numFmtId="167" fontId="3" fillId="0" borderId="6" xfId="1" applyNumberFormat="1" applyFont="1" applyBorder="1"/>
    <xf numFmtId="167" fontId="3" fillId="0" borderId="0" xfId="1" applyNumberFormat="1" applyFont="1" applyBorder="1"/>
    <xf numFmtId="167" fontId="3" fillId="0" borderId="13" xfId="1" applyNumberFormat="1" applyFont="1" applyBorder="1"/>
    <xf numFmtId="167" fontId="3" fillId="0" borderId="11" xfId="1" applyNumberFormat="1" applyFont="1" applyBorder="1"/>
    <xf numFmtId="168" fontId="2" fillId="0" borderId="6" xfId="2" applyNumberFormat="1" applyFont="1" applyBorder="1"/>
    <xf numFmtId="168" fontId="2" fillId="0" borderId="0" xfId="2" applyNumberFormat="1" applyFont="1" applyBorder="1"/>
    <xf numFmtId="164" fontId="2" fillId="0" borderId="7" xfId="1" applyNumberFormat="1" applyFont="1" applyBorder="1" applyAlignment="1">
      <alignment horizontal="right"/>
    </xf>
    <xf numFmtId="167" fontId="2" fillId="0" borderId="0" xfId="1" applyNumberFormat="1" applyFont="1"/>
    <xf numFmtId="0" fontId="8" fillId="0" borderId="0" xfId="0" applyFont="1"/>
    <xf numFmtId="0" fontId="2" fillId="0" borderId="14" xfId="0" applyFont="1" applyBorder="1"/>
    <xf numFmtId="0" fontId="2" fillId="0" borderId="15" xfId="0" applyFont="1" applyBorder="1"/>
    <xf numFmtId="167" fontId="2" fillId="0" borderId="15" xfId="1" applyNumberFormat="1" applyFont="1" applyBorder="1"/>
    <xf numFmtId="0" fontId="2" fillId="0" borderId="16" xfId="0" applyFont="1" applyBorder="1"/>
    <xf numFmtId="167" fontId="2" fillId="0" borderId="0" xfId="1" applyNumberFormat="1" applyFont="1" applyBorder="1"/>
    <xf numFmtId="0" fontId="2" fillId="0" borderId="17" xfId="0" applyFont="1" applyBorder="1"/>
    <xf numFmtId="167" fontId="9" fillId="2" borderId="18" xfId="1" applyNumberFormat="1" applyFont="1" applyFill="1" applyBorder="1"/>
    <xf numFmtId="167" fontId="9" fillId="2" borderId="19" xfId="1" applyNumberFormat="1" applyFont="1" applyFill="1" applyBorder="1"/>
    <xf numFmtId="167" fontId="5" fillId="2" borderId="18" xfId="1" applyNumberFormat="1" applyFont="1" applyFill="1" applyBorder="1"/>
    <xf numFmtId="167" fontId="5" fillId="2" borderId="19" xfId="1" applyNumberFormat="1" applyFont="1" applyFill="1" applyBorder="1"/>
    <xf numFmtId="164" fontId="2" fillId="0" borderId="15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2" xfId="1" applyNumberFormat="1" applyFont="1" applyBorder="1"/>
    <xf numFmtId="164" fontId="9" fillId="2" borderId="19" xfId="1" applyNumberFormat="1" applyFont="1" applyFill="1" applyBorder="1"/>
    <xf numFmtId="164" fontId="9" fillId="2" borderId="23" xfId="1" applyNumberFormat="1" applyFont="1" applyFill="1" applyBorder="1"/>
    <xf numFmtId="164" fontId="5" fillId="2" borderId="19" xfId="1" applyNumberFormat="1" applyFont="1" applyFill="1" applyBorder="1"/>
    <xf numFmtId="164" fontId="5" fillId="2" borderId="23" xfId="1" applyNumberFormat="1" applyFont="1" applyFill="1" applyBorder="1"/>
    <xf numFmtId="167" fontId="8" fillId="0" borderId="0" xfId="1" applyNumberFormat="1" applyFont="1"/>
    <xf numFmtId="167" fontId="3" fillId="0" borderId="24" xfId="1" applyNumberFormat="1" applyFont="1" applyBorder="1" applyAlignment="1">
      <alignment horizontal="center"/>
    </xf>
    <xf numFmtId="167" fontId="2" fillId="0" borderId="14" xfId="1" applyNumberFormat="1" applyFont="1" applyBorder="1"/>
    <xf numFmtId="167" fontId="2" fillId="0" borderId="16" xfId="1" applyNumberFormat="1" applyFont="1" applyBorder="1"/>
    <xf numFmtId="167" fontId="2" fillId="0" borderId="17" xfId="1" applyNumberFormat="1" applyFont="1" applyBorder="1"/>
    <xf numFmtId="167" fontId="7" fillId="0" borderId="0" xfId="1" applyNumberFormat="1" applyFont="1"/>
    <xf numFmtId="169" fontId="8" fillId="0" borderId="0" xfId="1" applyNumberFormat="1" applyFont="1" applyAlignment="1">
      <alignment horizontal="center"/>
    </xf>
    <xf numFmtId="167" fontId="8" fillId="0" borderId="0" xfId="1" applyNumberFormat="1" applyFont="1" applyAlignment="1"/>
    <xf numFmtId="0" fontId="2" fillId="0" borderId="11" xfId="0" applyFont="1" applyBorder="1"/>
    <xf numFmtId="167" fontId="3" fillId="0" borderId="7" xfId="0" applyNumberFormat="1" applyFont="1" applyBorder="1"/>
    <xf numFmtId="167" fontId="10" fillId="2" borderId="18" xfId="1" applyNumberFormat="1" applyFont="1" applyFill="1" applyBorder="1"/>
    <xf numFmtId="167" fontId="10" fillId="2" borderId="19" xfId="1" applyNumberFormat="1" applyFont="1" applyFill="1" applyBorder="1"/>
    <xf numFmtId="164" fontId="10" fillId="2" borderId="19" xfId="1" applyNumberFormat="1" applyFont="1" applyFill="1" applyBorder="1"/>
    <xf numFmtId="164" fontId="10" fillId="2" borderId="23" xfId="1" applyNumberFormat="1" applyFont="1" applyFill="1" applyBorder="1"/>
    <xf numFmtId="165" fontId="2" fillId="0" borderId="7" xfId="1" applyNumberFormat="1" applyFont="1" applyBorder="1"/>
    <xf numFmtId="165" fontId="3" fillId="0" borderId="11" xfId="2" applyNumberFormat="1" applyFont="1" applyBorder="1"/>
    <xf numFmtId="165" fontId="3" fillId="0" borderId="25" xfId="2" applyNumberFormat="1" applyFont="1" applyBorder="1"/>
    <xf numFmtId="165" fontId="3" fillId="0" borderId="0" xfId="0" applyNumberFormat="1" applyFont="1" applyBorder="1"/>
    <xf numFmtId="165" fontId="3" fillId="0" borderId="7" xfId="0" applyNumberFormat="1" applyFont="1" applyBorder="1"/>
    <xf numFmtId="165" fontId="2" fillId="0" borderId="11" xfId="0" applyNumberFormat="1" applyFont="1" applyBorder="1"/>
    <xf numFmtId="165" fontId="3" fillId="0" borderId="25" xfId="0" applyNumberFormat="1" applyFont="1" applyBorder="1"/>
    <xf numFmtId="0" fontId="3" fillId="0" borderId="13" xfId="0" applyFont="1" applyBorder="1"/>
    <xf numFmtId="0" fontId="10" fillId="2" borderId="18" xfId="0" applyFont="1" applyFill="1" applyBorder="1"/>
    <xf numFmtId="0" fontId="10" fillId="2" borderId="19" xfId="0" applyFont="1" applyFill="1" applyBorder="1"/>
    <xf numFmtId="167" fontId="2" fillId="0" borderId="6" xfId="1" applyNumberFormat="1" applyFont="1" applyBorder="1"/>
    <xf numFmtId="164" fontId="4" fillId="2" borderId="0" xfId="0" applyNumberFormat="1" applyFont="1" applyFill="1" applyBorder="1"/>
    <xf numFmtId="167" fontId="10" fillId="0" borderId="18" xfId="1" applyNumberFormat="1" applyFont="1" applyFill="1" applyBorder="1"/>
    <xf numFmtId="167" fontId="10" fillId="0" borderId="19" xfId="1" applyNumberFormat="1" applyFont="1" applyFill="1" applyBorder="1"/>
    <xf numFmtId="164" fontId="10" fillId="0" borderId="19" xfId="1" applyNumberFormat="1" applyFont="1" applyFill="1" applyBorder="1"/>
    <xf numFmtId="164" fontId="10" fillId="0" borderId="23" xfId="1" applyNumberFormat="1" applyFont="1" applyFill="1" applyBorder="1"/>
    <xf numFmtId="165" fontId="10" fillId="2" borderId="19" xfId="2" applyNumberFormat="1" applyFont="1" applyFill="1" applyBorder="1"/>
    <xf numFmtId="0" fontId="11" fillId="0" borderId="0" xfId="0" applyFont="1"/>
    <xf numFmtId="0" fontId="0" fillId="0" borderId="1" xfId="0" applyBorder="1"/>
    <xf numFmtId="0" fontId="13" fillId="0" borderId="14" xfId="0" applyFont="1" applyBorder="1"/>
    <xf numFmtId="0" fontId="13" fillId="0" borderId="15" xfId="0" applyFont="1" applyBorder="1"/>
    <xf numFmtId="0" fontId="0" fillId="0" borderId="17" xfId="0" applyBorder="1"/>
    <xf numFmtId="0" fontId="12" fillId="0" borderId="16" xfId="0" applyFont="1" applyBorder="1"/>
    <xf numFmtId="0" fontId="12" fillId="0" borderId="0" xfId="0" applyFont="1" applyBorder="1"/>
    <xf numFmtId="0" fontId="0" fillId="0" borderId="16" xfId="0" applyBorder="1"/>
    <xf numFmtId="0" fontId="0" fillId="0" borderId="0" xfId="0" applyBorder="1"/>
    <xf numFmtId="0" fontId="14" fillId="2" borderId="26" xfId="0" applyFont="1" applyFill="1" applyBorder="1"/>
    <xf numFmtId="0" fontId="14" fillId="2" borderId="11" xfId="0" applyFont="1" applyFill="1" applyBorder="1"/>
    <xf numFmtId="164" fontId="14" fillId="2" borderId="27" xfId="1" applyNumberFormat="1" applyFont="1" applyFill="1" applyBorder="1"/>
    <xf numFmtId="168" fontId="13" fillId="0" borderId="20" xfId="2" applyNumberFormat="1" applyFont="1" applyBorder="1"/>
    <xf numFmtId="168" fontId="14" fillId="2" borderId="27" xfId="2" applyNumberFormat="1" applyFont="1" applyFill="1" applyBorder="1"/>
    <xf numFmtId="168" fontId="0" fillId="0" borderId="0" xfId="1" applyNumberFormat="1" applyFont="1"/>
    <xf numFmtId="167" fontId="0" fillId="0" borderId="22" xfId="1" applyNumberFormat="1" applyFont="1" applyBorder="1"/>
    <xf numFmtId="167" fontId="12" fillId="0" borderId="21" xfId="1" applyNumberFormat="1" applyFont="1" applyBorder="1"/>
    <xf numFmtId="167" fontId="0" fillId="0" borderId="21" xfId="1" applyNumberFormat="1" applyFont="1" applyBorder="1"/>
    <xf numFmtId="0" fontId="15" fillId="0" borderId="14" xfId="0" applyFont="1" applyBorder="1"/>
    <xf numFmtId="0" fontId="0" fillId="0" borderId="15" xfId="0" applyBorder="1"/>
    <xf numFmtId="168" fontId="0" fillId="0" borderId="20" xfId="1" applyNumberFormat="1" applyFont="1" applyBorder="1"/>
    <xf numFmtId="168" fontId="0" fillId="0" borderId="21" xfId="2" applyNumberFormat="1" applyFont="1" applyBorder="1"/>
    <xf numFmtId="0" fontId="16" fillId="0" borderId="0" xfId="0" applyFont="1"/>
    <xf numFmtId="167" fontId="5" fillId="2" borderId="17" xfId="1" applyNumberFormat="1" applyFont="1" applyFill="1" applyBorder="1"/>
    <xf numFmtId="167" fontId="5" fillId="2" borderId="1" xfId="1" applyNumberFormat="1" applyFont="1" applyFill="1" applyBorder="1"/>
    <xf numFmtId="164" fontId="5" fillId="2" borderId="1" xfId="1" applyNumberFormat="1" applyFont="1" applyFill="1" applyBorder="1"/>
    <xf numFmtId="164" fontId="5" fillId="2" borderId="22" xfId="1" applyNumberFormat="1" applyFont="1" applyFill="1" applyBorder="1"/>
    <xf numFmtId="0" fontId="13" fillId="0" borderId="0" xfId="0" applyFont="1" applyBorder="1"/>
    <xf numFmtId="16" fontId="13" fillId="0" borderId="0" xfId="0" applyNumberFormat="1" applyFont="1" applyBorder="1"/>
    <xf numFmtId="0" fontId="0" fillId="0" borderId="14" xfId="0" applyBorder="1"/>
    <xf numFmtId="0" fontId="0" fillId="0" borderId="21" xfId="0" applyBorder="1"/>
    <xf numFmtId="0" fontId="13" fillId="0" borderId="16" xfId="0" applyFont="1" applyBorder="1"/>
    <xf numFmtId="168" fontId="13" fillId="0" borderId="21" xfId="2" applyNumberFormat="1" applyFont="1" applyBorder="1"/>
    <xf numFmtId="0" fontId="17" fillId="0" borderId="20" xfId="0" applyFont="1" applyBorder="1" applyAlignment="1">
      <alignment horizontal="center"/>
    </xf>
    <xf numFmtId="165" fontId="9" fillId="2" borderId="19" xfId="2" applyNumberFormat="1" applyFont="1" applyFill="1" applyBorder="1"/>
    <xf numFmtId="165" fontId="9" fillId="2" borderId="23" xfId="2" applyNumberFormat="1" applyFont="1" applyFill="1" applyBorder="1"/>
    <xf numFmtId="167" fontId="4" fillId="0" borderId="0" xfId="1" applyNumberFormat="1" applyFont="1"/>
    <xf numFmtId="167" fontId="4" fillId="0" borderId="24" xfId="1" applyNumberFormat="1" applyFont="1" applyBorder="1" applyAlignment="1">
      <alignment horizontal="center"/>
    </xf>
    <xf numFmtId="165" fontId="5" fillId="2" borderId="19" xfId="2" applyNumberFormat="1" applyFont="1" applyFill="1" applyBorder="1"/>
    <xf numFmtId="164" fontId="7" fillId="0" borderId="0" xfId="1" applyNumberFormat="1" applyFont="1"/>
    <xf numFmtId="164" fontId="18" fillId="0" borderId="0" xfId="1" applyNumberFormat="1" applyFont="1"/>
    <xf numFmtId="164" fontId="18" fillId="0" borderId="28" xfId="1" applyNumberFormat="1" applyFont="1" applyBorder="1" applyAlignment="1">
      <alignment horizontal="center"/>
    </xf>
    <xf numFmtId="165" fontId="19" fillId="0" borderId="11" xfId="2" applyNumberFormat="1" applyFont="1" applyBorder="1"/>
    <xf numFmtId="164" fontId="19" fillId="0" borderId="28" xfId="1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16" fontId="2" fillId="0" borderId="15" xfId="1" applyNumberFormat="1" applyFont="1" applyBorder="1" applyAlignment="1">
      <alignment horizontal="center"/>
    </xf>
    <xf numFmtId="16" fontId="2" fillId="0" borderId="0" xfId="1" applyNumberFormat="1" applyFont="1" applyBorder="1" applyAlignment="1">
      <alignment horizontal="center"/>
    </xf>
    <xf numFmtId="164" fontId="20" fillId="0" borderId="0" xfId="1" applyNumberFormat="1" applyFont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5" fontId="5" fillId="2" borderId="23" xfId="2" applyNumberFormat="1" applyFont="1" applyFill="1" applyBorder="1"/>
    <xf numFmtId="167" fontId="4" fillId="0" borderId="28" xfId="1" applyNumberFormat="1" applyFont="1" applyBorder="1"/>
    <xf numFmtId="164" fontId="19" fillId="0" borderId="0" xfId="1" applyNumberFormat="1" applyFont="1" applyBorder="1" applyAlignment="1">
      <alignment horizontal="center"/>
    </xf>
    <xf numFmtId="165" fontId="19" fillId="0" borderId="0" xfId="2" applyNumberFormat="1" applyFont="1" applyBorder="1"/>
    <xf numFmtId="164" fontId="4" fillId="0" borderId="3" xfId="1" applyNumberFormat="1" applyFont="1" applyBorder="1"/>
    <xf numFmtId="164" fontId="18" fillId="0" borderId="4" xfId="1" applyNumberFormat="1" applyFont="1" applyBorder="1"/>
    <xf numFmtId="164" fontId="18" fillId="0" borderId="5" xfId="1" applyNumberFormat="1" applyFont="1" applyBorder="1"/>
    <xf numFmtId="164" fontId="4" fillId="0" borderId="6" xfId="1" applyNumberFormat="1" applyFont="1" applyBorder="1"/>
    <xf numFmtId="164" fontId="18" fillId="0" borderId="0" xfId="1" applyNumberFormat="1" applyFont="1" applyBorder="1"/>
    <xf numFmtId="164" fontId="18" fillId="0" borderId="7" xfId="1" applyNumberFormat="1" applyFont="1" applyBorder="1"/>
    <xf numFmtId="164" fontId="18" fillId="0" borderId="6" xfId="1" applyNumberFormat="1" applyFont="1" applyBorder="1"/>
    <xf numFmtId="164" fontId="19" fillId="0" borderId="7" xfId="1" applyNumberFormat="1" applyFont="1" applyBorder="1" applyAlignment="1">
      <alignment horizontal="center"/>
    </xf>
    <xf numFmtId="164" fontId="19" fillId="0" borderId="29" xfId="1" applyNumberFormat="1" applyFont="1" applyBorder="1" applyAlignment="1">
      <alignment horizontal="center"/>
    </xf>
    <xf numFmtId="164" fontId="18" fillId="0" borderId="7" xfId="1" applyNumberFormat="1" applyFont="1" applyBorder="1" applyAlignment="1">
      <alignment horizontal="center"/>
    </xf>
    <xf numFmtId="16" fontId="19" fillId="0" borderId="6" xfId="1" applyNumberFormat="1" applyFont="1" applyBorder="1"/>
    <xf numFmtId="165" fontId="18" fillId="0" borderId="0" xfId="2" applyNumberFormat="1" applyFont="1" applyBorder="1"/>
    <xf numFmtId="164" fontId="19" fillId="0" borderId="0" xfId="1" applyNumberFormat="1" applyFont="1" applyBorder="1"/>
    <xf numFmtId="164" fontId="19" fillId="0" borderId="7" xfId="1" applyNumberFormat="1" applyFont="1" applyBorder="1"/>
    <xf numFmtId="165" fontId="19" fillId="0" borderId="7" xfId="2" applyNumberFormat="1" applyFont="1" applyBorder="1"/>
    <xf numFmtId="16" fontId="19" fillId="0" borderId="8" xfId="1" applyNumberFormat="1" applyFont="1" applyBorder="1"/>
    <xf numFmtId="164" fontId="18" fillId="0" borderId="2" xfId="1" applyNumberFormat="1" applyFont="1" applyBorder="1"/>
    <xf numFmtId="164" fontId="18" fillId="0" borderId="9" xfId="1" applyNumberFormat="1" applyFont="1" applyBorder="1"/>
    <xf numFmtId="164" fontId="19" fillId="0" borderId="2" xfId="1" quotePrefix="1" applyNumberFormat="1" applyFont="1" applyBorder="1" applyAlignment="1">
      <alignment horizontal="center"/>
    </xf>
    <xf numFmtId="164" fontId="18" fillId="0" borderId="3" xfId="1" applyNumberFormat="1" applyFont="1" applyBorder="1"/>
    <xf numFmtId="164" fontId="4" fillId="0" borderId="4" xfId="1" applyNumberFormat="1" applyFont="1" applyBorder="1"/>
    <xf numFmtId="164" fontId="4" fillId="0" borderId="0" xfId="1" applyNumberFormat="1" applyFont="1" applyBorder="1"/>
    <xf numFmtId="164" fontId="19" fillId="0" borderId="9" xfId="1" applyNumberFormat="1" applyFont="1" applyBorder="1" applyAlignment="1">
      <alignment horizontal="center"/>
    </xf>
    <xf numFmtId="165" fontId="18" fillId="0" borderId="7" xfId="2" applyNumberFormat="1" applyFont="1" applyBorder="1"/>
    <xf numFmtId="164" fontId="20" fillId="0" borderId="6" xfId="1" applyNumberFormat="1" applyFont="1" applyBorder="1" applyAlignment="1">
      <alignment horizontal="center"/>
    </xf>
    <xf numFmtId="164" fontId="18" fillId="0" borderId="8" xfId="1" applyNumberFormat="1" applyFont="1" applyBorder="1"/>
    <xf numFmtId="164" fontId="7" fillId="0" borderId="30" xfId="1" applyNumberFormat="1" applyFont="1" applyBorder="1"/>
    <xf numFmtId="164" fontId="4" fillId="0" borderId="31" xfId="1" applyNumberFormat="1" applyFont="1" applyBorder="1"/>
    <xf numFmtId="165" fontId="4" fillId="2" borderId="25" xfId="2" applyNumberFormat="1" applyFont="1" applyFill="1" applyBorder="1"/>
    <xf numFmtId="164" fontId="8" fillId="0" borderId="31" xfId="1" applyNumberFormat="1" applyFont="1" applyBorder="1"/>
    <xf numFmtId="164" fontId="8" fillId="0" borderId="30" xfId="1" applyNumberFormat="1" applyFont="1" applyBorder="1"/>
    <xf numFmtId="165" fontId="8" fillId="0" borderId="32" xfId="2" applyNumberFormat="1" applyFont="1" applyBorder="1"/>
    <xf numFmtId="164" fontId="19" fillId="0" borderId="33" xfId="1" applyNumberFormat="1" applyFont="1" applyBorder="1" applyAlignment="1">
      <alignment horizontal="center"/>
    </xf>
    <xf numFmtId="164" fontId="19" fillId="0" borderId="34" xfId="1" applyNumberFormat="1" applyFont="1" applyBorder="1" applyAlignment="1">
      <alignment horizontal="center"/>
    </xf>
    <xf numFmtId="164" fontId="19" fillId="0" borderId="6" xfId="1" applyNumberFormat="1" applyFont="1" applyBorder="1"/>
    <xf numFmtId="165" fontId="18" fillId="0" borderId="7" xfId="2" applyNumberFormat="1" applyFont="1" applyBorder="1" applyAlignment="1">
      <alignment horizontal="center"/>
    </xf>
    <xf numFmtId="165" fontId="19" fillId="0" borderId="2" xfId="2" applyNumberFormat="1" applyFont="1" applyBorder="1"/>
    <xf numFmtId="165" fontId="4" fillId="0" borderId="9" xfId="2" applyNumberFormat="1" applyFont="1" applyFill="1" applyBorder="1"/>
    <xf numFmtId="164" fontId="8" fillId="0" borderId="0" xfId="1" applyNumberFormat="1" applyFont="1"/>
    <xf numFmtId="165" fontId="4" fillId="2" borderId="32" xfId="2" applyNumberFormat="1" applyFont="1" applyFill="1" applyBorder="1"/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2" borderId="18" xfId="0" applyFont="1" applyFill="1" applyBorder="1"/>
    <xf numFmtId="164" fontId="3" fillId="2" borderId="19" xfId="0" applyNumberFormat="1" applyFont="1" applyFill="1" applyBorder="1"/>
    <xf numFmtId="164" fontId="2" fillId="0" borderId="14" xfId="1" applyNumberFormat="1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0" fontId="4" fillId="2" borderId="19" xfId="0" applyFont="1" applyFill="1" applyBorder="1"/>
    <xf numFmtId="16" fontId="3" fillId="0" borderId="0" xfId="0" applyNumberFormat="1" applyFont="1" applyAlignment="1">
      <alignment horizontal="left"/>
    </xf>
    <xf numFmtId="16" fontId="3" fillId="0" borderId="35" xfId="0" applyNumberFormat="1" applyFont="1" applyBorder="1" applyAlignment="1">
      <alignment horizontal="center"/>
    </xf>
    <xf numFmtId="16" fontId="2" fillId="0" borderId="0" xfId="0" applyNumberFormat="1" applyFont="1"/>
    <xf numFmtId="164" fontId="11" fillId="0" borderId="0" xfId="1" applyNumberFormat="1" applyFont="1"/>
    <xf numFmtId="164" fontId="0" fillId="0" borderId="0" xfId="1" applyNumberFormat="1" applyFont="1"/>
    <xf numFmtId="0" fontId="13" fillId="0" borderId="0" xfId="0" applyFont="1"/>
    <xf numFmtId="0" fontId="21" fillId="0" borderId="0" xfId="0" applyFont="1"/>
    <xf numFmtId="164" fontId="21" fillId="0" borderId="0" xfId="1" applyNumberFormat="1" applyFont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13" fillId="2" borderId="18" xfId="0" applyFont="1" applyFill="1" applyBorder="1"/>
    <xf numFmtId="164" fontId="13" fillId="2" borderId="23" xfId="1" applyNumberFormat="1" applyFont="1" applyFill="1" applyBorder="1"/>
    <xf numFmtId="0" fontId="13" fillId="2" borderId="26" xfId="0" applyFont="1" applyFill="1" applyBorder="1"/>
    <xf numFmtId="165" fontId="13" fillId="2" borderId="27" xfId="2" applyNumberFormat="1" applyFont="1" applyFill="1" applyBorder="1"/>
    <xf numFmtId="0" fontId="13" fillId="0" borderId="0" xfId="0" applyFont="1" applyAlignment="1">
      <alignment horizontal="center"/>
    </xf>
    <xf numFmtId="0" fontId="13" fillId="0" borderId="28" xfId="0" applyFont="1" applyBorder="1" applyAlignment="1">
      <alignment horizontal="center"/>
    </xf>
    <xf numFmtId="164" fontId="0" fillId="0" borderId="0" xfId="0" applyNumberFormat="1"/>
    <xf numFmtId="165" fontId="21" fillId="0" borderId="11" xfId="2" applyNumberFormat="1" applyFont="1" applyBorder="1"/>
    <xf numFmtId="165" fontId="21" fillId="0" borderId="0" xfId="2" applyNumberFormat="1" applyFont="1"/>
    <xf numFmtId="0" fontId="13" fillId="2" borderId="19" xfId="0" applyFont="1" applyFill="1" applyBorder="1"/>
    <xf numFmtId="0" fontId="13" fillId="2" borderId="11" xfId="0" applyFont="1" applyFill="1" applyBorder="1"/>
    <xf numFmtId="164" fontId="0" fillId="0" borderId="22" xfId="1" applyNumberFormat="1" applyFont="1" applyBorder="1"/>
    <xf numFmtId="16" fontId="13" fillId="0" borderId="1" xfId="1" applyNumberFormat="1" applyFont="1" applyBorder="1" applyAlignment="1">
      <alignment horizontal="center"/>
    </xf>
    <xf numFmtId="16" fontId="13" fillId="0" borderId="1" xfId="0" applyNumberFormat="1" applyFont="1" applyBorder="1" applyAlignment="1">
      <alignment horizontal="center"/>
    </xf>
    <xf numFmtId="22" fontId="0" fillId="0" borderId="0" xfId="0" applyNumberFormat="1" applyAlignment="1">
      <alignment horizontal="left"/>
    </xf>
    <xf numFmtId="164" fontId="2" fillId="0" borderId="16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Fill="1"/>
    <xf numFmtId="169" fontId="8" fillId="0" borderId="0" xfId="0" applyNumberFormat="1" applyFont="1" applyAlignment="1">
      <alignment horizontal="right"/>
    </xf>
    <xf numFmtId="0" fontId="2" fillId="0" borderId="0" xfId="0" applyFont="1" applyAlignment="1"/>
    <xf numFmtId="164" fontId="3" fillId="0" borderId="21" xfId="0" applyNumberFormat="1" applyFont="1" applyBorder="1" applyAlignment="1"/>
    <xf numFmtId="164" fontId="3" fillId="2" borderId="23" xfId="0" applyNumberFormat="1" applyFont="1" applyFill="1" applyBorder="1" applyAlignment="1"/>
    <xf numFmtId="165" fontId="4" fillId="2" borderId="23" xfId="2" applyNumberFormat="1" applyFont="1" applyFill="1" applyBorder="1" applyAlignment="1"/>
    <xf numFmtId="16" fontId="3" fillId="0" borderId="36" xfId="0" applyNumberFormat="1" applyFont="1" applyBorder="1" applyAlignment="1">
      <alignment horizontal="center"/>
    </xf>
    <xf numFmtId="164" fontId="3" fillId="2" borderId="1" xfId="0" applyNumberFormat="1" applyFont="1" applyFill="1" applyBorder="1"/>
    <xf numFmtId="164" fontId="3" fillId="2" borderId="23" xfId="0" applyNumberFormat="1" applyFont="1" applyFill="1" applyBorder="1"/>
    <xf numFmtId="0" fontId="7" fillId="0" borderId="0" xfId="0" applyFont="1" applyFill="1"/>
    <xf numFmtId="164" fontId="3" fillId="2" borderId="22" xfId="0" applyNumberFormat="1" applyFont="1" applyFill="1" applyBorder="1" applyAlignment="1"/>
    <xf numFmtId="14" fontId="3" fillId="0" borderId="36" xfId="0" applyNumberFormat="1" applyFont="1" applyBorder="1" applyAlignment="1">
      <alignment horizontal="center"/>
    </xf>
    <xf numFmtId="164" fontId="7" fillId="0" borderId="0" xfId="0" applyNumberFormat="1" applyFont="1" applyFill="1"/>
    <xf numFmtId="0" fontId="21" fillId="0" borderId="14" xfId="0" applyFont="1" applyBorder="1"/>
    <xf numFmtId="0" fontId="21" fillId="0" borderId="15" xfId="0" applyFont="1" applyBorder="1"/>
    <xf numFmtId="164" fontId="21" fillId="0" borderId="20" xfId="1" applyNumberFormat="1" applyFont="1" applyBorder="1"/>
    <xf numFmtId="164" fontId="21" fillId="0" borderId="0" xfId="1" applyNumberFormat="1" applyFont="1" applyBorder="1"/>
    <xf numFmtId="0" fontId="21" fillId="0" borderId="16" xfId="0" applyFont="1" applyBorder="1"/>
    <xf numFmtId="0" fontId="21" fillId="0" borderId="0" xfId="0" applyFont="1" applyBorder="1"/>
    <xf numFmtId="164" fontId="21" fillId="0" borderId="21" xfId="1" applyNumberFormat="1" applyFont="1" applyBorder="1"/>
    <xf numFmtId="0" fontId="0" fillId="0" borderId="11" xfId="0" applyBorder="1"/>
    <xf numFmtId="165" fontId="0" fillId="0" borderId="0" xfId="0" applyNumberFormat="1"/>
    <xf numFmtId="169" fontId="8" fillId="0" borderId="0" xfId="1" applyNumberFormat="1" applyFont="1" applyAlignment="1">
      <alignment horizontal="right"/>
    </xf>
    <xf numFmtId="0" fontId="13" fillId="0" borderId="0" xfId="0" applyFont="1" applyBorder="1" applyAlignment="1">
      <alignment horizontal="center"/>
    </xf>
    <xf numFmtId="164" fontId="19" fillId="0" borderId="18" xfId="1" applyNumberFormat="1" applyFont="1" applyBorder="1" applyAlignment="1">
      <alignment horizontal="center"/>
    </xf>
    <xf numFmtId="164" fontId="19" fillId="0" borderId="19" xfId="1" applyNumberFormat="1" applyFont="1" applyBorder="1" applyAlignment="1">
      <alignment horizontal="center"/>
    </xf>
    <xf numFmtId="164" fontId="19" fillId="0" borderId="23" xfId="1" applyNumberFormat="1" applyFont="1" applyBorder="1" applyAlignment="1">
      <alignment horizontal="center"/>
    </xf>
    <xf numFmtId="169" fontId="4" fillId="0" borderId="4" xfId="1" applyNumberFormat="1" applyFont="1" applyBorder="1" applyAlignment="1">
      <alignment horizontal="right"/>
    </xf>
    <xf numFmtId="169" fontId="4" fillId="0" borderId="5" xfId="1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69" fontId="8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20</xdr:row>
      <xdr:rowOff>152400</xdr:rowOff>
    </xdr:from>
    <xdr:to>
      <xdr:col>0</xdr:col>
      <xdr:colOff>1076325</xdr:colOff>
      <xdr:row>20</xdr:row>
      <xdr:rowOff>342900</xdr:rowOff>
    </xdr:to>
    <xdr:sp macro="" textlink="">
      <xdr:nvSpPr>
        <xdr:cNvPr id="1030" name="Oval 6">
          <a:extLst>
            <a:ext uri="{FF2B5EF4-FFF2-40B4-BE49-F238E27FC236}">
              <a16:creationId xmlns:a16="http://schemas.microsoft.com/office/drawing/2014/main" id="{F865C4EF-4568-B3E0-AA79-074430593543}"/>
            </a:ext>
          </a:extLst>
        </xdr:cNvPr>
        <xdr:cNvSpPr>
          <a:spLocks noChangeArrowheads="1"/>
        </xdr:cNvSpPr>
      </xdr:nvSpPr>
      <xdr:spPr bwMode="auto">
        <a:xfrm>
          <a:off x="304800" y="4143375"/>
          <a:ext cx="771525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Silver Peak</a:t>
          </a:r>
        </a:p>
      </xdr:txBody>
    </xdr:sp>
    <xdr:clientData/>
  </xdr:twoCellAnchor>
  <xdr:twoCellAnchor>
    <xdr:from>
      <xdr:col>0</xdr:col>
      <xdr:colOff>742950</xdr:colOff>
      <xdr:row>20</xdr:row>
      <xdr:rowOff>342900</xdr:rowOff>
    </xdr:from>
    <xdr:to>
      <xdr:col>1</xdr:col>
      <xdr:colOff>228600</xdr:colOff>
      <xdr:row>23</xdr:row>
      <xdr:rowOff>85725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BED736F3-952D-D2E7-2CAE-153DB5FF12E3}"/>
            </a:ext>
          </a:extLst>
        </xdr:cNvPr>
        <xdr:cNvSpPr>
          <a:spLocks noChangeShapeType="1"/>
        </xdr:cNvSpPr>
      </xdr:nvSpPr>
      <xdr:spPr bwMode="auto">
        <a:xfrm>
          <a:off x="742950" y="4333875"/>
          <a:ext cx="1190625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200025</xdr:colOff>
      <xdr:row>32</xdr:row>
      <xdr:rowOff>180975</xdr:rowOff>
    </xdr:from>
    <xdr:to>
      <xdr:col>1</xdr:col>
      <xdr:colOff>238125</xdr:colOff>
      <xdr:row>32</xdr:row>
      <xdr:rowOff>381000</xdr:rowOff>
    </xdr:to>
    <xdr:sp macro="" textlink="">
      <xdr:nvSpPr>
        <xdr:cNvPr id="1034" name="Oval 10">
          <a:extLst>
            <a:ext uri="{FF2B5EF4-FFF2-40B4-BE49-F238E27FC236}">
              <a16:creationId xmlns:a16="http://schemas.microsoft.com/office/drawing/2014/main" id="{D006CCEF-1C40-63E9-B532-25D09FA61EA6}"/>
            </a:ext>
          </a:extLst>
        </xdr:cNvPr>
        <xdr:cNvSpPr>
          <a:spLocks noChangeArrowheads="1"/>
        </xdr:cNvSpPr>
      </xdr:nvSpPr>
      <xdr:spPr bwMode="auto">
        <a:xfrm>
          <a:off x="200025" y="6457950"/>
          <a:ext cx="1743075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Colorado Springs</a:t>
          </a:r>
        </a:p>
      </xdr:txBody>
    </xdr:sp>
    <xdr:clientData/>
  </xdr:twoCellAnchor>
  <xdr:twoCellAnchor>
    <xdr:from>
      <xdr:col>0</xdr:col>
      <xdr:colOff>914400</xdr:colOff>
      <xdr:row>24</xdr:row>
      <xdr:rowOff>95250</xdr:rowOff>
    </xdr:from>
    <xdr:to>
      <xdr:col>1</xdr:col>
      <xdr:colOff>257175</xdr:colOff>
      <xdr:row>32</xdr:row>
      <xdr:rowOff>171450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B25F0D47-BFDB-9C87-7514-F19A28E6CD5C}"/>
            </a:ext>
          </a:extLst>
        </xdr:cNvPr>
        <xdr:cNvSpPr>
          <a:spLocks noChangeShapeType="1"/>
        </xdr:cNvSpPr>
      </xdr:nvSpPr>
      <xdr:spPr bwMode="auto">
        <a:xfrm flipV="1">
          <a:off x="914400" y="5076825"/>
          <a:ext cx="1047750" cy="137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4"/>
  <sheetViews>
    <sheetView tabSelected="1" workbookViewId="0">
      <pane xSplit="1" ySplit="1" topLeftCell="E2" activePane="bottomRight" state="frozen"/>
      <selection activeCell="F1" sqref="F1:G1"/>
      <selection pane="topRight" activeCell="F1" sqref="F1:G1"/>
      <selection pane="bottomLeft" activeCell="F1" sqref="F1:G1"/>
      <selection pane="bottomRight"/>
    </sheetView>
  </sheetViews>
  <sheetFormatPr defaultRowHeight="12.75" x14ac:dyDescent="0.2"/>
  <cols>
    <col min="1" max="1" width="25.5703125" style="1" customWidth="1"/>
    <col min="2" max="2" width="8.28515625" style="1" customWidth="1"/>
    <col min="3" max="14" width="9.5703125" style="1" customWidth="1"/>
    <col min="15" max="15" width="10.42578125" style="243" customWidth="1"/>
    <col min="69" max="16384" width="9.140625" style="1"/>
  </cols>
  <sheetData>
    <row r="1" spans="1:68" ht="18" x14ac:dyDescent="0.25">
      <c r="A1" s="60" t="s">
        <v>205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</row>
    <row r="2" spans="1:68" ht="39.950000000000003" customHeight="1" x14ac:dyDescent="0.2"/>
    <row r="3" spans="1:68" s="203" customFormat="1" x14ac:dyDescent="0.2">
      <c r="B3" s="204" t="s">
        <v>197</v>
      </c>
      <c r="C3" s="204"/>
      <c r="D3" s="204"/>
      <c r="E3" s="204">
        <v>2001</v>
      </c>
      <c r="F3" s="204">
        <v>2001</v>
      </c>
      <c r="G3" s="204"/>
      <c r="H3" s="204"/>
      <c r="I3" s="204">
        <v>2001</v>
      </c>
      <c r="J3" s="204">
        <v>2001</v>
      </c>
      <c r="K3" s="204">
        <v>2001</v>
      </c>
      <c r="L3" s="204">
        <v>2001</v>
      </c>
      <c r="M3" s="204">
        <v>2001</v>
      </c>
      <c r="N3" s="204">
        <v>2001</v>
      </c>
      <c r="O3" s="204" t="s">
        <v>199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68" s="205" customFormat="1" x14ac:dyDescent="0.2">
      <c r="A4" s="214" t="s">
        <v>202</v>
      </c>
      <c r="B4" s="215">
        <v>36889</v>
      </c>
      <c r="C4" s="247"/>
      <c r="D4" s="247"/>
      <c r="E4" s="247">
        <v>36907</v>
      </c>
      <c r="F4" s="247">
        <v>36908</v>
      </c>
      <c r="G4" s="247"/>
      <c r="H4" s="247"/>
      <c r="I4" s="247">
        <v>36945</v>
      </c>
      <c r="J4" s="247">
        <v>36948</v>
      </c>
      <c r="K4" s="247">
        <v>36955</v>
      </c>
      <c r="L4" s="247">
        <v>36971</v>
      </c>
      <c r="M4" s="247">
        <v>36978</v>
      </c>
      <c r="N4" s="247">
        <v>36980</v>
      </c>
      <c r="O4" s="247" t="s">
        <v>200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</row>
    <row r="5" spans="1:68" s="4" customFormat="1" x14ac:dyDescent="0.2">
      <c r="A5" s="208" t="s">
        <v>189</v>
      </c>
      <c r="B5" s="71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44">
        <f>SUM(B5:N5)</f>
        <v>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</row>
    <row r="6" spans="1:68" s="4" customFormat="1" x14ac:dyDescent="0.2">
      <c r="A6" s="209" t="s">
        <v>204</v>
      </c>
      <c r="B6" s="6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244">
        <f t="shared" ref="O6:O14" si="0">SUM(B6:N6)</f>
        <v>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</row>
    <row r="7" spans="1:68" s="4" customFormat="1" x14ac:dyDescent="0.2">
      <c r="A7" s="209" t="s">
        <v>190</v>
      </c>
      <c r="B7" s="6">
        <v>55</v>
      </c>
      <c r="C7" s="6"/>
      <c r="D7" s="6"/>
      <c r="E7" s="6">
        <v>-55</v>
      </c>
      <c r="F7" s="6"/>
      <c r="G7" s="6"/>
      <c r="H7" s="6"/>
      <c r="I7" s="6">
        <v>100</v>
      </c>
      <c r="J7" s="6">
        <v>-100</v>
      </c>
      <c r="K7" s="6"/>
      <c r="L7" s="6"/>
      <c r="M7" s="6">
        <v>75</v>
      </c>
      <c r="N7" s="6">
        <v>75</v>
      </c>
      <c r="O7" s="244">
        <f t="shared" si="0"/>
        <v>150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</row>
    <row r="8" spans="1:68" s="4" customFormat="1" x14ac:dyDescent="0.2">
      <c r="A8" s="209" t="s">
        <v>227</v>
      </c>
      <c r="B8" s="6">
        <v>6.2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244">
        <f t="shared" si="0"/>
        <v>6.2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 s="4" customFormat="1" x14ac:dyDescent="0.2">
      <c r="A9" s="209" t="s">
        <v>206</v>
      </c>
      <c r="B9" s="6">
        <v>3.4</v>
      </c>
      <c r="C9" s="6"/>
      <c r="D9" s="6"/>
      <c r="E9" s="6"/>
      <c r="F9" s="6"/>
      <c r="G9" s="6"/>
      <c r="H9" s="6"/>
      <c r="I9" s="6"/>
      <c r="J9" s="6"/>
      <c r="K9" s="6">
        <v>-0.9</v>
      </c>
      <c r="L9" s="6"/>
      <c r="M9" s="6"/>
      <c r="N9" s="6">
        <v>3.6</v>
      </c>
      <c r="O9" s="244">
        <f t="shared" si="0"/>
        <v>6.1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 s="4" customFormat="1" x14ac:dyDescent="0.2">
      <c r="A10" s="209" t="s">
        <v>207</v>
      </c>
      <c r="B10" s="6">
        <v>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44">
        <f t="shared" si="0"/>
        <v>2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</row>
    <row r="11" spans="1:68" s="4" customFormat="1" x14ac:dyDescent="0.2">
      <c r="A11" s="209" t="s">
        <v>235</v>
      </c>
      <c r="B11" s="6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44">
        <f t="shared" si="0"/>
        <v>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</row>
    <row r="12" spans="1:68" s="4" customFormat="1" x14ac:dyDescent="0.2">
      <c r="A12" s="209" t="s">
        <v>243</v>
      </c>
      <c r="B12" s="6">
        <v>0</v>
      </c>
      <c r="C12" s="6"/>
      <c r="D12" s="6"/>
      <c r="E12" s="6"/>
      <c r="F12" s="6">
        <v>1.6</v>
      </c>
      <c r="G12" s="6"/>
      <c r="H12" s="6"/>
      <c r="I12" s="6"/>
      <c r="J12" s="6"/>
      <c r="K12" s="6"/>
      <c r="L12" s="6"/>
      <c r="M12" s="6"/>
      <c r="N12" s="6"/>
      <c r="O12" s="244">
        <f t="shared" si="0"/>
        <v>1.6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</row>
    <row r="13" spans="1:68" s="241" customFormat="1" x14ac:dyDescent="0.2">
      <c r="A13" s="239" t="s">
        <v>196</v>
      </c>
      <c r="B13" s="240">
        <v>405.1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>
        <v>40</v>
      </c>
      <c r="M13" s="240"/>
      <c r="N13" s="240">
        <v>-1.9</v>
      </c>
      <c r="O13" s="244">
        <f t="shared" si="0"/>
        <v>443.20000000000005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</row>
    <row r="14" spans="1:68" s="4" customFormat="1" x14ac:dyDescent="0.2">
      <c r="A14" s="210" t="s">
        <v>198</v>
      </c>
      <c r="B14" s="5">
        <v>1.1000000000000001</v>
      </c>
      <c r="C14" s="6"/>
      <c r="D14" s="6"/>
      <c r="E14" s="6"/>
      <c r="F14" s="6"/>
      <c r="G14" s="6"/>
      <c r="H14" s="6"/>
      <c r="I14" s="6"/>
      <c r="J14" s="6"/>
      <c r="K14" s="6">
        <v>-1.1000000000000001</v>
      </c>
      <c r="L14" s="6"/>
      <c r="M14" s="6"/>
      <c r="N14" s="6"/>
      <c r="O14" s="244">
        <f t="shared" si="0"/>
        <v>0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</row>
    <row r="15" spans="1:68" s="2" customFormat="1" x14ac:dyDescent="0.2">
      <c r="A15" s="206" t="s">
        <v>102</v>
      </c>
      <c r="B15" s="207">
        <f>SUM(B5:B14)</f>
        <v>472.80000000000007</v>
      </c>
      <c r="C15" s="207"/>
      <c r="D15" s="207"/>
      <c r="E15" s="207">
        <f>SUM(E5:E14)</f>
        <v>-55</v>
      </c>
      <c r="F15" s="207">
        <f>SUM(F5:F14)</f>
        <v>1.6</v>
      </c>
      <c r="G15" s="207"/>
      <c r="H15" s="207"/>
      <c r="I15" s="207">
        <f t="shared" ref="I15:O15" si="1">SUM(I5:I14)</f>
        <v>100</v>
      </c>
      <c r="J15" s="207">
        <f t="shared" si="1"/>
        <v>-100</v>
      </c>
      <c r="K15" s="207">
        <f t="shared" si="1"/>
        <v>-2</v>
      </c>
      <c r="L15" s="207">
        <f t="shared" si="1"/>
        <v>40</v>
      </c>
      <c r="M15" s="207">
        <f t="shared" si="1"/>
        <v>75</v>
      </c>
      <c r="N15" s="207">
        <f t="shared" si="1"/>
        <v>76.699999999999989</v>
      </c>
      <c r="O15" s="245">
        <f t="shared" si="1"/>
        <v>609.1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</row>
    <row r="16" spans="1:68" ht="39.950000000000003" customHeight="1" x14ac:dyDescent="0.2"/>
    <row r="17" spans="1:68" x14ac:dyDescent="0.2">
      <c r="A17" s="203"/>
      <c r="B17" s="204" t="s">
        <v>197</v>
      </c>
      <c r="C17" s="204"/>
      <c r="D17" s="204"/>
      <c r="E17" s="204"/>
      <c r="F17" s="204">
        <v>2001</v>
      </c>
      <c r="G17" s="204"/>
      <c r="H17" s="204"/>
      <c r="I17" s="204"/>
      <c r="J17" s="204"/>
      <c r="K17" s="204">
        <v>2001</v>
      </c>
      <c r="L17" s="204"/>
      <c r="M17" s="204">
        <f>M3</f>
        <v>2001</v>
      </c>
      <c r="N17" s="204">
        <f>N3</f>
        <v>2001</v>
      </c>
      <c r="O17" s="204" t="s">
        <v>199</v>
      </c>
    </row>
    <row r="18" spans="1:68" x14ac:dyDescent="0.2">
      <c r="A18" s="211" t="s">
        <v>247</v>
      </c>
      <c r="B18" s="215">
        <v>36889</v>
      </c>
      <c r="C18" s="247"/>
      <c r="D18" s="247"/>
      <c r="E18" s="247"/>
      <c r="F18" s="247">
        <v>36908</v>
      </c>
      <c r="G18" s="247"/>
      <c r="H18" s="247"/>
      <c r="I18" s="247"/>
      <c r="J18" s="247"/>
      <c r="K18" s="247">
        <v>36955</v>
      </c>
      <c r="L18" s="247"/>
      <c r="M18" s="247">
        <f>M4</f>
        <v>36978</v>
      </c>
      <c r="N18" s="247">
        <f>N4</f>
        <v>36980</v>
      </c>
      <c r="O18" s="252" t="s">
        <v>200</v>
      </c>
    </row>
    <row r="19" spans="1:68" x14ac:dyDescent="0.2">
      <c r="A19" s="208" t="s">
        <v>249</v>
      </c>
      <c r="B19" s="71">
        <v>0</v>
      </c>
      <c r="C19" s="71"/>
      <c r="D19" s="71"/>
      <c r="E19" s="6"/>
      <c r="F19" s="6">
        <v>9.4</v>
      </c>
      <c r="G19" s="6"/>
      <c r="H19" s="6"/>
      <c r="I19" s="6"/>
      <c r="J19" s="6"/>
      <c r="K19" s="6">
        <v>0.3</v>
      </c>
      <c r="L19" s="6"/>
      <c r="M19" s="6"/>
      <c r="N19" s="6">
        <v>-9.6999999999999993</v>
      </c>
      <c r="O19" s="244">
        <f>SUM(B19:N19)</f>
        <v>0</v>
      </c>
    </row>
    <row r="20" spans="1:68" x14ac:dyDescent="0.2">
      <c r="A20" s="206" t="s">
        <v>248</v>
      </c>
      <c r="B20" s="207">
        <f>+B19</f>
        <v>0</v>
      </c>
      <c r="C20" s="207">
        <f>+C19</f>
        <v>0</v>
      </c>
      <c r="D20" s="207">
        <f>+D19</f>
        <v>0</v>
      </c>
      <c r="E20" s="207"/>
      <c r="F20" s="207">
        <f>+F19</f>
        <v>9.4</v>
      </c>
      <c r="G20" s="207"/>
      <c r="H20" s="207"/>
      <c r="I20" s="207"/>
      <c r="J20" s="207"/>
      <c r="K20" s="207">
        <f>+K19</f>
        <v>0.3</v>
      </c>
      <c r="L20" s="207"/>
      <c r="M20" s="207">
        <f>SUM(M19)</f>
        <v>0</v>
      </c>
      <c r="N20" s="207">
        <f>SUM(N19)</f>
        <v>-9.6999999999999993</v>
      </c>
      <c r="O20" s="249">
        <f>+O19</f>
        <v>0</v>
      </c>
    </row>
    <row r="21" spans="1:68" ht="39.950000000000003" customHeight="1" x14ac:dyDescent="0.2"/>
    <row r="22" spans="1:68" x14ac:dyDescent="0.2">
      <c r="A22" s="203"/>
      <c r="B22" s="204" t="s">
        <v>197</v>
      </c>
      <c r="C22" s="204"/>
      <c r="D22" s="204"/>
      <c r="E22" s="204"/>
      <c r="F22" s="204"/>
      <c r="G22" s="204">
        <v>2001</v>
      </c>
      <c r="H22" s="204">
        <v>2001</v>
      </c>
      <c r="I22" s="204"/>
      <c r="J22" s="204"/>
      <c r="K22" s="204">
        <v>2001</v>
      </c>
      <c r="L22" s="204"/>
      <c r="M22" s="204">
        <f>M17</f>
        <v>2001</v>
      </c>
      <c r="N22" s="204">
        <f>N17</f>
        <v>2001</v>
      </c>
      <c r="O22" s="204" t="s">
        <v>199</v>
      </c>
    </row>
    <row r="23" spans="1:68" s="216" customFormat="1" x14ac:dyDescent="0.2">
      <c r="A23" s="214" t="s">
        <v>165</v>
      </c>
      <c r="B23" s="215">
        <v>36889</v>
      </c>
      <c r="C23" s="247"/>
      <c r="D23" s="247"/>
      <c r="E23" s="247"/>
      <c r="F23" s="247"/>
      <c r="G23" s="247">
        <v>36922</v>
      </c>
      <c r="H23" s="247">
        <v>36923</v>
      </c>
      <c r="I23" s="247"/>
      <c r="J23" s="247"/>
      <c r="K23" s="247">
        <v>36955</v>
      </c>
      <c r="L23" s="247"/>
      <c r="M23" s="247">
        <f>M18</f>
        <v>36978</v>
      </c>
      <c r="N23" s="247">
        <f>N18</f>
        <v>36980</v>
      </c>
      <c r="O23" s="247" t="s">
        <v>200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</row>
    <row r="24" spans="1:68" x14ac:dyDescent="0.2">
      <c r="A24" s="208" t="s">
        <v>193</v>
      </c>
      <c r="B24" s="71">
        <v>10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44">
        <f>SUM(B24:N24)</f>
        <v>10</v>
      </c>
    </row>
    <row r="25" spans="1:68" x14ac:dyDescent="0.2">
      <c r="A25" s="209" t="s">
        <v>194</v>
      </c>
      <c r="B25" s="6">
        <v>17.2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44">
        <f t="shared" ref="O25:O31" si="2">SUM(B25:N25)</f>
        <v>17.2</v>
      </c>
    </row>
    <row r="26" spans="1:68" x14ac:dyDescent="0.2">
      <c r="A26" s="209" t="s">
        <v>241</v>
      </c>
      <c r="B26" s="6">
        <v>15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244">
        <f t="shared" si="2"/>
        <v>15</v>
      </c>
    </row>
    <row r="27" spans="1:68" x14ac:dyDescent="0.2">
      <c r="A27" s="209" t="s">
        <v>208</v>
      </c>
      <c r="B27" s="6">
        <v>10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244">
        <f t="shared" si="2"/>
        <v>10</v>
      </c>
    </row>
    <row r="28" spans="1:68" s="18" customFormat="1" x14ac:dyDescent="0.2">
      <c r="A28" s="209" t="s">
        <v>195</v>
      </c>
      <c r="B28" s="6">
        <v>38.5</v>
      </c>
      <c r="C28" s="6" t="s">
        <v>231</v>
      </c>
      <c r="D28" s="6"/>
      <c r="E28" s="6"/>
      <c r="F28" s="6"/>
      <c r="G28" s="6" t="s">
        <v>231</v>
      </c>
      <c r="H28" s="6">
        <v>11.4</v>
      </c>
      <c r="I28" s="6"/>
      <c r="J28" s="6"/>
      <c r="K28" s="6"/>
      <c r="L28" s="6"/>
      <c r="M28" s="6"/>
      <c r="N28" s="6"/>
      <c r="O28" s="244">
        <f t="shared" si="2"/>
        <v>49.9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</row>
    <row r="29" spans="1:68" s="18" customFormat="1" x14ac:dyDescent="0.2">
      <c r="A29" s="209" t="s">
        <v>245</v>
      </c>
      <c r="B29" s="6">
        <v>0.9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244">
        <f t="shared" si="2"/>
        <v>0.9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</row>
    <row r="30" spans="1:68" s="18" customFormat="1" x14ac:dyDescent="0.2">
      <c r="A30" s="209" t="s">
        <v>251</v>
      </c>
      <c r="B30" s="6">
        <v>0</v>
      </c>
      <c r="C30" s="6"/>
      <c r="D30" s="6"/>
      <c r="E30" s="6"/>
      <c r="F30" s="6"/>
      <c r="G30" s="6">
        <v>20</v>
      </c>
      <c r="H30" s="6"/>
      <c r="I30" s="6"/>
      <c r="J30" s="6"/>
      <c r="K30" s="6">
        <v>-20</v>
      </c>
      <c r="L30" s="6"/>
      <c r="M30" s="6"/>
      <c r="N30" s="6"/>
      <c r="O30" s="244">
        <f t="shared" si="2"/>
        <v>0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</row>
    <row r="31" spans="1:68" s="18" customFormat="1" x14ac:dyDescent="0.2">
      <c r="A31" s="239" t="s">
        <v>242</v>
      </c>
      <c r="B31" s="6">
        <v>132.6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244">
        <f t="shared" si="2"/>
        <v>132.6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</row>
    <row r="32" spans="1:68" x14ac:dyDescent="0.2">
      <c r="A32" s="206" t="s">
        <v>104</v>
      </c>
      <c r="B32" s="207">
        <f>SUM(B24:B31)</f>
        <v>224.2</v>
      </c>
      <c r="C32" s="207">
        <f>SUM(C24:C31)</f>
        <v>0</v>
      </c>
      <c r="D32" s="207">
        <f>SUM(D24:D31)</f>
        <v>0</v>
      </c>
      <c r="E32" s="207"/>
      <c r="F32" s="207"/>
      <c r="G32" s="207">
        <f>SUM(G24:G31)</f>
        <v>20</v>
      </c>
      <c r="H32" s="207">
        <f>SUM(H24:H31)</f>
        <v>11.4</v>
      </c>
      <c r="I32" s="207"/>
      <c r="J32" s="207"/>
      <c r="K32" s="207">
        <f>SUM(K24:K31)</f>
        <v>-20</v>
      </c>
      <c r="L32" s="207"/>
      <c r="M32" s="207">
        <f>SUM(M24:M31)</f>
        <v>0</v>
      </c>
      <c r="N32" s="207">
        <f>SUM(N24:N31)</f>
        <v>0</v>
      </c>
      <c r="O32" s="249">
        <f>SUM(O24:O31)</f>
        <v>235.6</v>
      </c>
    </row>
    <row r="33" spans="1:68" ht="39.75" customHeight="1" x14ac:dyDescent="0.2"/>
    <row r="34" spans="1:68" x14ac:dyDescent="0.2">
      <c r="A34" s="203"/>
      <c r="B34" s="204" t="s">
        <v>197</v>
      </c>
      <c r="C34" s="204"/>
      <c r="D34" s="204"/>
      <c r="E34" s="204"/>
      <c r="F34" s="204"/>
      <c r="G34" s="204"/>
      <c r="H34" s="204"/>
      <c r="I34" s="204"/>
      <c r="J34" s="204"/>
      <c r="K34" s="204">
        <v>2001</v>
      </c>
      <c r="L34" s="204"/>
      <c r="M34" s="204">
        <f>M22</f>
        <v>2001</v>
      </c>
      <c r="N34" s="204">
        <f>N22</f>
        <v>2001</v>
      </c>
      <c r="O34" s="204" t="s">
        <v>199</v>
      </c>
    </row>
    <row r="35" spans="1:68" x14ac:dyDescent="0.2">
      <c r="A35" s="211" t="s">
        <v>203</v>
      </c>
      <c r="B35" s="215">
        <v>36889</v>
      </c>
      <c r="C35" s="215"/>
      <c r="D35" s="215"/>
      <c r="E35" s="215"/>
      <c r="F35" s="247"/>
      <c r="G35" s="247"/>
      <c r="H35" s="247"/>
      <c r="I35" s="247"/>
      <c r="J35" s="247"/>
      <c r="K35" s="247">
        <v>36955</v>
      </c>
      <c r="L35" s="247"/>
      <c r="M35" s="247">
        <f>M23</f>
        <v>36978</v>
      </c>
      <c r="N35" s="247">
        <f>N23</f>
        <v>36980</v>
      </c>
      <c r="O35" s="252" t="s">
        <v>200</v>
      </c>
    </row>
    <row r="36" spans="1:68" x14ac:dyDescent="0.2">
      <c r="A36" s="208" t="s">
        <v>187</v>
      </c>
      <c r="B36" s="71">
        <v>2.1</v>
      </c>
      <c r="C36" s="71"/>
      <c r="D36" s="71"/>
      <c r="E36" s="71"/>
      <c r="F36" s="6"/>
      <c r="G36" s="6"/>
      <c r="H36" s="6"/>
      <c r="I36" s="6"/>
      <c r="J36" s="6"/>
      <c r="K36" s="6">
        <f>1+2.7</f>
        <v>3.7</v>
      </c>
      <c r="L36" s="6"/>
      <c r="M36" s="6"/>
      <c r="N36" s="6"/>
      <c r="O36" s="244">
        <f t="shared" ref="O36:O41" si="3">SUM(B36:N36)</f>
        <v>5.8000000000000007</v>
      </c>
    </row>
    <row r="37" spans="1:68" x14ac:dyDescent="0.2">
      <c r="A37" s="209" t="s">
        <v>188</v>
      </c>
      <c r="B37" s="6">
        <v>-0.7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244">
        <f t="shared" si="3"/>
        <v>-0.7</v>
      </c>
    </row>
    <row r="38" spans="1:68" x14ac:dyDescent="0.2">
      <c r="A38" s="209" t="s">
        <v>212</v>
      </c>
      <c r="B38" s="6">
        <v>2.9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244">
        <f t="shared" si="3"/>
        <v>2.9</v>
      </c>
    </row>
    <row r="39" spans="1:68" x14ac:dyDescent="0.2">
      <c r="A39" s="209" t="s">
        <v>260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>
        <v>26.2</v>
      </c>
      <c r="N39" s="6"/>
      <c r="O39" s="244">
        <f t="shared" si="3"/>
        <v>26.2</v>
      </c>
    </row>
    <row r="40" spans="1:68" x14ac:dyDescent="0.2">
      <c r="A40" s="209" t="s">
        <v>201</v>
      </c>
      <c r="B40" s="6">
        <v>90.9</v>
      </c>
      <c r="C40" s="6"/>
      <c r="D40" s="6"/>
      <c r="E40" s="6"/>
      <c r="F40" s="6"/>
      <c r="G40" s="6"/>
      <c r="H40" s="6"/>
      <c r="I40" s="6"/>
      <c r="J40" s="6"/>
      <c r="K40" s="6">
        <v>-1</v>
      </c>
      <c r="L40" s="6"/>
      <c r="M40" s="6"/>
      <c r="N40" s="6"/>
      <c r="O40" s="244">
        <f t="shared" si="3"/>
        <v>89.9</v>
      </c>
    </row>
    <row r="41" spans="1:68" x14ac:dyDescent="0.2">
      <c r="A41" s="209" t="s">
        <v>234</v>
      </c>
      <c r="B41" s="6">
        <v>1.4</v>
      </c>
      <c r="C41" s="5"/>
      <c r="D41" s="5"/>
      <c r="E41" s="5"/>
      <c r="F41" s="5"/>
      <c r="G41" s="5"/>
      <c r="H41" s="5"/>
      <c r="I41" s="5"/>
      <c r="J41" s="5"/>
      <c r="K41" s="5">
        <v>-0.7</v>
      </c>
      <c r="L41" s="5"/>
      <c r="M41" s="5"/>
      <c r="N41" s="5"/>
      <c r="O41" s="244">
        <f t="shared" si="3"/>
        <v>0.7</v>
      </c>
    </row>
    <row r="42" spans="1:68" x14ac:dyDescent="0.2">
      <c r="A42" s="206" t="s">
        <v>103</v>
      </c>
      <c r="B42" s="207">
        <f>SUM(B36:B41)</f>
        <v>96.600000000000009</v>
      </c>
      <c r="C42" s="248"/>
      <c r="D42" s="248"/>
      <c r="E42" s="248"/>
      <c r="F42" s="248"/>
      <c r="G42" s="248"/>
      <c r="H42" s="248"/>
      <c r="I42" s="248"/>
      <c r="J42" s="248"/>
      <c r="K42" s="207">
        <f>SUM(K36:K41)</f>
        <v>2</v>
      </c>
      <c r="L42" s="248"/>
      <c r="M42" s="248"/>
      <c r="N42" s="248"/>
      <c r="O42" s="251">
        <f>SUM(O36:O41)</f>
        <v>124.80000000000001</v>
      </c>
    </row>
    <row r="43" spans="1:68" ht="30" customHeight="1" x14ac:dyDescent="0.2"/>
    <row r="44" spans="1:68" s="212" customFormat="1" ht="15.75" x14ac:dyDescent="0.25">
      <c r="A44" s="250"/>
      <c r="B44" s="25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46">
        <f>+O42+O32+O20+O15</f>
        <v>969.5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</row>
  </sheetData>
  <phoneticPr fontId="0" type="noConversion"/>
  <pageMargins left="0.25" right="0.25" top="0.5" bottom="0.5" header="0.5" footer="0.5"/>
  <pageSetup scale="8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workbookViewId="0">
      <selection activeCell="F1" sqref="F1:G1"/>
    </sheetView>
  </sheetViews>
  <sheetFormatPr defaultRowHeight="12.75" x14ac:dyDescent="0.2"/>
  <cols>
    <col min="1" max="1" width="30.7109375" style="59" customWidth="1"/>
    <col min="2" max="2" width="11.7109375" style="59" customWidth="1"/>
    <col min="3" max="3" width="10.7109375" style="59" customWidth="1"/>
    <col min="4" max="7" width="11.7109375" style="59" customWidth="1"/>
    <col min="8" max="8" width="12.28515625" style="59" hidden="1" customWidth="1"/>
    <col min="9" max="16384" width="9.140625" style="59"/>
  </cols>
  <sheetData>
    <row r="1" spans="1:8" s="79" customFormat="1" ht="18" x14ac:dyDescent="0.25">
      <c r="A1" s="79" t="s">
        <v>50</v>
      </c>
      <c r="E1" s="86" t="s">
        <v>51</v>
      </c>
      <c r="F1" s="263">
        <f ca="1">+Forecast!T1</f>
        <v>37040</v>
      </c>
      <c r="G1" s="263"/>
      <c r="H1" s="85"/>
    </row>
    <row r="2" spans="1:8" ht="9.75" customHeight="1" x14ac:dyDescent="0.2"/>
    <row r="3" spans="1:8" ht="15.75" x14ac:dyDescent="0.25">
      <c r="A3" s="146" t="s">
        <v>52</v>
      </c>
      <c r="B3" s="160" t="s">
        <v>168</v>
      </c>
      <c r="C3" s="146"/>
      <c r="D3" s="84"/>
      <c r="E3" s="147" t="s">
        <v>29</v>
      </c>
      <c r="F3" s="147" t="s">
        <v>53</v>
      </c>
      <c r="G3" s="147" t="s">
        <v>54</v>
      </c>
    </row>
    <row r="4" spans="1:8" ht="12" customHeight="1" x14ac:dyDescent="0.2">
      <c r="A4" s="81" t="s">
        <v>224</v>
      </c>
      <c r="B4" s="63"/>
      <c r="C4" s="155">
        <v>36798</v>
      </c>
      <c r="D4" s="63" t="s">
        <v>226</v>
      </c>
      <c r="E4" s="71">
        <v>5.5</v>
      </c>
      <c r="F4" s="71">
        <v>5.5</v>
      </c>
      <c r="G4" s="72">
        <f t="shared" ref="G4:G15" si="0">+E4-F4</f>
        <v>0</v>
      </c>
      <c r="H4" s="59" t="s">
        <v>192</v>
      </c>
    </row>
    <row r="5" spans="1:8" ht="12" customHeight="1" x14ac:dyDescent="0.2">
      <c r="A5" s="82" t="s">
        <v>225</v>
      </c>
      <c r="B5" s="65"/>
      <c r="C5" s="156">
        <v>36798</v>
      </c>
      <c r="D5" s="65" t="s">
        <v>226</v>
      </c>
      <c r="E5" s="6">
        <v>1.2</v>
      </c>
      <c r="F5" s="6">
        <v>1.2</v>
      </c>
      <c r="G5" s="73">
        <f>+E5-F5</f>
        <v>0</v>
      </c>
    </row>
    <row r="6" spans="1:8" ht="12" customHeight="1" x14ac:dyDescent="0.2">
      <c r="A6" s="82" t="s">
        <v>209</v>
      </c>
      <c r="B6" s="65"/>
      <c r="C6" s="156">
        <v>36798</v>
      </c>
      <c r="D6" s="65" t="s">
        <v>58</v>
      </c>
      <c r="E6" s="6">
        <v>-75</v>
      </c>
      <c r="F6" s="6"/>
      <c r="G6" s="73">
        <f>+E6-F6</f>
        <v>-75</v>
      </c>
    </row>
    <row r="7" spans="1:8" ht="12" customHeight="1" x14ac:dyDescent="0.2">
      <c r="A7" s="82" t="s">
        <v>209</v>
      </c>
      <c r="B7" s="65"/>
      <c r="C7" s="156">
        <v>36798</v>
      </c>
      <c r="D7" s="65" t="s">
        <v>157</v>
      </c>
      <c r="E7" s="6">
        <v>-38</v>
      </c>
      <c r="F7" s="6"/>
      <c r="G7" s="73">
        <f t="shared" si="0"/>
        <v>-38</v>
      </c>
    </row>
    <row r="8" spans="1:8" ht="12" customHeight="1" x14ac:dyDescent="0.2">
      <c r="A8" s="82" t="s">
        <v>209</v>
      </c>
      <c r="B8" s="65"/>
      <c r="C8" s="156">
        <v>36795</v>
      </c>
      <c r="D8" s="65" t="s">
        <v>191</v>
      </c>
      <c r="E8" s="6">
        <v>-34.200000000000003</v>
      </c>
      <c r="F8" s="6"/>
      <c r="G8" s="73">
        <f>+E8-F8</f>
        <v>-34.200000000000003</v>
      </c>
    </row>
    <row r="9" spans="1:8" ht="12" customHeight="1" x14ac:dyDescent="0.2">
      <c r="A9" s="82" t="s">
        <v>159</v>
      </c>
      <c r="B9" s="65"/>
      <c r="C9" s="156">
        <v>36774</v>
      </c>
      <c r="D9" s="65" t="s">
        <v>158</v>
      </c>
      <c r="E9" s="6">
        <v>-45</v>
      </c>
      <c r="F9" s="6"/>
      <c r="G9" s="73">
        <f>+E9-F9</f>
        <v>-45</v>
      </c>
      <c r="H9" s="59" t="s">
        <v>192</v>
      </c>
    </row>
    <row r="10" spans="1:8" ht="12" customHeight="1" x14ac:dyDescent="0.2">
      <c r="A10" s="82" t="s">
        <v>159</v>
      </c>
      <c r="B10" s="65"/>
      <c r="C10" s="156">
        <v>36774</v>
      </c>
      <c r="D10" s="65" t="s">
        <v>157</v>
      </c>
      <c r="E10" s="6">
        <v>-15</v>
      </c>
      <c r="F10" s="6"/>
      <c r="G10" s="73">
        <f t="shared" si="0"/>
        <v>-15</v>
      </c>
      <c r="H10" s="59" t="s">
        <v>189</v>
      </c>
    </row>
    <row r="11" spans="1:8" ht="12" customHeight="1" x14ac:dyDescent="0.2">
      <c r="A11" s="82" t="s">
        <v>159</v>
      </c>
      <c r="B11" s="65"/>
      <c r="C11" s="156">
        <v>36770</v>
      </c>
      <c r="D11" s="65" t="s">
        <v>157</v>
      </c>
      <c r="E11" s="6">
        <v>-15</v>
      </c>
      <c r="F11" s="6"/>
      <c r="G11" s="73">
        <f t="shared" si="0"/>
        <v>-15</v>
      </c>
      <c r="H11" s="59" t="s">
        <v>189</v>
      </c>
    </row>
    <row r="12" spans="1:8" ht="12" customHeight="1" x14ac:dyDescent="0.2">
      <c r="A12" s="82" t="s">
        <v>159</v>
      </c>
      <c r="B12" s="65"/>
      <c r="C12" s="156">
        <v>36768</v>
      </c>
      <c r="D12" s="65" t="s">
        <v>158</v>
      </c>
      <c r="E12" s="6">
        <v>-40</v>
      </c>
      <c r="F12" s="6"/>
      <c r="G12" s="73">
        <f t="shared" si="0"/>
        <v>-40</v>
      </c>
      <c r="H12" s="59" t="s">
        <v>192</v>
      </c>
    </row>
    <row r="13" spans="1:8" ht="12" customHeight="1" x14ac:dyDescent="0.2">
      <c r="A13" s="82" t="s">
        <v>159</v>
      </c>
      <c r="B13" s="65"/>
      <c r="C13" s="156">
        <v>36768</v>
      </c>
      <c r="D13" s="65" t="s">
        <v>157</v>
      </c>
      <c r="E13" s="6">
        <v>40</v>
      </c>
      <c r="F13" s="6"/>
      <c r="G13" s="73">
        <f t="shared" si="0"/>
        <v>40</v>
      </c>
      <c r="H13" s="59" t="s">
        <v>189</v>
      </c>
    </row>
    <row r="14" spans="1:8" ht="12" customHeight="1" x14ac:dyDescent="0.2">
      <c r="A14" s="82" t="s">
        <v>159</v>
      </c>
      <c r="B14" s="65"/>
      <c r="C14" s="156">
        <v>36766</v>
      </c>
      <c r="D14" s="65" t="s">
        <v>158</v>
      </c>
      <c r="E14" s="6">
        <v>25</v>
      </c>
      <c r="F14" s="6"/>
      <c r="G14" s="73">
        <f t="shared" si="0"/>
        <v>25</v>
      </c>
      <c r="H14" s="59" t="s">
        <v>192</v>
      </c>
    </row>
    <row r="15" spans="1:8" ht="12" customHeight="1" x14ac:dyDescent="0.2">
      <c r="A15" s="82" t="s">
        <v>159</v>
      </c>
      <c r="B15" s="65"/>
      <c r="C15" s="156">
        <v>36763</v>
      </c>
      <c r="D15" s="65" t="s">
        <v>191</v>
      </c>
      <c r="E15" s="6">
        <v>50</v>
      </c>
      <c r="F15" s="6"/>
      <c r="G15" s="73">
        <f t="shared" si="0"/>
        <v>50</v>
      </c>
      <c r="H15" s="59" t="s">
        <v>190</v>
      </c>
    </row>
    <row r="16" spans="1:8" ht="12" customHeight="1" x14ac:dyDescent="0.2">
      <c r="A16" s="82" t="s">
        <v>159</v>
      </c>
      <c r="B16" s="65"/>
      <c r="C16" s="156">
        <v>36763</v>
      </c>
      <c r="D16" s="65" t="s">
        <v>158</v>
      </c>
      <c r="E16" s="6">
        <v>25</v>
      </c>
      <c r="F16" s="6"/>
      <c r="G16" s="73">
        <f>+E16-+F16</f>
        <v>25</v>
      </c>
      <c r="H16" s="59" t="s">
        <v>192</v>
      </c>
    </row>
    <row r="17" spans="1:8" ht="12" customHeight="1" x14ac:dyDescent="0.2">
      <c r="A17" s="82" t="s">
        <v>159</v>
      </c>
      <c r="B17" s="65"/>
      <c r="C17" s="156">
        <v>36763</v>
      </c>
      <c r="D17" s="65" t="s">
        <v>157</v>
      </c>
      <c r="E17" s="6">
        <v>25</v>
      </c>
      <c r="F17" s="6"/>
      <c r="G17" s="73">
        <f>+E17-F17</f>
        <v>25</v>
      </c>
      <c r="H17" s="59" t="s">
        <v>189</v>
      </c>
    </row>
    <row r="18" spans="1:8" ht="12" customHeight="1" x14ac:dyDescent="0.2">
      <c r="A18" s="82" t="s">
        <v>159</v>
      </c>
      <c r="B18" s="65"/>
      <c r="C18" s="156">
        <v>36762</v>
      </c>
      <c r="D18" s="65" t="s">
        <v>191</v>
      </c>
      <c r="E18" s="6">
        <v>35</v>
      </c>
      <c r="F18" s="6"/>
      <c r="G18" s="73">
        <f>+E18-+F18</f>
        <v>35</v>
      </c>
      <c r="H18" s="59" t="s">
        <v>190</v>
      </c>
    </row>
    <row r="19" spans="1:8" ht="12" customHeight="1" x14ac:dyDescent="0.2">
      <c r="A19" s="82" t="s">
        <v>159</v>
      </c>
      <c r="B19" s="65"/>
      <c r="C19" s="156">
        <v>36761</v>
      </c>
      <c r="D19" s="65" t="s">
        <v>158</v>
      </c>
      <c r="E19" s="6">
        <v>35</v>
      </c>
      <c r="F19" s="6"/>
      <c r="G19" s="73">
        <f>+E19-+F19</f>
        <v>35</v>
      </c>
      <c r="H19" s="59" t="s">
        <v>192</v>
      </c>
    </row>
    <row r="20" spans="1:8" ht="12" customHeight="1" x14ac:dyDescent="0.2">
      <c r="A20" s="82" t="s">
        <v>81</v>
      </c>
      <c r="B20" s="65"/>
      <c r="C20" s="156">
        <v>36759</v>
      </c>
      <c r="D20" s="65" t="s">
        <v>58</v>
      </c>
      <c r="E20" s="6">
        <v>15</v>
      </c>
      <c r="F20" s="6"/>
      <c r="G20" s="73">
        <f>+E20-+F20</f>
        <v>15</v>
      </c>
    </row>
    <row r="21" spans="1:8" ht="12" customHeight="1" x14ac:dyDescent="0.2">
      <c r="A21" s="82" t="s">
        <v>82</v>
      </c>
      <c r="B21" s="65"/>
      <c r="C21" s="156">
        <v>36759</v>
      </c>
      <c r="D21" s="65" t="s">
        <v>58</v>
      </c>
      <c r="E21" s="6">
        <v>15</v>
      </c>
      <c r="F21" s="6">
        <v>20</v>
      </c>
      <c r="G21" s="73">
        <f>+E21-F21</f>
        <v>-5</v>
      </c>
    </row>
    <row r="22" spans="1:8" ht="12" customHeight="1" x14ac:dyDescent="0.2">
      <c r="A22" s="82" t="s">
        <v>83</v>
      </c>
      <c r="B22" s="65"/>
      <c r="C22" s="156">
        <v>36759</v>
      </c>
      <c r="D22" s="65" t="s">
        <v>58</v>
      </c>
      <c r="E22" s="6">
        <v>15</v>
      </c>
      <c r="F22" s="6"/>
      <c r="G22" s="73">
        <f>+E22-F22</f>
        <v>15</v>
      </c>
    </row>
    <row r="23" spans="1:8" ht="12" customHeight="1" x14ac:dyDescent="0.2">
      <c r="A23" s="82" t="s">
        <v>159</v>
      </c>
      <c r="B23" s="65"/>
      <c r="C23" s="156">
        <v>36759</v>
      </c>
      <c r="D23" s="65" t="s">
        <v>157</v>
      </c>
      <c r="E23" s="6">
        <v>50</v>
      </c>
      <c r="F23" s="6"/>
      <c r="G23" s="73">
        <f>+E23-+F23</f>
        <v>50</v>
      </c>
      <c r="H23" s="59" t="s">
        <v>189</v>
      </c>
    </row>
    <row r="24" spans="1:8" ht="12" customHeight="1" x14ac:dyDescent="0.2">
      <c r="A24" s="82" t="s">
        <v>84</v>
      </c>
      <c r="B24" s="65"/>
      <c r="C24" s="156">
        <v>36749</v>
      </c>
      <c r="D24" s="65" t="s">
        <v>58</v>
      </c>
      <c r="E24" s="6">
        <v>10</v>
      </c>
      <c r="F24" s="6">
        <v>10</v>
      </c>
      <c r="G24" s="73">
        <f>+E24-F24</f>
        <v>0</v>
      </c>
    </row>
    <row r="25" spans="1:8" ht="12" customHeight="1" x14ac:dyDescent="0.2">
      <c r="A25" s="82" t="s">
        <v>56</v>
      </c>
      <c r="B25" s="65"/>
      <c r="C25" s="156">
        <v>36746</v>
      </c>
      <c r="D25" s="65" t="s">
        <v>58</v>
      </c>
      <c r="E25" s="6">
        <v>10</v>
      </c>
      <c r="F25" s="6"/>
      <c r="G25" s="73">
        <f>+E25-F25</f>
        <v>10</v>
      </c>
    </row>
    <row r="26" spans="1:8" ht="12" customHeight="1" x14ac:dyDescent="0.2">
      <c r="A26" s="82" t="s">
        <v>81</v>
      </c>
      <c r="B26" s="65"/>
      <c r="C26" s="156">
        <v>36745</v>
      </c>
      <c r="D26" s="65" t="s">
        <v>58</v>
      </c>
      <c r="E26" s="6">
        <v>10</v>
      </c>
      <c r="F26" s="6"/>
      <c r="G26" s="73">
        <f>+E26-+F26</f>
        <v>10</v>
      </c>
    </row>
    <row r="27" spans="1:8" ht="12" customHeight="1" x14ac:dyDescent="0.2">
      <c r="A27" s="82" t="s">
        <v>140</v>
      </c>
      <c r="B27" s="65"/>
      <c r="E27" s="6"/>
      <c r="F27" s="6">
        <v>20</v>
      </c>
      <c r="G27" s="73">
        <f>+E27-+F27</f>
        <v>-20</v>
      </c>
    </row>
    <row r="28" spans="1:8" ht="12" customHeight="1" x14ac:dyDescent="0.2">
      <c r="A28" s="82" t="s">
        <v>85</v>
      </c>
      <c r="B28" s="6">
        <f>+E28</f>
        <v>3.2</v>
      </c>
      <c r="C28" s="156"/>
      <c r="D28" s="65" t="s">
        <v>59</v>
      </c>
      <c r="E28" s="6">
        <v>3.2</v>
      </c>
      <c r="F28" s="6">
        <v>3.2</v>
      </c>
      <c r="G28" s="73">
        <f>+E28-F28</f>
        <v>0</v>
      </c>
      <c r="H28" s="59" t="s">
        <v>185</v>
      </c>
    </row>
    <row r="29" spans="1:8" ht="12" customHeight="1" x14ac:dyDescent="0.2">
      <c r="A29" s="82" t="s">
        <v>62</v>
      </c>
      <c r="B29" s="6">
        <f>+E29</f>
        <v>1.1000000000000001</v>
      </c>
      <c r="C29" s="156"/>
      <c r="D29" s="65" t="s">
        <v>61</v>
      </c>
      <c r="E29" s="6">
        <v>1.1000000000000001</v>
      </c>
      <c r="F29" s="6">
        <v>1.1000000000000001</v>
      </c>
      <c r="G29" s="73">
        <f>+E29-F29</f>
        <v>0</v>
      </c>
      <c r="H29" s="59" t="s">
        <v>186</v>
      </c>
    </row>
    <row r="30" spans="1:8" ht="12" customHeight="1" x14ac:dyDescent="0.2">
      <c r="A30" s="82" t="s">
        <v>57</v>
      </c>
      <c r="B30" s="6">
        <f>+E30</f>
        <v>0.2</v>
      </c>
      <c r="C30" s="156"/>
      <c r="D30" s="65" t="s">
        <v>59</v>
      </c>
      <c r="E30" s="6">
        <v>0.2</v>
      </c>
      <c r="F30" s="6">
        <v>0.9</v>
      </c>
      <c r="G30" s="73">
        <f>+E30-F30</f>
        <v>-0.7</v>
      </c>
      <c r="H30" s="59" t="s">
        <v>185</v>
      </c>
    </row>
    <row r="31" spans="1:8" ht="12" customHeight="1" x14ac:dyDescent="0.2">
      <c r="A31" s="82" t="s">
        <v>55</v>
      </c>
      <c r="B31" s="6"/>
      <c r="C31" s="156"/>
      <c r="D31" s="65" t="s">
        <v>14</v>
      </c>
      <c r="E31" s="6">
        <v>0.5</v>
      </c>
      <c r="F31" s="6">
        <v>0.5</v>
      </c>
      <c r="G31" s="73">
        <f>+E31-F31</f>
        <v>0</v>
      </c>
    </row>
    <row r="32" spans="1:8" ht="12" customHeight="1" x14ac:dyDescent="0.2">
      <c r="A32" s="82" t="s">
        <v>86</v>
      </c>
      <c r="B32" s="6">
        <v>0.7</v>
      </c>
      <c r="C32" s="156"/>
      <c r="D32" s="65" t="s">
        <v>60</v>
      </c>
      <c r="E32" s="6">
        <v>1.2</v>
      </c>
      <c r="F32" s="6">
        <v>0.9</v>
      </c>
      <c r="G32" s="73">
        <f>+E32-F32</f>
        <v>0.29999999999999993</v>
      </c>
    </row>
    <row r="33" spans="1:8" x14ac:dyDescent="0.2">
      <c r="A33" s="67" t="s">
        <v>102</v>
      </c>
      <c r="B33" s="75">
        <f>SUM(B4:B32)</f>
        <v>5.2000000000000011</v>
      </c>
      <c r="C33" s="68"/>
      <c r="D33" s="68"/>
      <c r="E33" s="75">
        <f>SUM(E4:E32)</f>
        <v>110.7</v>
      </c>
      <c r="F33" s="75">
        <f>SUM(F4:F32)</f>
        <v>63.300000000000004</v>
      </c>
      <c r="G33" s="76">
        <f>SUM(G4:G32)</f>
        <v>47.400000000000006</v>
      </c>
    </row>
    <row r="34" spans="1:8" ht="12" customHeight="1" x14ac:dyDescent="0.2">
      <c r="A34" s="81" t="s">
        <v>72</v>
      </c>
      <c r="B34" s="71">
        <v>10.6</v>
      </c>
      <c r="C34" s="63"/>
      <c r="D34" s="63"/>
      <c r="E34" s="71">
        <v>90.9</v>
      </c>
      <c r="F34" s="71">
        <v>90.9</v>
      </c>
      <c r="G34" s="72">
        <f>+E34-+F34</f>
        <v>0</v>
      </c>
    </row>
    <row r="35" spans="1:8" ht="12" customHeight="1" x14ac:dyDescent="0.2">
      <c r="A35" s="82" t="s">
        <v>172</v>
      </c>
      <c r="B35" s="6">
        <v>8.5</v>
      </c>
      <c r="C35" s="65"/>
      <c r="D35" s="65"/>
      <c r="E35" s="6"/>
      <c r="F35" s="6"/>
      <c r="G35" s="73">
        <f t="shared" ref="G35:G41" si="1">+E35-F35</f>
        <v>0</v>
      </c>
    </row>
    <row r="36" spans="1:8" ht="12" customHeight="1" x14ac:dyDescent="0.2">
      <c r="A36" s="82" t="s">
        <v>170</v>
      </c>
      <c r="B36" s="6">
        <v>2.2000000000000002</v>
      </c>
      <c r="C36" s="65"/>
      <c r="D36" s="65"/>
      <c r="E36" s="6"/>
      <c r="F36" s="6"/>
      <c r="G36" s="73">
        <f t="shared" si="1"/>
        <v>0</v>
      </c>
    </row>
    <row r="37" spans="1:8" ht="12" customHeight="1" x14ac:dyDescent="0.2">
      <c r="A37" s="82" t="s">
        <v>174</v>
      </c>
      <c r="B37" s="6"/>
      <c r="C37" s="65"/>
      <c r="D37" s="65"/>
      <c r="E37" s="6"/>
      <c r="F37" s="6"/>
      <c r="G37" s="73">
        <f t="shared" si="1"/>
        <v>0</v>
      </c>
    </row>
    <row r="38" spans="1:8" ht="12" customHeight="1" x14ac:dyDescent="0.2">
      <c r="A38" s="82" t="s">
        <v>175</v>
      </c>
      <c r="B38" s="6"/>
      <c r="C38" s="65"/>
      <c r="D38" s="65"/>
      <c r="E38" s="6"/>
      <c r="F38" s="6">
        <v>9</v>
      </c>
      <c r="G38" s="73">
        <f t="shared" si="1"/>
        <v>-9</v>
      </c>
    </row>
    <row r="39" spans="1:8" ht="12" customHeight="1" x14ac:dyDescent="0.2">
      <c r="A39" s="82" t="s">
        <v>63</v>
      </c>
      <c r="B39" s="6">
        <f>+E39</f>
        <v>2.1</v>
      </c>
      <c r="C39" s="65"/>
      <c r="D39" s="65"/>
      <c r="E39" s="6">
        <v>2.1</v>
      </c>
      <c r="F39" s="6">
        <v>2.1</v>
      </c>
      <c r="G39" s="73">
        <f t="shared" si="1"/>
        <v>0</v>
      </c>
      <c r="H39" s="59" t="s">
        <v>187</v>
      </c>
    </row>
    <row r="40" spans="1:8" ht="12" customHeight="1" x14ac:dyDescent="0.2">
      <c r="A40" s="82" t="s">
        <v>171</v>
      </c>
      <c r="B40" s="6">
        <v>1.4</v>
      </c>
      <c r="C40" s="65"/>
      <c r="D40" s="65"/>
      <c r="E40" s="6"/>
      <c r="F40" s="6"/>
      <c r="G40" s="73">
        <f t="shared" si="1"/>
        <v>0</v>
      </c>
    </row>
    <row r="41" spans="1:8" ht="12" customHeight="1" x14ac:dyDescent="0.2">
      <c r="A41" s="82" t="s">
        <v>65</v>
      </c>
      <c r="B41" s="6">
        <f>+E41</f>
        <v>0.7</v>
      </c>
      <c r="C41" s="65"/>
      <c r="D41" s="65"/>
      <c r="E41" s="6">
        <v>0.7</v>
      </c>
      <c r="F41" s="6">
        <v>0.7</v>
      </c>
      <c r="G41" s="73">
        <f t="shared" si="1"/>
        <v>0</v>
      </c>
    </row>
    <row r="42" spans="1:8" x14ac:dyDescent="0.2">
      <c r="A42" s="67" t="s">
        <v>103</v>
      </c>
      <c r="B42" s="75">
        <f>SUM(B34:B41)</f>
        <v>25.5</v>
      </c>
      <c r="C42" s="68"/>
      <c r="D42" s="68"/>
      <c r="E42" s="75">
        <f>SUM(E34:E41)</f>
        <v>93.7</v>
      </c>
      <c r="F42" s="75">
        <f>SUM(F34:F41)</f>
        <v>102.7</v>
      </c>
      <c r="G42" s="76">
        <f>SUM(G34:G41)</f>
        <v>-9</v>
      </c>
    </row>
    <row r="43" spans="1:8" ht="12" customHeight="1" x14ac:dyDescent="0.2">
      <c r="A43" s="82" t="s">
        <v>139</v>
      </c>
      <c r="B43" s="6"/>
      <c r="C43" s="156">
        <v>36770</v>
      </c>
      <c r="D43" s="65"/>
      <c r="E43" s="6">
        <v>-50</v>
      </c>
      <c r="F43" s="6"/>
      <c r="G43" s="73">
        <f t="shared" ref="G43:G50" si="2">+E43-F43</f>
        <v>-50</v>
      </c>
    </row>
    <row r="44" spans="1:8" ht="12" customHeight="1" x14ac:dyDescent="0.2">
      <c r="A44" s="82" t="s">
        <v>211</v>
      </c>
      <c r="B44" s="6"/>
      <c r="C44" s="156">
        <v>36796</v>
      </c>
      <c r="D44" s="65"/>
      <c r="E44" s="6">
        <v>2.9</v>
      </c>
      <c r="F44" s="6"/>
      <c r="G44" s="73">
        <f t="shared" si="2"/>
        <v>2.9</v>
      </c>
    </row>
    <row r="45" spans="1:8" ht="12" customHeight="1" x14ac:dyDescent="0.2">
      <c r="A45" s="82" t="s">
        <v>110</v>
      </c>
      <c r="B45" s="6"/>
      <c r="C45" s="156">
        <v>36761</v>
      </c>
      <c r="D45" s="65"/>
      <c r="E45" s="6">
        <v>25</v>
      </c>
      <c r="F45" s="6"/>
      <c r="G45" s="73">
        <f t="shared" si="2"/>
        <v>25</v>
      </c>
    </row>
    <row r="46" spans="1:8" ht="12" customHeight="1" x14ac:dyDescent="0.2">
      <c r="A46" s="82" t="s">
        <v>112</v>
      </c>
      <c r="B46" s="6"/>
      <c r="C46" s="156">
        <v>36760</v>
      </c>
      <c r="D46" s="65"/>
      <c r="E46" s="6">
        <v>35</v>
      </c>
      <c r="F46" s="6"/>
      <c r="G46" s="73">
        <f t="shared" si="2"/>
        <v>35</v>
      </c>
    </row>
    <row r="47" spans="1:8" ht="12" customHeight="1" x14ac:dyDescent="0.2">
      <c r="A47" s="82" t="s">
        <v>68</v>
      </c>
      <c r="B47" s="6"/>
      <c r="C47" s="156">
        <v>36759</v>
      </c>
      <c r="E47" s="6">
        <v>60</v>
      </c>
      <c r="F47" s="6"/>
      <c r="G47" s="73">
        <f>+E47-+F47</f>
        <v>60</v>
      </c>
    </row>
    <row r="48" spans="1:8" ht="12" customHeight="1" x14ac:dyDescent="0.2">
      <c r="A48" s="82" t="s">
        <v>169</v>
      </c>
      <c r="B48" s="6">
        <f>+E48</f>
        <v>17.2</v>
      </c>
      <c r="C48" s="65"/>
      <c r="E48" s="6">
        <v>17.2</v>
      </c>
      <c r="F48" s="6"/>
      <c r="G48" s="73">
        <f t="shared" si="2"/>
        <v>17.2</v>
      </c>
      <c r="H48" s="59" t="s">
        <v>194</v>
      </c>
    </row>
    <row r="49" spans="1:8" ht="12" customHeight="1" x14ac:dyDescent="0.2">
      <c r="A49" s="82" t="s">
        <v>87</v>
      </c>
      <c r="B49" s="6">
        <f>+E49</f>
        <v>10</v>
      </c>
      <c r="C49" s="65"/>
      <c r="D49" s="158"/>
      <c r="E49" s="6">
        <v>10</v>
      </c>
      <c r="F49" s="6">
        <v>2</v>
      </c>
      <c r="G49" s="73">
        <f t="shared" si="2"/>
        <v>8</v>
      </c>
      <c r="H49" s="59" t="s">
        <v>193</v>
      </c>
    </row>
    <row r="50" spans="1:8" ht="12" customHeight="1" x14ac:dyDescent="0.2">
      <c r="A50" s="82" t="s">
        <v>66</v>
      </c>
      <c r="B50" s="6">
        <f>+E50</f>
        <v>0.6</v>
      </c>
      <c r="C50" s="65"/>
      <c r="D50" s="65"/>
      <c r="E50" s="6">
        <v>0.6</v>
      </c>
      <c r="F50" s="6">
        <v>0.6</v>
      </c>
      <c r="G50" s="74">
        <f t="shared" si="2"/>
        <v>0</v>
      </c>
      <c r="H50" s="59" t="s">
        <v>195</v>
      </c>
    </row>
    <row r="51" spans="1:8" x14ac:dyDescent="0.2">
      <c r="A51" s="67" t="s">
        <v>104</v>
      </c>
      <c r="B51" s="75">
        <f>SUM(B43:B50)</f>
        <v>27.8</v>
      </c>
      <c r="C51" s="68"/>
      <c r="D51" s="68"/>
      <c r="E51" s="75">
        <f>SUM(E43:E50)</f>
        <v>100.7</v>
      </c>
      <c r="F51" s="75">
        <f>SUM(F43:F50)</f>
        <v>2.6</v>
      </c>
      <c r="G51" s="76">
        <f>SUM(G43:G50)</f>
        <v>98.100000000000009</v>
      </c>
    </row>
    <row r="52" spans="1:8" ht="12" customHeight="1" x14ac:dyDescent="0.2">
      <c r="A52" s="82" t="s">
        <v>69</v>
      </c>
      <c r="B52" s="6">
        <f>+E52</f>
        <v>56</v>
      </c>
      <c r="C52" s="65"/>
      <c r="D52" s="65"/>
      <c r="E52" s="6">
        <v>56</v>
      </c>
      <c r="F52" s="6">
        <v>56</v>
      </c>
      <c r="G52" s="73">
        <f>+E52-F52</f>
        <v>0</v>
      </c>
    </row>
    <row r="53" spans="1:8" s="84" customFormat="1" ht="15.75" x14ac:dyDescent="0.25">
      <c r="A53" s="69" t="s">
        <v>70</v>
      </c>
      <c r="B53" s="148">
        <f>+B52+B51+B42+B33</f>
        <v>114.5</v>
      </c>
      <c r="C53" s="70"/>
      <c r="D53" s="70"/>
      <c r="E53" s="148">
        <f>+E52+E51+E42+E33</f>
        <v>361.09999999999997</v>
      </c>
      <c r="F53" s="148">
        <f>+F52+F51+F42+F33</f>
        <v>224.60000000000002</v>
      </c>
      <c r="G53" s="159">
        <f>+G52+G51+G42+G33</f>
        <v>136.5</v>
      </c>
    </row>
    <row r="54" spans="1:8" ht="9.75" customHeight="1" x14ac:dyDescent="0.2">
      <c r="E54" s="4"/>
      <c r="F54" s="4"/>
      <c r="G54" s="4"/>
    </row>
    <row r="55" spans="1:8" ht="15.75" x14ac:dyDescent="0.25">
      <c r="A55" s="146" t="s">
        <v>71</v>
      </c>
      <c r="B55" s="146"/>
      <c r="C55" s="146"/>
      <c r="E55" s="4"/>
      <c r="F55" s="4"/>
      <c r="G55" s="4"/>
    </row>
    <row r="56" spans="1:8" ht="12" customHeight="1" x14ac:dyDescent="0.2">
      <c r="A56" s="81" t="s">
        <v>74</v>
      </c>
      <c r="B56" s="71">
        <v>63</v>
      </c>
      <c r="C56" s="63"/>
      <c r="D56" s="63"/>
      <c r="E56" s="71">
        <v>103</v>
      </c>
      <c r="F56" s="71">
        <v>103</v>
      </c>
      <c r="G56" s="72">
        <f>+E56-F56</f>
        <v>0</v>
      </c>
    </row>
    <row r="57" spans="1:8" ht="12" customHeight="1" x14ac:dyDescent="0.2">
      <c r="A57" s="82" t="s">
        <v>133</v>
      </c>
      <c r="B57" s="6"/>
      <c r="C57" s="65"/>
      <c r="D57" s="65"/>
      <c r="E57" s="6">
        <v>7</v>
      </c>
      <c r="F57" s="6"/>
      <c r="G57" s="73">
        <f>+E57-F57</f>
        <v>7</v>
      </c>
    </row>
    <row r="58" spans="1:8" ht="12" customHeight="1" x14ac:dyDescent="0.2">
      <c r="A58" s="82" t="s">
        <v>210</v>
      </c>
      <c r="B58" s="6"/>
      <c r="C58" s="65"/>
      <c r="D58" s="65"/>
      <c r="E58" s="6">
        <v>20.7</v>
      </c>
      <c r="F58" s="6"/>
      <c r="G58" s="73">
        <f>+E58-F58</f>
        <v>20.7</v>
      </c>
    </row>
    <row r="59" spans="1:8" ht="12" customHeight="1" x14ac:dyDescent="0.2">
      <c r="A59" s="82" t="s">
        <v>73</v>
      </c>
      <c r="B59" s="6">
        <v>45</v>
      </c>
      <c r="C59" s="65"/>
      <c r="D59" s="65"/>
      <c r="E59" s="6">
        <v>45</v>
      </c>
      <c r="F59" s="6">
        <v>15</v>
      </c>
      <c r="G59" s="73">
        <f>+E59-F59</f>
        <v>30</v>
      </c>
    </row>
    <row r="60" spans="1:8" ht="12" customHeight="1" x14ac:dyDescent="0.2">
      <c r="A60" s="83" t="s">
        <v>35</v>
      </c>
      <c r="B60" s="5">
        <v>13.3</v>
      </c>
      <c r="C60" s="51"/>
      <c r="D60" s="51"/>
      <c r="E60" s="5">
        <v>13.3</v>
      </c>
      <c r="F60" s="5"/>
      <c r="G60" s="74">
        <f>+E60-F60</f>
        <v>13.3</v>
      </c>
    </row>
    <row r="61" spans="1:8" ht="15.75" x14ac:dyDescent="0.25">
      <c r="A61" s="69" t="s">
        <v>75</v>
      </c>
      <c r="B61" s="148">
        <f>SUM(B56:B60)</f>
        <v>121.3</v>
      </c>
      <c r="C61" s="70"/>
      <c r="D61" s="70"/>
      <c r="E61" s="148">
        <f>SUM(E56:E60)</f>
        <v>189</v>
      </c>
      <c r="F61" s="148">
        <f>SUM(F56:F60)</f>
        <v>118</v>
      </c>
      <c r="G61" s="159">
        <f>SUM(G56:G60)</f>
        <v>71</v>
      </c>
    </row>
    <row r="62" spans="1:8" ht="9.75" customHeight="1" x14ac:dyDescent="0.2">
      <c r="E62" s="4"/>
      <c r="F62" s="4"/>
      <c r="G62" s="4"/>
    </row>
    <row r="63" spans="1:8" s="79" customFormat="1" ht="18" x14ac:dyDescent="0.25">
      <c r="A63" s="69" t="s">
        <v>76</v>
      </c>
      <c r="B63" s="148">
        <f>+B61+B53</f>
        <v>235.8</v>
      </c>
      <c r="C63" s="70"/>
      <c r="D63" s="70"/>
      <c r="E63" s="148">
        <f>+E61+E53</f>
        <v>550.09999999999991</v>
      </c>
      <c r="F63" s="148">
        <f>+F61+F53</f>
        <v>342.6</v>
      </c>
      <c r="G63" s="159">
        <f>+G61+G53</f>
        <v>207.5</v>
      </c>
    </row>
    <row r="64" spans="1:8" s="84" customFormat="1" ht="9.75" customHeight="1" x14ac:dyDescent="0.25">
      <c r="E64" s="149"/>
      <c r="F64" s="149"/>
      <c r="G64" s="149"/>
    </row>
    <row r="65" spans="1:7" s="84" customFormat="1" ht="15.75" x14ac:dyDescent="0.25">
      <c r="A65" s="146" t="s">
        <v>142</v>
      </c>
      <c r="B65" s="146"/>
      <c r="C65" s="146"/>
    </row>
    <row r="66" spans="1:7" x14ac:dyDescent="0.2">
      <c r="A66" s="67" t="s">
        <v>167</v>
      </c>
      <c r="B66" s="68"/>
      <c r="C66" s="68"/>
      <c r="D66" s="68"/>
      <c r="E66" s="144">
        <f>+E69-SUM(E67:E68)</f>
        <v>543.39999999999986</v>
      </c>
      <c r="F66" s="144">
        <f>+F69-SUM(F67:F68)</f>
        <v>335.90000000000003</v>
      </c>
      <c r="G66" s="144">
        <f>+G69-SUM(G67:G68)</f>
        <v>207.5</v>
      </c>
    </row>
    <row r="67" spans="1:7" ht="12" customHeight="1" x14ac:dyDescent="0.2">
      <c r="A67" s="82" t="s">
        <v>224</v>
      </c>
      <c r="B67" s="63"/>
      <c r="C67" s="63"/>
      <c r="D67" s="63"/>
      <c r="E67" s="71">
        <v>5.5</v>
      </c>
      <c r="F67" s="71">
        <v>5.5</v>
      </c>
      <c r="G67" s="73">
        <f>+E67-F67</f>
        <v>0</v>
      </c>
    </row>
    <row r="68" spans="1:7" ht="12" customHeight="1" x14ac:dyDescent="0.2">
      <c r="A68" s="82" t="s">
        <v>225</v>
      </c>
      <c r="B68" s="65"/>
      <c r="C68" s="65"/>
      <c r="D68" s="65"/>
      <c r="E68" s="6">
        <v>1.2</v>
      </c>
      <c r="F68" s="6">
        <v>1.2</v>
      </c>
      <c r="G68" s="73">
        <f>+E68-F68</f>
        <v>0</v>
      </c>
    </row>
    <row r="69" spans="1:7" x14ac:dyDescent="0.2">
      <c r="A69" s="67" t="s">
        <v>166</v>
      </c>
      <c r="B69" s="68"/>
      <c r="C69" s="68"/>
      <c r="D69" s="68"/>
      <c r="E69" s="144">
        <f>+E63</f>
        <v>550.09999999999991</v>
      </c>
      <c r="F69" s="144">
        <f>+F63</f>
        <v>342.6</v>
      </c>
      <c r="G69" s="145">
        <f>+G63</f>
        <v>207.5</v>
      </c>
    </row>
    <row r="70" spans="1:7" ht="9.75" customHeight="1" x14ac:dyDescent="0.2"/>
    <row r="71" spans="1:7" ht="15.75" x14ac:dyDescent="0.25">
      <c r="A71" s="146" t="s">
        <v>173</v>
      </c>
    </row>
    <row r="72" spans="1:7" ht="12" customHeight="1" x14ac:dyDescent="0.2">
      <c r="A72" s="81" t="s">
        <v>109</v>
      </c>
      <c r="B72" s="63"/>
      <c r="C72" s="63"/>
      <c r="D72" s="63"/>
      <c r="E72" s="71"/>
      <c r="F72" s="71"/>
      <c r="G72" s="72">
        <v>20.7</v>
      </c>
    </row>
    <row r="73" spans="1:7" ht="12" customHeight="1" x14ac:dyDescent="0.2">
      <c r="A73" s="82" t="s">
        <v>133</v>
      </c>
      <c r="B73" s="65"/>
      <c r="C73" s="65"/>
      <c r="D73" s="65"/>
      <c r="E73" s="6"/>
      <c r="F73" s="6"/>
      <c r="G73" s="73">
        <v>9.5</v>
      </c>
    </row>
    <row r="74" spans="1:7" ht="12" customHeight="1" x14ac:dyDescent="0.2">
      <c r="A74" s="83" t="s">
        <v>132</v>
      </c>
      <c r="B74" s="51"/>
      <c r="C74" s="51"/>
      <c r="D74" s="51"/>
      <c r="E74" s="5"/>
      <c r="F74" s="5"/>
      <c r="G74" s="74">
        <v>4</v>
      </c>
    </row>
    <row r="75" spans="1:7" ht="15.75" x14ac:dyDescent="0.25">
      <c r="A75" s="69" t="s">
        <v>29</v>
      </c>
      <c r="B75" s="70"/>
      <c r="C75" s="70"/>
      <c r="D75" s="70"/>
      <c r="E75" s="148"/>
      <c r="F75" s="148"/>
      <c r="G75" s="159">
        <f>SUM(G72:G74)</f>
        <v>34.200000000000003</v>
      </c>
    </row>
  </sheetData>
  <mergeCells count="1">
    <mergeCell ref="F1:G1"/>
  </mergeCells>
  <phoneticPr fontId="0" type="noConversion"/>
  <pageMargins left="0.25" right="0.25" top="0.25" bottom="0.25" header="0.5" footer="0.5"/>
  <pageSetup scale="7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workbookViewId="0">
      <selection activeCell="A3" sqref="A3"/>
    </sheetView>
  </sheetViews>
  <sheetFormatPr defaultRowHeight="12.75" x14ac:dyDescent="0.2"/>
  <cols>
    <col min="1" max="1" width="52.7109375" customWidth="1"/>
    <col min="2" max="2" width="3.7109375" customWidth="1"/>
    <col min="3" max="3" width="14.7109375" style="218" customWidth="1"/>
    <col min="4" max="4" width="7.7109375" hidden="1" customWidth="1"/>
    <col min="5" max="5" width="14.7109375" hidden="1" customWidth="1"/>
    <col min="6" max="6" width="7.7109375" hidden="1" customWidth="1"/>
    <col min="7" max="7" width="14.7109375" hidden="1" customWidth="1"/>
    <col min="8" max="8" width="3.7109375" customWidth="1"/>
    <col min="9" max="9" width="14.7109375" hidden="1" customWidth="1"/>
    <col min="10" max="10" width="3.42578125" hidden="1" customWidth="1"/>
    <col min="11" max="11" width="10.85546875" hidden="1" customWidth="1"/>
    <col min="12" max="12" width="9.140625" hidden="1" customWidth="1"/>
    <col min="13" max="13" width="13" bestFit="1" customWidth="1"/>
  </cols>
  <sheetData>
    <row r="1" spans="1:14" s="110" customFormat="1" ht="23.25" x14ac:dyDescent="0.35">
      <c r="A1" s="110" t="s">
        <v>115</v>
      </c>
      <c r="C1" s="217"/>
    </row>
    <row r="2" spans="1:14" s="110" customFormat="1" ht="23.25" x14ac:dyDescent="0.35">
      <c r="A2" s="110" t="s">
        <v>246</v>
      </c>
      <c r="C2" s="217"/>
    </row>
    <row r="3" spans="1:14" ht="40.5" customHeight="1" x14ac:dyDescent="0.2"/>
    <row r="4" spans="1:14" ht="15.75" x14ac:dyDescent="0.25">
      <c r="B4" s="264"/>
      <c r="C4" s="264"/>
    </row>
    <row r="5" spans="1:14" s="220" customFormat="1" ht="15.75" x14ac:dyDescent="0.25">
      <c r="A5" s="219" t="s">
        <v>213</v>
      </c>
      <c r="B5" s="219"/>
      <c r="C5" s="236">
        <v>36889</v>
      </c>
      <c r="E5" s="229" t="s">
        <v>222</v>
      </c>
      <c r="F5" s="228"/>
      <c r="G5" s="229" t="s">
        <v>223</v>
      </c>
      <c r="I5" s="237">
        <v>36817</v>
      </c>
      <c r="K5" s="237">
        <v>36836</v>
      </c>
      <c r="M5" s="237">
        <v>36980</v>
      </c>
    </row>
    <row r="6" spans="1:14" x14ac:dyDescent="0.2">
      <c r="A6" s="117" t="s">
        <v>224</v>
      </c>
      <c r="B6" s="118"/>
      <c r="C6" s="223">
        <v>6.2</v>
      </c>
      <c r="I6" s="223">
        <v>5.5</v>
      </c>
      <c r="K6" s="223">
        <v>5.5</v>
      </c>
      <c r="M6" s="223">
        <v>6.2</v>
      </c>
      <c r="N6" s="118"/>
    </row>
    <row r="7" spans="1:14" x14ac:dyDescent="0.2">
      <c r="A7" s="117" t="s">
        <v>214</v>
      </c>
      <c r="B7" s="118"/>
      <c r="C7" s="223">
        <v>3.2</v>
      </c>
      <c r="I7" s="223">
        <v>3.2</v>
      </c>
      <c r="K7" s="223">
        <v>3.2</v>
      </c>
      <c r="M7" s="223">
        <v>3.2</v>
      </c>
      <c r="N7" s="118"/>
    </row>
    <row r="8" spans="1:14" x14ac:dyDescent="0.2">
      <c r="A8" s="117" t="s">
        <v>215</v>
      </c>
      <c r="B8" s="118"/>
      <c r="C8" s="223">
        <v>1.1000000000000001</v>
      </c>
      <c r="I8" s="223">
        <v>1.1000000000000001</v>
      </c>
      <c r="J8" t="s">
        <v>231</v>
      </c>
      <c r="K8" s="223">
        <v>1.1000000000000001</v>
      </c>
      <c r="M8" s="223">
        <v>1.1000000000000001</v>
      </c>
      <c r="N8" s="118"/>
    </row>
    <row r="9" spans="1:14" x14ac:dyDescent="0.2">
      <c r="A9" s="117" t="s">
        <v>216</v>
      </c>
      <c r="B9" s="118"/>
      <c r="C9" s="223">
        <v>0.9</v>
      </c>
      <c r="I9" s="223">
        <v>0.9</v>
      </c>
      <c r="J9" t="s">
        <v>231</v>
      </c>
      <c r="K9" s="223">
        <v>0.9</v>
      </c>
      <c r="M9" s="223">
        <v>0</v>
      </c>
      <c r="N9" s="118"/>
    </row>
    <row r="10" spans="1:14" x14ac:dyDescent="0.2">
      <c r="A10" s="117" t="s">
        <v>217</v>
      </c>
      <c r="C10" s="223">
        <v>2</v>
      </c>
      <c r="I10" s="223">
        <v>0.5</v>
      </c>
      <c r="K10" s="223">
        <f>0.5+1.5</f>
        <v>2</v>
      </c>
      <c r="L10" t="s">
        <v>236</v>
      </c>
      <c r="M10" s="223">
        <v>2</v>
      </c>
    </row>
    <row r="11" spans="1:14" x14ac:dyDescent="0.2">
      <c r="A11" s="117" t="s">
        <v>244</v>
      </c>
      <c r="B11" s="118"/>
      <c r="C11" s="223">
        <v>0</v>
      </c>
      <c r="I11" s="223"/>
      <c r="K11" s="223"/>
      <c r="M11" s="223">
        <v>1.6</v>
      </c>
    </row>
    <row r="12" spans="1:14" x14ac:dyDescent="0.2">
      <c r="A12" s="117" t="s">
        <v>254</v>
      </c>
      <c r="B12" s="118"/>
      <c r="C12" s="223">
        <v>0</v>
      </c>
      <c r="I12" s="223"/>
      <c r="K12" s="223"/>
      <c r="M12" s="223">
        <f>100-100</f>
        <v>0</v>
      </c>
    </row>
    <row r="13" spans="1:14" x14ac:dyDescent="0.2">
      <c r="A13" s="117" t="s">
        <v>261</v>
      </c>
      <c r="B13" s="118"/>
      <c r="C13" s="223">
        <v>0</v>
      </c>
      <c r="I13" s="223"/>
      <c r="K13" s="223"/>
      <c r="M13" s="223">
        <v>3.6</v>
      </c>
    </row>
    <row r="14" spans="1:14" x14ac:dyDescent="0.2">
      <c r="A14" s="117" t="s">
        <v>35</v>
      </c>
      <c r="B14" s="118"/>
      <c r="C14" s="223">
        <v>0</v>
      </c>
      <c r="I14" s="223"/>
      <c r="K14" s="223"/>
      <c r="M14" s="223">
        <v>67</v>
      </c>
    </row>
    <row r="15" spans="1:14" x14ac:dyDescent="0.2">
      <c r="A15" s="117" t="s">
        <v>257</v>
      </c>
      <c r="B15" s="118"/>
      <c r="C15" s="223">
        <v>0</v>
      </c>
      <c r="I15" s="223"/>
      <c r="K15" s="223"/>
      <c r="M15" s="223">
        <v>80</v>
      </c>
    </row>
    <row r="16" spans="1:14" x14ac:dyDescent="0.2">
      <c r="A16" s="117" t="s">
        <v>239</v>
      </c>
      <c r="B16" s="118"/>
      <c r="C16" s="223">
        <f>331.2+30+7.3+12.7</f>
        <v>381.2</v>
      </c>
      <c r="I16" s="223"/>
      <c r="K16" s="223"/>
      <c r="M16" s="223">
        <f>331.2-55+30+7.3+40+12.7-67-80+75-1.9+75</f>
        <v>367.3</v>
      </c>
    </row>
    <row r="17" spans="1:14" x14ac:dyDescent="0.2">
      <c r="A17" s="114" t="s">
        <v>218</v>
      </c>
      <c r="C17" s="235">
        <v>1.2</v>
      </c>
      <c r="I17" s="235">
        <v>1.3</v>
      </c>
      <c r="K17" s="235">
        <f>1.3+0.3-0.4</f>
        <v>1.2000000000000002</v>
      </c>
      <c r="L17" t="s">
        <v>238</v>
      </c>
      <c r="M17" s="235">
        <f>0.4-0.3</f>
        <v>0.10000000000000003</v>
      </c>
    </row>
    <row r="18" spans="1:14" s="220" customFormat="1" ht="15.75" x14ac:dyDescent="0.25">
      <c r="A18" s="224" t="s">
        <v>219</v>
      </c>
      <c r="B18" s="233"/>
      <c r="C18" s="225">
        <f>SUM(C6:C17)</f>
        <v>395.79999999999995</v>
      </c>
      <c r="E18" s="221">
        <f>+'Daily Roll'!E33</f>
        <v>110.7</v>
      </c>
      <c r="F18" s="221"/>
      <c r="G18" s="221">
        <f>+E18-C18</f>
        <v>-285.09999999999997</v>
      </c>
      <c r="I18" s="225">
        <f>SUM(I6:I17)</f>
        <v>12.5</v>
      </c>
      <c r="K18" s="225">
        <f>SUM(K6:K17)</f>
        <v>13.899999999999999</v>
      </c>
      <c r="M18" s="225">
        <f>SUM(M6:M17)</f>
        <v>532.1</v>
      </c>
    </row>
    <row r="19" spans="1:14" x14ac:dyDescent="0.2">
      <c r="A19" s="139" t="s">
        <v>258</v>
      </c>
      <c r="B19" s="129"/>
      <c r="C19" s="222">
        <v>90.9</v>
      </c>
      <c r="E19" s="218"/>
      <c r="F19" s="218"/>
      <c r="G19" s="218"/>
      <c r="I19" s="222">
        <v>90.9</v>
      </c>
      <c r="K19" s="222">
        <v>90.9</v>
      </c>
      <c r="M19" s="222">
        <v>89.9</v>
      </c>
    </row>
    <row r="20" spans="1:14" x14ac:dyDescent="0.2">
      <c r="A20" s="117" t="s">
        <v>258</v>
      </c>
      <c r="B20" s="118"/>
      <c r="C20" s="223">
        <v>90</v>
      </c>
      <c r="E20" s="218"/>
      <c r="F20" s="218"/>
      <c r="G20" s="218"/>
      <c r="I20" s="223">
        <v>90</v>
      </c>
      <c r="K20" s="223">
        <v>90</v>
      </c>
      <c r="M20" s="223">
        <v>90</v>
      </c>
    </row>
    <row r="21" spans="1:14" x14ac:dyDescent="0.2">
      <c r="A21" s="117" t="s">
        <v>169</v>
      </c>
      <c r="B21" s="118"/>
      <c r="C21" s="223">
        <v>17.2</v>
      </c>
      <c r="E21" s="218"/>
      <c r="F21" s="218"/>
      <c r="G21" s="218"/>
      <c r="I21" s="223">
        <v>17.2</v>
      </c>
      <c r="K21" s="223">
        <v>17.2</v>
      </c>
      <c r="M21" s="223">
        <v>17.2</v>
      </c>
    </row>
    <row r="22" spans="1:14" x14ac:dyDescent="0.2">
      <c r="A22" s="117" t="s">
        <v>211</v>
      </c>
      <c r="B22" s="118"/>
      <c r="C22" s="223">
        <v>2.9</v>
      </c>
      <c r="E22" s="218"/>
      <c r="F22" s="218"/>
      <c r="G22" s="218"/>
      <c r="I22" s="223">
        <v>2.9</v>
      </c>
      <c r="K22" s="223">
        <v>2.9</v>
      </c>
      <c r="M22" s="223">
        <v>2.9</v>
      </c>
    </row>
    <row r="23" spans="1:14" x14ac:dyDescent="0.2">
      <c r="A23" s="117" t="s">
        <v>232</v>
      </c>
      <c r="B23" s="118"/>
      <c r="C23" s="223">
        <v>12.1</v>
      </c>
      <c r="E23" s="218"/>
      <c r="F23" s="218"/>
      <c r="G23" s="218"/>
      <c r="I23" s="223">
        <v>12.1</v>
      </c>
      <c r="K23" s="223">
        <v>12.1</v>
      </c>
      <c r="M23" s="223">
        <f>12.1+2.7</f>
        <v>14.8</v>
      </c>
    </row>
    <row r="24" spans="1:14" x14ac:dyDescent="0.2">
      <c r="A24" s="117" t="s">
        <v>233</v>
      </c>
      <c r="B24" s="118"/>
      <c r="C24" s="223">
        <v>47</v>
      </c>
      <c r="E24" s="218"/>
      <c r="F24" s="218"/>
      <c r="G24" s="218"/>
      <c r="I24" s="223">
        <v>47</v>
      </c>
      <c r="K24" s="223">
        <v>47</v>
      </c>
      <c r="M24" s="223">
        <v>47</v>
      </c>
    </row>
    <row r="25" spans="1:14" x14ac:dyDescent="0.2">
      <c r="A25" s="117" t="s">
        <v>228</v>
      </c>
      <c r="B25" s="118"/>
      <c r="C25" s="223">
        <v>5</v>
      </c>
      <c r="E25" s="218"/>
      <c r="F25" s="218"/>
      <c r="G25" s="218"/>
      <c r="I25" s="223">
        <v>5</v>
      </c>
      <c r="K25" s="223">
        <v>5</v>
      </c>
      <c r="M25" s="223">
        <v>5</v>
      </c>
    </row>
    <row r="26" spans="1:14" x14ac:dyDescent="0.2">
      <c r="A26" s="117" t="s">
        <v>229</v>
      </c>
      <c r="B26" s="118"/>
      <c r="C26" s="223">
        <v>3</v>
      </c>
      <c r="E26" s="218"/>
      <c r="F26" s="218"/>
      <c r="G26" s="218"/>
      <c r="I26" s="223">
        <v>3</v>
      </c>
      <c r="K26" s="223">
        <v>3</v>
      </c>
      <c r="M26" s="223">
        <v>3</v>
      </c>
    </row>
    <row r="27" spans="1:14" x14ac:dyDescent="0.2">
      <c r="A27" s="117" t="s">
        <v>230</v>
      </c>
      <c r="B27" s="118"/>
      <c r="C27" s="223">
        <v>2</v>
      </c>
      <c r="E27" s="218"/>
      <c r="F27" s="218"/>
      <c r="G27" s="218"/>
      <c r="I27" s="223">
        <v>2</v>
      </c>
      <c r="K27" s="223">
        <v>2</v>
      </c>
      <c r="M27" s="223">
        <v>2</v>
      </c>
    </row>
    <row r="28" spans="1:14" x14ac:dyDescent="0.2">
      <c r="A28" s="117" t="s">
        <v>65</v>
      </c>
      <c r="B28" s="118"/>
      <c r="C28" s="223">
        <v>0.7</v>
      </c>
      <c r="E28" s="218"/>
      <c r="F28" s="218"/>
      <c r="G28" s="218"/>
      <c r="I28" s="223">
        <v>0.7</v>
      </c>
      <c r="K28" s="223">
        <v>0.7</v>
      </c>
      <c r="M28" s="223">
        <v>0</v>
      </c>
    </row>
    <row r="29" spans="1:14" x14ac:dyDescent="0.2">
      <c r="A29" s="117" t="s">
        <v>220</v>
      </c>
      <c r="B29" s="118"/>
      <c r="C29" s="223">
        <v>0.6</v>
      </c>
      <c r="E29" s="218"/>
      <c r="F29" s="218"/>
      <c r="G29" s="218"/>
      <c r="I29" s="223">
        <v>0.6</v>
      </c>
      <c r="K29" s="223">
        <v>0.6</v>
      </c>
      <c r="M29" s="223">
        <v>0.6</v>
      </c>
    </row>
    <row r="30" spans="1:14" x14ac:dyDescent="0.2">
      <c r="A30" s="117" t="s">
        <v>237</v>
      </c>
      <c r="B30" s="118"/>
      <c r="C30" s="223">
        <v>2.9</v>
      </c>
      <c r="E30" s="218"/>
      <c r="F30" s="218"/>
      <c r="G30" s="218"/>
      <c r="I30" s="223">
        <v>0</v>
      </c>
      <c r="K30" s="223">
        <v>3.4449999999999998</v>
      </c>
      <c r="M30" s="223">
        <v>2.9</v>
      </c>
    </row>
    <row r="31" spans="1:14" x14ac:dyDescent="0.2">
      <c r="A31" s="117" t="s">
        <v>256</v>
      </c>
      <c r="B31" s="118"/>
      <c r="C31" s="223">
        <v>0</v>
      </c>
      <c r="E31" s="218"/>
      <c r="F31" s="218"/>
      <c r="G31" s="218"/>
      <c r="I31" s="223"/>
      <c r="K31" s="223"/>
      <c r="M31" s="223">
        <v>1</v>
      </c>
    </row>
    <row r="32" spans="1:14" x14ac:dyDescent="0.2">
      <c r="A32" s="117" t="s">
        <v>252</v>
      </c>
      <c r="B32" s="118"/>
      <c r="C32" s="223">
        <v>0</v>
      </c>
      <c r="E32" s="218"/>
      <c r="F32" s="218"/>
      <c r="G32" s="218"/>
      <c r="I32" s="223"/>
      <c r="K32" s="223"/>
      <c r="M32" s="223">
        <v>0</v>
      </c>
      <c r="N32" s="230"/>
    </row>
    <row r="33" spans="1:14" x14ac:dyDescent="0.2">
      <c r="A33" s="117" t="s">
        <v>259</v>
      </c>
      <c r="B33" s="118"/>
      <c r="C33" s="223">
        <v>0</v>
      </c>
      <c r="E33" s="218"/>
      <c r="F33" s="218"/>
      <c r="G33" s="218"/>
      <c r="I33" s="223"/>
      <c r="K33" s="223"/>
      <c r="M33" s="223">
        <v>26.2</v>
      </c>
      <c r="N33" s="230"/>
    </row>
    <row r="34" spans="1:14" x14ac:dyDescent="0.2">
      <c r="A34" s="117" t="s">
        <v>253</v>
      </c>
      <c r="B34" s="118"/>
      <c r="C34" s="223">
        <v>0</v>
      </c>
      <c r="E34" s="218"/>
      <c r="F34" s="218"/>
      <c r="G34" s="218"/>
      <c r="I34" s="223"/>
      <c r="K34" s="223"/>
      <c r="M34" s="223">
        <v>11.4</v>
      </c>
      <c r="N34" s="230"/>
    </row>
    <row r="35" spans="1:14" x14ac:dyDescent="0.2">
      <c r="A35" s="117" t="s">
        <v>240</v>
      </c>
      <c r="B35" s="118"/>
      <c r="C35" s="223">
        <v>123.5</v>
      </c>
      <c r="E35" s="218"/>
      <c r="F35" s="218"/>
      <c r="G35" s="218"/>
      <c r="I35" s="223"/>
      <c r="K35" s="223"/>
      <c r="M35" s="223">
        <v>123.5</v>
      </c>
    </row>
    <row r="36" spans="1:14" s="220" customFormat="1" ht="15.75" x14ac:dyDescent="0.25">
      <c r="A36" s="224" t="s">
        <v>221</v>
      </c>
      <c r="B36" s="233"/>
      <c r="C36" s="225">
        <f>SUM(C19:C35)</f>
        <v>397.8</v>
      </c>
      <c r="E36" s="221">
        <f>+'Daily Roll'!E42+'Daily Roll'!E51</f>
        <v>194.4</v>
      </c>
      <c r="F36" s="221"/>
      <c r="G36" s="221">
        <f>+E36-C36</f>
        <v>-203.4</v>
      </c>
      <c r="I36" s="225">
        <f>SUM(I19:I30)</f>
        <v>271.40000000000003</v>
      </c>
      <c r="K36" s="225">
        <f>SUM(K19:K30)</f>
        <v>274.84500000000003</v>
      </c>
      <c r="M36" s="225">
        <f>SUM(M19:M35)</f>
        <v>437.4</v>
      </c>
    </row>
    <row r="37" spans="1:14" s="220" customFormat="1" ht="15" x14ac:dyDescent="0.2">
      <c r="A37" s="254" t="s">
        <v>34</v>
      </c>
      <c r="B37" s="255"/>
      <c r="C37" s="256">
        <v>56</v>
      </c>
      <c r="D37" s="259"/>
      <c r="E37" s="257">
        <f>+'Daily Roll'!E52</f>
        <v>56</v>
      </c>
      <c r="F37" s="257"/>
      <c r="G37" s="257">
        <f>+E37-C37</f>
        <v>0</v>
      </c>
      <c r="H37" s="259"/>
      <c r="I37" s="256">
        <v>56</v>
      </c>
      <c r="J37" s="259"/>
      <c r="K37" s="256">
        <v>56</v>
      </c>
      <c r="L37" s="259"/>
      <c r="M37" s="256">
        <v>0</v>
      </c>
    </row>
    <row r="38" spans="1:14" s="220" customFormat="1" ht="15" x14ac:dyDescent="0.2">
      <c r="A38" s="258" t="s">
        <v>250</v>
      </c>
      <c r="B38" s="259"/>
      <c r="C38" s="260">
        <v>23.4</v>
      </c>
      <c r="E38" s="257"/>
      <c r="F38" s="221"/>
      <c r="G38" s="257"/>
      <c r="I38" s="260"/>
      <c r="K38" s="260"/>
      <c r="M38" s="260">
        <v>0</v>
      </c>
    </row>
    <row r="39" spans="1:14" s="220" customFormat="1" ht="16.5" thickBot="1" x14ac:dyDescent="0.3">
      <c r="A39" s="226" t="s">
        <v>70</v>
      </c>
      <c r="B39" s="234"/>
      <c r="C39" s="227">
        <f>+C37+C36+C18+C38</f>
        <v>872.99999999999989</v>
      </c>
      <c r="E39" s="231">
        <f>SUM(E18:E37)</f>
        <v>361.1</v>
      </c>
      <c r="F39" s="232"/>
      <c r="G39" s="231">
        <f>+E39-C39</f>
        <v>-511.89999999999986</v>
      </c>
      <c r="I39" s="227">
        <f>+I37+I36+I18</f>
        <v>339.90000000000003</v>
      </c>
      <c r="K39" s="227">
        <f>+K37+K36+K18</f>
        <v>344.745</v>
      </c>
      <c r="M39" s="227">
        <f>+M37+M36+M18+M38</f>
        <v>969.5</v>
      </c>
    </row>
    <row r="40" spans="1:14" ht="13.5" thickTop="1" x14ac:dyDescent="0.2">
      <c r="E40" s="230"/>
    </row>
    <row r="41" spans="1:14" x14ac:dyDescent="0.2">
      <c r="M41" s="262"/>
    </row>
    <row r="42" spans="1:14" x14ac:dyDescent="0.2">
      <c r="A42" s="238">
        <f ca="1">NOW()</f>
        <v>37040.349919560183</v>
      </c>
      <c r="N42" s="262"/>
    </row>
    <row r="44" spans="1:14" x14ac:dyDescent="0.2">
      <c r="A44" t="s">
        <v>255</v>
      </c>
      <c r="M44">
        <f>1263.4-298.7-0.5</f>
        <v>964.2</v>
      </c>
    </row>
    <row r="45" spans="1:14" x14ac:dyDescent="0.2">
      <c r="A45" t="s">
        <v>262</v>
      </c>
      <c r="M45">
        <v>-0.9</v>
      </c>
      <c r="N45" t="s">
        <v>264</v>
      </c>
    </row>
    <row r="46" spans="1:14" x14ac:dyDescent="0.2">
      <c r="A46" t="s">
        <v>224</v>
      </c>
      <c r="M46">
        <v>6.2</v>
      </c>
      <c r="N46" t="s">
        <v>263</v>
      </c>
    </row>
    <row r="47" spans="1:14" ht="13.5" thickBot="1" x14ac:dyDescent="0.25">
      <c r="M47" s="261">
        <f>SUM(M44:M46)</f>
        <v>969.50000000000011</v>
      </c>
    </row>
    <row r="48" spans="1:14" ht="13.5" thickTop="1" x14ac:dyDescent="0.2"/>
    <row r="50" spans="13:13" x14ac:dyDescent="0.2">
      <c r="M50" s="262">
        <f>M39-M47</f>
        <v>0</v>
      </c>
    </row>
  </sheetData>
  <mergeCells count="1">
    <mergeCell ref="B4:C4"/>
  </mergeCells>
  <phoneticPr fontId="0" type="noConversion"/>
  <pageMargins left="0.75" right="0.75" top="1" bottom="1" header="0.5" footer="0.5"/>
  <pageSetup scale="81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O3" sqref="O3:Q3"/>
    </sheetView>
  </sheetViews>
  <sheetFormatPr defaultRowHeight="12.75" x14ac:dyDescent="0.25"/>
  <cols>
    <col min="1" max="1" width="9.140625" style="150"/>
    <col min="2" max="2" width="3.7109375" style="150" customWidth="1"/>
    <col min="3" max="8" width="9.7109375" style="150" customWidth="1"/>
    <col min="9" max="10" width="2.28515625" style="150" customWidth="1"/>
    <col min="11" max="11" width="9.7109375" style="150" customWidth="1"/>
    <col min="12" max="12" width="3.7109375" style="150" customWidth="1"/>
    <col min="13" max="13" width="9.7109375" style="150" customWidth="1"/>
    <col min="14" max="14" width="3.7109375" style="150" customWidth="1"/>
    <col min="15" max="15" width="9.7109375" style="150" customWidth="1"/>
    <col min="16" max="16" width="3.7109375" style="150" customWidth="1"/>
    <col min="17" max="17" width="9.7109375" style="150" customWidth="1"/>
    <col min="18" max="18" width="3.7109375" style="150" customWidth="1"/>
    <col min="19" max="16384" width="9.140625" style="150"/>
  </cols>
  <sheetData>
    <row r="1" spans="1:17" ht="18" x14ac:dyDescent="0.25">
      <c r="A1" s="201" t="s">
        <v>184</v>
      </c>
    </row>
    <row r="2" spans="1:17" ht="13.5" thickBot="1" x14ac:dyDescent="0.3"/>
    <row r="3" spans="1:17" ht="15.75" x14ac:dyDescent="0.25">
      <c r="A3" s="163" t="s">
        <v>156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268">
        <f ca="1">+Prudency!D1</f>
        <v>37040</v>
      </c>
      <c r="P3" s="268"/>
      <c r="Q3" s="269"/>
    </row>
    <row r="4" spans="1:17" ht="15.75" x14ac:dyDescent="0.25">
      <c r="A4" s="166" t="s">
        <v>155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8"/>
    </row>
    <row r="5" spans="1:17" x14ac:dyDescent="0.25">
      <c r="A5" s="169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8"/>
    </row>
    <row r="6" spans="1:17" x14ac:dyDescent="0.25">
      <c r="A6" s="171" t="s">
        <v>153</v>
      </c>
      <c r="B6" s="167"/>
      <c r="C6" s="265" t="s">
        <v>148</v>
      </c>
      <c r="D6" s="266"/>
      <c r="E6" s="266"/>
      <c r="F6" s="266"/>
      <c r="G6" s="266"/>
      <c r="H6" s="267"/>
      <c r="I6" s="161"/>
      <c r="J6" s="167"/>
      <c r="K6" s="153" t="s">
        <v>150</v>
      </c>
      <c r="L6" s="167"/>
      <c r="M6" s="153" t="s">
        <v>151</v>
      </c>
      <c r="N6" s="167"/>
      <c r="O6" s="153" t="s">
        <v>152</v>
      </c>
      <c r="P6" s="167"/>
      <c r="Q6" s="195" t="s">
        <v>154</v>
      </c>
    </row>
    <row r="7" spans="1:17" x14ac:dyDescent="0.25">
      <c r="A7" s="169"/>
      <c r="B7" s="167"/>
      <c r="C7" s="151" t="s">
        <v>146</v>
      </c>
      <c r="D7" s="151" t="s">
        <v>143</v>
      </c>
      <c r="E7" s="151" t="s">
        <v>144</v>
      </c>
      <c r="F7" s="151" t="s">
        <v>145</v>
      </c>
      <c r="G7" s="151" t="s">
        <v>147</v>
      </c>
      <c r="H7" s="151" t="s">
        <v>29</v>
      </c>
      <c r="I7" s="154"/>
      <c r="J7" s="167"/>
      <c r="K7" s="151" t="s">
        <v>149</v>
      </c>
      <c r="L7" s="167"/>
      <c r="M7" s="151" t="s">
        <v>149</v>
      </c>
      <c r="N7" s="167"/>
      <c r="O7" s="151" t="s">
        <v>149</v>
      </c>
      <c r="P7" s="167"/>
      <c r="Q7" s="196" t="s">
        <v>29</v>
      </c>
    </row>
    <row r="8" spans="1:17" x14ac:dyDescent="0.25">
      <c r="A8" s="197" t="s">
        <v>183</v>
      </c>
      <c r="B8" s="167"/>
      <c r="C8" s="154"/>
      <c r="D8" s="154"/>
      <c r="E8" s="154"/>
      <c r="F8" s="154"/>
      <c r="G8" s="154"/>
      <c r="H8" s="154"/>
      <c r="I8" s="154"/>
      <c r="J8" s="167"/>
      <c r="K8" s="154"/>
      <c r="L8" s="167"/>
      <c r="M8" s="154"/>
      <c r="N8" s="167"/>
      <c r="O8" s="154"/>
      <c r="P8" s="167"/>
      <c r="Q8" s="198">
        <v>6.6</v>
      </c>
    </row>
    <row r="9" spans="1:17" x14ac:dyDescent="0.25">
      <c r="A9" s="173">
        <v>36745</v>
      </c>
      <c r="B9" s="167"/>
      <c r="C9" s="174">
        <v>10</v>
      </c>
      <c r="D9" s="174"/>
      <c r="E9" s="174"/>
      <c r="F9" s="174"/>
      <c r="G9" s="174"/>
      <c r="H9" s="174">
        <f t="shared" ref="H9:H18" si="0">SUM(C9:G9)</f>
        <v>10</v>
      </c>
      <c r="I9" s="174"/>
      <c r="J9" s="174"/>
      <c r="K9" s="174"/>
      <c r="L9" s="174"/>
      <c r="M9" s="174"/>
      <c r="N9" s="174"/>
      <c r="O9" s="174"/>
      <c r="P9" s="174"/>
      <c r="Q9" s="168">
        <f>O9+M9+K9+H9</f>
        <v>10</v>
      </c>
    </row>
    <row r="10" spans="1:17" x14ac:dyDescent="0.25">
      <c r="A10" s="173">
        <v>36746</v>
      </c>
      <c r="B10" s="167"/>
      <c r="C10" s="167"/>
      <c r="D10" s="167">
        <v>10</v>
      </c>
      <c r="E10" s="167"/>
      <c r="F10" s="167"/>
      <c r="G10" s="167"/>
      <c r="H10" s="167">
        <f t="shared" si="0"/>
        <v>10</v>
      </c>
      <c r="I10" s="167"/>
      <c r="J10" s="167"/>
      <c r="K10" s="167"/>
      <c r="L10" s="167"/>
      <c r="M10" s="167"/>
      <c r="N10" s="167"/>
      <c r="O10" s="167"/>
      <c r="P10" s="167"/>
      <c r="Q10" s="168">
        <f t="shared" ref="Q10:Q19" si="1">O10+M10+K10+H10</f>
        <v>10</v>
      </c>
    </row>
    <row r="11" spans="1:17" x14ac:dyDescent="0.25">
      <c r="A11" s="173">
        <v>36749</v>
      </c>
      <c r="B11" s="167"/>
      <c r="C11" s="167"/>
      <c r="D11" s="167"/>
      <c r="E11" s="167">
        <v>10</v>
      </c>
      <c r="F11" s="167"/>
      <c r="G11" s="167"/>
      <c r="H11" s="167">
        <f t="shared" si="0"/>
        <v>10</v>
      </c>
      <c r="I11" s="167"/>
      <c r="J11" s="167"/>
      <c r="K11" s="167"/>
      <c r="L11" s="167"/>
      <c r="M11" s="167"/>
      <c r="N11" s="167"/>
      <c r="O11" s="167"/>
      <c r="P11" s="167"/>
      <c r="Q11" s="168">
        <f t="shared" si="1"/>
        <v>10</v>
      </c>
    </row>
    <row r="12" spans="1:17" x14ac:dyDescent="0.25">
      <c r="A12" s="173">
        <v>36759</v>
      </c>
      <c r="B12" s="167"/>
      <c r="C12" s="167">
        <v>15</v>
      </c>
      <c r="D12" s="167"/>
      <c r="E12" s="167"/>
      <c r="F12" s="167">
        <v>15</v>
      </c>
      <c r="G12" s="167">
        <v>15</v>
      </c>
      <c r="H12" s="167">
        <f t="shared" si="0"/>
        <v>45</v>
      </c>
      <c r="I12" s="167"/>
      <c r="J12" s="167"/>
      <c r="K12" s="167"/>
      <c r="L12" s="167"/>
      <c r="M12" s="167">
        <v>50</v>
      </c>
      <c r="N12" s="167"/>
      <c r="O12" s="167"/>
      <c r="P12" s="167"/>
      <c r="Q12" s="168">
        <f t="shared" si="1"/>
        <v>95</v>
      </c>
    </row>
    <row r="13" spans="1:17" x14ac:dyDescent="0.25">
      <c r="A13" s="173">
        <f>+A12+2</f>
        <v>36761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>
        <v>35</v>
      </c>
      <c r="L13" s="167"/>
      <c r="M13" s="167"/>
      <c r="N13" s="167"/>
      <c r="O13" s="167"/>
      <c r="P13" s="167"/>
      <c r="Q13" s="168">
        <f t="shared" si="1"/>
        <v>35</v>
      </c>
    </row>
    <row r="14" spans="1:17" x14ac:dyDescent="0.25">
      <c r="A14" s="173">
        <v>36762</v>
      </c>
      <c r="B14" s="167"/>
      <c r="C14" s="167"/>
      <c r="D14" s="167"/>
      <c r="E14" s="167"/>
      <c r="F14" s="167"/>
      <c r="G14" s="167"/>
      <c r="H14" s="167">
        <f t="shared" si="0"/>
        <v>0</v>
      </c>
      <c r="I14" s="167"/>
      <c r="J14" s="167"/>
      <c r="K14" s="167"/>
      <c r="L14" s="167"/>
      <c r="M14" s="167"/>
      <c r="N14" s="167"/>
      <c r="O14" s="167">
        <v>35</v>
      </c>
      <c r="P14" s="167"/>
      <c r="Q14" s="168">
        <f t="shared" si="1"/>
        <v>35</v>
      </c>
    </row>
    <row r="15" spans="1:17" x14ac:dyDescent="0.25">
      <c r="A15" s="173">
        <v>36763</v>
      </c>
      <c r="B15" s="167"/>
      <c r="C15" s="167"/>
      <c r="D15" s="167"/>
      <c r="E15" s="167"/>
      <c r="F15" s="167"/>
      <c r="G15" s="167"/>
      <c r="H15" s="167">
        <f t="shared" si="0"/>
        <v>0</v>
      </c>
      <c r="I15" s="167"/>
      <c r="J15" s="167"/>
      <c r="K15" s="167">
        <v>25</v>
      </c>
      <c r="L15" s="167"/>
      <c r="M15" s="167">
        <v>25</v>
      </c>
      <c r="N15" s="167"/>
      <c r="O15" s="167">
        <v>50</v>
      </c>
      <c r="P15" s="167"/>
      <c r="Q15" s="168">
        <f t="shared" si="1"/>
        <v>100</v>
      </c>
    </row>
    <row r="16" spans="1:17" x14ac:dyDescent="0.25">
      <c r="A16" s="173">
        <f>+A15+3</f>
        <v>36766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>
        <v>25</v>
      </c>
      <c r="L16" s="167"/>
      <c r="M16" s="167"/>
      <c r="N16" s="167"/>
      <c r="O16" s="167"/>
      <c r="P16" s="167"/>
      <c r="Q16" s="168">
        <f t="shared" si="1"/>
        <v>25</v>
      </c>
    </row>
    <row r="17" spans="1:18" x14ac:dyDescent="0.25">
      <c r="A17" s="173">
        <v>36768</v>
      </c>
      <c r="B17" s="167"/>
      <c r="C17" s="167"/>
      <c r="D17" s="167"/>
      <c r="E17" s="167"/>
      <c r="F17" s="167"/>
      <c r="G17" s="167"/>
      <c r="H17" s="167">
        <f t="shared" si="0"/>
        <v>0</v>
      </c>
      <c r="I17" s="167"/>
      <c r="J17" s="167"/>
      <c r="K17" s="167">
        <v>-40</v>
      </c>
      <c r="L17" s="167"/>
      <c r="M17" s="167">
        <v>40</v>
      </c>
      <c r="N17" s="167"/>
      <c r="O17" s="167"/>
      <c r="P17" s="167"/>
      <c r="Q17" s="168">
        <f t="shared" si="1"/>
        <v>0</v>
      </c>
    </row>
    <row r="18" spans="1:18" x14ac:dyDescent="0.25">
      <c r="A18" s="173">
        <v>36770</v>
      </c>
      <c r="B18" s="167"/>
      <c r="C18" s="167"/>
      <c r="D18" s="167"/>
      <c r="E18" s="167"/>
      <c r="F18" s="167"/>
      <c r="G18" s="167"/>
      <c r="H18" s="167">
        <f t="shared" si="0"/>
        <v>0</v>
      </c>
      <c r="I18" s="167"/>
      <c r="J18" s="167"/>
      <c r="K18" s="167"/>
      <c r="L18" s="167"/>
      <c r="M18" s="167">
        <v>-15</v>
      </c>
      <c r="N18" s="167"/>
      <c r="O18" s="167"/>
      <c r="P18" s="167"/>
      <c r="Q18" s="168">
        <f t="shared" si="1"/>
        <v>-15</v>
      </c>
    </row>
    <row r="19" spans="1:18" x14ac:dyDescent="0.25">
      <c r="A19" s="173">
        <f>+A18+4</f>
        <v>36774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>
        <v>-45</v>
      </c>
      <c r="L19" s="167"/>
      <c r="M19" s="167">
        <v>-10</v>
      </c>
      <c r="N19" s="167"/>
      <c r="O19" s="167"/>
      <c r="P19" s="167"/>
      <c r="Q19" s="168">
        <f t="shared" si="1"/>
        <v>-55</v>
      </c>
    </row>
    <row r="20" spans="1:18" ht="16.5" thickBot="1" x14ac:dyDescent="0.3">
      <c r="A20" s="169"/>
      <c r="B20" s="167"/>
      <c r="C20" s="152">
        <f t="shared" ref="C20:H20" si="2">SUM(C9:C19)</f>
        <v>25</v>
      </c>
      <c r="D20" s="152">
        <f t="shared" si="2"/>
        <v>10</v>
      </c>
      <c r="E20" s="152">
        <f t="shared" si="2"/>
        <v>10</v>
      </c>
      <c r="F20" s="152">
        <f t="shared" si="2"/>
        <v>15</v>
      </c>
      <c r="G20" s="152">
        <f t="shared" si="2"/>
        <v>15</v>
      </c>
      <c r="H20" s="152">
        <f t="shared" si="2"/>
        <v>75</v>
      </c>
      <c r="I20" s="162"/>
      <c r="J20" s="167"/>
      <c r="K20" s="152">
        <f>SUM(K9:K19)</f>
        <v>0</v>
      </c>
      <c r="L20" s="167"/>
      <c r="M20" s="152">
        <f>SUM(M9:M19)</f>
        <v>90</v>
      </c>
      <c r="N20" s="167"/>
      <c r="O20" s="152">
        <f>SUM(O9:O19)</f>
        <v>85</v>
      </c>
      <c r="P20" s="167"/>
      <c r="Q20" s="191">
        <f>SUM(Q8:Q19)</f>
        <v>256.60000000000002</v>
      </c>
      <c r="R20" s="157"/>
    </row>
    <row r="21" spans="1:18" ht="9.9499999999999993" customHeight="1" thickTop="1" thickBot="1" x14ac:dyDescent="0.3">
      <c r="A21" s="188"/>
      <c r="B21" s="179"/>
      <c r="C21" s="199"/>
      <c r="D21" s="199"/>
      <c r="E21" s="199"/>
      <c r="F21" s="199"/>
      <c r="G21" s="199"/>
      <c r="H21" s="199"/>
      <c r="I21" s="199"/>
      <c r="J21" s="179"/>
      <c r="K21" s="199"/>
      <c r="L21" s="179"/>
      <c r="M21" s="199"/>
      <c r="N21" s="179"/>
      <c r="O21" s="199"/>
      <c r="P21" s="179"/>
      <c r="Q21" s="200"/>
      <c r="R21" s="157"/>
    </row>
    <row r="22" spans="1:18" ht="20.100000000000001" customHeight="1" thickBot="1" x14ac:dyDescent="0.3"/>
    <row r="23" spans="1:18" ht="15.75" x14ac:dyDescent="0.25">
      <c r="A23" s="163" t="s">
        <v>160</v>
      </c>
      <c r="B23" s="164"/>
      <c r="C23" s="164"/>
      <c r="D23" s="164"/>
      <c r="E23" s="164"/>
      <c r="F23" s="164"/>
      <c r="G23" s="164"/>
      <c r="H23" s="164"/>
      <c r="I23" s="165"/>
      <c r="J23" s="182"/>
      <c r="K23" s="183" t="s">
        <v>176</v>
      </c>
      <c r="L23" s="164"/>
      <c r="M23" s="164"/>
      <c r="N23" s="164"/>
      <c r="O23" s="164"/>
      <c r="P23" s="164"/>
      <c r="Q23" s="165"/>
    </row>
    <row r="24" spans="1:18" ht="15.75" x14ac:dyDescent="0.25">
      <c r="A24" s="166" t="s">
        <v>155</v>
      </c>
      <c r="B24" s="167"/>
      <c r="C24" s="167"/>
      <c r="D24" s="167"/>
      <c r="E24" s="167"/>
      <c r="F24" s="167"/>
      <c r="G24" s="167"/>
      <c r="H24" s="167"/>
      <c r="I24" s="168"/>
      <c r="J24" s="169"/>
      <c r="K24" s="184" t="s">
        <v>182</v>
      </c>
      <c r="L24" s="167"/>
      <c r="M24" s="167"/>
      <c r="N24" s="167"/>
      <c r="O24" s="167"/>
      <c r="P24" s="167"/>
      <c r="Q24" s="168"/>
    </row>
    <row r="25" spans="1:18" ht="16.5" thickBot="1" x14ac:dyDescent="0.3">
      <c r="A25" s="166"/>
      <c r="B25" s="167"/>
      <c r="C25" s="167"/>
      <c r="D25" s="167"/>
      <c r="E25" s="167"/>
      <c r="F25" s="167"/>
      <c r="G25" s="167"/>
      <c r="H25" s="167"/>
      <c r="I25" s="168"/>
      <c r="J25" s="169"/>
      <c r="K25" s="167"/>
      <c r="L25" s="167"/>
      <c r="M25" s="167"/>
      <c r="N25" s="167"/>
      <c r="O25" s="181" t="s">
        <v>180</v>
      </c>
      <c r="P25" s="161"/>
      <c r="Q25" s="185" t="s">
        <v>179</v>
      </c>
    </row>
    <row r="26" spans="1:18" x14ac:dyDescent="0.25">
      <c r="A26" s="169"/>
      <c r="B26" s="167"/>
      <c r="C26" s="265" t="s">
        <v>165</v>
      </c>
      <c r="D26" s="266"/>
      <c r="E26" s="266"/>
      <c r="F26" s="266"/>
      <c r="G26" s="266"/>
      <c r="H26" s="267"/>
      <c r="I26" s="170"/>
      <c r="J26" s="169"/>
      <c r="K26" s="167" t="s">
        <v>177</v>
      </c>
      <c r="L26" s="167"/>
      <c r="M26" s="167"/>
      <c r="N26" s="167"/>
      <c r="O26" s="174">
        <v>10.6</v>
      </c>
      <c r="P26" s="167"/>
      <c r="Q26" s="186">
        <v>90.9</v>
      </c>
    </row>
    <row r="27" spans="1:18" x14ac:dyDescent="0.25">
      <c r="A27" s="171" t="s">
        <v>153</v>
      </c>
      <c r="B27" s="167"/>
      <c r="C27" s="151" t="s">
        <v>161</v>
      </c>
      <c r="D27" s="151" t="s">
        <v>162</v>
      </c>
      <c r="E27" s="151" t="s">
        <v>163</v>
      </c>
      <c r="F27" s="151" t="s">
        <v>164</v>
      </c>
      <c r="G27" s="151"/>
      <c r="H27" s="151" t="s">
        <v>29</v>
      </c>
      <c r="I27" s="172"/>
      <c r="J27" s="169"/>
      <c r="K27" s="167" t="s">
        <v>178</v>
      </c>
      <c r="L27" s="167"/>
      <c r="M27" s="167"/>
      <c r="N27" s="167"/>
      <c r="O27" s="167">
        <v>2.1</v>
      </c>
      <c r="P27" s="167"/>
      <c r="Q27" s="168">
        <v>2.1</v>
      </c>
    </row>
    <row r="28" spans="1:18" x14ac:dyDescent="0.25">
      <c r="A28" s="169" t="s">
        <v>181</v>
      </c>
      <c r="B28" s="167"/>
      <c r="C28" s="167"/>
      <c r="D28" s="167"/>
      <c r="E28" s="167"/>
      <c r="F28" s="167"/>
      <c r="G28" s="167"/>
      <c r="H28" s="162">
        <v>27.8</v>
      </c>
      <c r="I28" s="168"/>
      <c r="J28" s="169"/>
      <c r="K28" s="167" t="s">
        <v>64</v>
      </c>
      <c r="L28" s="167"/>
      <c r="M28" s="167"/>
      <c r="N28" s="167"/>
      <c r="O28" s="167">
        <v>1.5</v>
      </c>
      <c r="P28" s="167"/>
      <c r="Q28" s="168">
        <v>1.2</v>
      </c>
    </row>
    <row r="29" spans="1:18" x14ac:dyDescent="0.25">
      <c r="A29" s="173">
        <v>36759</v>
      </c>
      <c r="B29" s="167"/>
      <c r="C29" s="174">
        <v>60</v>
      </c>
      <c r="D29" s="167"/>
      <c r="E29" s="167"/>
      <c r="F29" s="167"/>
      <c r="G29" s="167"/>
      <c r="H29" s="175">
        <f>SUM(C29:G29)</f>
        <v>60</v>
      </c>
      <c r="I29" s="176"/>
      <c r="J29" s="169"/>
      <c r="K29" s="167" t="s">
        <v>65</v>
      </c>
      <c r="L29" s="167"/>
      <c r="M29" s="167"/>
      <c r="N29" s="167"/>
      <c r="O29" s="167">
        <v>0.7</v>
      </c>
      <c r="P29" s="167"/>
      <c r="Q29" s="168">
        <v>0.7</v>
      </c>
    </row>
    <row r="30" spans="1:18" x14ac:dyDescent="0.25">
      <c r="A30" s="173">
        <v>36760</v>
      </c>
      <c r="B30" s="167"/>
      <c r="C30" s="167"/>
      <c r="D30" s="167">
        <v>35</v>
      </c>
      <c r="E30" s="167"/>
      <c r="F30" s="167"/>
      <c r="G30" s="167"/>
      <c r="H30" s="175">
        <f>SUM(C30:G30)</f>
        <v>35</v>
      </c>
      <c r="I30" s="176"/>
      <c r="J30" s="169"/>
      <c r="K30" s="167"/>
      <c r="L30" s="167"/>
      <c r="M30" s="167"/>
      <c r="N30" s="167"/>
      <c r="O30" s="167"/>
      <c r="P30" s="167"/>
      <c r="Q30" s="168"/>
    </row>
    <row r="31" spans="1:18" x14ac:dyDescent="0.25">
      <c r="A31" s="173">
        <v>36761</v>
      </c>
      <c r="B31" s="167"/>
      <c r="C31" s="167"/>
      <c r="D31" s="167"/>
      <c r="E31" s="167">
        <v>25</v>
      </c>
      <c r="F31" s="167"/>
      <c r="G31" s="167"/>
      <c r="H31" s="175">
        <f>SUM(C31:G31)</f>
        <v>25</v>
      </c>
      <c r="I31" s="176"/>
      <c r="J31" s="169"/>
      <c r="K31" s="167"/>
      <c r="L31" s="167"/>
      <c r="M31" s="167"/>
      <c r="N31" s="167"/>
      <c r="O31" s="167"/>
      <c r="P31" s="167"/>
      <c r="Q31" s="168"/>
    </row>
    <row r="32" spans="1:18" x14ac:dyDescent="0.25">
      <c r="A32" s="173">
        <v>36770</v>
      </c>
      <c r="B32" s="167"/>
      <c r="C32" s="167"/>
      <c r="D32" s="167"/>
      <c r="E32" s="167"/>
      <c r="F32" s="167">
        <v>-50</v>
      </c>
      <c r="G32" s="167"/>
      <c r="H32" s="175">
        <f>SUM(C32:G32)</f>
        <v>-50</v>
      </c>
      <c r="I32" s="176"/>
      <c r="J32" s="169"/>
      <c r="K32" s="167"/>
      <c r="L32" s="167"/>
      <c r="M32" s="167"/>
      <c r="N32" s="167"/>
      <c r="O32" s="167"/>
      <c r="P32" s="167"/>
      <c r="Q32" s="168"/>
    </row>
    <row r="33" spans="1:17" ht="16.5" thickBot="1" x14ac:dyDescent="0.3">
      <c r="A33" s="173"/>
      <c r="B33" s="167"/>
      <c r="C33" s="152">
        <f>SUM(C29:C32)</f>
        <v>60</v>
      </c>
      <c r="D33" s="152">
        <f>SUM(D29:D32)</f>
        <v>35</v>
      </c>
      <c r="E33" s="152">
        <f>SUM(E29:E32)</f>
        <v>25</v>
      </c>
      <c r="F33" s="152">
        <f>SUM(F29:F32)</f>
        <v>-50</v>
      </c>
      <c r="G33" s="152">
        <f>SUM(G29:G32)</f>
        <v>0</v>
      </c>
      <c r="H33" s="41">
        <f>SUM(H28:H32)</f>
        <v>97.800000000000011</v>
      </c>
      <c r="I33" s="177"/>
      <c r="J33" s="187"/>
      <c r="K33" s="167"/>
      <c r="L33" s="167"/>
      <c r="M33" s="167"/>
      <c r="N33" s="167"/>
      <c r="O33" s="167"/>
      <c r="P33" s="167"/>
      <c r="Q33" s="191">
        <f>SUM(Q26:Q29)</f>
        <v>94.9</v>
      </c>
    </row>
    <row r="34" spans="1:17" ht="14.25" thickTop="1" thickBot="1" x14ac:dyDescent="0.3">
      <c r="A34" s="178"/>
      <c r="B34" s="179"/>
      <c r="C34" s="179"/>
      <c r="D34" s="179"/>
      <c r="E34" s="179"/>
      <c r="F34" s="179"/>
      <c r="G34" s="179"/>
      <c r="H34" s="179"/>
      <c r="I34" s="180"/>
      <c r="J34" s="188"/>
      <c r="K34" s="179"/>
      <c r="L34" s="179"/>
      <c r="M34" s="179"/>
      <c r="N34" s="179"/>
      <c r="O34" s="179"/>
      <c r="P34" s="179"/>
      <c r="Q34" s="180"/>
    </row>
    <row r="35" spans="1:17" ht="13.5" thickBot="1" x14ac:dyDescent="0.3"/>
    <row r="36" spans="1:17" ht="16.5" thickBot="1" x14ac:dyDescent="0.3">
      <c r="A36" s="190" t="s">
        <v>69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202">
        <v>56</v>
      </c>
    </row>
    <row r="38" spans="1:17" ht="13.5" thickBot="1" x14ac:dyDescent="0.3"/>
    <row r="39" spans="1:17" ht="18.75" thickBot="1" x14ac:dyDescent="0.3">
      <c r="K39" s="192" t="s">
        <v>70</v>
      </c>
      <c r="L39" s="193"/>
      <c r="M39" s="193"/>
      <c r="N39" s="193"/>
      <c r="O39" s="193"/>
      <c r="P39" s="193"/>
      <c r="Q39" s="194">
        <f>+Q36+Q33+H33+Q20</f>
        <v>505.30000000000007</v>
      </c>
    </row>
  </sheetData>
  <mergeCells count="3">
    <mergeCell ref="C6:H6"/>
    <mergeCell ref="C26:H26"/>
    <mergeCell ref="O3:Q3"/>
  </mergeCells>
  <phoneticPr fontId="0" type="noConversion"/>
  <pageMargins left="0.5" right="0.25" top="0.5" bottom="0.5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opLeftCell="C1" workbookViewId="0">
      <selection activeCell="L33" sqref="L33"/>
    </sheetView>
  </sheetViews>
  <sheetFormatPr defaultRowHeight="12.75" x14ac:dyDescent="0.2"/>
  <cols>
    <col min="1" max="1" width="18.28515625" style="1" customWidth="1"/>
    <col min="2" max="3" width="3.28515625" style="1" customWidth="1"/>
    <col min="4" max="4" width="10.7109375" style="1" customWidth="1"/>
    <col min="5" max="5" width="5.7109375" style="1" customWidth="1"/>
    <col min="6" max="6" width="10.7109375" style="1" customWidth="1"/>
    <col min="7" max="8" width="3.28515625" style="1" customWidth="1"/>
    <col min="9" max="9" width="10.7109375" style="1" customWidth="1"/>
    <col min="10" max="11" width="3.28515625" style="1" customWidth="1"/>
    <col min="12" max="12" width="10.7109375" style="1" customWidth="1"/>
    <col min="13" max="13" width="5.7109375" style="1" customWidth="1"/>
    <col min="14" max="14" width="10.7109375" style="1" customWidth="1"/>
    <col min="15" max="16" width="5.7109375" style="1" customWidth="1"/>
    <col min="17" max="18" width="9.140625" style="1"/>
    <col min="19" max="19" width="5.7109375" style="1" customWidth="1"/>
    <col min="20" max="21" width="10.7109375" style="1" customWidth="1"/>
    <col min="22" max="16384" width="9.140625" style="1"/>
  </cols>
  <sheetData>
    <row r="1" spans="1:21" ht="18" x14ac:dyDescent="0.25">
      <c r="A1" s="60" t="s">
        <v>33</v>
      </c>
      <c r="R1" s="60" t="s">
        <v>51</v>
      </c>
      <c r="T1" s="271">
        <f ca="1">TODAY()</f>
        <v>37040</v>
      </c>
      <c r="U1" s="271"/>
    </row>
    <row r="2" spans="1:21" ht="18" x14ac:dyDescent="0.25">
      <c r="A2" s="60" t="s">
        <v>80</v>
      </c>
    </row>
    <row r="4" spans="1:21" ht="16.5" thickBot="1" x14ac:dyDescent="0.3">
      <c r="C4" s="270" t="s">
        <v>33</v>
      </c>
      <c r="D4" s="270"/>
      <c r="E4" s="270"/>
      <c r="F4" s="270"/>
      <c r="G4" s="270"/>
      <c r="H4" s="270"/>
      <c r="I4" s="270"/>
      <c r="J4" s="270"/>
      <c r="Q4" s="270" t="s">
        <v>41</v>
      </c>
      <c r="R4" s="270"/>
      <c r="S4" s="270"/>
      <c r="T4" s="270"/>
      <c r="U4" s="270"/>
    </row>
    <row r="5" spans="1:21" x14ac:dyDescent="0.2">
      <c r="C5" s="14"/>
      <c r="D5" s="15"/>
      <c r="E5" s="15"/>
      <c r="F5" s="15"/>
      <c r="G5" s="15"/>
      <c r="H5" s="15"/>
      <c r="I5" s="15"/>
      <c r="J5" s="16"/>
      <c r="Q5" s="14"/>
      <c r="R5" s="15"/>
      <c r="S5" s="15"/>
      <c r="T5" s="15"/>
      <c r="U5" s="16"/>
    </row>
    <row r="6" spans="1:21" x14ac:dyDescent="0.2">
      <c r="C6" s="17"/>
      <c r="D6" s="12" t="s">
        <v>30</v>
      </c>
      <c r="E6" s="18"/>
      <c r="F6" s="18"/>
      <c r="G6" s="18"/>
      <c r="H6" s="18"/>
      <c r="I6" s="12" t="s">
        <v>29</v>
      </c>
      <c r="J6" s="19"/>
      <c r="Q6" s="47" t="s">
        <v>42</v>
      </c>
      <c r="R6" s="18"/>
      <c r="S6" s="18"/>
      <c r="T6" s="48" t="s">
        <v>46</v>
      </c>
      <c r="U6" s="49" t="s">
        <v>24</v>
      </c>
    </row>
    <row r="7" spans="1:21" ht="13.5" thickBot="1" x14ac:dyDescent="0.25">
      <c r="C7" s="17"/>
      <c r="D7" s="8" t="s">
        <v>31</v>
      </c>
      <c r="E7" s="12"/>
      <c r="F7" s="8" t="s">
        <v>28</v>
      </c>
      <c r="G7" s="12"/>
      <c r="H7" s="12"/>
      <c r="I7" s="8" t="s">
        <v>32</v>
      </c>
      <c r="J7" s="19"/>
      <c r="L7" s="8" t="s">
        <v>24</v>
      </c>
      <c r="N7" s="8" t="s">
        <v>25</v>
      </c>
      <c r="Q7" s="56" t="s">
        <v>43</v>
      </c>
      <c r="R7" s="57"/>
      <c r="S7" s="57"/>
      <c r="T7" s="21">
        <v>23</v>
      </c>
      <c r="U7" s="36">
        <v>0</v>
      </c>
    </row>
    <row r="8" spans="1:21" x14ac:dyDescent="0.2">
      <c r="C8" s="17"/>
      <c r="D8" s="18"/>
      <c r="E8" s="18"/>
      <c r="F8" s="18"/>
      <c r="G8" s="18"/>
      <c r="H8" s="18"/>
      <c r="I8" s="18"/>
      <c r="J8" s="20"/>
      <c r="Q8" s="50" t="s">
        <v>44</v>
      </c>
      <c r="R8" s="51"/>
      <c r="S8" s="51"/>
      <c r="T8" s="5">
        <v>40</v>
      </c>
      <c r="U8" s="37">
        <v>10</v>
      </c>
    </row>
    <row r="9" spans="1:21" x14ac:dyDescent="0.2">
      <c r="A9" s="1" t="s">
        <v>0</v>
      </c>
      <c r="C9" s="17"/>
      <c r="D9" s="21">
        <f>296.9+78.2</f>
        <v>375.09999999999997</v>
      </c>
      <c r="E9" s="18"/>
      <c r="F9" s="18"/>
      <c r="G9" s="18"/>
      <c r="H9" s="18"/>
      <c r="I9" s="22">
        <f>SUM(D9:F9)</f>
        <v>375.09999999999997</v>
      </c>
      <c r="J9" s="23"/>
      <c r="Q9" s="52" t="s">
        <v>45</v>
      </c>
      <c r="R9" s="53"/>
      <c r="S9" s="53"/>
      <c r="T9" s="26">
        <f>SUM(T7:T8)</f>
        <v>63</v>
      </c>
      <c r="U9" s="28">
        <f>SUM(U7:U8)</f>
        <v>10</v>
      </c>
    </row>
    <row r="10" spans="1:21" x14ac:dyDescent="0.2">
      <c r="A10" s="1" t="s">
        <v>1</v>
      </c>
      <c r="C10" s="17"/>
      <c r="D10" s="6">
        <f>162.5+11.3</f>
        <v>173.8</v>
      </c>
      <c r="E10" s="18"/>
      <c r="F10" s="18"/>
      <c r="G10" s="18"/>
      <c r="H10" s="18"/>
      <c r="I10" s="13">
        <f>SUM(D10:F10)</f>
        <v>173.8</v>
      </c>
      <c r="J10" s="24"/>
      <c r="Q10" s="103" t="s">
        <v>106</v>
      </c>
      <c r="R10" s="65"/>
      <c r="S10" s="65"/>
      <c r="T10" s="6">
        <v>40</v>
      </c>
      <c r="U10" s="32">
        <v>10</v>
      </c>
    </row>
    <row r="11" spans="1:21" x14ac:dyDescent="0.2">
      <c r="A11" s="1" t="s">
        <v>2</v>
      </c>
      <c r="C11" s="17"/>
      <c r="D11" s="6">
        <v>-3.3</v>
      </c>
      <c r="E11" s="18"/>
      <c r="F11" s="18"/>
      <c r="G11" s="18"/>
      <c r="H11" s="18"/>
      <c r="I11" s="13">
        <f>SUM(D11:F11)</f>
        <v>-3.3</v>
      </c>
      <c r="J11" s="24"/>
      <c r="Q11" s="50" t="s">
        <v>47</v>
      </c>
      <c r="R11" s="51"/>
      <c r="S11" s="51"/>
      <c r="T11" s="5"/>
      <c r="U11" s="37">
        <v>50</v>
      </c>
    </row>
    <row r="12" spans="1:21" ht="13.5" thickBot="1" x14ac:dyDescent="0.25">
      <c r="A12" s="1" t="s">
        <v>3</v>
      </c>
      <c r="C12" s="17"/>
      <c r="D12" s="5">
        <f>15.9+0.3</f>
        <v>16.2</v>
      </c>
      <c r="E12" s="18"/>
      <c r="F12" s="18"/>
      <c r="G12" s="18"/>
      <c r="H12" s="18"/>
      <c r="I12" s="9">
        <f>SUM(D12:F12)</f>
        <v>16.2</v>
      </c>
      <c r="J12" s="24"/>
      <c r="Q12" s="54" t="s">
        <v>48</v>
      </c>
      <c r="R12" s="55"/>
      <c r="S12" s="55"/>
      <c r="T12" s="94">
        <f>SUM(T9:T11)</f>
        <v>103</v>
      </c>
      <c r="U12" s="95">
        <f>SUM(U9:U11)</f>
        <v>70</v>
      </c>
    </row>
    <row r="13" spans="1:21" s="2" customFormat="1" ht="13.5" thickTop="1" x14ac:dyDescent="0.2">
      <c r="A13" s="2" t="s">
        <v>4</v>
      </c>
      <c r="C13" s="25"/>
      <c r="D13" s="26">
        <f>SUM(D9:D12)</f>
        <v>561.80000000000007</v>
      </c>
      <c r="E13" s="27"/>
      <c r="F13" s="27"/>
      <c r="G13" s="27"/>
      <c r="H13" s="27"/>
      <c r="I13" s="26">
        <f>SUM(I9:I12)</f>
        <v>561.80000000000007</v>
      </c>
      <c r="J13" s="28"/>
      <c r="L13" s="10">
        <v>165.9</v>
      </c>
      <c r="N13" s="10">
        <f>+I13-L13</f>
        <v>395.90000000000009</v>
      </c>
      <c r="Q13" s="25"/>
      <c r="R13" s="27"/>
      <c r="S13" s="27"/>
      <c r="T13" s="96"/>
      <c r="U13" s="97"/>
    </row>
    <row r="14" spans="1:21" s="2" customFormat="1" x14ac:dyDescent="0.2">
      <c r="C14" s="25"/>
      <c r="D14" s="27"/>
      <c r="E14" s="27"/>
      <c r="F14" s="27"/>
      <c r="G14" s="27"/>
      <c r="H14" s="27"/>
      <c r="I14" s="27"/>
      <c r="J14" s="29"/>
      <c r="L14" s="3"/>
      <c r="Q14" s="25"/>
      <c r="R14" s="27"/>
      <c r="S14" s="27"/>
      <c r="T14" s="96"/>
      <c r="U14" s="97"/>
    </row>
    <row r="15" spans="1:21" x14ac:dyDescent="0.2">
      <c r="A15" s="1" t="s">
        <v>5</v>
      </c>
      <c r="C15" s="17"/>
      <c r="D15" s="6">
        <v>0.4</v>
      </c>
      <c r="E15" s="18"/>
      <c r="F15" s="6">
        <v>20</v>
      </c>
      <c r="G15" s="6"/>
      <c r="H15" s="18"/>
      <c r="I15" s="13">
        <f t="shared" ref="I15:I25" si="0">SUM(D15:F15)</f>
        <v>20.399999999999999</v>
      </c>
      <c r="J15" s="24"/>
      <c r="L15" s="4"/>
      <c r="Q15" s="47" t="s">
        <v>78</v>
      </c>
      <c r="R15" s="18"/>
      <c r="S15" s="18"/>
      <c r="T15" s="22"/>
      <c r="U15" s="23"/>
    </row>
    <row r="16" spans="1:21" x14ac:dyDescent="0.2">
      <c r="A16" s="1" t="s">
        <v>6</v>
      </c>
      <c r="C16" s="17"/>
      <c r="D16" s="6">
        <v>9.3000000000000007</v>
      </c>
      <c r="E16" s="18"/>
      <c r="F16" s="6">
        <v>3</v>
      </c>
      <c r="G16" s="6"/>
      <c r="H16" s="18"/>
      <c r="I16" s="13">
        <f t="shared" si="0"/>
        <v>12.3</v>
      </c>
      <c r="J16" s="24"/>
      <c r="L16" s="4"/>
      <c r="Q16" s="17" t="s">
        <v>92</v>
      </c>
      <c r="R16" s="18"/>
      <c r="S16" s="18"/>
      <c r="T16" s="22"/>
      <c r="U16" s="36">
        <v>10</v>
      </c>
    </row>
    <row r="17" spans="1:21" x14ac:dyDescent="0.2">
      <c r="A17" s="1" t="s">
        <v>7</v>
      </c>
      <c r="C17" s="17"/>
      <c r="D17" s="6">
        <v>6.5</v>
      </c>
      <c r="E17" s="18"/>
      <c r="F17" s="6">
        <v>18</v>
      </c>
      <c r="G17" s="6"/>
      <c r="H17" s="18"/>
      <c r="I17" s="13">
        <f t="shared" si="0"/>
        <v>24.5</v>
      </c>
      <c r="J17" s="24"/>
      <c r="L17" s="4"/>
      <c r="Q17" s="17" t="s">
        <v>93</v>
      </c>
      <c r="R17" s="18"/>
      <c r="S17" s="18"/>
      <c r="T17" s="22"/>
      <c r="U17" s="32">
        <v>14</v>
      </c>
    </row>
    <row r="18" spans="1:21" x14ac:dyDescent="0.2">
      <c r="A18" s="1" t="s">
        <v>8</v>
      </c>
      <c r="C18" s="17"/>
      <c r="D18" s="6"/>
      <c r="E18" s="18"/>
      <c r="F18" s="6"/>
      <c r="G18" s="6"/>
      <c r="H18" s="18"/>
      <c r="I18" s="13">
        <f t="shared" si="0"/>
        <v>0</v>
      </c>
      <c r="J18" s="24"/>
      <c r="L18" s="4"/>
      <c r="Q18" s="17" t="s">
        <v>94</v>
      </c>
      <c r="R18" s="18"/>
      <c r="S18" s="18"/>
      <c r="T18" s="22"/>
      <c r="U18" s="32">
        <v>10</v>
      </c>
    </row>
    <row r="19" spans="1:21" ht="13.5" thickBot="1" x14ac:dyDescent="0.25">
      <c r="A19" s="1" t="s">
        <v>9</v>
      </c>
      <c r="C19" s="17"/>
      <c r="D19" s="6">
        <v>0.1</v>
      </c>
      <c r="E19" s="18"/>
      <c r="F19" s="6"/>
      <c r="G19" s="6"/>
      <c r="H19" s="18"/>
      <c r="I19" s="13">
        <f t="shared" si="0"/>
        <v>0.1</v>
      </c>
      <c r="J19" s="24"/>
      <c r="L19" s="4"/>
      <c r="Q19" s="100" t="s">
        <v>95</v>
      </c>
      <c r="R19" s="87"/>
      <c r="S19" s="87"/>
      <c r="T19" s="98"/>
      <c r="U19" s="99">
        <f>SUM(U16:U18)</f>
        <v>34</v>
      </c>
    </row>
    <row r="20" spans="1:21" ht="13.5" thickTop="1" x14ac:dyDescent="0.2">
      <c r="A20" s="1" t="s">
        <v>10</v>
      </c>
      <c r="C20" s="17"/>
      <c r="D20" s="6"/>
      <c r="E20" s="18"/>
      <c r="F20" s="6"/>
      <c r="G20" s="6"/>
      <c r="H20" s="18"/>
      <c r="I20" s="13">
        <f t="shared" si="0"/>
        <v>0</v>
      </c>
      <c r="J20" s="24"/>
      <c r="L20" s="4"/>
      <c r="Q20" s="17"/>
      <c r="R20" s="18"/>
      <c r="S20" s="18"/>
      <c r="T20" s="22"/>
      <c r="U20" s="23"/>
    </row>
    <row r="21" spans="1:21" x14ac:dyDescent="0.2">
      <c r="A21" s="1" t="s">
        <v>11</v>
      </c>
      <c r="C21" s="17"/>
      <c r="D21" s="6"/>
      <c r="E21" s="18"/>
      <c r="F21" s="6"/>
      <c r="G21" s="6"/>
      <c r="H21" s="18"/>
      <c r="I21" s="13">
        <f t="shared" si="0"/>
        <v>0</v>
      </c>
      <c r="J21" s="24"/>
      <c r="L21" s="4"/>
      <c r="Q21" s="17"/>
      <c r="R21" s="18"/>
      <c r="S21" s="18"/>
      <c r="T21" s="22"/>
      <c r="U21" s="23"/>
    </row>
    <row r="22" spans="1:21" x14ac:dyDescent="0.2">
      <c r="A22" s="1" t="s">
        <v>12</v>
      </c>
      <c r="C22" s="17"/>
      <c r="D22" s="6">
        <v>14.3</v>
      </c>
      <c r="E22" s="18"/>
      <c r="F22" s="6">
        <v>70</v>
      </c>
      <c r="G22" s="6"/>
      <c r="H22" s="18"/>
      <c r="I22" s="13">
        <f t="shared" si="0"/>
        <v>84.3</v>
      </c>
      <c r="J22" s="24"/>
      <c r="L22" s="4"/>
      <c r="Q22" s="47" t="s">
        <v>79</v>
      </c>
      <c r="R22" s="18"/>
      <c r="S22" s="18"/>
      <c r="T22" s="22"/>
      <c r="U22" s="23"/>
    </row>
    <row r="23" spans="1:21" x14ac:dyDescent="0.2">
      <c r="A23" s="1" t="s">
        <v>13</v>
      </c>
      <c r="C23" s="17"/>
      <c r="D23" s="6">
        <v>14.9</v>
      </c>
      <c r="E23" s="18"/>
      <c r="F23" s="6">
        <v>3</v>
      </c>
      <c r="G23" s="6"/>
      <c r="H23" s="18"/>
      <c r="I23" s="13">
        <f t="shared" si="0"/>
        <v>17.899999999999999</v>
      </c>
      <c r="J23" s="24"/>
      <c r="L23" s="4"/>
      <c r="Q23" s="17" t="s">
        <v>96</v>
      </c>
      <c r="R23" s="18"/>
      <c r="S23" s="18"/>
      <c r="T23" s="22"/>
      <c r="U23" s="93">
        <v>30</v>
      </c>
    </row>
    <row r="24" spans="1:21" x14ac:dyDescent="0.2">
      <c r="A24" s="1" t="s">
        <v>14</v>
      </c>
      <c r="C24" s="17"/>
      <c r="D24" s="6">
        <v>0</v>
      </c>
      <c r="E24" s="18"/>
      <c r="F24" s="6">
        <v>10</v>
      </c>
      <c r="G24" s="6"/>
      <c r="H24" s="18"/>
      <c r="I24" s="13">
        <f t="shared" si="0"/>
        <v>10</v>
      </c>
      <c r="J24" s="24"/>
      <c r="L24" s="4"/>
      <c r="Q24" s="17" t="s">
        <v>97</v>
      </c>
      <c r="R24" s="18"/>
      <c r="S24" s="18"/>
      <c r="T24" s="22"/>
      <c r="U24" s="32">
        <v>30</v>
      </c>
    </row>
    <row r="25" spans="1:21" x14ac:dyDescent="0.2">
      <c r="A25" s="1" t="s">
        <v>26</v>
      </c>
      <c r="C25" s="17"/>
      <c r="D25" s="5">
        <v>1.2</v>
      </c>
      <c r="E25" s="18"/>
      <c r="F25" s="5"/>
      <c r="G25" s="6"/>
      <c r="H25" s="18"/>
      <c r="I25" s="9">
        <f t="shared" si="0"/>
        <v>1.2</v>
      </c>
      <c r="J25" s="24"/>
      <c r="L25" s="4"/>
      <c r="Q25" s="17" t="s">
        <v>98</v>
      </c>
      <c r="R25" s="18"/>
      <c r="S25" s="18"/>
      <c r="T25" s="22"/>
      <c r="U25" s="58" t="s">
        <v>49</v>
      </c>
    </row>
    <row r="26" spans="1:21" s="2" customFormat="1" x14ac:dyDescent="0.2">
      <c r="A26" s="2" t="s">
        <v>15</v>
      </c>
      <c r="C26" s="25"/>
      <c r="D26" s="30">
        <f>SUM(D15:D25)</f>
        <v>46.70000000000001</v>
      </c>
      <c r="E26" s="27"/>
      <c r="F26" s="30">
        <f>SUM(F15:F25)</f>
        <v>124</v>
      </c>
      <c r="G26" s="30"/>
      <c r="H26" s="27"/>
      <c r="I26" s="30">
        <f>SUM(I15:I25)</f>
        <v>170.7</v>
      </c>
      <c r="J26" s="31"/>
      <c r="L26" s="3">
        <v>131.5</v>
      </c>
      <c r="N26" s="3">
        <f>+I26-L26</f>
        <v>39.199999999999989</v>
      </c>
      <c r="Q26" s="17" t="s">
        <v>99</v>
      </c>
      <c r="R26" s="27"/>
      <c r="S26" s="27"/>
      <c r="T26" s="96"/>
      <c r="U26" s="32">
        <v>11</v>
      </c>
    </row>
    <row r="27" spans="1:21" x14ac:dyDescent="0.2">
      <c r="C27" s="17"/>
      <c r="D27" s="18"/>
      <c r="E27" s="18"/>
      <c r="F27" s="18"/>
      <c r="G27" s="18"/>
      <c r="H27" s="18"/>
      <c r="I27" s="18"/>
      <c r="J27" s="20"/>
      <c r="L27" s="4"/>
      <c r="Q27" s="17" t="s">
        <v>100</v>
      </c>
      <c r="R27" s="18"/>
      <c r="S27" s="18"/>
      <c r="T27" s="22"/>
      <c r="U27" s="32">
        <v>10</v>
      </c>
    </row>
    <row r="28" spans="1:21" ht="13.5" thickBot="1" x14ac:dyDescent="0.25">
      <c r="A28" s="1" t="s">
        <v>16</v>
      </c>
      <c r="C28" s="17"/>
      <c r="D28" s="6">
        <v>40.9</v>
      </c>
      <c r="E28" s="6"/>
      <c r="F28" s="6"/>
      <c r="G28" s="6"/>
      <c r="H28" s="6"/>
      <c r="I28" s="6">
        <f>SUM(D28:F28)</f>
        <v>40.9</v>
      </c>
      <c r="J28" s="24"/>
      <c r="L28" s="4"/>
      <c r="Q28" s="100" t="s">
        <v>101</v>
      </c>
      <c r="R28" s="87"/>
      <c r="S28" s="87"/>
      <c r="T28" s="98"/>
      <c r="U28" s="99">
        <f>SUM(U23:U27)</f>
        <v>81</v>
      </c>
    </row>
    <row r="29" spans="1:21" ht="13.5" thickTop="1" x14ac:dyDescent="0.2">
      <c r="A29" s="1" t="s">
        <v>17</v>
      </c>
      <c r="C29" s="17"/>
      <c r="D29" s="5">
        <v>0</v>
      </c>
      <c r="E29" s="6"/>
      <c r="F29" s="6"/>
      <c r="G29" s="6"/>
      <c r="H29" s="6"/>
      <c r="I29" s="5">
        <f>SUM(D29:F29)</f>
        <v>0</v>
      </c>
      <c r="J29" s="24"/>
      <c r="L29" s="4"/>
      <c r="Q29" s="17"/>
      <c r="R29" s="18"/>
      <c r="S29" s="18"/>
      <c r="T29" s="18"/>
      <c r="U29" s="88"/>
    </row>
    <row r="30" spans="1:21" s="2" customFormat="1" x14ac:dyDescent="0.2">
      <c r="A30" s="2" t="s">
        <v>18</v>
      </c>
      <c r="C30" s="25"/>
      <c r="D30" s="26">
        <f>SUM(D28:D29)</f>
        <v>40.9</v>
      </c>
      <c r="E30" s="26"/>
      <c r="F30" s="26"/>
      <c r="G30" s="26"/>
      <c r="H30" s="26"/>
      <c r="I30" s="26">
        <f>SUM(I28:I29)</f>
        <v>40.9</v>
      </c>
      <c r="J30" s="29"/>
      <c r="L30" s="3">
        <v>34.299999999999997</v>
      </c>
      <c r="N30" s="3">
        <f>+I30-L30</f>
        <v>6.6000000000000014</v>
      </c>
      <c r="Q30" s="25"/>
      <c r="R30" s="27"/>
      <c r="S30" s="27"/>
      <c r="T30" s="27"/>
      <c r="U30" s="29"/>
    </row>
    <row r="31" spans="1:21" x14ac:dyDescent="0.2">
      <c r="C31" s="17"/>
      <c r="D31" s="18"/>
      <c r="E31" s="18"/>
      <c r="F31" s="18"/>
      <c r="G31" s="18"/>
      <c r="H31" s="18"/>
      <c r="I31" s="18"/>
      <c r="J31" s="20"/>
      <c r="L31" s="4"/>
      <c r="Q31" s="17"/>
      <c r="R31" s="18"/>
      <c r="S31" s="18"/>
      <c r="T31" s="18"/>
      <c r="U31" s="20"/>
    </row>
    <row r="32" spans="1:21" x14ac:dyDescent="0.2">
      <c r="A32" s="1" t="s">
        <v>19</v>
      </c>
      <c r="C32" s="17"/>
      <c r="D32" s="6">
        <v>0</v>
      </c>
      <c r="E32" s="18"/>
      <c r="F32" s="18"/>
      <c r="G32" s="18"/>
      <c r="H32" s="18"/>
      <c r="I32" s="6">
        <f>SUM(D32:F32)</f>
        <v>0</v>
      </c>
      <c r="J32" s="32"/>
      <c r="L32" s="4"/>
      <c r="Q32" s="17"/>
      <c r="R32" s="18"/>
      <c r="S32" s="18"/>
      <c r="T32" s="18"/>
      <c r="U32" s="20"/>
    </row>
    <row r="33" spans="1:21" x14ac:dyDescent="0.2">
      <c r="A33" s="1" t="s">
        <v>27</v>
      </c>
      <c r="C33" s="17"/>
      <c r="D33" s="5">
        <v>-13</v>
      </c>
      <c r="E33" s="18"/>
      <c r="F33" s="18"/>
      <c r="G33" s="18"/>
      <c r="H33" s="18"/>
      <c r="I33" s="5">
        <f>SUM(D33:F33)</f>
        <v>-13</v>
      </c>
      <c r="J33" s="32"/>
      <c r="L33" s="4"/>
      <c r="Q33" s="17"/>
      <c r="R33" s="18"/>
      <c r="S33" s="18"/>
      <c r="T33" s="18"/>
      <c r="U33" s="20"/>
    </row>
    <row r="34" spans="1:21" s="2" customFormat="1" x14ac:dyDescent="0.2">
      <c r="A34" s="2" t="s">
        <v>20</v>
      </c>
      <c r="C34" s="25"/>
      <c r="D34" s="26">
        <f>SUM(D32:D33)</f>
        <v>-13</v>
      </c>
      <c r="E34" s="27"/>
      <c r="F34" s="27"/>
      <c r="G34" s="27"/>
      <c r="H34" s="27"/>
      <c r="I34" s="26">
        <f>SUM(I32:I33)</f>
        <v>-13</v>
      </c>
      <c r="J34" s="28"/>
      <c r="L34" s="3">
        <v>28.1</v>
      </c>
      <c r="N34" s="3">
        <f>+I34-L34</f>
        <v>-41.1</v>
      </c>
      <c r="Q34" s="25"/>
      <c r="R34" s="27"/>
      <c r="S34" s="27"/>
      <c r="T34" s="27"/>
      <c r="U34" s="29"/>
    </row>
    <row r="35" spans="1:21" x14ac:dyDescent="0.2">
      <c r="C35" s="17"/>
      <c r="D35" s="18"/>
      <c r="E35" s="18"/>
      <c r="F35" s="18"/>
      <c r="G35" s="18"/>
      <c r="H35" s="18"/>
      <c r="I35" s="18"/>
      <c r="J35" s="20"/>
      <c r="Q35" s="17"/>
      <c r="R35" s="18"/>
      <c r="S35" s="18"/>
      <c r="T35" s="18"/>
      <c r="U35" s="20"/>
    </row>
    <row r="36" spans="1:21" s="2" customFormat="1" x14ac:dyDescent="0.2">
      <c r="A36" s="2" t="s">
        <v>21</v>
      </c>
      <c r="C36" s="25"/>
      <c r="D36" s="26">
        <f>+D34+D30+D26+D13</f>
        <v>636.40000000000009</v>
      </c>
      <c r="E36" s="27"/>
      <c r="F36" s="26">
        <f>+F34+F30+F26+F13</f>
        <v>124</v>
      </c>
      <c r="G36" s="26"/>
      <c r="H36" s="27"/>
      <c r="I36" s="26">
        <f>+I34+I30+I26+I13</f>
        <v>760.40000000000009</v>
      </c>
      <c r="J36" s="28"/>
      <c r="L36" s="3">
        <f>+L34+L30+L26+L13</f>
        <v>359.8</v>
      </c>
      <c r="N36" s="3">
        <f>+I36-L36</f>
        <v>400.60000000000008</v>
      </c>
      <c r="Q36" s="25"/>
      <c r="R36" s="27"/>
      <c r="S36" s="27"/>
      <c r="T36" s="27"/>
      <c r="U36" s="29"/>
    </row>
    <row r="37" spans="1:21" x14ac:dyDescent="0.2">
      <c r="A37" s="1" t="s">
        <v>22</v>
      </c>
      <c r="C37" s="17"/>
      <c r="D37" s="18"/>
      <c r="E37" s="18"/>
      <c r="F37" s="18"/>
      <c r="G37" s="18"/>
      <c r="H37" s="18"/>
      <c r="I37" s="5">
        <v>-216.3</v>
      </c>
      <c r="J37" s="32"/>
      <c r="L37" s="4">
        <v>-181.9</v>
      </c>
      <c r="N37" s="4">
        <f>+I37-L37</f>
        <v>-34.400000000000006</v>
      </c>
      <c r="Q37" s="17"/>
      <c r="R37" s="18"/>
      <c r="S37" s="18"/>
      <c r="T37" s="18"/>
      <c r="U37" s="20"/>
    </row>
    <row r="38" spans="1:21" s="11" customFormat="1" ht="16.5" thickBot="1" x14ac:dyDescent="0.3">
      <c r="A38" s="44" t="s">
        <v>23</v>
      </c>
      <c r="B38" s="44"/>
      <c r="C38" s="45"/>
      <c r="D38" s="104"/>
      <c r="E38" s="46"/>
      <c r="F38" s="46"/>
      <c r="G38" s="46"/>
      <c r="H38" s="46"/>
      <c r="I38" s="41">
        <f>SUM(I36:I37)</f>
        <v>544.10000000000014</v>
      </c>
      <c r="J38" s="42"/>
      <c r="K38" s="43"/>
      <c r="L38" s="41">
        <f>SUM(L36:L37)</f>
        <v>177.9</v>
      </c>
      <c r="M38" s="43"/>
      <c r="N38" s="41">
        <f>SUM(N36:N37)</f>
        <v>366.20000000000005</v>
      </c>
      <c r="Q38" s="38"/>
      <c r="R38" s="39"/>
      <c r="S38" s="39"/>
      <c r="T38" s="39"/>
      <c r="U38" s="40"/>
    </row>
    <row r="39" spans="1:21" ht="14.25" thickTop="1" thickBot="1" x14ac:dyDescent="0.25">
      <c r="C39" s="33"/>
      <c r="D39" s="34"/>
      <c r="E39" s="34"/>
      <c r="F39" s="34"/>
      <c r="G39" s="34"/>
      <c r="H39" s="34"/>
      <c r="I39" s="34"/>
      <c r="J39" s="35"/>
    </row>
  </sheetData>
  <mergeCells count="3">
    <mergeCell ref="C4:J4"/>
    <mergeCell ref="Q4:U4"/>
    <mergeCell ref="T1:U1"/>
  </mergeCells>
  <phoneticPr fontId="0" type="noConversion"/>
  <pageMargins left="0.5" right="0.5" top="0.5" bottom="0.5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D1" sqref="D1:E1"/>
    </sheetView>
  </sheetViews>
  <sheetFormatPr defaultRowHeight="12.75" x14ac:dyDescent="0.2"/>
  <cols>
    <col min="1" max="1" width="37.42578125" style="59" customWidth="1"/>
    <col min="2" max="5" width="11.7109375" style="59" customWidth="1"/>
    <col min="6" max="16384" width="9.140625" style="59"/>
  </cols>
  <sheetData>
    <row r="1" spans="1:6" s="79" customFormat="1" ht="18" x14ac:dyDescent="0.25">
      <c r="A1" s="79" t="s">
        <v>50</v>
      </c>
      <c r="C1" s="86" t="s">
        <v>51</v>
      </c>
      <c r="D1" s="263">
        <f ca="1">+Forecast!T1</f>
        <v>37040</v>
      </c>
      <c r="E1" s="263"/>
      <c r="F1" s="85"/>
    </row>
    <row r="2" spans="1:6" ht="17.25" customHeight="1" x14ac:dyDescent="0.2"/>
    <row r="3" spans="1:6" ht="18" x14ac:dyDescent="0.2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2">
      <c r="A4" s="81" t="s">
        <v>137</v>
      </c>
      <c r="B4" s="63" t="s">
        <v>58</v>
      </c>
      <c r="C4" s="71">
        <v>100</v>
      </c>
      <c r="D4" s="71"/>
      <c r="E4" s="72">
        <f>+C4-+D4</f>
        <v>100</v>
      </c>
    </row>
    <row r="5" spans="1:6" x14ac:dyDescent="0.2">
      <c r="A5" s="82" t="s">
        <v>138</v>
      </c>
      <c r="B5" s="65"/>
      <c r="C5" s="6">
        <v>25</v>
      </c>
      <c r="D5" s="6"/>
      <c r="E5" s="73">
        <f>+C5-D5</f>
        <v>25</v>
      </c>
    </row>
    <row r="6" spans="1:6" x14ac:dyDescent="0.2">
      <c r="A6" s="82" t="s">
        <v>139</v>
      </c>
      <c r="B6" s="65"/>
      <c r="C6" s="6">
        <v>-15</v>
      </c>
      <c r="D6" s="6"/>
      <c r="E6" s="73">
        <f>+C6-D6</f>
        <v>-15</v>
      </c>
    </row>
    <row r="7" spans="1:6" x14ac:dyDescent="0.2">
      <c r="A7" s="82" t="s">
        <v>108</v>
      </c>
      <c r="B7" s="65" t="s">
        <v>107</v>
      </c>
      <c r="C7" s="6">
        <v>50</v>
      </c>
      <c r="D7" s="6"/>
      <c r="E7" s="73">
        <f>+C7-+D7</f>
        <v>50</v>
      </c>
    </row>
    <row r="8" spans="1:6" x14ac:dyDescent="0.2">
      <c r="A8" s="82" t="s">
        <v>111</v>
      </c>
      <c r="B8" s="65" t="s">
        <v>58</v>
      </c>
      <c r="C8" s="6">
        <v>70</v>
      </c>
      <c r="D8" s="6"/>
      <c r="E8" s="73">
        <f>+C8-+D8</f>
        <v>70</v>
      </c>
    </row>
    <row r="9" spans="1:6" x14ac:dyDescent="0.2">
      <c r="A9" s="82" t="s">
        <v>81</v>
      </c>
      <c r="B9" s="65" t="s">
        <v>58</v>
      </c>
      <c r="C9" s="6">
        <v>25</v>
      </c>
      <c r="D9" s="6"/>
      <c r="E9" s="73">
        <f>+C9-+D9</f>
        <v>25</v>
      </c>
    </row>
    <row r="10" spans="1:6" x14ac:dyDescent="0.2">
      <c r="A10" s="82" t="s">
        <v>82</v>
      </c>
      <c r="B10" s="65" t="s">
        <v>58</v>
      </c>
      <c r="C10" s="6">
        <v>15</v>
      </c>
      <c r="D10" s="6"/>
      <c r="E10" s="73">
        <f>+C10-D10</f>
        <v>15</v>
      </c>
    </row>
    <row r="11" spans="1:6" x14ac:dyDescent="0.2">
      <c r="A11" s="82" t="s">
        <v>83</v>
      </c>
      <c r="B11" s="65" t="s">
        <v>58</v>
      </c>
      <c r="C11" s="6">
        <v>15</v>
      </c>
      <c r="D11" s="6"/>
      <c r="E11" s="73">
        <f>+C11-D11</f>
        <v>15</v>
      </c>
    </row>
    <row r="12" spans="1:6" x14ac:dyDescent="0.2">
      <c r="A12" s="82" t="s">
        <v>56</v>
      </c>
      <c r="B12" s="65" t="s">
        <v>58</v>
      </c>
      <c r="C12" s="6">
        <v>10</v>
      </c>
      <c r="D12" s="6"/>
      <c r="E12" s="73">
        <f>+C12-D12</f>
        <v>10</v>
      </c>
    </row>
    <row r="13" spans="1:6" x14ac:dyDescent="0.2">
      <c r="A13" s="82" t="s">
        <v>84</v>
      </c>
      <c r="B13" s="65" t="s">
        <v>58</v>
      </c>
      <c r="C13" s="6">
        <v>10</v>
      </c>
      <c r="D13" s="6"/>
      <c r="E13" s="73">
        <f t="shared" ref="E13:E18" si="0">+C13-D13</f>
        <v>10</v>
      </c>
    </row>
    <row r="14" spans="1:6" x14ac:dyDescent="0.2">
      <c r="A14" s="82" t="s">
        <v>85</v>
      </c>
      <c r="B14" s="65" t="s">
        <v>59</v>
      </c>
      <c r="C14" s="6">
        <v>3.2</v>
      </c>
      <c r="D14" s="6">
        <v>3.2</v>
      </c>
      <c r="E14" s="73">
        <f t="shared" si="0"/>
        <v>0</v>
      </c>
    </row>
    <row r="15" spans="1:6" x14ac:dyDescent="0.2">
      <c r="A15" s="82" t="s">
        <v>62</v>
      </c>
      <c r="B15" s="65" t="s">
        <v>61</v>
      </c>
      <c r="C15" s="6">
        <v>1.1000000000000001</v>
      </c>
      <c r="D15" s="6">
        <v>1.1000000000000001</v>
      </c>
      <c r="E15" s="73">
        <f t="shared" si="0"/>
        <v>0</v>
      </c>
    </row>
    <row r="16" spans="1:6" x14ac:dyDescent="0.2">
      <c r="A16" s="82" t="s">
        <v>57</v>
      </c>
      <c r="B16" s="65" t="s">
        <v>59</v>
      </c>
      <c r="C16" s="6">
        <v>0.9</v>
      </c>
      <c r="D16" s="6">
        <v>0.9</v>
      </c>
      <c r="E16" s="73">
        <f t="shared" si="0"/>
        <v>0</v>
      </c>
    </row>
    <row r="17" spans="1:5" x14ac:dyDescent="0.2">
      <c r="A17" s="82" t="s">
        <v>55</v>
      </c>
      <c r="B17" s="65" t="s">
        <v>14</v>
      </c>
      <c r="C17" s="6">
        <v>0.5</v>
      </c>
      <c r="D17" s="6">
        <v>0.5</v>
      </c>
      <c r="E17" s="73">
        <f t="shared" si="0"/>
        <v>0</v>
      </c>
    </row>
    <row r="18" spans="1:5" x14ac:dyDescent="0.2">
      <c r="A18" s="82" t="s">
        <v>86</v>
      </c>
      <c r="B18" s="65" t="s">
        <v>60</v>
      </c>
      <c r="C18" s="6">
        <v>0.9</v>
      </c>
      <c r="D18" s="6">
        <v>0.9</v>
      </c>
      <c r="E18" s="73">
        <f t="shared" si="0"/>
        <v>0</v>
      </c>
    </row>
    <row r="19" spans="1:5" x14ac:dyDescent="0.2">
      <c r="A19" s="67" t="s">
        <v>102</v>
      </c>
      <c r="B19" s="68"/>
      <c r="C19" s="75">
        <f>SUM(C4:C18)</f>
        <v>311.59999999999997</v>
      </c>
      <c r="D19" s="75">
        <f>SUM(D4:D18)</f>
        <v>6.6000000000000014</v>
      </c>
      <c r="E19" s="76">
        <f>SUM(E4:E18)</f>
        <v>305</v>
      </c>
    </row>
    <row r="20" spans="1:5" x14ac:dyDescent="0.2">
      <c r="A20" s="81" t="s">
        <v>72</v>
      </c>
      <c r="B20" s="63"/>
      <c r="C20" s="71">
        <v>90.9</v>
      </c>
      <c r="D20" s="71">
        <v>90.9</v>
      </c>
      <c r="E20" s="72">
        <f>+C20-+D20</f>
        <v>0</v>
      </c>
    </row>
    <row r="21" spans="1:5" x14ac:dyDescent="0.2">
      <c r="A21" s="82" t="s">
        <v>63</v>
      </c>
      <c r="B21" s="65"/>
      <c r="C21" s="6">
        <v>2.1</v>
      </c>
      <c r="D21" s="6">
        <v>2.1</v>
      </c>
      <c r="E21" s="73">
        <f>+C21-D21</f>
        <v>0</v>
      </c>
    </row>
    <row r="22" spans="1:5" x14ac:dyDescent="0.2">
      <c r="A22" s="82" t="s">
        <v>64</v>
      </c>
      <c r="B22" s="65"/>
      <c r="C22" s="6">
        <v>1.2</v>
      </c>
      <c r="D22" s="6">
        <v>1.2</v>
      </c>
      <c r="E22" s="73">
        <f>+C22-D22</f>
        <v>0</v>
      </c>
    </row>
    <row r="23" spans="1:5" x14ac:dyDescent="0.2">
      <c r="A23" s="83" t="s">
        <v>65</v>
      </c>
      <c r="B23" s="51"/>
      <c r="C23" s="5">
        <v>0.7</v>
      </c>
      <c r="D23" s="5">
        <v>0.7</v>
      </c>
      <c r="E23" s="74">
        <f>+C23-D23</f>
        <v>0</v>
      </c>
    </row>
    <row r="24" spans="1:5" x14ac:dyDescent="0.2">
      <c r="A24" s="67" t="s">
        <v>103</v>
      </c>
      <c r="B24" s="68"/>
      <c r="C24" s="75">
        <f>SUM(C20:C23)</f>
        <v>94.9</v>
      </c>
      <c r="D24" s="75">
        <f>SUM(D20:D23)</f>
        <v>94.9</v>
      </c>
      <c r="E24" s="76">
        <f>SUM(E20:E23)</f>
        <v>0</v>
      </c>
    </row>
    <row r="25" spans="1:5" x14ac:dyDescent="0.2">
      <c r="A25" s="81" t="s">
        <v>68</v>
      </c>
      <c r="B25" s="63"/>
      <c r="C25" s="71">
        <v>60</v>
      </c>
      <c r="D25" s="71"/>
      <c r="E25" s="72">
        <f>+C25-+D25</f>
        <v>60</v>
      </c>
    </row>
    <row r="26" spans="1:5" x14ac:dyDescent="0.2">
      <c r="A26" s="82" t="s">
        <v>112</v>
      </c>
      <c r="B26" s="65"/>
      <c r="C26" s="6">
        <v>35</v>
      </c>
      <c r="D26" s="6"/>
      <c r="E26" s="73">
        <f t="shared" ref="E26:E31" si="1">+C26-D26</f>
        <v>35</v>
      </c>
    </row>
    <row r="27" spans="1:5" x14ac:dyDescent="0.2">
      <c r="A27" s="82" t="s">
        <v>110</v>
      </c>
      <c r="B27" s="65"/>
      <c r="C27" s="6">
        <v>25</v>
      </c>
      <c r="D27" s="6"/>
      <c r="E27" s="73">
        <f t="shared" si="1"/>
        <v>25</v>
      </c>
    </row>
    <row r="28" spans="1:5" x14ac:dyDescent="0.2">
      <c r="A28" s="82" t="s">
        <v>139</v>
      </c>
      <c r="B28" s="65"/>
      <c r="C28" s="6">
        <v>-37.5</v>
      </c>
      <c r="D28" s="6"/>
      <c r="E28" s="73">
        <f t="shared" si="1"/>
        <v>-37.5</v>
      </c>
    </row>
    <row r="29" spans="1:5" x14ac:dyDescent="0.2">
      <c r="A29" s="82" t="s">
        <v>67</v>
      </c>
      <c r="B29" s="65"/>
      <c r="C29" s="6">
        <v>17.2</v>
      </c>
      <c r="D29" s="6"/>
      <c r="E29" s="73">
        <f t="shared" si="1"/>
        <v>17.2</v>
      </c>
    </row>
    <row r="30" spans="1:5" x14ac:dyDescent="0.2">
      <c r="A30" s="82" t="s">
        <v>87</v>
      </c>
      <c r="B30" s="65"/>
      <c r="C30" s="6">
        <v>10</v>
      </c>
      <c r="D30" s="6">
        <v>2</v>
      </c>
      <c r="E30" s="73">
        <f t="shared" si="1"/>
        <v>8</v>
      </c>
    </row>
    <row r="31" spans="1:5" x14ac:dyDescent="0.2">
      <c r="A31" s="82" t="s">
        <v>66</v>
      </c>
      <c r="B31" s="65"/>
      <c r="C31" s="6">
        <v>0.6</v>
      </c>
      <c r="D31" s="6">
        <v>0.6</v>
      </c>
      <c r="E31" s="74">
        <f t="shared" si="1"/>
        <v>0</v>
      </c>
    </row>
    <row r="32" spans="1:5" x14ac:dyDescent="0.2">
      <c r="A32" s="67" t="s">
        <v>104</v>
      </c>
      <c r="B32" s="68"/>
      <c r="C32" s="75">
        <f>SUM(C25:C31)</f>
        <v>110.3</v>
      </c>
      <c r="D32" s="75">
        <f>SUM(D25:D31)</f>
        <v>2.6</v>
      </c>
      <c r="E32" s="76">
        <f>SUM(E25:E31)</f>
        <v>107.7</v>
      </c>
    </row>
    <row r="33" spans="1:5" x14ac:dyDescent="0.2">
      <c r="A33" s="82" t="s">
        <v>69</v>
      </c>
      <c r="B33" s="65"/>
      <c r="C33" s="6">
        <v>56</v>
      </c>
      <c r="D33" s="6">
        <v>56</v>
      </c>
      <c r="E33" s="73">
        <f>+C33-D33</f>
        <v>0</v>
      </c>
    </row>
    <row r="34" spans="1:5" s="84" customFormat="1" ht="15.75" x14ac:dyDescent="0.25">
      <c r="A34" s="69" t="s">
        <v>70</v>
      </c>
      <c r="B34" s="70"/>
      <c r="C34" s="77">
        <f>+C33+C32+C24+C19</f>
        <v>572.79999999999995</v>
      </c>
      <c r="D34" s="77">
        <f>+D33+D32+D24+D19</f>
        <v>160.1</v>
      </c>
      <c r="E34" s="78">
        <f>+E33+E32+E24+E19</f>
        <v>412.7</v>
      </c>
    </row>
    <row r="35" spans="1:5" ht="20.100000000000001" customHeight="1" x14ac:dyDescent="0.2">
      <c r="C35" s="4"/>
      <c r="D35" s="4"/>
      <c r="E35" s="4"/>
    </row>
    <row r="36" spans="1:5" ht="18" x14ac:dyDescent="0.25">
      <c r="A36" s="79" t="s">
        <v>71</v>
      </c>
      <c r="C36" s="4"/>
      <c r="D36" s="4"/>
      <c r="E36" s="4"/>
    </row>
    <row r="37" spans="1:5" x14ac:dyDescent="0.2">
      <c r="A37" s="81" t="s">
        <v>74</v>
      </c>
      <c r="B37" s="63"/>
      <c r="C37" s="71">
        <v>103</v>
      </c>
      <c r="D37" s="71">
        <v>103</v>
      </c>
      <c r="E37" s="72">
        <f>+C37-D37</f>
        <v>0</v>
      </c>
    </row>
    <row r="38" spans="1:5" x14ac:dyDescent="0.2">
      <c r="A38" s="82" t="s">
        <v>73</v>
      </c>
      <c r="B38" s="65"/>
      <c r="C38" s="6">
        <v>45</v>
      </c>
      <c r="D38" s="6">
        <v>15</v>
      </c>
      <c r="E38" s="73">
        <f>+C38-D38</f>
        <v>30</v>
      </c>
    </row>
    <row r="39" spans="1:5" x14ac:dyDescent="0.2">
      <c r="A39" s="83" t="s">
        <v>35</v>
      </c>
      <c r="B39" s="51"/>
      <c r="C39" s="5">
        <v>13.3</v>
      </c>
      <c r="D39" s="5"/>
      <c r="E39" s="74">
        <f>+C39-D39</f>
        <v>13.3</v>
      </c>
    </row>
    <row r="40" spans="1:5" ht="15.75" x14ac:dyDescent="0.25">
      <c r="A40" s="69" t="s">
        <v>75</v>
      </c>
      <c r="B40" s="70"/>
      <c r="C40" s="77">
        <f>SUM(C37:C39)</f>
        <v>161.30000000000001</v>
      </c>
      <c r="D40" s="77">
        <f>SUM(D37:D39)</f>
        <v>118</v>
      </c>
      <c r="E40" s="78">
        <f>SUM(E37:E39)</f>
        <v>43.3</v>
      </c>
    </row>
    <row r="41" spans="1:5" ht="12" customHeight="1" x14ac:dyDescent="0.2">
      <c r="C41" s="4"/>
      <c r="D41" s="4"/>
      <c r="E41" s="4"/>
    </row>
    <row r="42" spans="1:5" s="79" customFormat="1" ht="18" x14ac:dyDescent="0.25">
      <c r="A42" s="89" t="s">
        <v>76</v>
      </c>
      <c r="B42" s="90"/>
      <c r="C42" s="91">
        <f>+C40+C34</f>
        <v>734.09999999999991</v>
      </c>
      <c r="D42" s="91">
        <f>+D40+D34</f>
        <v>278.10000000000002</v>
      </c>
      <c r="E42" s="92">
        <f>+E40+E34</f>
        <v>456</v>
      </c>
    </row>
    <row r="43" spans="1:5" ht="15" customHeight="1" x14ac:dyDescent="0.2"/>
    <row r="44" spans="1:5" ht="18" x14ac:dyDescent="0.25">
      <c r="A44" s="79" t="s">
        <v>77</v>
      </c>
    </row>
    <row r="45" spans="1:5" x14ac:dyDescent="0.2">
      <c r="A45" s="61" t="s">
        <v>36</v>
      </c>
      <c r="B45" s="62"/>
      <c r="C45" s="62"/>
      <c r="D45" s="62"/>
      <c r="E45" s="72">
        <v>0</v>
      </c>
    </row>
    <row r="46" spans="1:5" x14ac:dyDescent="0.2">
      <c r="A46" s="64" t="s">
        <v>34</v>
      </c>
      <c r="B46" s="18"/>
      <c r="C46" s="18"/>
      <c r="D46" s="18"/>
      <c r="E46" s="73">
        <v>0</v>
      </c>
    </row>
    <row r="47" spans="1:5" x14ac:dyDescent="0.2">
      <c r="A47" s="64" t="s">
        <v>109</v>
      </c>
      <c r="B47" s="18"/>
      <c r="C47" s="18"/>
      <c r="D47" s="18"/>
      <c r="E47" s="73">
        <v>20.7</v>
      </c>
    </row>
    <row r="48" spans="1:5" x14ac:dyDescent="0.2">
      <c r="A48" s="64" t="s">
        <v>88</v>
      </c>
      <c r="B48" s="18"/>
      <c r="C48" s="18"/>
      <c r="D48" s="18"/>
      <c r="E48" s="73">
        <v>17.5</v>
      </c>
    </row>
    <row r="49" spans="1:5" x14ac:dyDescent="0.2">
      <c r="A49" s="64" t="s">
        <v>37</v>
      </c>
      <c r="B49" s="18"/>
      <c r="C49" s="18"/>
      <c r="D49" s="18"/>
      <c r="E49" s="73">
        <v>11</v>
      </c>
    </row>
    <row r="50" spans="1:5" x14ac:dyDescent="0.2">
      <c r="A50" s="64" t="s">
        <v>38</v>
      </c>
      <c r="B50" s="18"/>
      <c r="C50" s="18"/>
      <c r="D50" s="18"/>
      <c r="E50" s="73">
        <v>9</v>
      </c>
    </row>
    <row r="51" spans="1:5" x14ac:dyDescent="0.2">
      <c r="A51" s="64" t="s">
        <v>40</v>
      </c>
      <c r="B51" s="18"/>
      <c r="C51" s="18"/>
      <c r="D51" s="27"/>
      <c r="E51" s="73">
        <v>6</v>
      </c>
    </row>
    <row r="52" spans="1:5" x14ac:dyDescent="0.2">
      <c r="A52" s="64" t="s">
        <v>89</v>
      </c>
      <c r="B52" s="18"/>
      <c r="C52" s="18"/>
      <c r="D52" s="18"/>
      <c r="E52" s="73">
        <v>4.7</v>
      </c>
    </row>
    <row r="53" spans="1:5" x14ac:dyDescent="0.2">
      <c r="A53" s="64" t="s">
        <v>90</v>
      </c>
      <c r="B53" s="18"/>
      <c r="C53" s="18"/>
      <c r="D53" s="18"/>
      <c r="E53" s="73">
        <v>2.2000000000000002</v>
      </c>
    </row>
    <row r="54" spans="1:5" x14ac:dyDescent="0.2">
      <c r="A54" s="64" t="s">
        <v>91</v>
      </c>
      <c r="B54" s="18"/>
      <c r="C54" s="18"/>
      <c r="D54" s="18"/>
      <c r="E54" s="73">
        <v>2</v>
      </c>
    </row>
    <row r="55" spans="1:5" x14ac:dyDescent="0.2">
      <c r="A55" s="66" t="s">
        <v>39</v>
      </c>
      <c r="B55" s="7"/>
      <c r="C55" s="7"/>
      <c r="D55" s="7"/>
      <c r="E55" s="74">
        <v>1.6</v>
      </c>
    </row>
    <row r="56" spans="1:5" s="79" customFormat="1" ht="18" x14ac:dyDescent="0.25">
      <c r="A56" s="101" t="s">
        <v>105</v>
      </c>
      <c r="B56" s="102"/>
      <c r="C56" s="102"/>
      <c r="D56" s="102"/>
      <c r="E56" s="92">
        <f>SUM(E45:E55)</f>
        <v>74.7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9" sqref="D19"/>
    </sheetView>
  </sheetViews>
  <sheetFormatPr defaultRowHeight="12.75" x14ac:dyDescent="0.2"/>
  <cols>
    <col min="1" max="1" width="37.42578125" style="59" customWidth="1"/>
    <col min="2" max="5" width="11.7109375" style="59" customWidth="1"/>
    <col min="6" max="16384" width="9.140625" style="59"/>
  </cols>
  <sheetData>
    <row r="1" spans="1:6" s="79" customFormat="1" ht="18" x14ac:dyDescent="0.25">
      <c r="A1" s="79" t="s">
        <v>50</v>
      </c>
      <c r="C1" s="86" t="s">
        <v>51</v>
      </c>
      <c r="D1" s="263">
        <f ca="1">+Forecast!T1</f>
        <v>37040</v>
      </c>
      <c r="E1" s="263"/>
      <c r="F1" s="85"/>
    </row>
    <row r="2" spans="1:6" ht="17.25" customHeight="1" x14ac:dyDescent="0.2"/>
    <row r="3" spans="1:6" ht="18" x14ac:dyDescent="0.2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2">
      <c r="A4" s="81" t="s">
        <v>135</v>
      </c>
      <c r="B4" s="63" t="s">
        <v>58</v>
      </c>
      <c r="C4" s="71">
        <v>20</v>
      </c>
      <c r="D4" s="71">
        <v>20</v>
      </c>
      <c r="E4" s="72">
        <f>+C4-D4</f>
        <v>0</v>
      </c>
    </row>
    <row r="5" spans="1:6" x14ac:dyDescent="0.2">
      <c r="A5" s="82" t="s">
        <v>108</v>
      </c>
      <c r="B5" s="65" t="s">
        <v>107</v>
      </c>
      <c r="C5" s="6">
        <f>28.8-15</f>
        <v>13.8</v>
      </c>
      <c r="D5" s="6"/>
      <c r="E5" s="73">
        <f>+C5-+D5</f>
        <v>13.8</v>
      </c>
    </row>
    <row r="6" spans="1:6" x14ac:dyDescent="0.2">
      <c r="A6" s="82" t="s">
        <v>111</v>
      </c>
      <c r="B6" s="65" t="s">
        <v>58</v>
      </c>
      <c r="C6" s="6">
        <f>+Prudency!C8</f>
        <v>70</v>
      </c>
      <c r="D6" s="6"/>
      <c r="E6" s="73">
        <f>+C6-+D6</f>
        <v>70</v>
      </c>
    </row>
    <row r="7" spans="1:6" x14ac:dyDescent="0.2">
      <c r="A7" s="82" t="s">
        <v>81</v>
      </c>
      <c r="B7" s="65" t="s">
        <v>58</v>
      </c>
      <c r="C7" s="6">
        <f>+Prudency!C9</f>
        <v>25</v>
      </c>
      <c r="D7" s="6"/>
      <c r="E7" s="73">
        <f>+C7-+D7</f>
        <v>25</v>
      </c>
    </row>
    <row r="8" spans="1:6" x14ac:dyDescent="0.2">
      <c r="A8" s="82" t="s">
        <v>82</v>
      </c>
      <c r="B8" s="65" t="s">
        <v>58</v>
      </c>
      <c r="C8" s="6">
        <v>20</v>
      </c>
      <c r="D8" s="6">
        <v>20</v>
      </c>
      <c r="E8" s="73">
        <f t="shared" ref="E8:E16" si="0">+C8-D8</f>
        <v>0</v>
      </c>
    </row>
    <row r="9" spans="1:6" x14ac:dyDescent="0.2">
      <c r="A9" s="82" t="s">
        <v>83</v>
      </c>
      <c r="B9" s="65" t="s">
        <v>58</v>
      </c>
      <c r="C9" s="6">
        <f>+Prudency!C11</f>
        <v>15</v>
      </c>
      <c r="D9" s="6"/>
      <c r="E9" s="73">
        <f t="shared" si="0"/>
        <v>15</v>
      </c>
    </row>
    <row r="10" spans="1:6" x14ac:dyDescent="0.2">
      <c r="A10" s="82" t="s">
        <v>56</v>
      </c>
      <c r="B10" s="65" t="s">
        <v>58</v>
      </c>
      <c r="C10" s="6">
        <f>+Prudency!C12</f>
        <v>10</v>
      </c>
      <c r="D10" s="6"/>
      <c r="E10" s="73">
        <f t="shared" si="0"/>
        <v>10</v>
      </c>
    </row>
    <row r="11" spans="1:6" x14ac:dyDescent="0.2">
      <c r="A11" s="82" t="s">
        <v>84</v>
      </c>
      <c r="B11" s="65" t="s">
        <v>58</v>
      </c>
      <c r="C11" s="6">
        <f>+Prudency!C13</f>
        <v>10</v>
      </c>
      <c r="D11" s="6"/>
      <c r="E11" s="73">
        <f t="shared" si="0"/>
        <v>10</v>
      </c>
    </row>
    <row r="12" spans="1:6" x14ac:dyDescent="0.2">
      <c r="A12" s="82" t="s">
        <v>85</v>
      </c>
      <c r="B12" s="65" t="s">
        <v>59</v>
      </c>
      <c r="C12" s="6">
        <f>+Prudency!C14</f>
        <v>3.2</v>
      </c>
      <c r="D12" s="6">
        <v>3.2</v>
      </c>
      <c r="E12" s="73">
        <f t="shared" si="0"/>
        <v>0</v>
      </c>
    </row>
    <row r="13" spans="1:6" x14ac:dyDescent="0.2">
      <c r="A13" s="82" t="s">
        <v>62</v>
      </c>
      <c r="B13" s="65" t="s">
        <v>61</v>
      </c>
      <c r="C13" s="6">
        <f>+Prudency!C15</f>
        <v>1.1000000000000001</v>
      </c>
      <c r="D13" s="6">
        <v>1.1000000000000001</v>
      </c>
      <c r="E13" s="73">
        <f t="shared" si="0"/>
        <v>0</v>
      </c>
    </row>
    <row r="14" spans="1:6" x14ac:dyDescent="0.2">
      <c r="A14" s="82" t="s">
        <v>57</v>
      </c>
      <c r="B14" s="65" t="s">
        <v>59</v>
      </c>
      <c r="C14" s="6">
        <f>+Prudency!C16</f>
        <v>0.9</v>
      </c>
      <c r="D14" s="6">
        <v>0.9</v>
      </c>
      <c r="E14" s="73">
        <f t="shared" si="0"/>
        <v>0</v>
      </c>
    </row>
    <row r="15" spans="1:6" x14ac:dyDescent="0.2">
      <c r="A15" s="82" t="s">
        <v>55</v>
      </c>
      <c r="B15" s="65" t="s">
        <v>14</v>
      </c>
      <c r="C15" s="6">
        <f>+Prudency!C17</f>
        <v>0.5</v>
      </c>
      <c r="D15" s="6">
        <v>0.5</v>
      </c>
      <c r="E15" s="73">
        <f t="shared" si="0"/>
        <v>0</v>
      </c>
    </row>
    <row r="16" spans="1:6" x14ac:dyDescent="0.2">
      <c r="A16" s="82" t="s">
        <v>86</v>
      </c>
      <c r="B16" s="65" t="s">
        <v>60</v>
      </c>
      <c r="C16" s="6">
        <f>+Prudency!C18</f>
        <v>0.9</v>
      </c>
      <c r="D16" s="6">
        <v>0.9</v>
      </c>
      <c r="E16" s="73">
        <f t="shared" si="0"/>
        <v>0</v>
      </c>
    </row>
    <row r="17" spans="1:5" x14ac:dyDescent="0.2">
      <c r="A17" s="67" t="s">
        <v>102</v>
      </c>
      <c r="B17" s="68"/>
      <c r="C17" s="75">
        <f>SUM(C4:C16)</f>
        <v>190.4</v>
      </c>
      <c r="D17" s="75">
        <f>SUM(D4:D16)</f>
        <v>46.6</v>
      </c>
      <c r="E17" s="76">
        <f>SUM(E4:E16)</f>
        <v>143.80000000000001</v>
      </c>
    </row>
    <row r="18" spans="1:5" x14ac:dyDescent="0.2">
      <c r="A18" s="81" t="s">
        <v>72</v>
      </c>
      <c r="B18" s="63"/>
      <c r="C18" s="71">
        <v>90.9</v>
      </c>
      <c r="D18" s="71">
        <v>90.9</v>
      </c>
      <c r="E18" s="72">
        <f>+C18-+D18</f>
        <v>0</v>
      </c>
    </row>
    <row r="19" spans="1:5" x14ac:dyDescent="0.2">
      <c r="A19" s="82" t="s">
        <v>63</v>
      </c>
      <c r="B19" s="65"/>
      <c r="C19" s="6">
        <f>+Prudency!C21</f>
        <v>2.1</v>
      </c>
      <c r="D19" s="6">
        <v>2.1</v>
      </c>
      <c r="E19" s="73">
        <f>+C19-D19</f>
        <v>0</v>
      </c>
    </row>
    <row r="20" spans="1:5" x14ac:dyDescent="0.2">
      <c r="A20" s="82" t="s">
        <v>64</v>
      </c>
      <c r="B20" s="65"/>
      <c r="C20" s="6">
        <f>+Prudency!C22</f>
        <v>1.2</v>
      </c>
      <c r="D20" s="6">
        <v>1.2</v>
      </c>
      <c r="E20" s="73">
        <f>+C20-D20</f>
        <v>0</v>
      </c>
    </row>
    <row r="21" spans="1:5" x14ac:dyDescent="0.2">
      <c r="A21" s="83" t="s">
        <v>65</v>
      </c>
      <c r="B21" s="51"/>
      <c r="C21" s="5">
        <f>+Prudency!C23</f>
        <v>0.7</v>
      </c>
      <c r="D21" s="5">
        <v>0.7</v>
      </c>
      <c r="E21" s="74">
        <f>+C21-D21</f>
        <v>0</v>
      </c>
    </row>
    <row r="22" spans="1:5" x14ac:dyDescent="0.2">
      <c r="A22" s="67" t="s">
        <v>103</v>
      </c>
      <c r="B22" s="68"/>
      <c r="C22" s="75">
        <f>SUM(C18:C21)</f>
        <v>94.9</v>
      </c>
      <c r="D22" s="75">
        <f>SUM(D18:D21)</f>
        <v>94.9</v>
      </c>
      <c r="E22" s="76">
        <f>SUM(E18:E21)</f>
        <v>0</v>
      </c>
    </row>
    <row r="23" spans="1:5" x14ac:dyDescent="0.2">
      <c r="A23" s="81" t="s">
        <v>68</v>
      </c>
      <c r="B23" s="63"/>
      <c r="C23" s="71">
        <f>+Prudency!C25</f>
        <v>60</v>
      </c>
      <c r="D23" s="71"/>
      <c r="E23" s="72">
        <f>+C23-+D23</f>
        <v>60</v>
      </c>
    </row>
    <row r="24" spans="1:5" x14ac:dyDescent="0.2">
      <c r="A24" s="82" t="s">
        <v>112</v>
      </c>
      <c r="B24" s="65"/>
      <c r="C24" s="6">
        <f>+Prudency!C26</f>
        <v>35</v>
      </c>
      <c r="D24" s="6"/>
      <c r="E24" s="73">
        <f t="shared" ref="E24:E29" si="1">+C24-D24</f>
        <v>35</v>
      </c>
    </row>
    <row r="25" spans="1:5" x14ac:dyDescent="0.2">
      <c r="A25" s="82" t="s">
        <v>110</v>
      </c>
      <c r="B25" s="65"/>
      <c r="C25" s="6">
        <f>+Prudency!C27</f>
        <v>25</v>
      </c>
      <c r="D25" s="6"/>
      <c r="E25" s="73">
        <f t="shared" si="1"/>
        <v>25</v>
      </c>
    </row>
    <row r="26" spans="1:5" x14ac:dyDescent="0.2">
      <c r="A26" s="82" t="s">
        <v>141</v>
      </c>
      <c r="B26" s="65"/>
      <c r="C26" s="6">
        <v>-37.5</v>
      </c>
      <c r="D26" s="6"/>
      <c r="E26" s="73">
        <f t="shared" si="1"/>
        <v>-37.5</v>
      </c>
    </row>
    <row r="27" spans="1:5" x14ac:dyDescent="0.2">
      <c r="A27" s="82" t="s">
        <v>67</v>
      </c>
      <c r="B27" s="65"/>
      <c r="C27" s="6">
        <f>+Prudency!C29</f>
        <v>17.2</v>
      </c>
      <c r="D27" s="6"/>
      <c r="E27" s="73">
        <f t="shared" si="1"/>
        <v>17.2</v>
      </c>
    </row>
    <row r="28" spans="1:5" x14ac:dyDescent="0.2">
      <c r="A28" s="82" t="s">
        <v>87</v>
      </c>
      <c r="B28" s="65"/>
      <c r="C28" s="6">
        <f>+Prudency!C30</f>
        <v>10</v>
      </c>
      <c r="D28" s="6">
        <v>2</v>
      </c>
      <c r="E28" s="73">
        <f t="shared" si="1"/>
        <v>8</v>
      </c>
    </row>
    <row r="29" spans="1:5" x14ac:dyDescent="0.2">
      <c r="A29" s="82" t="s">
        <v>66</v>
      </c>
      <c r="B29" s="65"/>
      <c r="C29" s="6">
        <f>+Prudency!C31</f>
        <v>0.6</v>
      </c>
      <c r="D29" s="6">
        <v>0.6</v>
      </c>
      <c r="E29" s="74">
        <f t="shared" si="1"/>
        <v>0</v>
      </c>
    </row>
    <row r="30" spans="1:5" x14ac:dyDescent="0.2">
      <c r="A30" s="67" t="s">
        <v>104</v>
      </c>
      <c r="B30" s="68"/>
      <c r="C30" s="75">
        <f>SUM(C23:C29)</f>
        <v>110.3</v>
      </c>
      <c r="D30" s="75">
        <f>SUM(D23:D29)</f>
        <v>2.6</v>
      </c>
      <c r="E30" s="76">
        <f>SUM(E23:E29)</f>
        <v>107.7</v>
      </c>
    </row>
    <row r="31" spans="1:5" x14ac:dyDescent="0.2">
      <c r="A31" s="82" t="s">
        <v>69</v>
      </c>
      <c r="B31" s="65"/>
      <c r="C31" s="6">
        <f>+Prudency!C33</f>
        <v>56</v>
      </c>
      <c r="D31" s="6">
        <v>56</v>
      </c>
      <c r="E31" s="73">
        <f>+C31-D31</f>
        <v>0</v>
      </c>
    </row>
    <row r="32" spans="1:5" s="84" customFormat="1" ht="15.75" x14ac:dyDescent="0.25">
      <c r="A32" s="69" t="s">
        <v>70</v>
      </c>
      <c r="B32" s="70"/>
      <c r="C32" s="77">
        <f>+C31+C30+C22+C17</f>
        <v>451.6</v>
      </c>
      <c r="D32" s="77">
        <f>+D31+D30+D22+D17</f>
        <v>200.1</v>
      </c>
      <c r="E32" s="78">
        <f>+E31+E30+E22+E17</f>
        <v>251.5</v>
      </c>
    </row>
    <row r="33" spans="1:5" ht="20.100000000000001" customHeight="1" x14ac:dyDescent="0.2">
      <c r="C33" s="4"/>
      <c r="D33" s="4"/>
      <c r="E33" s="4"/>
    </row>
    <row r="34" spans="1:5" ht="18" x14ac:dyDescent="0.25">
      <c r="A34" s="79" t="s">
        <v>71</v>
      </c>
      <c r="C34" s="4"/>
      <c r="D34" s="4"/>
      <c r="E34" s="4"/>
    </row>
    <row r="35" spans="1:5" x14ac:dyDescent="0.2">
      <c r="A35" s="81" t="s">
        <v>74</v>
      </c>
      <c r="B35" s="63"/>
      <c r="C35" s="71">
        <f>+Prudency!C37</f>
        <v>103</v>
      </c>
      <c r="D35" s="71">
        <v>103</v>
      </c>
      <c r="E35" s="72">
        <f t="shared" ref="E35:E42" si="2">+C35-D35</f>
        <v>0</v>
      </c>
    </row>
    <row r="36" spans="1:5" x14ac:dyDescent="0.2">
      <c r="A36" s="82" t="s">
        <v>73</v>
      </c>
      <c r="B36" s="65"/>
      <c r="C36" s="6">
        <f>+Prudency!C38</f>
        <v>45</v>
      </c>
      <c r="D36" s="6">
        <v>15</v>
      </c>
      <c r="E36" s="73">
        <f t="shared" si="2"/>
        <v>30</v>
      </c>
    </row>
    <row r="37" spans="1:5" x14ac:dyDescent="0.2">
      <c r="A37" s="82" t="s">
        <v>136</v>
      </c>
      <c r="B37" s="65"/>
      <c r="C37" s="6">
        <v>71</v>
      </c>
      <c r="D37" s="6">
        <v>0</v>
      </c>
      <c r="E37" s="73">
        <f>+C37-D37</f>
        <v>71</v>
      </c>
    </row>
    <row r="38" spans="1:5" x14ac:dyDescent="0.2">
      <c r="A38" s="82" t="s">
        <v>88</v>
      </c>
      <c r="B38" s="65"/>
      <c r="C38" s="6">
        <v>17</v>
      </c>
      <c r="D38" s="6">
        <v>17</v>
      </c>
      <c r="E38" s="73">
        <f t="shared" si="2"/>
        <v>0</v>
      </c>
    </row>
    <row r="39" spans="1:5" x14ac:dyDescent="0.2">
      <c r="A39" s="82" t="s">
        <v>35</v>
      </c>
      <c r="B39" s="65"/>
      <c r="C39" s="6">
        <f>+Prudency!C39</f>
        <v>13.3</v>
      </c>
      <c r="D39" s="6"/>
      <c r="E39" s="73">
        <f t="shared" si="2"/>
        <v>13.3</v>
      </c>
    </row>
    <row r="40" spans="1:5" x14ac:dyDescent="0.2">
      <c r="A40" s="82" t="s">
        <v>109</v>
      </c>
      <c r="B40" s="65"/>
      <c r="C40" s="6">
        <v>20.7</v>
      </c>
      <c r="D40" s="6">
        <v>20.7</v>
      </c>
      <c r="E40" s="73">
        <f t="shared" si="2"/>
        <v>0</v>
      </c>
    </row>
    <row r="41" spans="1:5" x14ac:dyDescent="0.2">
      <c r="A41" s="82" t="s">
        <v>133</v>
      </c>
      <c r="B41" s="65"/>
      <c r="C41" s="6">
        <v>9.5</v>
      </c>
      <c r="D41" s="6">
        <v>9.5</v>
      </c>
      <c r="E41" s="73">
        <f t="shared" si="2"/>
        <v>0</v>
      </c>
    </row>
    <row r="42" spans="1:5" x14ac:dyDescent="0.2">
      <c r="A42" s="83" t="s">
        <v>132</v>
      </c>
      <c r="B42" s="51"/>
      <c r="C42" s="5">
        <v>3</v>
      </c>
      <c r="D42" s="5">
        <v>3</v>
      </c>
      <c r="E42" s="74">
        <f t="shared" si="2"/>
        <v>0</v>
      </c>
    </row>
    <row r="43" spans="1:5" ht="15.75" x14ac:dyDescent="0.25">
      <c r="A43" s="133" t="s">
        <v>75</v>
      </c>
      <c r="B43" s="134"/>
      <c r="C43" s="135">
        <f>SUM(C35:C42)</f>
        <v>282.5</v>
      </c>
      <c r="D43" s="135">
        <f>SUM(D35:D42)</f>
        <v>168.2</v>
      </c>
      <c r="E43" s="136">
        <f>SUM(E35:E42)</f>
        <v>114.3</v>
      </c>
    </row>
    <row r="44" spans="1:5" ht="12" customHeight="1" x14ac:dyDescent="0.2">
      <c r="C44" s="4"/>
      <c r="D44" s="4"/>
      <c r="E44" s="4"/>
    </row>
    <row r="45" spans="1:5" s="79" customFormat="1" ht="18" x14ac:dyDescent="0.25">
      <c r="A45" s="89" t="s">
        <v>76</v>
      </c>
      <c r="B45" s="90"/>
      <c r="C45" s="91">
        <f>+C43+C32</f>
        <v>734.1</v>
      </c>
      <c r="D45" s="91">
        <f>+D43+D32</f>
        <v>368.29999999999995</v>
      </c>
      <c r="E45" s="92">
        <f>+E43+E32</f>
        <v>365.8</v>
      </c>
    </row>
    <row r="46" spans="1:5" ht="18" x14ac:dyDescent="0.25">
      <c r="A46" s="105" t="s">
        <v>124</v>
      </c>
      <c r="B46" s="106"/>
      <c r="C46" s="107">
        <v>-149</v>
      </c>
      <c r="D46" s="107"/>
      <c r="E46" s="108">
        <f>+C46-D46</f>
        <v>-149</v>
      </c>
    </row>
    <row r="47" spans="1:5" ht="18" x14ac:dyDescent="0.25">
      <c r="A47" s="89" t="s">
        <v>125</v>
      </c>
      <c r="B47" s="90"/>
      <c r="C47" s="109">
        <f>SUM(C45:C46)</f>
        <v>585.1</v>
      </c>
      <c r="D47" s="109">
        <f>SUM(D45:D46)</f>
        <v>368.29999999999995</v>
      </c>
      <c r="E47" s="109">
        <f>SUM(E45:E46)</f>
        <v>216.8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8" sqref="D8"/>
    </sheetView>
  </sheetViews>
  <sheetFormatPr defaultRowHeight="12.75" x14ac:dyDescent="0.2"/>
  <cols>
    <col min="1" max="1" width="25.5703125" customWidth="1"/>
    <col min="2" max="2" width="16" customWidth="1"/>
    <col min="4" max="4" width="10.42578125" customWidth="1"/>
  </cols>
  <sheetData>
    <row r="1" spans="1:4" ht="23.25" x14ac:dyDescent="0.35">
      <c r="A1" s="110" t="s">
        <v>127</v>
      </c>
    </row>
    <row r="2" spans="1:4" ht="20.25" x14ac:dyDescent="0.3">
      <c r="A2" s="132" t="s">
        <v>128</v>
      </c>
    </row>
    <row r="3" spans="1:4" ht="39.950000000000003" customHeight="1" x14ac:dyDescent="0.2"/>
    <row r="4" spans="1:4" x14ac:dyDescent="0.2">
      <c r="A4" s="139"/>
      <c r="B4" s="129"/>
      <c r="C4" s="129"/>
      <c r="D4" s="143" t="s">
        <v>134</v>
      </c>
    </row>
    <row r="5" spans="1:4" x14ac:dyDescent="0.2">
      <c r="A5" s="117"/>
      <c r="B5" s="118"/>
      <c r="C5" s="118"/>
      <c r="D5" s="140"/>
    </row>
    <row r="6" spans="1:4" ht="15.75" x14ac:dyDescent="0.25">
      <c r="A6" s="141" t="s">
        <v>113</v>
      </c>
      <c r="B6" s="138">
        <v>36763</v>
      </c>
      <c r="C6" s="137"/>
      <c r="D6" s="142">
        <v>196</v>
      </c>
    </row>
    <row r="7" spans="1:4" x14ac:dyDescent="0.2">
      <c r="A7" s="114" t="s">
        <v>129</v>
      </c>
      <c r="B7" s="111"/>
      <c r="C7" s="111"/>
      <c r="D7" s="125">
        <v>104</v>
      </c>
    </row>
    <row r="8" spans="1:4" x14ac:dyDescent="0.2">
      <c r="A8" s="115" t="s">
        <v>114</v>
      </c>
      <c r="B8" s="116"/>
      <c r="C8" s="116"/>
      <c r="D8" s="126">
        <f>SUM(D6:D7)</f>
        <v>300</v>
      </c>
    </row>
    <row r="9" spans="1:4" x14ac:dyDescent="0.2">
      <c r="A9" s="117" t="s">
        <v>115</v>
      </c>
      <c r="B9" s="118"/>
      <c r="C9" s="118"/>
      <c r="D9" s="127">
        <v>149</v>
      </c>
    </row>
    <row r="10" spans="1:4" ht="15.75" thickBot="1" x14ac:dyDescent="0.25">
      <c r="A10" s="119" t="s">
        <v>131</v>
      </c>
      <c r="B10" s="120"/>
      <c r="C10" s="120"/>
      <c r="D10" s="123">
        <f>SUM(D8:D9)</f>
        <v>449</v>
      </c>
    </row>
    <row r="11" spans="1:4" ht="30" customHeight="1" thickTop="1" x14ac:dyDescent="0.2">
      <c r="D11" s="124"/>
    </row>
    <row r="12" spans="1:4" ht="15.75" x14ac:dyDescent="0.25">
      <c r="A12" s="128" t="s">
        <v>116</v>
      </c>
      <c r="B12" s="129"/>
      <c r="C12" s="129"/>
      <c r="D12" s="130"/>
    </row>
    <row r="13" spans="1:4" x14ac:dyDescent="0.2">
      <c r="A13" s="117" t="s">
        <v>117</v>
      </c>
      <c r="B13" s="118"/>
      <c r="C13" s="118"/>
      <c r="D13" s="131">
        <v>75</v>
      </c>
    </row>
    <row r="14" spans="1:4" x14ac:dyDescent="0.2">
      <c r="A14" s="117" t="s">
        <v>118</v>
      </c>
      <c r="B14" s="118"/>
      <c r="C14" s="118"/>
      <c r="D14" s="127">
        <v>50</v>
      </c>
    </row>
    <row r="15" spans="1:4" x14ac:dyDescent="0.2">
      <c r="A15" s="117" t="s">
        <v>119</v>
      </c>
      <c r="B15" s="118"/>
      <c r="C15" s="118"/>
      <c r="D15" s="127">
        <v>55</v>
      </c>
    </row>
    <row r="16" spans="1:4" x14ac:dyDescent="0.2">
      <c r="A16" s="117" t="s">
        <v>120</v>
      </c>
      <c r="B16" s="118"/>
      <c r="C16" s="118"/>
      <c r="D16" s="127">
        <v>25</v>
      </c>
    </row>
    <row r="17" spans="1:4" x14ac:dyDescent="0.2">
      <c r="A17" s="117" t="s">
        <v>121</v>
      </c>
      <c r="B17" s="118"/>
      <c r="C17" s="118"/>
      <c r="D17" s="127">
        <v>50</v>
      </c>
    </row>
    <row r="18" spans="1:4" x14ac:dyDescent="0.2">
      <c r="A18" s="117" t="s">
        <v>122</v>
      </c>
      <c r="B18" s="118"/>
      <c r="C18" s="118"/>
      <c r="D18" s="127">
        <v>50</v>
      </c>
    </row>
    <row r="19" spans="1:4" ht="15.75" thickBot="1" x14ac:dyDescent="0.25">
      <c r="A19" s="119" t="s">
        <v>126</v>
      </c>
      <c r="B19" s="120"/>
      <c r="C19" s="120"/>
      <c r="D19" s="123">
        <f>SUM(D13:D18)</f>
        <v>305</v>
      </c>
    </row>
    <row r="20" spans="1:4" ht="30" customHeight="1" thickTop="1" x14ac:dyDescent="0.2">
      <c r="D20" s="124"/>
    </row>
    <row r="21" spans="1:4" ht="15.75" x14ac:dyDescent="0.25">
      <c r="A21" s="112" t="s">
        <v>123</v>
      </c>
      <c r="B21" s="113"/>
      <c r="C21" s="113"/>
      <c r="D21" s="122">
        <f>+D10-D19</f>
        <v>144</v>
      </c>
    </row>
    <row r="22" spans="1:4" x14ac:dyDescent="0.2">
      <c r="A22" s="114"/>
      <c r="B22" s="111"/>
      <c r="C22" s="111"/>
      <c r="D22" s="125"/>
    </row>
    <row r="23" spans="1:4" ht="15.75" thickBot="1" x14ac:dyDescent="0.25">
      <c r="A23" s="119" t="s">
        <v>130</v>
      </c>
      <c r="B23" s="120"/>
      <c r="C23" s="120"/>
      <c r="D23" s="121">
        <f>+D21/12</f>
        <v>12</v>
      </c>
    </row>
    <row r="24" spans="1:4" ht="13.5" thickTop="1" x14ac:dyDescent="0.2"/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By Trader</vt:lpstr>
      <vt:lpstr>Daily Roll</vt:lpstr>
      <vt:lpstr>Schedule C</vt:lpstr>
      <vt:lpstr>Prudency Detail</vt:lpstr>
      <vt:lpstr>Forecast</vt:lpstr>
      <vt:lpstr>Prudency</vt:lpstr>
      <vt:lpstr>Prudency (2)</vt:lpstr>
      <vt:lpstr>Sheet3</vt:lpstr>
      <vt:lpstr>'By Trader'!Print_Area</vt:lpstr>
      <vt:lpstr>Forecast!Print_Area</vt:lpstr>
      <vt:lpstr>'Schedule 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Jan Havlíček</cp:lastModifiedBy>
  <cp:lastPrinted>2001-04-09T13:41:08Z</cp:lastPrinted>
  <dcterms:created xsi:type="dcterms:W3CDTF">2000-08-17T18:12:33Z</dcterms:created>
  <dcterms:modified xsi:type="dcterms:W3CDTF">2023-09-16T22:21:05Z</dcterms:modified>
</cp:coreProperties>
</file>