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FFA4F7A-1293-42A1-B236-2C5557799428}" xr6:coauthVersionLast="47" xr6:coauthVersionMax="47" xr10:uidLastSave="{00000000-0000-0000-0000-000000000000}"/>
  <bookViews>
    <workbookView xWindow="-120" yWindow="-120" windowWidth="38640" windowHeight="15720"/>
  </bookViews>
  <sheets>
    <sheet name="Summary 2002 Revised" sheetId="46" r:id="rId1"/>
    <sheet name="Summary 2002" sheetId="44" state="hidden" r:id="rId2"/>
    <sheet name="Derivatives w-o  AA" sheetId="86" state="hidden" r:id="rId3"/>
    <sheet name="Mexico" sheetId="84" state="hidden" r:id="rId4"/>
    <sheet name="East-Trading AA" sheetId="89" state="hidden" r:id="rId5"/>
    <sheet name="West-Trading AA" sheetId="81" state="hidden" r:id="rId6"/>
    <sheet name="Texas-Trading AA" sheetId="97" state="hidden" r:id="rId7"/>
    <sheet name="Financial - AA" sheetId="79" state="hidden" r:id="rId8"/>
    <sheet name="Derivatives AA" sheetId="85" state="hidden" r:id="rId9"/>
    <sheet name="Central - Trading AA" sheetId="75" state="hidden" r:id="rId10"/>
    <sheet name="Financial Gas" sheetId="66" state="hidden" r:id="rId11"/>
    <sheet name="East Power" sheetId="27" state="hidden" r:id="rId12"/>
    <sheet name="Texas - Trading" sheetId="107" r:id="rId13"/>
    <sheet name="East - Trading" sheetId="108" r:id="rId14"/>
    <sheet name="Central - Trading" sheetId="109" r:id="rId15"/>
    <sheet name="West - Trading" sheetId="110" r:id="rId16"/>
    <sheet name="Nymex" sheetId="111" r:id="rId17"/>
    <sheet name="Texas - Orig" sheetId="112" r:id="rId18"/>
    <sheet name="East - Orig" sheetId="113" r:id="rId19"/>
    <sheet name="Central - Orig" sheetId="114" r:id="rId20"/>
    <sheet name="West - Orig" sheetId="115" r:id="rId21"/>
    <sheet name="Deriv-Mex" sheetId="116" r:id="rId22"/>
    <sheet name="Crude" sheetId="117" r:id="rId23"/>
    <sheet name="Mgmt AA" sheetId="124" r:id="rId24"/>
    <sheet name="Ercot AA" sheetId="125" r:id="rId25"/>
    <sheet name="NE AA" sheetId="126" r:id="rId26"/>
    <sheet name="MW AA" sheetId="127" r:id="rId27"/>
    <sheet name="SE AA" sheetId="128" r:id="rId28"/>
    <sheet name="Options AA" sheetId="129" r:id="rId29"/>
    <sheet name="East Power Orig w Analyst" sheetId="130" state="hidden" r:id="rId30"/>
    <sheet name="Mgmt Orig AA" sheetId="173" r:id="rId31"/>
    <sheet name="Ercot Orig AA" sheetId="169" r:id="rId32"/>
    <sheet name="NE Orig AA" sheetId="171" r:id="rId33"/>
    <sheet name="MW Orig AA" sheetId="172" r:id="rId34"/>
    <sheet name="SE Orig AA" sheetId="170" r:id="rId35"/>
    <sheet name="West Power Consolidated Trading" sheetId="175" state="hidden" r:id="rId36"/>
    <sheet name="West Power Trading" sheetId="118" r:id="rId37"/>
    <sheet name="West Power Origination" sheetId="92" r:id="rId38"/>
    <sheet name="Canada Trading w-AA" sheetId="122" r:id="rId39"/>
    <sheet name="Canada Trading" sheetId="61" state="hidden" r:id="rId40"/>
    <sheet name="Canada A&amp;A-Trading" sheetId="120" state="hidden" r:id="rId41"/>
    <sheet name="Canada Orig w-AA" sheetId="123" r:id="rId42"/>
    <sheet name="Canada Origination" sheetId="62" state="hidden" r:id="rId43"/>
    <sheet name="Office of the Chair" sheetId="21" state="hidden" r:id="rId44"/>
    <sheet name="Canada A&amp;A-Orig" sheetId="121" state="hidden" r:id="rId45"/>
    <sheet name="Canada A&amp;A" sheetId="119" state="hidden" r:id="rId46"/>
    <sheet name="OOC w-o Adm" sheetId="103" r:id="rId47"/>
    <sheet name="OOC Admin" sheetId="176" r:id="rId48"/>
    <sheet name="Natural Gas Admin" sheetId="177" r:id="rId49"/>
    <sheet name="East Power Admins" sheetId="178" r:id="rId50"/>
    <sheet name="West Power Admins" sheetId="179" r:id="rId51"/>
    <sheet name="Reg Affairs" sheetId="180" r:id="rId52"/>
    <sheet name="Fundies-All" sheetId="181" r:id="rId53"/>
    <sheet name="Struct" sheetId="182" r:id="rId54"/>
    <sheet name="Weather" sheetId="183" r:id="rId55"/>
    <sheet name="Gas Risk" sheetId="184" r:id="rId56"/>
    <sheet name="Gas Vol Mgmt" sheetId="185" r:id="rId57"/>
    <sheet name="Gas Logistics" sheetId="186" r:id="rId58"/>
    <sheet name="Gas Settlemnt" sheetId="187" r:id="rId59"/>
    <sheet name="Pwr Risk" sheetId="188" r:id="rId60"/>
    <sheet name="Pwr Vol Mgmt" sheetId="189" r:id="rId61"/>
    <sheet name="Power Logistics" sheetId="190" r:id="rId62"/>
    <sheet name="Pwr Settlemt" sheetId="191" r:id="rId63"/>
    <sheet name="Documentation" sheetId="192" r:id="rId64"/>
    <sheet name="Managemt" sheetId="193" r:id="rId65"/>
    <sheet name="IT Dev-EOL" sheetId="194" r:id="rId66"/>
    <sheet name="IT Infra" sheetId="195" r:id="rId67"/>
    <sheet name="IT Infra-Cap" sheetId="196" r:id="rId68"/>
    <sheet name="EOL Support" sheetId="197" r:id="rId69"/>
    <sheet name="Canada Support" sheetId="198" r:id="rId70"/>
    <sheet name="Credit" sheetId="199" r:id="rId71"/>
    <sheet name="Mkt Risk " sheetId="200" r:id="rId72"/>
    <sheet name="Research1" sheetId="201" r:id="rId73"/>
    <sheet name="Fin Ops" sheetId="202" r:id="rId74"/>
    <sheet name="Cash Ops" sheetId="203" r:id="rId75"/>
    <sheet name="Tax" sheetId="204" r:id="rId76"/>
    <sheet name="HR" sheetId="205" r:id="rId77"/>
    <sheet name="Legal" sheetId="206" r:id="rId78"/>
    <sheet name="Crude AA" sheetId="101" state="hidden" r:id="rId79"/>
    <sheet name="EOPs" sheetId="135" state="hidden" r:id="rId80"/>
    <sheet name="Canada" sheetId="5" state="hidden" r:id="rId81"/>
    <sheet name="Canada Admins" sheetId="64" state="hidden" r:id="rId82"/>
    <sheet name="SAP" sheetId="15" state="hidden" r:id="rId83"/>
    <sheet name="Research" sheetId="31" state="hidden" r:id="rId84"/>
    <sheet name="Mkt Risk - Combined" sheetId="11" state="hidden" r:id="rId85"/>
    <sheet name="IT Dev" sheetId="17" state="hidden" r:id="rId86"/>
    <sheet name="IT EOL" sheetId="18" state="hidden" r:id="rId87"/>
    <sheet name="IT All" sheetId="43" state="hidden" r:id="rId88"/>
    <sheet name="Fundies-Hou" sheetId="29" state="hidden" r:id="rId89"/>
    <sheet name="Competitive Ana" sheetId="10" state="hidden" r:id="rId90"/>
    <sheet name="Gas - Fund" sheetId="34" state="hidden" r:id="rId91"/>
    <sheet name="East - Fund" sheetId="38" state="hidden" r:id="rId92"/>
    <sheet name="West - Fund" sheetId="36" state="hidden" r:id="rId93"/>
    <sheet name="West - Struct" sheetId="37" state="hidden" r:id="rId94"/>
    <sheet name="Gas - Struct" sheetId="35" state="hidden" r:id="rId95"/>
    <sheet name="East - Struct" sheetId="39" state="hidden" r:id="rId96"/>
  </sheets>
  <externalReferences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</externalReferences>
  <definedNames>
    <definedName name="_xlnm.Print_Area" localSheetId="80">Canada!$B$1:$L$39</definedName>
    <definedName name="_xlnm.Print_Area" localSheetId="45">'Canada A&amp;A'!$B$1:$L$39</definedName>
    <definedName name="_xlnm.Print_Area" localSheetId="44">'Canada A&amp;A-Orig'!$B$1:$L$39</definedName>
    <definedName name="_xlnm.Print_Area" localSheetId="40">'Canada A&amp;A-Trading'!$B$1:$L$39</definedName>
    <definedName name="_xlnm.Print_Area" localSheetId="81">'Canada Admins'!$B$1:$L$39</definedName>
    <definedName name="_xlnm.Print_Area" localSheetId="41">'Canada Orig w-AA'!$B$1:$L$39</definedName>
    <definedName name="_xlnm.Print_Area" localSheetId="42">'Canada Origination'!$B$1:$L$39</definedName>
    <definedName name="_xlnm.Print_Area" localSheetId="69">'Canada Support'!$A$1:$N$50</definedName>
    <definedName name="_xlnm.Print_Area" localSheetId="39">'Canada Trading'!$B$1:$L$39</definedName>
    <definedName name="_xlnm.Print_Area" localSheetId="38">'Canada Trading w-AA'!$B$1:$L$39</definedName>
    <definedName name="_xlnm.Print_Area" localSheetId="74">'Cash Ops'!$B$1:$H$28</definedName>
    <definedName name="_xlnm.Print_Area" localSheetId="19">'Central - Orig'!$B$1:$L$34</definedName>
    <definedName name="_xlnm.Print_Area" localSheetId="14">'Central - Trading'!$B$1:$L$34</definedName>
    <definedName name="_xlnm.Print_Area" localSheetId="9">'Central - Trading AA'!$B$1:$L$34</definedName>
    <definedName name="_xlnm.Print_Area" localSheetId="89">'Competitive Ana'!$B$1:$L$43</definedName>
    <definedName name="_xlnm.Print_Area" localSheetId="70">Credit!$A$1:$M$38</definedName>
    <definedName name="_xlnm.Print_Area" localSheetId="22">Crude!$B$1:$L$34</definedName>
    <definedName name="_xlnm.Print_Area" localSheetId="78">'Crude AA'!$B$1:$L$34</definedName>
    <definedName name="_xlnm.Print_Area" localSheetId="8">'Derivatives AA'!$B$1:$L$40</definedName>
    <definedName name="_xlnm.Print_Area" localSheetId="2">'Derivatives w-o  AA'!$B$1:$L$40</definedName>
    <definedName name="_xlnm.Print_Area" localSheetId="21">'Deriv-Mex'!$B$1:$L$40</definedName>
    <definedName name="_xlnm.Print_Area" localSheetId="91">'East - Fund'!$B$1:$H$29</definedName>
    <definedName name="_xlnm.Print_Area" localSheetId="18">'East - Orig'!$B$1:$L$34</definedName>
    <definedName name="_xlnm.Print_Area" localSheetId="95">'East - Struct'!$B$1:$H$29</definedName>
    <definedName name="_xlnm.Print_Area" localSheetId="13">'East - Trading'!$B$1:$L$34</definedName>
    <definedName name="_xlnm.Print_Area" localSheetId="11">'East Power'!$B$1:$H$29</definedName>
    <definedName name="_xlnm.Print_Area" localSheetId="49">'East Power Admins'!$B$1:$H$28</definedName>
    <definedName name="_xlnm.Print_Area" localSheetId="4">'East-Trading AA'!$B$1:$L$34</definedName>
    <definedName name="_xlnm.Print_Area" localSheetId="68">'EOL Support'!$A$1:$P$38</definedName>
    <definedName name="_xlnm.Print_Area" localSheetId="79">EOPs!$A$1:$M$39</definedName>
    <definedName name="_xlnm.Print_Area" localSheetId="73">'Fin Ops'!$B$1:$H$28</definedName>
    <definedName name="_xlnm.Print_Area" localSheetId="7">'Financial - AA'!$B$1:$P$34</definedName>
    <definedName name="_xlnm.Print_Area" localSheetId="10">'Financial Gas'!$B$1:$P$34</definedName>
    <definedName name="_xlnm.Print_Area" localSheetId="52">'Fundies-All'!$B$1:$L$33</definedName>
    <definedName name="_xlnm.Print_Area" localSheetId="88">'Fundies-Hou'!$B$1:$L$34</definedName>
    <definedName name="_xlnm.Print_Area" localSheetId="90">'Gas - Fund'!$B$1:$L$34</definedName>
    <definedName name="_xlnm.Print_Area" localSheetId="94">'Gas - Struct'!$B$1:$L$34</definedName>
    <definedName name="_xlnm.Print_Area" localSheetId="76">HR!$B$1:$L$39</definedName>
    <definedName name="_xlnm.Print_Area" localSheetId="87">'IT All'!$B$1:$O$49</definedName>
    <definedName name="_xlnm.Print_Area" localSheetId="85">'IT Dev'!$B$1:$O$49</definedName>
    <definedName name="_xlnm.Print_Area" localSheetId="65">'IT Dev-EOL'!$B$1:$BA$48</definedName>
    <definedName name="_xlnm.Print_Area" localSheetId="86">'IT EOL'!$B$1:$M$39</definedName>
    <definedName name="_xlnm.Print_Area" localSheetId="66">'IT Infra'!$B$1:$BA$46</definedName>
    <definedName name="_xlnm.Print_Area" localSheetId="67">'IT Infra-Cap'!$B$1:$BA$21</definedName>
    <definedName name="_xlnm.Print_Area" localSheetId="77">Legal!$B$1:$F$28</definedName>
    <definedName name="_xlnm.Print_Area" localSheetId="3">Mexico!$B$1:$L$34</definedName>
    <definedName name="_xlnm.Print_Area" localSheetId="71">'Mkt Risk '!$B$1:$M$40</definedName>
    <definedName name="_xlnm.Print_Area" localSheetId="84">'Mkt Risk - Combined'!$B$1:$M$41</definedName>
    <definedName name="_xlnm.Print_Area" localSheetId="48">'Natural Gas Admin'!$B$1:$L$33</definedName>
    <definedName name="_xlnm.Print_Area" localSheetId="16">Nymex!$B$1:$M$34</definedName>
    <definedName name="_xlnm.Print_Area" localSheetId="43">'Office of the Chair'!$B$1:$M$40</definedName>
    <definedName name="_xlnm.Print_Area" localSheetId="47">'OOC Admin'!$B$1:$M$39</definedName>
    <definedName name="_xlnm.Print_Area" localSheetId="46">'OOC w-o Adm'!$B$1:$M$40</definedName>
    <definedName name="_xlnm.Print_Area" localSheetId="51">'Reg Affairs'!$B$1:$L$38</definedName>
    <definedName name="_xlnm.Print_Area" localSheetId="83">Research!$B$1:$M$41</definedName>
    <definedName name="_xlnm.Print_Area" localSheetId="72">Research1!$B$1:$M$40</definedName>
    <definedName name="_xlnm.Print_Area" localSheetId="82">SAP!$B$1:$M$40</definedName>
    <definedName name="_xlnm.Print_Area" localSheetId="53">Struct!$B$1:$O$34</definedName>
    <definedName name="_xlnm.Print_Area" localSheetId="1">'Summary 2002'!$A$1:$T$89</definedName>
    <definedName name="_xlnm.Print_Area" localSheetId="0">'Summary 2002 Revised'!$A$1:$T$164</definedName>
    <definedName name="_xlnm.Print_Area" localSheetId="75">Tax!$B$1:$F$28</definedName>
    <definedName name="_xlnm.Print_Area" localSheetId="17">'Texas - Orig'!$B$1:$L$34</definedName>
    <definedName name="_xlnm.Print_Area" localSheetId="12">'Texas - Trading'!$B$1:$L$34</definedName>
    <definedName name="_xlnm.Print_Area" localSheetId="6">'Texas-Trading AA'!$B$1:$L$34</definedName>
    <definedName name="_xlnm.Print_Area" localSheetId="54">Weather!$B$1:$L$33</definedName>
    <definedName name="_xlnm.Print_Area" localSheetId="92">'West - Fund'!$B$1:$O$35</definedName>
    <definedName name="_xlnm.Print_Area" localSheetId="20">'West - Orig'!$B$1:$L$34</definedName>
    <definedName name="_xlnm.Print_Area" localSheetId="93">'West - Struct'!$B$1:$O$35</definedName>
    <definedName name="_xlnm.Print_Area" localSheetId="15">'West - Trading'!$B$1:$L$34</definedName>
    <definedName name="_xlnm.Print_Area" localSheetId="50">'West Power Admins'!$B$1:$U$34</definedName>
    <definedName name="_xlnm.Print_Area" localSheetId="35">'West Power Consolidated Trading'!$B$1:$O$35</definedName>
    <definedName name="_xlnm.Print_Area" localSheetId="37">'West Power Origination'!$B$1:$V$35</definedName>
    <definedName name="_xlnm.Print_Area" localSheetId="36">'West Power Trading'!$B$1:$O$35</definedName>
    <definedName name="_xlnm.Print_Area" localSheetId="5">'West-Trading AA'!$B$1:$L$34</definedName>
    <definedName name="SAPFuncF4Help" localSheetId="80" hidden="1">Main.SAPF4Help()</definedName>
    <definedName name="SAPFuncF4Help" localSheetId="45" hidden="1">Main.SAPF4Help()</definedName>
    <definedName name="SAPFuncF4Help" localSheetId="44" hidden="1">Main.SAPF4Help()</definedName>
    <definedName name="SAPFuncF4Help" localSheetId="40" hidden="1">Main.SAPF4Help()</definedName>
    <definedName name="SAPFuncF4Help" localSheetId="81" hidden="1">Main.SAPF4Help()</definedName>
    <definedName name="SAPFuncF4Help" localSheetId="41" hidden="1">Main.SAPF4Help()</definedName>
    <definedName name="SAPFuncF4Help" localSheetId="42" hidden="1">Main.SAPF4Help()</definedName>
    <definedName name="SAPFuncF4Help" localSheetId="69" hidden="1">Main.SAPF4Help()</definedName>
    <definedName name="SAPFuncF4Help" localSheetId="39" hidden="1">Main.SAPF4Help()</definedName>
    <definedName name="SAPFuncF4Help" localSheetId="38" hidden="1">Main.SAPF4Help()</definedName>
    <definedName name="SAPFuncF4Help" localSheetId="74" hidden="1">Main.SAPF4Help()</definedName>
    <definedName name="SAPFuncF4Help" localSheetId="19" hidden="1">Main.SAPF4Help()</definedName>
    <definedName name="SAPFuncF4Help" localSheetId="14" hidden="1">Main.SAPF4Help()</definedName>
    <definedName name="SAPFuncF4Help" localSheetId="9" hidden="1">Main.SAPF4Help()</definedName>
    <definedName name="SAPFuncF4Help" localSheetId="89" hidden="1">Main.SAPF4Help()</definedName>
    <definedName name="SAPFuncF4Help" localSheetId="70" hidden="1">Main.SAPF4Help()</definedName>
    <definedName name="SAPFuncF4Help" localSheetId="22" hidden="1">Main.SAPF4Help()</definedName>
    <definedName name="SAPFuncF4Help" localSheetId="78" hidden="1">Main.SAPF4Help()</definedName>
    <definedName name="SAPFuncF4Help" localSheetId="8" hidden="1">Main.SAPF4Help()</definedName>
    <definedName name="SAPFuncF4Help" localSheetId="2" hidden="1">Main.SAPF4Help()</definedName>
    <definedName name="SAPFuncF4Help" localSheetId="21" hidden="1">Main.SAPF4Help()</definedName>
    <definedName name="SAPFuncF4Help" localSheetId="63" hidden="1">Main.SAPF4Help()</definedName>
    <definedName name="SAPFuncF4Help" localSheetId="91" hidden="1">Main.SAPF4Help()</definedName>
    <definedName name="SAPFuncF4Help" localSheetId="18" hidden="1">Main.SAPF4Help()</definedName>
    <definedName name="SAPFuncF4Help" localSheetId="13" hidden="1">Main.SAPF4Help()</definedName>
    <definedName name="SAPFuncF4Help" localSheetId="49" hidden="1">Main.SAPF4Help()</definedName>
    <definedName name="SAPFuncF4Help" localSheetId="4" hidden="1">Main.SAPF4Help()</definedName>
    <definedName name="SAPFuncF4Help" localSheetId="68" hidden="1">Main.SAPF4Help()</definedName>
    <definedName name="SAPFuncF4Help" localSheetId="79" hidden="1">Main.SAPF4Help()</definedName>
    <definedName name="SAPFuncF4Help" localSheetId="31" hidden="1">Main.SAPF4Help()</definedName>
    <definedName name="SAPFuncF4Help" localSheetId="7" hidden="1">Main.SAPF4Help()</definedName>
    <definedName name="SAPFuncF4Help" localSheetId="10" hidden="1">Main.SAPF4Help()</definedName>
    <definedName name="SAPFuncF4Help" localSheetId="52" hidden="1">Main.SAPF4Help()</definedName>
    <definedName name="SAPFuncF4Help" localSheetId="88" hidden="1">Main.SAPF4Help()</definedName>
    <definedName name="SAPFuncF4Help" localSheetId="90" hidden="1">Main.SAPF4Help()</definedName>
    <definedName name="SAPFuncF4Help" localSheetId="57" hidden="1">Main.SAPF4Help()</definedName>
    <definedName name="SAPFuncF4Help" localSheetId="55" hidden="1">Main.SAPF4Help()</definedName>
    <definedName name="SAPFuncF4Help" localSheetId="58" hidden="1">Main.SAPF4Help()</definedName>
    <definedName name="SAPFuncF4Help" localSheetId="56" hidden="1">Main.SAPF4Help()</definedName>
    <definedName name="SAPFuncF4Help" localSheetId="76" hidden="1">Main.SAPF4Help()</definedName>
    <definedName name="SAPFuncF4Help" localSheetId="87" hidden="1">Main.SAPF4Help()</definedName>
    <definedName name="SAPFuncF4Help" localSheetId="85" hidden="1">Main.SAPF4Help()</definedName>
    <definedName name="SAPFuncF4Help" localSheetId="65" hidden="1">Main.SAPF4Help()</definedName>
    <definedName name="SAPFuncF4Help" localSheetId="86" hidden="1">Main.SAPF4Help()</definedName>
    <definedName name="SAPFuncF4Help" localSheetId="66" hidden="1">Main.SAPF4Help()</definedName>
    <definedName name="SAPFuncF4Help" localSheetId="67" hidden="1">Main.SAPF4Help()</definedName>
    <definedName name="SAPFuncF4Help" localSheetId="77" hidden="1">Main.SAPF4Help()</definedName>
    <definedName name="SAPFuncF4Help" localSheetId="64" hidden="1">Main.SAPF4Help()</definedName>
    <definedName name="SAPFuncF4Help" localSheetId="3" hidden="1">Main.SAPF4Help()</definedName>
    <definedName name="SAPFuncF4Help" localSheetId="30" hidden="1">Main.SAPF4Help()</definedName>
    <definedName name="SAPFuncF4Help" localSheetId="71" hidden="1">Main.SAPF4Help()</definedName>
    <definedName name="SAPFuncF4Help" localSheetId="84" hidden="1">Main.SAPF4Help()</definedName>
    <definedName name="SAPFuncF4Help" localSheetId="33" hidden="1">Main.SAPF4Help()</definedName>
    <definedName name="SAPFuncF4Help" localSheetId="48" hidden="1">Main.SAPF4Help()</definedName>
    <definedName name="SAPFuncF4Help" localSheetId="32" hidden="1">Main.SAPF4Help()</definedName>
    <definedName name="SAPFuncF4Help" localSheetId="16" hidden="1">Main.SAPF4Help()</definedName>
    <definedName name="SAPFuncF4Help" localSheetId="43" hidden="1">Main.SAPF4Help()</definedName>
    <definedName name="SAPFuncF4Help" localSheetId="47" hidden="1">Main.SAPF4Help()</definedName>
    <definedName name="SAPFuncF4Help" localSheetId="46" hidden="1">Main.SAPF4Help()</definedName>
    <definedName name="SAPFuncF4Help" localSheetId="59" hidden="1">Main.SAPF4Help()</definedName>
    <definedName name="SAPFuncF4Help" localSheetId="62" hidden="1">Main.SAPF4Help()</definedName>
    <definedName name="SAPFuncF4Help" localSheetId="60" hidden="1">Main.SAPF4Help()</definedName>
    <definedName name="SAPFuncF4Help" localSheetId="51" hidden="1">Main.SAPF4Help()</definedName>
    <definedName name="SAPFuncF4Help" localSheetId="83" hidden="1">Main.SAPF4Help()</definedName>
    <definedName name="SAPFuncF4Help" localSheetId="72" hidden="1">Main.SAPF4Help()</definedName>
    <definedName name="SAPFuncF4Help" localSheetId="82" hidden="1">Main.SAPF4Help()</definedName>
    <definedName name="SAPFuncF4Help" localSheetId="34" hidden="1">Main.SAPF4Help()</definedName>
    <definedName name="SAPFuncF4Help" localSheetId="53" hidden="1">Main.SAPF4Help()</definedName>
    <definedName name="SAPFuncF4Help" localSheetId="1" hidden="1">Main.SAPF4Help()</definedName>
    <definedName name="SAPFuncF4Help" localSheetId="0" hidden="1">Main.SAPF4Help()</definedName>
    <definedName name="SAPFuncF4Help" localSheetId="75" hidden="1">Main.SAPF4Help()</definedName>
    <definedName name="SAPFuncF4Help" localSheetId="17" hidden="1">Main.SAPF4Help()</definedName>
    <definedName name="SAPFuncF4Help" localSheetId="12" hidden="1">Main.SAPF4Help()</definedName>
    <definedName name="SAPFuncF4Help" localSheetId="6" hidden="1">Main.SAPF4Help()</definedName>
    <definedName name="SAPFuncF4Help" localSheetId="54" hidden="1">Main.SAPF4Help()</definedName>
    <definedName name="SAPFuncF4Help" localSheetId="92" hidden="1">Main.SAPF4Help()</definedName>
    <definedName name="SAPFuncF4Help" localSheetId="20" hidden="1">Main.SAPF4Help()</definedName>
    <definedName name="SAPFuncF4Help" localSheetId="93" hidden="1">Main.SAPF4Help()</definedName>
    <definedName name="SAPFuncF4Help" localSheetId="15" hidden="1">Main.SAPF4Help()</definedName>
    <definedName name="SAPFuncF4Help" localSheetId="50" hidden="1">Main.SAPF4Help()</definedName>
    <definedName name="SAPFuncF4Help" localSheetId="35" hidden="1">Main.SAPF4Help()</definedName>
    <definedName name="SAPFuncF4Help" localSheetId="37" hidden="1">Main.SAPF4Help()</definedName>
    <definedName name="SAPFuncF4Help" localSheetId="36" hidden="1">Main.SAPF4Help()</definedName>
    <definedName name="SAPFuncF4Help" localSheetId="5" hidden="1">Main.SAPF4Help()</definedName>
    <definedName name="SAPFuncF4Help" hidden="1">Main.SAPF4Help()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5" l="1"/>
  <c r="C8" i="5"/>
  <c r="E8" i="5"/>
  <c r="G8" i="5"/>
  <c r="K8" i="5"/>
  <c r="O8" i="5"/>
  <c r="C9" i="5"/>
  <c r="E9" i="5"/>
  <c r="O9" i="5"/>
  <c r="G10" i="5"/>
  <c r="O10" i="5"/>
  <c r="C11" i="5"/>
  <c r="E11" i="5"/>
  <c r="I11" i="5"/>
  <c r="J11" i="5"/>
  <c r="K11" i="5"/>
  <c r="O11" i="5"/>
  <c r="C12" i="5"/>
  <c r="E12" i="5"/>
  <c r="G12" i="5"/>
  <c r="O12" i="5"/>
  <c r="C13" i="5"/>
  <c r="E13" i="5"/>
  <c r="G13" i="5"/>
  <c r="K13" i="5"/>
  <c r="O13" i="5"/>
  <c r="C14" i="5"/>
  <c r="E14" i="5"/>
  <c r="G14" i="5"/>
  <c r="O14" i="5"/>
  <c r="C15" i="5"/>
  <c r="E15" i="5"/>
  <c r="G15" i="5"/>
  <c r="O15" i="5"/>
  <c r="C16" i="5"/>
  <c r="E16" i="5"/>
  <c r="G16" i="5"/>
  <c r="K16" i="5"/>
  <c r="O16" i="5"/>
  <c r="C17" i="5"/>
  <c r="E17" i="5"/>
  <c r="G17" i="5"/>
  <c r="K17" i="5"/>
  <c r="O17" i="5"/>
  <c r="C18" i="5"/>
  <c r="E18" i="5"/>
  <c r="G18" i="5"/>
  <c r="K18" i="5"/>
  <c r="O18" i="5"/>
  <c r="C19" i="5"/>
  <c r="E19" i="5"/>
  <c r="G19" i="5"/>
  <c r="K19" i="5"/>
  <c r="O19" i="5"/>
  <c r="C20" i="5"/>
  <c r="E20" i="5"/>
  <c r="G20" i="5"/>
  <c r="K20" i="5"/>
  <c r="O20" i="5"/>
  <c r="C21" i="5"/>
  <c r="E21" i="5"/>
  <c r="G21" i="5"/>
  <c r="J21" i="5"/>
  <c r="K21" i="5"/>
  <c r="O21" i="5"/>
  <c r="C22" i="5"/>
  <c r="E22" i="5"/>
  <c r="G22" i="5"/>
  <c r="K22" i="5"/>
  <c r="O22" i="5"/>
  <c r="C23" i="5"/>
  <c r="E23" i="5"/>
  <c r="G23" i="5"/>
  <c r="J23" i="5"/>
  <c r="K23" i="5"/>
  <c r="O23" i="5"/>
  <c r="K24" i="5"/>
  <c r="E25" i="5"/>
  <c r="G25" i="5"/>
  <c r="K25" i="5"/>
  <c r="O25" i="5"/>
  <c r="J26" i="5"/>
  <c r="K26" i="5"/>
  <c r="E27" i="5"/>
  <c r="G27" i="5"/>
  <c r="K27" i="5"/>
  <c r="O27" i="5"/>
  <c r="J28" i="5"/>
  <c r="K28" i="5"/>
  <c r="E29" i="5"/>
  <c r="G29" i="5"/>
  <c r="G34" i="5"/>
  <c r="H34" i="5"/>
  <c r="I34" i="5"/>
  <c r="J34" i="5"/>
  <c r="K34" i="5"/>
  <c r="B1" i="119"/>
  <c r="C8" i="119"/>
  <c r="E8" i="119"/>
  <c r="K8" i="119"/>
  <c r="O8" i="119"/>
  <c r="C9" i="119"/>
  <c r="E9" i="119"/>
  <c r="O9" i="119"/>
  <c r="G10" i="119"/>
  <c r="O10" i="119"/>
  <c r="C11" i="119"/>
  <c r="E11" i="119"/>
  <c r="G11" i="119"/>
  <c r="I11" i="119"/>
  <c r="J11" i="119"/>
  <c r="K11" i="119"/>
  <c r="O11" i="119"/>
  <c r="C12" i="119"/>
  <c r="E12" i="119"/>
  <c r="G12" i="119"/>
  <c r="O12" i="119"/>
  <c r="C13" i="119"/>
  <c r="E13" i="119"/>
  <c r="G13" i="119"/>
  <c r="K13" i="119"/>
  <c r="O13" i="119"/>
  <c r="C14" i="119"/>
  <c r="E14" i="119"/>
  <c r="G14" i="119"/>
  <c r="O14" i="119"/>
  <c r="C15" i="119"/>
  <c r="E15" i="119"/>
  <c r="G15" i="119"/>
  <c r="O15" i="119"/>
  <c r="C16" i="119"/>
  <c r="E16" i="119"/>
  <c r="G16" i="119"/>
  <c r="K16" i="119"/>
  <c r="O16" i="119"/>
  <c r="C17" i="119"/>
  <c r="E17" i="119"/>
  <c r="G17" i="119"/>
  <c r="K17" i="119"/>
  <c r="O17" i="119"/>
  <c r="C18" i="119"/>
  <c r="E18" i="119"/>
  <c r="G18" i="119"/>
  <c r="K18" i="119"/>
  <c r="O18" i="119"/>
  <c r="C19" i="119"/>
  <c r="E19" i="119"/>
  <c r="G19" i="119"/>
  <c r="K19" i="119"/>
  <c r="O19" i="119"/>
  <c r="C20" i="119"/>
  <c r="E20" i="119"/>
  <c r="G20" i="119"/>
  <c r="K20" i="119"/>
  <c r="O20" i="119"/>
  <c r="C21" i="119"/>
  <c r="E21" i="119"/>
  <c r="G21" i="119"/>
  <c r="J21" i="119"/>
  <c r="K21" i="119"/>
  <c r="O21" i="119"/>
  <c r="C22" i="119"/>
  <c r="E22" i="119"/>
  <c r="G22" i="119"/>
  <c r="K22" i="119"/>
  <c r="O22" i="119"/>
  <c r="C23" i="119"/>
  <c r="E23" i="119"/>
  <c r="G23" i="119"/>
  <c r="K23" i="119"/>
  <c r="O23" i="119"/>
  <c r="K24" i="119"/>
  <c r="E25" i="119"/>
  <c r="G25" i="119"/>
  <c r="K25" i="119"/>
  <c r="O25" i="119"/>
  <c r="K26" i="119"/>
  <c r="E27" i="119"/>
  <c r="G27" i="119"/>
  <c r="K27" i="119"/>
  <c r="O27" i="119"/>
  <c r="J28" i="119"/>
  <c r="K28" i="119"/>
  <c r="E29" i="119"/>
  <c r="G29" i="119"/>
  <c r="G34" i="119"/>
  <c r="H34" i="119"/>
  <c r="I34" i="119"/>
  <c r="J34" i="119"/>
  <c r="K34" i="119"/>
  <c r="B1" i="121"/>
  <c r="C8" i="121"/>
  <c r="E8" i="121"/>
  <c r="K8" i="121"/>
  <c r="O8" i="121"/>
  <c r="C9" i="121"/>
  <c r="E9" i="121"/>
  <c r="O9" i="121"/>
  <c r="G10" i="121"/>
  <c r="O10" i="121"/>
  <c r="C11" i="121"/>
  <c r="E11" i="121"/>
  <c r="G11" i="121"/>
  <c r="I11" i="121"/>
  <c r="J11" i="121"/>
  <c r="K11" i="121"/>
  <c r="O11" i="121"/>
  <c r="C12" i="121"/>
  <c r="E12" i="121"/>
  <c r="G12" i="121"/>
  <c r="O12" i="121"/>
  <c r="C13" i="121"/>
  <c r="E13" i="121"/>
  <c r="G13" i="121"/>
  <c r="K13" i="121"/>
  <c r="O13" i="121"/>
  <c r="C14" i="121"/>
  <c r="E14" i="121"/>
  <c r="G14" i="121"/>
  <c r="O14" i="121"/>
  <c r="C15" i="121"/>
  <c r="E15" i="121"/>
  <c r="G15" i="121"/>
  <c r="O15" i="121"/>
  <c r="C16" i="121"/>
  <c r="E16" i="121"/>
  <c r="G16" i="121"/>
  <c r="K16" i="121"/>
  <c r="O16" i="121"/>
  <c r="C17" i="121"/>
  <c r="E17" i="121"/>
  <c r="G17" i="121"/>
  <c r="K17" i="121"/>
  <c r="O17" i="121"/>
  <c r="C18" i="121"/>
  <c r="E18" i="121"/>
  <c r="G18" i="121"/>
  <c r="K18" i="121"/>
  <c r="O18" i="121"/>
  <c r="C19" i="121"/>
  <c r="E19" i="121"/>
  <c r="G19" i="121"/>
  <c r="K19" i="121"/>
  <c r="O19" i="121"/>
  <c r="C20" i="121"/>
  <c r="E20" i="121"/>
  <c r="G20" i="121"/>
  <c r="K20" i="121"/>
  <c r="O20" i="121"/>
  <c r="C21" i="121"/>
  <c r="E21" i="121"/>
  <c r="G21" i="121"/>
  <c r="K21" i="121"/>
  <c r="O21" i="121"/>
  <c r="C22" i="121"/>
  <c r="E22" i="121"/>
  <c r="G22" i="121"/>
  <c r="K22" i="121"/>
  <c r="O22" i="121"/>
  <c r="C23" i="121"/>
  <c r="E23" i="121"/>
  <c r="G23" i="121"/>
  <c r="K23" i="121"/>
  <c r="O23" i="121"/>
  <c r="K24" i="121"/>
  <c r="E25" i="121"/>
  <c r="G25" i="121"/>
  <c r="K25" i="121"/>
  <c r="O25" i="121"/>
  <c r="K26" i="121"/>
  <c r="E27" i="121"/>
  <c r="G27" i="121"/>
  <c r="K27" i="121"/>
  <c r="O27" i="121"/>
  <c r="J28" i="121"/>
  <c r="K28" i="121"/>
  <c r="E29" i="121"/>
  <c r="G29" i="121"/>
  <c r="G34" i="121"/>
  <c r="H34" i="121"/>
  <c r="I34" i="121"/>
  <c r="J34" i="121"/>
  <c r="K34" i="121"/>
  <c r="B1" i="120"/>
  <c r="C8" i="120"/>
  <c r="E8" i="120"/>
  <c r="K8" i="120"/>
  <c r="O8" i="120"/>
  <c r="C9" i="120"/>
  <c r="E9" i="120"/>
  <c r="O9" i="120"/>
  <c r="G10" i="120"/>
  <c r="O10" i="120"/>
  <c r="C11" i="120"/>
  <c r="E11" i="120"/>
  <c r="G11" i="120"/>
  <c r="I11" i="120"/>
  <c r="J11" i="120"/>
  <c r="K11" i="120"/>
  <c r="O11" i="120"/>
  <c r="C12" i="120"/>
  <c r="E12" i="120"/>
  <c r="G12" i="120"/>
  <c r="O12" i="120"/>
  <c r="C13" i="120"/>
  <c r="E13" i="120"/>
  <c r="G13" i="120"/>
  <c r="K13" i="120"/>
  <c r="O13" i="120"/>
  <c r="C14" i="120"/>
  <c r="E14" i="120"/>
  <c r="G14" i="120"/>
  <c r="O14" i="120"/>
  <c r="C15" i="120"/>
  <c r="E15" i="120"/>
  <c r="G15" i="120"/>
  <c r="O15" i="120"/>
  <c r="C16" i="120"/>
  <c r="E16" i="120"/>
  <c r="G16" i="120"/>
  <c r="K16" i="120"/>
  <c r="O16" i="120"/>
  <c r="C17" i="120"/>
  <c r="E17" i="120"/>
  <c r="G17" i="120"/>
  <c r="K17" i="120"/>
  <c r="O17" i="120"/>
  <c r="C18" i="120"/>
  <c r="E18" i="120"/>
  <c r="G18" i="120"/>
  <c r="K18" i="120"/>
  <c r="O18" i="120"/>
  <c r="C19" i="120"/>
  <c r="E19" i="120"/>
  <c r="G19" i="120"/>
  <c r="K19" i="120"/>
  <c r="O19" i="120"/>
  <c r="C20" i="120"/>
  <c r="E20" i="120"/>
  <c r="G20" i="120"/>
  <c r="K20" i="120"/>
  <c r="O20" i="120"/>
  <c r="C21" i="120"/>
  <c r="E21" i="120"/>
  <c r="G21" i="120"/>
  <c r="K21" i="120"/>
  <c r="O21" i="120"/>
  <c r="C22" i="120"/>
  <c r="E22" i="120"/>
  <c r="G22" i="120"/>
  <c r="K22" i="120"/>
  <c r="O22" i="120"/>
  <c r="C23" i="120"/>
  <c r="E23" i="120"/>
  <c r="G23" i="120"/>
  <c r="K23" i="120"/>
  <c r="O23" i="120"/>
  <c r="K24" i="120"/>
  <c r="E25" i="120"/>
  <c r="G25" i="120"/>
  <c r="K25" i="120"/>
  <c r="O25" i="120"/>
  <c r="K26" i="120"/>
  <c r="E27" i="120"/>
  <c r="G27" i="120"/>
  <c r="K27" i="120"/>
  <c r="O27" i="120"/>
  <c r="J28" i="120"/>
  <c r="K28" i="120"/>
  <c r="E29" i="120"/>
  <c r="G29" i="120"/>
  <c r="G34" i="120"/>
  <c r="H34" i="120"/>
  <c r="I34" i="120"/>
  <c r="J34" i="120"/>
  <c r="K34" i="120"/>
  <c r="B1" i="64"/>
  <c r="C8" i="64"/>
  <c r="E8" i="64"/>
  <c r="G8" i="64"/>
  <c r="K8" i="64"/>
  <c r="O8" i="64"/>
  <c r="C9" i="64"/>
  <c r="E9" i="64"/>
  <c r="O9" i="64"/>
  <c r="G10" i="64"/>
  <c r="O10" i="64"/>
  <c r="C11" i="64"/>
  <c r="E11" i="64"/>
  <c r="I11" i="64"/>
  <c r="J11" i="64"/>
  <c r="K11" i="64"/>
  <c r="O11" i="64"/>
  <c r="C12" i="64"/>
  <c r="E12" i="64"/>
  <c r="G12" i="64"/>
  <c r="O12" i="64"/>
  <c r="C13" i="64"/>
  <c r="E13" i="64"/>
  <c r="G13" i="64"/>
  <c r="K13" i="64"/>
  <c r="O13" i="64"/>
  <c r="C14" i="64"/>
  <c r="E14" i="64"/>
  <c r="G14" i="64"/>
  <c r="O14" i="64"/>
  <c r="C15" i="64"/>
  <c r="E15" i="64"/>
  <c r="G15" i="64"/>
  <c r="O15" i="64"/>
  <c r="C16" i="64"/>
  <c r="E16" i="64"/>
  <c r="G16" i="64"/>
  <c r="K16" i="64"/>
  <c r="O16" i="64"/>
  <c r="C17" i="64"/>
  <c r="E17" i="64"/>
  <c r="G17" i="64"/>
  <c r="K17" i="64"/>
  <c r="O17" i="64"/>
  <c r="C18" i="64"/>
  <c r="E18" i="64"/>
  <c r="G18" i="64"/>
  <c r="K18" i="64"/>
  <c r="O18" i="64"/>
  <c r="C19" i="64"/>
  <c r="E19" i="64"/>
  <c r="G19" i="64"/>
  <c r="K19" i="64"/>
  <c r="O19" i="64"/>
  <c r="C20" i="64"/>
  <c r="E20" i="64"/>
  <c r="G20" i="64"/>
  <c r="K20" i="64"/>
  <c r="O20" i="64"/>
  <c r="C21" i="64"/>
  <c r="E21" i="64"/>
  <c r="G21" i="64"/>
  <c r="K21" i="64"/>
  <c r="O21" i="64"/>
  <c r="C22" i="64"/>
  <c r="E22" i="64"/>
  <c r="G22" i="64"/>
  <c r="K22" i="64"/>
  <c r="O22" i="64"/>
  <c r="C23" i="64"/>
  <c r="E23" i="64"/>
  <c r="G23" i="64"/>
  <c r="K23" i="64"/>
  <c r="O23" i="64"/>
  <c r="K24" i="64"/>
  <c r="E25" i="64"/>
  <c r="G25" i="64"/>
  <c r="K25" i="64"/>
  <c r="O25" i="64"/>
  <c r="K26" i="64"/>
  <c r="E27" i="64"/>
  <c r="G27" i="64"/>
  <c r="K27" i="64"/>
  <c r="O27" i="64"/>
  <c r="J28" i="64"/>
  <c r="K28" i="64"/>
  <c r="E29" i="64"/>
  <c r="G29" i="64"/>
  <c r="G34" i="64"/>
  <c r="H34" i="64"/>
  <c r="I34" i="64"/>
  <c r="J34" i="64"/>
  <c r="K34" i="64"/>
  <c r="B1" i="123"/>
  <c r="C8" i="123"/>
  <c r="E8" i="123"/>
  <c r="G8" i="123"/>
  <c r="K8" i="123"/>
  <c r="O8" i="123"/>
  <c r="C9" i="123"/>
  <c r="E9" i="123"/>
  <c r="G9" i="123"/>
  <c r="O9" i="123"/>
  <c r="G10" i="123"/>
  <c r="O10" i="123"/>
  <c r="C11" i="123"/>
  <c r="E11" i="123"/>
  <c r="G11" i="123"/>
  <c r="I11" i="123"/>
  <c r="J11" i="123"/>
  <c r="K11" i="123"/>
  <c r="O11" i="123"/>
  <c r="C12" i="123"/>
  <c r="E12" i="123"/>
  <c r="G12" i="123"/>
  <c r="O12" i="123"/>
  <c r="C13" i="123"/>
  <c r="E13" i="123"/>
  <c r="G13" i="123"/>
  <c r="K13" i="123"/>
  <c r="O13" i="123"/>
  <c r="C14" i="123"/>
  <c r="E14" i="123"/>
  <c r="G14" i="123"/>
  <c r="O14" i="123"/>
  <c r="C15" i="123"/>
  <c r="E15" i="123"/>
  <c r="G15" i="123"/>
  <c r="O15" i="123"/>
  <c r="C16" i="123"/>
  <c r="E16" i="123"/>
  <c r="G16" i="123"/>
  <c r="K16" i="123"/>
  <c r="O16" i="123"/>
  <c r="C17" i="123"/>
  <c r="E17" i="123"/>
  <c r="G17" i="123"/>
  <c r="K17" i="123"/>
  <c r="O17" i="123"/>
  <c r="C18" i="123"/>
  <c r="E18" i="123"/>
  <c r="G18" i="123"/>
  <c r="K18" i="123"/>
  <c r="O18" i="123"/>
  <c r="C19" i="123"/>
  <c r="E19" i="123"/>
  <c r="G19" i="123"/>
  <c r="K19" i="123"/>
  <c r="O19" i="123"/>
  <c r="C20" i="123"/>
  <c r="E20" i="123"/>
  <c r="G20" i="123"/>
  <c r="K20" i="123"/>
  <c r="O20" i="123"/>
  <c r="C21" i="123"/>
  <c r="E21" i="123"/>
  <c r="G21" i="123"/>
  <c r="K21" i="123"/>
  <c r="O21" i="123"/>
  <c r="C22" i="123"/>
  <c r="E22" i="123"/>
  <c r="G22" i="123"/>
  <c r="K22" i="123"/>
  <c r="O22" i="123"/>
  <c r="C23" i="123"/>
  <c r="E23" i="123"/>
  <c r="G23" i="123"/>
  <c r="K23" i="123"/>
  <c r="O23" i="123"/>
  <c r="K24" i="123"/>
  <c r="E25" i="123"/>
  <c r="K25" i="123"/>
  <c r="O25" i="123"/>
  <c r="K26" i="123"/>
  <c r="E27" i="123"/>
  <c r="G27" i="123"/>
  <c r="K27" i="123"/>
  <c r="O27" i="123"/>
  <c r="J28" i="123"/>
  <c r="K28" i="123"/>
  <c r="E29" i="123"/>
  <c r="G29" i="123"/>
  <c r="G34" i="123"/>
  <c r="H34" i="123"/>
  <c r="I34" i="123"/>
  <c r="J34" i="123"/>
  <c r="K34" i="123"/>
  <c r="B1" i="62"/>
  <c r="C8" i="62"/>
  <c r="E8" i="62"/>
  <c r="G8" i="62"/>
  <c r="K8" i="62"/>
  <c r="O8" i="62"/>
  <c r="C9" i="62"/>
  <c r="E9" i="62"/>
  <c r="O9" i="62"/>
  <c r="G10" i="62"/>
  <c r="O10" i="62"/>
  <c r="C11" i="62"/>
  <c r="E11" i="62"/>
  <c r="G11" i="62"/>
  <c r="I11" i="62"/>
  <c r="J11" i="62"/>
  <c r="K11" i="62"/>
  <c r="O11" i="62"/>
  <c r="C12" i="62"/>
  <c r="E12" i="62"/>
  <c r="G12" i="62"/>
  <c r="O12" i="62"/>
  <c r="C13" i="62"/>
  <c r="E13" i="62"/>
  <c r="G13" i="62"/>
  <c r="K13" i="62"/>
  <c r="O13" i="62"/>
  <c r="C14" i="62"/>
  <c r="E14" i="62"/>
  <c r="G14" i="62"/>
  <c r="O14" i="62"/>
  <c r="C15" i="62"/>
  <c r="E15" i="62"/>
  <c r="G15" i="62"/>
  <c r="O15" i="62"/>
  <c r="C16" i="62"/>
  <c r="E16" i="62"/>
  <c r="G16" i="62"/>
  <c r="K16" i="62"/>
  <c r="O16" i="62"/>
  <c r="C17" i="62"/>
  <c r="E17" i="62"/>
  <c r="G17" i="62"/>
  <c r="K17" i="62"/>
  <c r="O17" i="62"/>
  <c r="C18" i="62"/>
  <c r="E18" i="62"/>
  <c r="G18" i="62"/>
  <c r="K18" i="62"/>
  <c r="O18" i="62"/>
  <c r="C19" i="62"/>
  <c r="E19" i="62"/>
  <c r="G19" i="62"/>
  <c r="K19" i="62"/>
  <c r="O19" i="62"/>
  <c r="C20" i="62"/>
  <c r="E20" i="62"/>
  <c r="G20" i="62"/>
  <c r="K20" i="62"/>
  <c r="O20" i="62"/>
  <c r="C21" i="62"/>
  <c r="E21" i="62"/>
  <c r="G21" i="62"/>
  <c r="K21" i="62"/>
  <c r="O21" i="62"/>
  <c r="C22" i="62"/>
  <c r="E22" i="62"/>
  <c r="G22" i="62"/>
  <c r="K22" i="62"/>
  <c r="O22" i="62"/>
  <c r="C23" i="62"/>
  <c r="E23" i="62"/>
  <c r="G23" i="62"/>
  <c r="K23" i="62"/>
  <c r="O23" i="62"/>
  <c r="K24" i="62"/>
  <c r="E25" i="62"/>
  <c r="G25" i="62"/>
  <c r="K25" i="62"/>
  <c r="O25" i="62"/>
  <c r="K26" i="62"/>
  <c r="E27" i="62"/>
  <c r="G27" i="62"/>
  <c r="K27" i="62"/>
  <c r="O27" i="62"/>
  <c r="J28" i="62"/>
  <c r="K28" i="62"/>
  <c r="E29" i="62"/>
  <c r="G29" i="62"/>
  <c r="G34" i="62"/>
  <c r="H34" i="62"/>
  <c r="I34" i="62"/>
  <c r="J34" i="62"/>
  <c r="K34" i="62"/>
  <c r="B1" i="198"/>
  <c r="B2" i="198"/>
  <c r="C8" i="198"/>
  <c r="E8" i="198"/>
  <c r="F8" i="198"/>
  <c r="M8" i="198"/>
  <c r="O8" i="198"/>
  <c r="E9" i="198"/>
  <c r="F9" i="198"/>
  <c r="O9" i="198"/>
  <c r="C10" i="198"/>
  <c r="E10" i="198"/>
  <c r="F10" i="198"/>
  <c r="K10" i="198"/>
  <c r="L10" i="198"/>
  <c r="M10" i="198"/>
  <c r="O10" i="198"/>
  <c r="C11" i="198"/>
  <c r="E11" i="198"/>
  <c r="F11" i="198"/>
  <c r="O11" i="198"/>
  <c r="C12" i="198"/>
  <c r="E12" i="198"/>
  <c r="F12" i="198"/>
  <c r="M12" i="198"/>
  <c r="O12" i="198"/>
  <c r="C13" i="198"/>
  <c r="E13" i="198"/>
  <c r="O13" i="198"/>
  <c r="C14" i="198"/>
  <c r="E14" i="198"/>
  <c r="F14" i="198"/>
  <c r="O14" i="198"/>
  <c r="C15" i="198"/>
  <c r="E15" i="198"/>
  <c r="F15" i="198"/>
  <c r="M15" i="198"/>
  <c r="O15" i="198"/>
  <c r="C16" i="198"/>
  <c r="E16" i="198"/>
  <c r="F16" i="198"/>
  <c r="M16" i="198"/>
  <c r="O16" i="198"/>
  <c r="C17" i="198"/>
  <c r="E17" i="198"/>
  <c r="F17" i="198"/>
  <c r="L17" i="198"/>
  <c r="M17" i="198"/>
  <c r="O17" i="198"/>
  <c r="C18" i="198"/>
  <c r="E18" i="198"/>
  <c r="F18" i="198"/>
  <c r="M18" i="198"/>
  <c r="O18" i="198"/>
  <c r="C19" i="198"/>
  <c r="E19" i="198"/>
  <c r="F19" i="198"/>
  <c r="M19" i="198"/>
  <c r="O19" i="198"/>
  <c r="C20" i="198"/>
  <c r="E20" i="198"/>
  <c r="F20" i="198"/>
  <c r="M20" i="198"/>
  <c r="O20" i="198"/>
  <c r="C21" i="198"/>
  <c r="E21" i="198"/>
  <c r="F21" i="198"/>
  <c r="L21" i="198"/>
  <c r="M21" i="198"/>
  <c r="O21" i="198"/>
  <c r="C22" i="198"/>
  <c r="E22" i="198"/>
  <c r="F22" i="198"/>
  <c r="O22" i="198"/>
  <c r="M24" i="198"/>
  <c r="O24" i="198"/>
  <c r="M25" i="198"/>
  <c r="M26" i="198"/>
  <c r="O26" i="198"/>
  <c r="L27" i="198"/>
  <c r="M27" i="198"/>
  <c r="E28" i="198"/>
  <c r="F28" i="198"/>
  <c r="C30" i="198"/>
  <c r="E30" i="198"/>
  <c r="M30" i="198"/>
  <c r="C31" i="198"/>
  <c r="E31" i="198"/>
  <c r="M31" i="198"/>
  <c r="C32" i="198"/>
  <c r="E32" i="198"/>
  <c r="L32" i="198"/>
  <c r="M32" i="198"/>
  <c r="C33" i="198"/>
  <c r="E33" i="198"/>
  <c r="M33" i="198"/>
  <c r="C34" i="198"/>
  <c r="E34" i="198"/>
  <c r="M34" i="198"/>
  <c r="C35" i="198"/>
  <c r="E35" i="198"/>
  <c r="M35" i="198"/>
  <c r="C36" i="198"/>
  <c r="E36" i="198"/>
  <c r="L36" i="198"/>
  <c r="M36" i="198"/>
  <c r="C37" i="198"/>
  <c r="E37" i="198"/>
  <c r="M39" i="198"/>
  <c r="C40" i="198"/>
  <c r="L40" i="198"/>
  <c r="M40" i="198"/>
  <c r="M41" i="198"/>
  <c r="L42" i="198"/>
  <c r="M42" i="198"/>
  <c r="M45" i="198"/>
  <c r="A46" i="198"/>
  <c r="B46" i="198"/>
  <c r="C46" i="198"/>
  <c r="E46" i="198"/>
  <c r="G46" i="198"/>
  <c r="L46" i="198"/>
  <c r="M46" i="198"/>
  <c r="M48" i="198"/>
  <c r="M49" i="198"/>
  <c r="L50" i="198"/>
  <c r="M50" i="198"/>
  <c r="B1" i="61"/>
  <c r="C8" i="61"/>
  <c r="E8" i="61"/>
  <c r="G8" i="61"/>
  <c r="K8" i="61"/>
  <c r="O8" i="61"/>
  <c r="C9" i="61"/>
  <c r="E9" i="61"/>
  <c r="O9" i="61"/>
  <c r="G10" i="61"/>
  <c r="O10" i="61"/>
  <c r="C11" i="61"/>
  <c r="E11" i="61"/>
  <c r="G11" i="61"/>
  <c r="I11" i="61"/>
  <c r="J11" i="61"/>
  <c r="K11" i="61"/>
  <c r="O11" i="61"/>
  <c r="C12" i="61"/>
  <c r="E12" i="61"/>
  <c r="G12" i="61"/>
  <c r="O12" i="61"/>
  <c r="C13" i="61"/>
  <c r="E13" i="61"/>
  <c r="G13" i="61"/>
  <c r="K13" i="61"/>
  <c r="O13" i="61"/>
  <c r="C14" i="61"/>
  <c r="E14" i="61"/>
  <c r="G14" i="61"/>
  <c r="O14" i="61"/>
  <c r="C15" i="61"/>
  <c r="E15" i="61"/>
  <c r="G15" i="61"/>
  <c r="O15" i="61"/>
  <c r="C16" i="61"/>
  <c r="E16" i="61"/>
  <c r="G16" i="61"/>
  <c r="K16" i="61"/>
  <c r="O16" i="61"/>
  <c r="C17" i="61"/>
  <c r="E17" i="61"/>
  <c r="G17" i="61"/>
  <c r="K17" i="61"/>
  <c r="O17" i="61"/>
  <c r="C18" i="61"/>
  <c r="E18" i="61"/>
  <c r="G18" i="61"/>
  <c r="K18" i="61"/>
  <c r="O18" i="61"/>
  <c r="C19" i="61"/>
  <c r="E19" i="61"/>
  <c r="G19" i="61"/>
  <c r="K19" i="61"/>
  <c r="O19" i="61"/>
  <c r="C20" i="61"/>
  <c r="E20" i="61"/>
  <c r="G20" i="61"/>
  <c r="K20" i="61"/>
  <c r="O20" i="61"/>
  <c r="C21" i="61"/>
  <c r="E21" i="61"/>
  <c r="G21" i="61"/>
  <c r="K21" i="61"/>
  <c r="O21" i="61"/>
  <c r="C22" i="61"/>
  <c r="E22" i="61"/>
  <c r="G22" i="61"/>
  <c r="K22" i="61"/>
  <c r="O22" i="61"/>
  <c r="C23" i="61"/>
  <c r="E23" i="61"/>
  <c r="G23" i="61"/>
  <c r="K23" i="61"/>
  <c r="O23" i="61"/>
  <c r="K24" i="61"/>
  <c r="E25" i="61"/>
  <c r="G25" i="61"/>
  <c r="K25" i="61"/>
  <c r="O25" i="61"/>
  <c r="K26" i="61"/>
  <c r="E27" i="61"/>
  <c r="G27" i="61"/>
  <c r="K27" i="61"/>
  <c r="O27" i="61"/>
  <c r="J28" i="61"/>
  <c r="K28" i="61"/>
  <c r="E29" i="61"/>
  <c r="G29" i="61"/>
  <c r="G34" i="61"/>
  <c r="H34" i="61"/>
  <c r="I34" i="61"/>
  <c r="J34" i="61"/>
  <c r="K34" i="61"/>
  <c r="B1" i="122"/>
  <c r="C8" i="122"/>
  <c r="E8" i="122"/>
  <c r="G8" i="122"/>
  <c r="K8" i="122"/>
  <c r="O8" i="122"/>
  <c r="C9" i="122"/>
  <c r="E9" i="122"/>
  <c r="G9" i="122"/>
  <c r="O9" i="122"/>
  <c r="G10" i="122"/>
  <c r="O10" i="122"/>
  <c r="C11" i="122"/>
  <c r="E11" i="122"/>
  <c r="G11" i="122"/>
  <c r="I11" i="122"/>
  <c r="J11" i="122"/>
  <c r="K11" i="122"/>
  <c r="O11" i="122"/>
  <c r="C12" i="122"/>
  <c r="E12" i="122"/>
  <c r="G12" i="122"/>
  <c r="O12" i="122"/>
  <c r="C13" i="122"/>
  <c r="E13" i="122"/>
  <c r="G13" i="122"/>
  <c r="K13" i="122"/>
  <c r="O13" i="122"/>
  <c r="C14" i="122"/>
  <c r="E14" i="122"/>
  <c r="G14" i="122"/>
  <c r="O14" i="122"/>
  <c r="C15" i="122"/>
  <c r="E15" i="122"/>
  <c r="G15" i="122"/>
  <c r="O15" i="122"/>
  <c r="C16" i="122"/>
  <c r="E16" i="122"/>
  <c r="G16" i="122"/>
  <c r="K16" i="122"/>
  <c r="O16" i="122"/>
  <c r="C17" i="122"/>
  <c r="E17" i="122"/>
  <c r="G17" i="122"/>
  <c r="K17" i="122"/>
  <c r="O17" i="122"/>
  <c r="C18" i="122"/>
  <c r="E18" i="122"/>
  <c r="G18" i="122"/>
  <c r="K18" i="122"/>
  <c r="O18" i="122"/>
  <c r="C19" i="122"/>
  <c r="E19" i="122"/>
  <c r="G19" i="122"/>
  <c r="K19" i="122"/>
  <c r="O19" i="122"/>
  <c r="C20" i="122"/>
  <c r="E20" i="122"/>
  <c r="G20" i="122"/>
  <c r="K20" i="122"/>
  <c r="O20" i="122"/>
  <c r="C21" i="122"/>
  <c r="E21" i="122"/>
  <c r="G21" i="122"/>
  <c r="K21" i="122"/>
  <c r="O21" i="122"/>
  <c r="C22" i="122"/>
  <c r="E22" i="122"/>
  <c r="G22" i="122"/>
  <c r="K22" i="122"/>
  <c r="O22" i="122"/>
  <c r="C23" i="122"/>
  <c r="E23" i="122"/>
  <c r="G23" i="122"/>
  <c r="K23" i="122"/>
  <c r="O23" i="122"/>
  <c r="K24" i="122"/>
  <c r="E25" i="122"/>
  <c r="K25" i="122"/>
  <c r="O25" i="122"/>
  <c r="K26" i="122"/>
  <c r="E27" i="122"/>
  <c r="G27" i="122"/>
  <c r="K27" i="122"/>
  <c r="O27" i="122"/>
  <c r="J28" i="122"/>
  <c r="K28" i="122"/>
  <c r="E29" i="122"/>
  <c r="G29" i="122"/>
  <c r="G34" i="122"/>
  <c r="H34" i="122"/>
  <c r="I34" i="122"/>
  <c r="J34" i="122"/>
  <c r="K34" i="122"/>
  <c r="B1" i="203"/>
  <c r="C8" i="203"/>
  <c r="E8" i="203"/>
  <c r="F8" i="203"/>
  <c r="V8" i="203"/>
  <c r="E9" i="203"/>
  <c r="V9" i="203"/>
  <c r="C10" i="203"/>
  <c r="E10" i="203"/>
  <c r="F10" i="203"/>
  <c r="V10" i="203"/>
  <c r="C11" i="203"/>
  <c r="E11" i="203"/>
  <c r="F11" i="203"/>
  <c r="K11" i="203"/>
  <c r="L11" i="203"/>
  <c r="M11" i="203"/>
  <c r="P11" i="203"/>
  <c r="Q11" i="203"/>
  <c r="R11" i="203"/>
  <c r="V11" i="203"/>
  <c r="C12" i="203"/>
  <c r="E12" i="203"/>
  <c r="F12" i="203"/>
  <c r="V12" i="203"/>
  <c r="E13" i="203"/>
  <c r="M13" i="203"/>
  <c r="R13" i="203"/>
  <c r="V13" i="203"/>
  <c r="C14" i="203"/>
  <c r="E14" i="203"/>
  <c r="F14" i="203"/>
  <c r="V14" i="203"/>
  <c r="C15" i="203"/>
  <c r="E15" i="203"/>
  <c r="F15" i="203"/>
  <c r="M15" i="203"/>
  <c r="N15" i="203"/>
  <c r="V15" i="203"/>
  <c r="C16" i="203"/>
  <c r="E16" i="203"/>
  <c r="F16" i="203"/>
  <c r="K16" i="203"/>
  <c r="M16" i="203"/>
  <c r="P16" i="203"/>
  <c r="R16" i="203"/>
  <c r="V16" i="203"/>
  <c r="C17" i="203"/>
  <c r="E17" i="203"/>
  <c r="F17" i="203"/>
  <c r="K17" i="203"/>
  <c r="M17" i="203"/>
  <c r="P17" i="203"/>
  <c r="R17" i="203"/>
  <c r="V17" i="203"/>
  <c r="C18" i="203"/>
  <c r="E18" i="203"/>
  <c r="F18" i="203"/>
  <c r="M18" i="203"/>
  <c r="R18" i="203"/>
  <c r="V18" i="203"/>
  <c r="C19" i="203"/>
  <c r="E19" i="203"/>
  <c r="F19" i="203"/>
  <c r="M19" i="203"/>
  <c r="R19" i="203"/>
  <c r="V19" i="203"/>
  <c r="C20" i="203"/>
  <c r="E20" i="203"/>
  <c r="F20" i="203"/>
  <c r="M20" i="203"/>
  <c r="R20" i="203"/>
  <c r="V20" i="203"/>
  <c r="C21" i="203"/>
  <c r="E21" i="203"/>
  <c r="F21" i="203"/>
  <c r="M21" i="203"/>
  <c r="R21" i="203"/>
  <c r="V21" i="203"/>
  <c r="C22" i="203"/>
  <c r="E22" i="203"/>
  <c r="F22" i="203"/>
  <c r="M22" i="203"/>
  <c r="R22" i="203"/>
  <c r="V22" i="203"/>
  <c r="M23" i="203"/>
  <c r="R23" i="203"/>
  <c r="F24" i="203"/>
  <c r="M24" i="203"/>
  <c r="R24" i="203"/>
  <c r="V24" i="203"/>
  <c r="M25" i="203"/>
  <c r="R25" i="203"/>
  <c r="M26" i="203"/>
  <c r="R26" i="203"/>
  <c r="V26" i="203"/>
  <c r="L27" i="203"/>
  <c r="M27" i="203"/>
  <c r="Q27" i="203"/>
  <c r="R27" i="203"/>
  <c r="E28" i="203"/>
  <c r="F28" i="203"/>
  <c r="C30" i="203"/>
  <c r="E30" i="203"/>
  <c r="C31" i="203"/>
  <c r="E31" i="203"/>
  <c r="M31" i="203"/>
  <c r="R31" i="203"/>
  <c r="C32" i="203"/>
  <c r="E32" i="203"/>
  <c r="C33" i="203"/>
  <c r="E33" i="203"/>
  <c r="C34" i="203"/>
  <c r="E34" i="203"/>
  <c r="C35" i="203"/>
  <c r="E35" i="203"/>
  <c r="C36" i="203"/>
  <c r="E36" i="203"/>
  <c r="J36" i="203"/>
  <c r="L36" i="203"/>
  <c r="M36" i="203"/>
  <c r="O36" i="203"/>
  <c r="C37" i="203"/>
  <c r="E37" i="203"/>
  <c r="J42" i="203"/>
  <c r="M42" i="203"/>
  <c r="O42" i="203"/>
  <c r="C45" i="203"/>
  <c r="B1" i="114"/>
  <c r="C8" i="114"/>
  <c r="E8" i="114"/>
  <c r="G8" i="114"/>
  <c r="H8" i="114"/>
  <c r="L8" i="114"/>
  <c r="C9" i="114"/>
  <c r="G9" i="114"/>
  <c r="C10" i="114"/>
  <c r="E10" i="114"/>
  <c r="G10" i="114"/>
  <c r="H10" i="114"/>
  <c r="C11" i="114"/>
  <c r="E11" i="114"/>
  <c r="G11" i="114"/>
  <c r="H11" i="114"/>
  <c r="J11" i="114"/>
  <c r="K11" i="114"/>
  <c r="L11" i="114"/>
  <c r="C12" i="114"/>
  <c r="E12" i="114"/>
  <c r="G12" i="114"/>
  <c r="H12" i="114"/>
  <c r="C13" i="114"/>
  <c r="E13" i="114"/>
  <c r="G13" i="114"/>
  <c r="H13" i="114"/>
  <c r="L13" i="114"/>
  <c r="C14" i="114"/>
  <c r="E14" i="114"/>
  <c r="G14" i="114"/>
  <c r="H14" i="114"/>
  <c r="C15" i="114"/>
  <c r="E15" i="114"/>
  <c r="G15" i="114"/>
  <c r="H15" i="114"/>
  <c r="C16" i="114"/>
  <c r="E16" i="114"/>
  <c r="G16" i="114"/>
  <c r="H16" i="114"/>
  <c r="K16" i="114"/>
  <c r="L16" i="114"/>
  <c r="C17" i="114"/>
  <c r="E17" i="114"/>
  <c r="G17" i="114"/>
  <c r="H17" i="114"/>
  <c r="L17" i="114"/>
  <c r="C18" i="114"/>
  <c r="E18" i="114"/>
  <c r="G18" i="114"/>
  <c r="H18" i="114"/>
  <c r="L18" i="114"/>
  <c r="C19" i="114"/>
  <c r="E19" i="114"/>
  <c r="G19" i="114"/>
  <c r="L19" i="114"/>
  <c r="C20" i="114"/>
  <c r="E20" i="114"/>
  <c r="G20" i="114"/>
  <c r="H20" i="114"/>
  <c r="L20" i="114"/>
  <c r="C21" i="114"/>
  <c r="E21" i="114"/>
  <c r="G21" i="114"/>
  <c r="H21" i="114"/>
  <c r="L21" i="114"/>
  <c r="C22" i="114"/>
  <c r="E22" i="114"/>
  <c r="G22" i="114"/>
  <c r="L22" i="114"/>
  <c r="C23" i="114"/>
  <c r="E23" i="114"/>
  <c r="G23" i="114"/>
  <c r="H23" i="114"/>
  <c r="K23" i="114"/>
  <c r="L23" i="114"/>
  <c r="K24" i="114"/>
  <c r="L24" i="114"/>
  <c r="E25" i="114"/>
  <c r="H25" i="114"/>
  <c r="L25" i="114"/>
  <c r="L26" i="114"/>
  <c r="E27" i="114"/>
  <c r="H27" i="114"/>
  <c r="L27" i="114"/>
  <c r="K28" i="114"/>
  <c r="L28" i="114"/>
  <c r="E29" i="114"/>
  <c r="H29" i="114"/>
  <c r="L30" i="114"/>
  <c r="H34" i="114"/>
  <c r="I34" i="114"/>
  <c r="J34" i="114"/>
  <c r="K34" i="114"/>
  <c r="L34" i="114"/>
  <c r="B1" i="109"/>
  <c r="C8" i="109"/>
  <c r="E8" i="109"/>
  <c r="G8" i="109"/>
  <c r="H8" i="109"/>
  <c r="L8" i="109"/>
  <c r="C9" i="109"/>
  <c r="G9" i="109"/>
  <c r="C10" i="109"/>
  <c r="E10" i="109"/>
  <c r="G10" i="109"/>
  <c r="H10" i="109"/>
  <c r="C11" i="109"/>
  <c r="E11" i="109"/>
  <c r="G11" i="109"/>
  <c r="H11" i="109"/>
  <c r="J11" i="109"/>
  <c r="K11" i="109"/>
  <c r="L11" i="109"/>
  <c r="C12" i="109"/>
  <c r="E12" i="109"/>
  <c r="G12" i="109"/>
  <c r="H12" i="109"/>
  <c r="C13" i="109"/>
  <c r="E13" i="109"/>
  <c r="G13" i="109"/>
  <c r="L13" i="109"/>
  <c r="C14" i="109"/>
  <c r="E14" i="109"/>
  <c r="G14" i="109"/>
  <c r="H14" i="109"/>
  <c r="C15" i="109"/>
  <c r="E15" i="109"/>
  <c r="G15" i="109"/>
  <c r="H15" i="109"/>
  <c r="C16" i="109"/>
  <c r="E16" i="109"/>
  <c r="G16" i="109"/>
  <c r="H16" i="109"/>
  <c r="K16" i="109"/>
  <c r="L16" i="109"/>
  <c r="C17" i="109"/>
  <c r="E17" i="109"/>
  <c r="G17" i="109"/>
  <c r="H17" i="109"/>
  <c r="L17" i="109"/>
  <c r="C18" i="109"/>
  <c r="E18" i="109"/>
  <c r="G18" i="109"/>
  <c r="H18" i="109"/>
  <c r="L18" i="109"/>
  <c r="C19" i="109"/>
  <c r="E19" i="109"/>
  <c r="G19" i="109"/>
  <c r="H19" i="109"/>
  <c r="L19" i="109"/>
  <c r="C20" i="109"/>
  <c r="E20" i="109"/>
  <c r="G20" i="109"/>
  <c r="H20" i="109"/>
  <c r="L20" i="109"/>
  <c r="C21" i="109"/>
  <c r="E21" i="109"/>
  <c r="G21" i="109"/>
  <c r="H21" i="109"/>
  <c r="L21" i="109"/>
  <c r="C22" i="109"/>
  <c r="E22" i="109"/>
  <c r="G22" i="109"/>
  <c r="L22" i="109"/>
  <c r="C23" i="109"/>
  <c r="E23" i="109"/>
  <c r="G23" i="109"/>
  <c r="H23" i="109"/>
  <c r="L23" i="109"/>
  <c r="L24" i="109"/>
  <c r="E25" i="109"/>
  <c r="H25" i="109"/>
  <c r="L25" i="109"/>
  <c r="L26" i="109"/>
  <c r="E27" i="109"/>
  <c r="H27" i="109"/>
  <c r="L27" i="109"/>
  <c r="K28" i="109"/>
  <c r="L28" i="109"/>
  <c r="E29" i="109"/>
  <c r="H29" i="109"/>
  <c r="L30" i="109"/>
  <c r="H34" i="109"/>
  <c r="I34" i="109"/>
  <c r="J34" i="109"/>
  <c r="K34" i="109"/>
  <c r="L34" i="109"/>
  <c r="B1" i="75"/>
  <c r="C8" i="75"/>
  <c r="E8" i="75"/>
  <c r="G8" i="75"/>
  <c r="L8" i="75"/>
  <c r="C9" i="75"/>
  <c r="G9" i="75"/>
  <c r="C10" i="75"/>
  <c r="E10" i="75"/>
  <c r="G10" i="75"/>
  <c r="H10" i="75"/>
  <c r="C11" i="75"/>
  <c r="E11" i="75"/>
  <c r="G11" i="75"/>
  <c r="H11" i="75"/>
  <c r="J11" i="75"/>
  <c r="K11" i="75"/>
  <c r="L11" i="75"/>
  <c r="C12" i="75"/>
  <c r="E12" i="75"/>
  <c r="G12" i="75"/>
  <c r="H12" i="75"/>
  <c r="C13" i="75"/>
  <c r="E13" i="75"/>
  <c r="G13" i="75"/>
  <c r="L13" i="75"/>
  <c r="C14" i="75"/>
  <c r="E14" i="75"/>
  <c r="G14" i="75"/>
  <c r="H14" i="75"/>
  <c r="C15" i="75"/>
  <c r="E15" i="75"/>
  <c r="G15" i="75"/>
  <c r="H15" i="75"/>
  <c r="C16" i="75"/>
  <c r="E16" i="75"/>
  <c r="G16" i="75"/>
  <c r="H16" i="75"/>
  <c r="K16" i="75"/>
  <c r="L16" i="75"/>
  <c r="C17" i="75"/>
  <c r="E17" i="75"/>
  <c r="G17" i="75"/>
  <c r="H17" i="75"/>
  <c r="L17" i="75"/>
  <c r="C18" i="75"/>
  <c r="E18" i="75"/>
  <c r="G18" i="75"/>
  <c r="H18" i="75"/>
  <c r="L18" i="75"/>
  <c r="C19" i="75"/>
  <c r="E19" i="75"/>
  <c r="G19" i="75"/>
  <c r="H19" i="75"/>
  <c r="L19" i="75"/>
  <c r="C20" i="75"/>
  <c r="E20" i="75"/>
  <c r="G20" i="75"/>
  <c r="H20" i="75"/>
  <c r="L20" i="75"/>
  <c r="C21" i="75"/>
  <c r="E21" i="75"/>
  <c r="G21" i="75"/>
  <c r="H21" i="75"/>
  <c r="L21" i="75"/>
  <c r="C22" i="75"/>
  <c r="E22" i="75"/>
  <c r="G22" i="75"/>
  <c r="L22" i="75"/>
  <c r="C23" i="75"/>
  <c r="E23" i="75"/>
  <c r="G23" i="75"/>
  <c r="H23" i="75"/>
  <c r="L23" i="75"/>
  <c r="L24" i="75"/>
  <c r="E25" i="75"/>
  <c r="H25" i="75"/>
  <c r="L25" i="75"/>
  <c r="L26" i="75"/>
  <c r="E27" i="75"/>
  <c r="H27" i="75"/>
  <c r="L27" i="75"/>
  <c r="K28" i="75"/>
  <c r="L28" i="75"/>
  <c r="E29" i="75"/>
  <c r="H29" i="75"/>
  <c r="L30" i="75"/>
  <c r="H34" i="75"/>
  <c r="I34" i="75"/>
  <c r="J34" i="75"/>
  <c r="K34" i="75"/>
  <c r="L34" i="75"/>
  <c r="B1" i="10"/>
  <c r="B2" i="10"/>
  <c r="C8" i="10"/>
  <c r="E8" i="10"/>
  <c r="F8" i="10"/>
  <c r="O8" i="10"/>
  <c r="E9" i="10"/>
  <c r="F9" i="10"/>
  <c r="K9" i="10"/>
  <c r="L9" i="10"/>
  <c r="O9" i="10"/>
  <c r="E10" i="10"/>
  <c r="F10" i="10"/>
  <c r="O10" i="10"/>
  <c r="C11" i="10"/>
  <c r="E11" i="10"/>
  <c r="F11" i="10"/>
  <c r="O11" i="10"/>
  <c r="C12" i="10"/>
  <c r="E12" i="10"/>
  <c r="F12" i="10"/>
  <c r="J12" i="10"/>
  <c r="K12" i="10"/>
  <c r="L12" i="10"/>
  <c r="O12" i="10"/>
  <c r="C13" i="10"/>
  <c r="E13" i="10"/>
  <c r="F13" i="10"/>
  <c r="O13" i="10"/>
  <c r="C14" i="10"/>
  <c r="E14" i="10"/>
  <c r="F14" i="10"/>
  <c r="L14" i="10"/>
  <c r="O14" i="10"/>
  <c r="C15" i="10"/>
  <c r="E15" i="10"/>
  <c r="F15" i="10"/>
  <c r="O15" i="10"/>
  <c r="C16" i="10"/>
  <c r="E16" i="10"/>
  <c r="F16" i="10"/>
  <c r="O16" i="10"/>
  <c r="C17" i="10"/>
  <c r="E17" i="10"/>
  <c r="F17" i="10"/>
  <c r="J17" i="10"/>
  <c r="K17" i="10"/>
  <c r="L17" i="10"/>
  <c r="O17" i="10"/>
  <c r="C18" i="10"/>
  <c r="E18" i="10"/>
  <c r="F18" i="10"/>
  <c r="L18" i="10"/>
  <c r="O18" i="10"/>
  <c r="C19" i="10"/>
  <c r="E19" i="10"/>
  <c r="F19" i="10"/>
  <c r="L19" i="10"/>
  <c r="O19" i="10"/>
  <c r="C20" i="10"/>
  <c r="E20" i="10"/>
  <c r="F20" i="10"/>
  <c r="L20" i="10"/>
  <c r="O20" i="10"/>
  <c r="C21" i="10"/>
  <c r="E21" i="10"/>
  <c r="F21" i="10"/>
  <c r="L21" i="10"/>
  <c r="O21" i="10"/>
  <c r="C22" i="10"/>
  <c r="E22" i="10"/>
  <c r="F22" i="10"/>
  <c r="L22" i="10"/>
  <c r="O22" i="10"/>
  <c r="C23" i="10"/>
  <c r="E23" i="10"/>
  <c r="F23" i="10"/>
  <c r="L23" i="10"/>
  <c r="O23" i="10"/>
  <c r="L24" i="10"/>
  <c r="F25" i="10"/>
  <c r="L25" i="10"/>
  <c r="O25" i="10"/>
  <c r="L26" i="10"/>
  <c r="L27" i="10"/>
  <c r="O27" i="10"/>
  <c r="K28" i="10"/>
  <c r="L28" i="10"/>
  <c r="E29" i="10"/>
  <c r="F29" i="10"/>
  <c r="K29" i="10"/>
  <c r="L29" i="10"/>
  <c r="C31" i="10"/>
  <c r="E31" i="10"/>
  <c r="C32" i="10"/>
  <c r="E32" i="10"/>
  <c r="C33" i="10"/>
  <c r="E33" i="10"/>
  <c r="L33" i="10"/>
  <c r="C34" i="10"/>
  <c r="E34" i="10"/>
  <c r="C35" i="10"/>
  <c r="E35" i="10"/>
  <c r="C36" i="10"/>
  <c r="E36" i="10"/>
  <c r="C37" i="10"/>
  <c r="E37" i="10"/>
  <c r="C38" i="10"/>
  <c r="E38" i="10"/>
  <c r="G40" i="10"/>
  <c r="I40" i="10"/>
  <c r="J40" i="10"/>
  <c r="K40" i="10"/>
  <c r="L40" i="10"/>
  <c r="C41" i="10"/>
  <c r="B1" i="199"/>
  <c r="G8" i="199"/>
  <c r="O8" i="199"/>
  <c r="E9" i="199"/>
  <c r="G9" i="199"/>
  <c r="O9" i="199"/>
  <c r="E10" i="199"/>
  <c r="G10" i="199"/>
  <c r="O10" i="199"/>
  <c r="E11" i="199"/>
  <c r="G11" i="199"/>
  <c r="J11" i="199"/>
  <c r="K11" i="199"/>
  <c r="L11" i="199"/>
  <c r="O11" i="199"/>
  <c r="E12" i="199"/>
  <c r="G12" i="199"/>
  <c r="O12" i="199"/>
  <c r="E13" i="199"/>
  <c r="G13" i="199"/>
  <c r="L13" i="199"/>
  <c r="O13" i="199"/>
  <c r="E14" i="199"/>
  <c r="G14" i="199"/>
  <c r="O14" i="199"/>
  <c r="C15" i="199"/>
  <c r="E15" i="199"/>
  <c r="G15" i="199"/>
  <c r="O15" i="199"/>
  <c r="C16" i="199"/>
  <c r="E16" i="199"/>
  <c r="G16" i="199"/>
  <c r="L16" i="199"/>
  <c r="O16" i="199"/>
  <c r="E17" i="199"/>
  <c r="G17" i="199"/>
  <c r="L17" i="199"/>
  <c r="O17" i="199"/>
  <c r="E18" i="199"/>
  <c r="G18" i="199"/>
  <c r="L18" i="199"/>
  <c r="O18" i="199"/>
  <c r="C19" i="199"/>
  <c r="E19" i="199"/>
  <c r="G19" i="199"/>
  <c r="L19" i="199"/>
  <c r="O19" i="199"/>
  <c r="E20" i="199"/>
  <c r="G20" i="199"/>
  <c r="L20" i="199"/>
  <c r="O20" i="199"/>
  <c r="E21" i="199"/>
  <c r="G21" i="199"/>
  <c r="L21" i="199"/>
  <c r="O21" i="199"/>
  <c r="C22" i="199"/>
  <c r="E22" i="199"/>
  <c r="G22" i="199"/>
  <c r="L22" i="199"/>
  <c r="O22" i="199"/>
  <c r="L23" i="199"/>
  <c r="G24" i="199"/>
  <c r="L24" i="199"/>
  <c r="L25" i="199"/>
  <c r="G26" i="199"/>
  <c r="L26" i="199"/>
  <c r="K27" i="199"/>
  <c r="L27" i="199"/>
  <c r="E28" i="199"/>
  <c r="G28" i="199"/>
  <c r="O28" i="199"/>
  <c r="C30" i="199"/>
  <c r="E30" i="199"/>
  <c r="C31" i="199"/>
  <c r="E31" i="199"/>
  <c r="L31" i="199"/>
  <c r="C32" i="199"/>
  <c r="E32" i="199"/>
  <c r="C33" i="199"/>
  <c r="E33" i="199"/>
  <c r="C34" i="199"/>
  <c r="E34" i="199"/>
  <c r="C35" i="199"/>
  <c r="E35" i="199"/>
  <c r="C36" i="199"/>
  <c r="E36" i="199"/>
  <c r="C37" i="199"/>
  <c r="E37" i="199"/>
  <c r="H38" i="199"/>
  <c r="I38" i="199"/>
  <c r="J38" i="199"/>
  <c r="K38" i="199"/>
  <c r="L38" i="199"/>
  <c r="C43" i="199"/>
  <c r="B1" i="117"/>
  <c r="C8" i="117"/>
  <c r="E8" i="117"/>
  <c r="G8" i="117"/>
  <c r="H8" i="117"/>
  <c r="L8" i="117"/>
  <c r="C9" i="117"/>
  <c r="G9" i="117"/>
  <c r="C10" i="117"/>
  <c r="E10" i="117"/>
  <c r="G10" i="117"/>
  <c r="H10" i="117"/>
  <c r="C11" i="117"/>
  <c r="E11" i="117"/>
  <c r="G11" i="117"/>
  <c r="H11" i="117"/>
  <c r="J11" i="117"/>
  <c r="K11" i="117"/>
  <c r="L11" i="117"/>
  <c r="C12" i="117"/>
  <c r="E12" i="117"/>
  <c r="G12" i="117"/>
  <c r="H12" i="117"/>
  <c r="C13" i="117"/>
  <c r="E13" i="117"/>
  <c r="G13" i="117"/>
  <c r="H13" i="117"/>
  <c r="L13" i="117"/>
  <c r="C14" i="117"/>
  <c r="E14" i="117"/>
  <c r="G14" i="117"/>
  <c r="H14" i="117"/>
  <c r="C15" i="117"/>
  <c r="E15" i="117"/>
  <c r="G15" i="117"/>
  <c r="H15" i="117"/>
  <c r="C16" i="117"/>
  <c r="E16" i="117"/>
  <c r="G16" i="117"/>
  <c r="H16" i="117"/>
  <c r="K16" i="117"/>
  <c r="L16" i="117"/>
  <c r="C17" i="117"/>
  <c r="E17" i="117"/>
  <c r="G17" i="117"/>
  <c r="H17" i="117"/>
  <c r="L17" i="117"/>
  <c r="C18" i="117"/>
  <c r="E18" i="117"/>
  <c r="G18" i="117"/>
  <c r="H18" i="117"/>
  <c r="L18" i="117"/>
  <c r="C19" i="117"/>
  <c r="E19" i="117"/>
  <c r="G19" i="117"/>
  <c r="H19" i="117"/>
  <c r="L19" i="117"/>
  <c r="C20" i="117"/>
  <c r="E20" i="117"/>
  <c r="G20" i="117"/>
  <c r="H20" i="117"/>
  <c r="L20" i="117"/>
  <c r="C21" i="117"/>
  <c r="E21" i="117"/>
  <c r="G21" i="117"/>
  <c r="H21" i="117"/>
  <c r="L21" i="117"/>
  <c r="C22" i="117"/>
  <c r="E22" i="117"/>
  <c r="G22" i="117"/>
  <c r="L22" i="117"/>
  <c r="C23" i="117"/>
  <c r="E23" i="117"/>
  <c r="G23" i="117"/>
  <c r="H23" i="117"/>
  <c r="L23" i="117"/>
  <c r="L24" i="117"/>
  <c r="E25" i="117"/>
  <c r="H25" i="117"/>
  <c r="L25" i="117"/>
  <c r="L26" i="117"/>
  <c r="E27" i="117"/>
  <c r="H27" i="117"/>
  <c r="L27" i="117"/>
  <c r="K28" i="117"/>
  <c r="L28" i="117"/>
  <c r="E29" i="117"/>
  <c r="H29" i="117"/>
  <c r="L30" i="117"/>
  <c r="H34" i="117"/>
  <c r="I34" i="117"/>
  <c r="J34" i="117"/>
  <c r="K34" i="117"/>
  <c r="L34" i="117"/>
  <c r="B1" i="101"/>
  <c r="C8" i="101"/>
  <c r="E8" i="101"/>
  <c r="G8" i="101"/>
  <c r="L8" i="101"/>
  <c r="C9" i="101"/>
  <c r="G9" i="101"/>
  <c r="C10" i="101"/>
  <c r="E10" i="101"/>
  <c r="G10" i="101"/>
  <c r="H10" i="101"/>
  <c r="C11" i="101"/>
  <c r="E11" i="101"/>
  <c r="G11" i="101"/>
  <c r="H11" i="101"/>
  <c r="J11" i="101"/>
  <c r="K11" i="101"/>
  <c r="L11" i="101"/>
  <c r="C12" i="101"/>
  <c r="E12" i="101"/>
  <c r="G12" i="101"/>
  <c r="H12" i="101"/>
  <c r="C13" i="101"/>
  <c r="E13" i="101"/>
  <c r="G13" i="101"/>
  <c r="H13" i="101"/>
  <c r="L13" i="101"/>
  <c r="C14" i="101"/>
  <c r="E14" i="101"/>
  <c r="G14" i="101"/>
  <c r="H14" i="101"/>
  <c r="C15" i="101"/>
  <c r="E15" i="101"/>
  <c r="G15" i="101"/>
  <c r="H15" i="101"/>
  <c r="C16" i="101"/>
  <c r="E16" i="101"/>
  <c r="G16" i="101"/>
  <c r="H16" i="101"/>
  <c r="K16" i="101"/>
  <c r="L16" i="101"/>
  <c r="C17" i="101"/>
  <c r="E17" i="101"/>
  <c r="G17" i="101"/>
  <c r="H17" i="101"/>
  <c r="L17" i="101"/>
  <c r="C18" i="101"/>
  <c r="E18" i="101"/>
  <c r="G18" i="101"/>
  <c r="H18" i="101"/>
  <c r="L18" i="101"/>
  <c r="C19" i="101"/>
  <c r="E19" i="101"/>
  <c r="G19" i="101"/>
  <c r="H19" i="101"/>
  <c r="L19" i="101"/>
  <c r="C20" i="101"/>
  <c r="E20" i="101"/>
  <c r="G20" i="101"/>
  <c r="H20" i="101"/>
  <c r="L20" i="101"/>
  <c r="C21" i="101"/>
  <c r="E21" i="101"/>
  <c r="G21" i="101"/>
  <c r="H21" i="101"/>
  <c r="L21" i="101"/>
  <c r="C22" i="101"/>
  <c r="E22" i="101"/>
  <c r="G22" i="101"/>
  <c r="L22" i="101"/>
  <c r="C23" i="101"/>
  <c r="E23" i="101"/>
  <c r="G23" i="101"/>
  <c r="H23" i="101"/>
  <c r="L23" i="101"/>
  <c r="L24" i="101"/>
  <c r="E25" i="101"/>
  <c r="H25" i="101"/>
  <c r="L25" i="101"/>
  <c r="L26" i="101"/>
  <c r="E27" i="101"/>
  <c r="H27" i="101"/>
  <c r="L27" i="101"/>
  <c r="K28" i="101"/>
  <c r="L28" i="101"/>
  <c r="E29" i="101"/>
  <c r="H29" i="101"/>
  <c r="L30" i="101"/>
  <c r="H34" i="101"/>
  <c r="I34" i="101"/>
  <c r="J34" i="101"/>
  <c r="K34" i="101"/>
  <c r="L34" i="101"/>
  <c r="B1" i="85"/>
  <c r="C8" i="85"/>
  <c r="E8" i="85"/>
  <c r="G8" i="85"/>
  <c r="L8" i="85"/>
  <c r="C9" i="85"/>
  <c r="G9" i="85"/>
  <c r="C10" i="85"/>
  <c r="E10" i="85"/>
  <c r="G10" i="85"/>
  <c r="C11" i="85"/>
  <c r="E11" i="85"/>
  <c r="G11" i="85"/>
  <c r="H11" i="85"/>
  <c r="J11" i="85"/>
  <c r="K11" i="85"/>
  <c r="L11" i="85"/>
  <c r="C12" i="85"/>
  <c r="E12" i="85"/>
  <c r="G12" i="85"/>
  <c r="C13" i="85"/>
  <c r="E13" i="85"/>
  <c r="G13" i="85"/>
  <c r="L13" i="85"/>
  <c r="C14" i="85"/>
  <c r="E14" i="85"/>
  <c r="G14" i="85"/>
  <c r="C15" i="85"/>
  <c r="E15" i="85"/>
  <c r="G15" i="85"/>
  <c r="C16" i="85"/>
  <c r="E16" i="85"/>
  <c r="G16" i="85"/>
  <c r="K16" i="85"/>
  <c r="L16" i="85"/>
  <c r="C17" i="85"/>
  <c r="E17" i="85"/>
  <c r="G17" i="85"/>
  <c r="L17" i="85"/>
  <c r="C18" i="85"/>
  <c r="E18" i="85"/>
  <c r="G18" i="85"/>
  <c r="L18" i="85"/>
  <c r="C19" i="85"/>
  <c r="E19" i="85"/>
  <c r="G19" i="85"/>
  <c r="L19" i="85"/>
  <c r="C20" i="85"/>
  <c r="E20" i="85"/>
  <c r="G20" i="85"/>
  <c r="L20" i="85"/>
  <c r="C21" i="85"/>
  <c r="E21" i="85"/>
  <c r="G21" i="85"/>
  <c r="L21" i="85"/>
  <c r="C22" i="85"/>
  <c r="E22" i="85"/>
  <c r="G22" i="85"/>
  <c r="L22" i="85"/>
  <c r="C23" i="85"/>
  <c r="E23" i="85"/>
  <c r="G23" i="85"/>
  <c r="H23" i="85"/>
  <c r="K23" i="85"/>
  <c r="L23" i="85"/>
  <c r="K24" i="85"/>
  <c r="L24" i="85"/>
  <c r="E25" i="85"/>
  <c r="L25" i="85"/>
  <c r="L26" i="85"/>
  <c r="E27" i="85"/>
  <c r="L27" i="85"/>
  <c r="K28" i="85"/>
  <c r="L28" i="85"/>
  <c r="E29" i="85"/>
  <c r="H29" i="85"/>
  <c r="L30" i="85"/>
  <c r="H34" i="85"/>
  <c r="I34" i="85"/>
  <c r="J34" i="85"/>
  <c r="K34" i="85"/>
  <c r="L34" i="85"/>
  <c r="B1" i="86"/>
  <c r="C8" i="86"/>
  <c r="E8" i="86"/>
  <c r="G8" i="86"/>
  <c r="L8" i="86"/>
  <c r="C9" i="86"/>
  <c r="G9" i="86"/>
  <c r="C10" i="86"/>
  <c r="E10" i="86"/>
  <c r="G10" i="86"/>
  <c r="C11" i="86"/>
  <c r="E11" i="86"/>
  <c r="G11" i="86"/>
  <c r="H11" i="86"/>
  <c r="J11" i="86"/>
  <c r="K11" i="86"/>
  <c r="L11" i="86"/>
  <c r="C12" i="86"/>
  <c r="E12" i="86"/>
  <c r="G12" i="86"/>
  <c r="C13" i="86"/>
  <c r="E13" i="86"/>
  <c r="G13" i="86"/>
  <c r="L13" i="86"/>
  <c r="C14" i="86"/>
  <c r="E14" i="86"/>
  <c r="G14" i="86"/>
  <c r="C15" i="86"/>
  <c r="E15" i="86"/>
  <c r="G15" i="86"/>
  <c r="C16" i="86"/>
  <c r="E16" i="86"/>
  <c r="G16" i="86"/>
  <c r="K16" i="86"/>
  <c r="L16" i="86"/>
  <c r="C17" i="86"/>
  <c r="E17" i="86"/>
  <c r="G17" i="86"/>
  <c r="L17" i="86"/>
  <c r="C18" i="86"/>
  <c r="E18" i="86"/>
  <c r="G18" i="86"/>
  <c r="L18" i="86"/>
  <c r="C19" i="86"/>
  <c r="E19" i="86"/>
  <c r="G19" i="86"/>
  <c r="L19" i="86"/>
  <c r="C20" i="86"/>
  <c r="E20" i="86"/>
  <c r="G20" i="86"/>
  <c r="L20" i="86"/>
  <c r="C21" i="86"/>
  <c r="E21" i="86"/>
  <c r="G21" i="86"/>
  <c r="L21" i="86"/>
  <c r="C22" i="86"/>
  <c r="E22" i="86"/>
  <c r="G22" i="86"/>
  <c r="L22" i="86"/>
  <c r="C23" i="86"/>
  <c r="E23" i="86"/>
  <c r="G23" i="86"/>
  <c r="H23" i="86"/>
  <c r="K23" i="86"/>
  <c r="L23" i="86"/>
  <c r="K24" i="86"/>
  <c r="L24" i="86"/>
  <c r="E25" i="86"/>
  <c r="L25" i="86"/>
  <c r="L26" i="86"/>
  <c r="E27" i="86"/>
  <c r="L27" i="86"/>
  <c r="K28" i="86"/>
  <c r="L28" i="86"/>
  <c r="E29" i="86"/>
  <c r="H29" i="86"/>
  <c r="L30" i="86"/>
  <c r="H34" i="86"/>
  <c r="I34" i="86"/>
  <c r="J34" i="86"/>
  <c r="K34" i="86"/>
  <c r="L34" i="86"/>
  <c r="B1" i="116"/>
  <c r="C8" i="116"/>
  <c r="E8" i="116"/>
  <c r="G8" i="116"/>
  <c r="H8" i="116"/>
  <c r="L8" i="116"/>
  <c r="C9" i="116"/>
  <c r="G9" i="116"/>
  <c r="H9" i="116"/>
  <c r="C10" i="116"/>
  <c r="E10" i="116"/>
  <c r="G10" i="116"/>
  <c r="H10" i="116"/>
  <c r="C11" i="116"/>
  <c r="E11" i="116"/>
  <c r="G11" i="116"/>
  <c r="H11" i="116"/>
  <c r="J11" i="116"/>
  <c r="K11" i="116"/>
  <c r="L11" i="116"/>
  <c r="C12" i="116"/>
  <c r="E12" i="116"/>
  <c r="G12" i="116"/>
  <c r="H12" i="116"/>
  <c r="C13" i="116"/>
  <c r="E13" i="116"/>
  <c r="G13" i="116"/>
  <c r="H13" i="116"/>
  <c r="L13" i="116"/>
  <c r="C14" i="116"/>
  <c r="E14" i="116"/>
  <c r="G14" i="116"/>
  <c r="H14" i="116"/>
  <c r="C15" i="116"/>
  <c r="E15" i="116"/>
  <c r="G15" i="116"/>
  <c r="H15" i="116"/>
  <c r="C16" i="116"/>
  <c r="E16" i="116"/>
  <c r="G16" i="116"/>
  <c r="H16" i="116"/>
  <c r="K16" i="116"/>
  <c r="L16" i="116"/>
  <c r="C17" i="116"/>
  <c r="E17" i="116"/>
  <c r="G17" i="116"/>
  <c r="H17" i="116"/>
  <c r="L17" i="116"/>
  <c r="C18" i="116"/>
  <c r="E18" i="116"/>
  <c r="G18" i="116"/>
  <c r="H18" i="116"/>
  <c r="L18" i="116"/>
  <c r="C19" i="116"/>
  <c r="E19" i="116"/>
  <c r="G19" i="116"/>
  <c r="H19" i="116"/>
  <c r="L19" i="116"/>
  <c r="C20" i="116"/>
  <c r="E20" i="116"/>
  <c r="G20" i="116"/>
  <c r="H20" i="116"/>
  <c r="L20" i="116"/>
  <c r="C21" i="116"/>
  <c r="E21" i="116"/>
  <c r="G21" i="116"/>
  <c r="H21" i="116"/>
  <c r="L21" i="116"/>
  <c r="C22" i="116"/>
  <c r="E22" i="116"/>
  <c r="G22" i="116"/>
  <c r="H22" i="116"/>
  <c r="L22" i="116"/>
  <c r="C23" i="116"/>
  <c r="E23" i="116"/>
  <c r="G23" i="116"/>
  <c r="H23" i="116"/>
  <c r="K23" i="116"/>
  <c r="L23" i="116"/>
  <c r="K24" i="116"/>
  <c r="L24" i="116"/>
  <c r="E25" i="116"/>
  <c r="H25" i="116"/>
  <c r="L25" i="116"/>
  <c r="L26" i="116"/>
  <c r="E27" i="116"/>
  <c r="H27" i="116"/>
  <c r="L27" i="116"/>
  <c r="K28" i="116"/>
  <c r="L28" i="116"/>
  <c r="E29" i="116"/>
  <c r="H29" i="116"/>
  <c r="L30" i="116"/>
  <c r="H34" i="116"/>
  <c r="I34" i="116"/>
  <c r="J34" i="116"/>
  <c r="K34" i="116"/>
  <c r="L34" i="116"/>
  <c r="B1" i="192"/>
  <c r="C8" i="192"/>
  <c r="E8" i="192"/>
  <c r="H8" i="192"/>
  <c r="Q8" i="192"/>
  <c r="E9" i="192"/>
  <c r="Q9" i="192"/>
  <c r="C10" i="192"/>
  <c r="E10" i="192"/>
  <c r="H10" i="192"/>
  <c r="Q10" i="192"/>
  <c r="C11" i="192"/>
  <c r="E11" i="192"/>
  <c r="H11" i="192"/>
  <c r="J11" i="192"/>
  <c r="K11" i="192"/>
  <c r="L11" i="192"/>
  <c r="Q11" i="192"/>
  <c r="C12" i="192"/>
  <c r="E12" i="192"/>
  <c r="Q12" i="192"/>
  <c r="E13" i="192"/>
  <c r="L13" i="192"/>
  <c r="P13" i="192"/>
  <c r="Q13" i="192"/>
  <c r="C14" i="192"/>
  <c r="E14" i="192"/>
  <c r="H14" i="192"/>
  <c r="Q14" i="192"/>
  <c r="C15" i="192"/>
  <c r="E15" i="192"/>
  <c r="H15" i="192"/>
  <c r="Q15" i="192"/>
  <c r="C16" i="192"/>
  <c r="E16" i="192"/>
  <c r="H16" i="192"/>
  <c r="K16" i="192"/>
  <c r="L16" i="192"/>
  <c r="Q16" i="192"/>
  <c r="C17" i="192"/>
  <c r="E17" i="192"/>
  <c r="H17" i="192"/>
  <c r="K17" i="192"/>
  <c r="L17" i="192"/>
  <c r="Q17" i="192"/>
  <c r="C18" i="192"/>
  <c r="H18" i="192"/>
  <c r="K18" i="192"/>
  <c r="L18" i="192"/>
  <c r="Q18" i="192"/>
  <c r="C19" i="192"/>
  <c r="E19" i="192"/>
  <c r="H19" i="192"/>
  <c r="K19" i="192"/>
  <c r="L19" i="192"/>
  <c r="Q19" i="192"/>
  <c r="C20" i="192"/>
  <c r="E20" i="192"/>
  <c r="H20" i="192"/>
  <c r="K20" i="192"/>
  <c r="L20" i="192"/>
  <c r="Q20" i="192"/>
  <c r="C21" i="192"/>
  <c r="E21" i="192"/>
  <c r="H21" i="192"/>
  <c r="K21" i="192"/>
  <c r="L21" i="192"/>
  <c r="Q21" i="192"/>
  <c r="C22" i="192"/>
  <c r="E22" i="192"/>
  <c r="H22" i="192"/>
  <c r="K22" i="192"/>
  <c r="L22" i="192"/>
  <c r="Q22" i="192"/>
  <c r="K23" i="192"/>
  <c r="L23" i="192"/>
  <c r="K24" i="192"/>
  <c r="L24" i="192"/>
  <c r="Q24" i="192"/>
  <c r="K25" i="192"/>
  <c r="L25" i="192"/>
  <c r="K26" i="192"/>
  <c r="L26" i="192"/>
  <c r="Q26" i="192"/>
  <c r="L27" i="192"/>
  <c r="E28" i="192"/>
  <c r="H28" i="192"/>
  <c r="K28" i="192"/>
  <c r="L28" i="192"/>
  <c r="C30" i="192"/>
  <c r="E30" i="192"/>
  <c r="C31" i="192"/>
  <c r="E31" i="192"/>
  <c r="C32" i="192"/>
  <c r="E32" i="192"/>
  <c r="L32" i="192"/>
  <c r="C33" i="192"/>
  <c r="E33" i="192"/>
  <c r="C34" i="192"/>
  <c r="E34" i="192"/>
  <c r="C35" i="192"/>
  <c r="E35" i="192"/>
  <c r="C36" i="192"/>
  <c r="E36" i="192"/>
  <c r="C37" i="192"/>
  <c r="E37" i="192"/>
  <c r="C43" i="192"/>
  <c r="B1" i="38"/>
  <c r="C8" i="38"/>
  <c r="E8" i="38"/>
  <c r="F8" i="38"/>
  <c r="H8" i="38"/>
  <c r="M8" i="38"/>
  <c r="N8" i="38"/>
  <c r="C9" i="38"/>
  <c r="E9" i="38"/>
  <c r="H9" i="38"/>
  <c r="N9" i="38"/>
  <c r="C10" i="38"/>
  <c r="E10" i="38"/>
  <c r="F10" i="38"/>
  <c r="H10" i="38"/>
  <c r="N10" i="38"/>
  <c r="C11" i="38"/>
  <c r="E11" i="38"/>
  <c r="F11" i="38"/>
  <c r="H11" i="38"/>
  <c r="K11" i="38"/>
  <c r="L11" i="38"/>
  <c r="M11" i="38"/>
  <c r="N11" i="38"/>
  <c r="C12" i="38"/>
  <c r="E12" i="38"/>
  <c r="F12" i="38"/>
  <c r="H12" i="38"/>
  <c r="N12" i="38"/>
  <c r="C13" i="38"/>
  <c r="E13" i="38"/>
  <c r="F13" i="38"/>
  <c r="H13" i="38"/>
  <c r="M13" i="38"/>
  <c r="N13" i="38"/>
  <c r="C14" i="38"/>
  <c r="E14" i="38"/>
  <c r="H14" i="38"/>
  <c r="N14" i="38"/>
  <c r="C15" i="38"/>
  <c r="E15" i="38"/>
  <c r="F15" i="38"/>
  <c r="H15" i="38"/>
  <c r="N15" i="38"/>
  <c r="C16" i="38"/>
  <c r="E16" i="38"/>
  <c r="F16" i="38"/>
  <c r="H16" i="38"/>
  <c r="L16" i="38"/>
  <c r="M16" i="38"/>
  <c r="N16" i="38"/>
  <c r="C17" i="38"/>
  <c r="E17" i="38"/>
  <c r="F17" i="38"/>
  <c r="H17" i="38"/>
  <c r="L17" i="38"/>
  <c r="M17" i="38"/>
  <c r="N17" i="38"/>
  <c r="C18" i="38"/>
  <c r="E18" i="38"/>
  <c r="F18" i="38"/>
  <c r="H18" i="38"/>
  <c r="L18" i="38"/>
  <c r="M18" i="38"/>
  <c r="N18" i="38"/>
  <c r="C19" i="38"/>
  <c r="E19" i="38"/>
  <c r="F19" i="38"/>
  <c r="H19" i="38"/>
  <c r="L19" i="38"/>
  <c r="M19" i="38"/>
  <c r="N19" i="38"/>
  <c r="C20" i="38"/>
  <c r="E20" i="38"/>
  <c r="F20" i="38"/>
  <c r="H20" i="38"/>
  <c r="M20" i="38"/>
  <c r="N20" i="38"/>
  <c r="C21" i="38"/>
  <c r="E21" i="38"/>
  <c r="F21" i="38"/>
  <c r="H21" i="38"/>
  <c r="M21" i="38"/>
  <c r="N21" i="38"/>
  <c r="C22" i="38"/>
  <c r="E22" i="38"/>
  <c r="F22" i="38"/>
  <c r="H22" i="38"/>
  <c r="M22" i="38"/>
  <c r="N22" i="38"/>
  <c r="C23" i="38"/>
  <c r="E23" i="38"/>
  <c r="F23" i="38"/>
  <c r="H23" i="38"/>
  <c r="L23" i="38"/>
  <c r="M23" i="38"/>
  <c r="N23" i="38"/>
  <c r="L24" i="38"/>
  <c r="M24" i="38"/>
  <c r="E25" i="38"/>
  <c r="F25" i="38"/>
  <c r="L25" i="38"/>
  <c r="M25" i="38"/>
  <c r="L26" i="38"/>
  <c r="M26" i="38"/>
  <c r="E27" i="38"/>
  <c r="F27" i="38"/>
  <c r="L27" i="38"/>
  <c r="M27" i="38"/>
  <c r="N27" i="38"/>
  <c r="L28" i="38"/>
  <c r="M28" i="38"/>
  <c r="E29" i="38"/>
  <c r="F29" i="38"/>
  <c r="N29" i="38"/>
  <c r="I34" i="38"/>
  <c r="J34" i="38"/>
  <c r="K34" i="38"/>
  <c r="L34" i="38"/>
  <c r="M34" i="38"/>
  <c r="B1" i="113"/>
  <c r="C8" i="113"/>
  <c r="E8" i="113"/>
  <c r="G8" i="113"/>
  <c r="L8" i="113"/>
  <c r="C9" i="113"/>
  <c r="G9" i="113"/>
  <c r="C10" i="113"/>
  <c r="E10" i="113"/>
  <c r="G10" i="113"/>
  <c r="C11" i="113"/>
  <c r="E11" i="113"/>
  <c r="G11" i="113"/>
  <c r="J11" i="113"/>
  <c r="K11" i="113"/>
  <c r="L11" i="113"/>
  <c r="C12" i="113"/>
  <c r="E12" i="113"/>
  <c r="G12" i="113"/>
  <c r="C13" i="113"/>
  <c r="E13" i="113"/>
  <c r="G13" i="113"/>
  <c r="L13" i="113"/>
  <c r="C14" i="113"/>
  <c r="E14" i="113"/>
  <c r="G14" i="113"/>
  <c r="C15" i="113"/>
  <c r="E15" i="113"/>
  <c r="G15" i="113"/>
  <c r="C16" i="113"/>
  <c r="E16" i="113"/>
  <c r="G16" i="113"/>
  <c r="K16" i="113"/>
  <c r="L16" i="113"/>
  <c r="C17" i="113"/>
  <c r="E17" i="113"/>
  <c r="G17" i="113"/>
  <c r="L17" i="113"/>
  <c r="C18" i="113"/>
  <c r="E18" i="113"/>
  <c r="G18" i="113"/>
  <c r="L18" i="113"/>
  <c r="C19" i="113"/>
  <c r="E19" i="113"/>
  <c r="G19" i="113"/>
  <c r="L19" i="113"/>
  <c r="C20" i="113"/>
  <c r="E20" i="113"/>
  <c r="G20" i="113"/>
  <c r="L20" i="113"/>
  <c r="C21" i="113"/>
  <c r="E21" i="113"/>
  <c r="G21" i="113"/>
  <c r="L21" i="113"/>
  <c r="C22" i="113"/>
  <c r="E22" i="113"/>
  <c r="G22" i="113"/>
  <c r="L22" i="113"/>
  <c r="C23" i="113"/>
  <c r="E23" i="113"/>
  <c r="G23" i="113"/>
  <c r="H23" i="113"/>
  <c r="L23" i="113"/>
  <c r="K24" i="113"/>
  <c r="L24" i="113"/>
  <c r="E25" i="113"/>
  <c r="H25" i="113"/>
  <c r="L25" i="113"/>
  <c r="L26" i="113"/>
  <c r="E27" i="113"/>
  <c r="H27" i="113"/>
  <c r="L27" i="113"/>
  <c r="K28" i="113"/>
  <c r="L28" i="113"/>
  <c r="E29" i="113"/>
  <c r="H29" i="113"/>
  <c r="L30" i="113"/>
  <c r="H34" i="113"/>
  <c r="I34" i="113"/>
  <c r="J34" i="113"/>
  <c r="K34" i="113"/>
  <c r="L34" i="113"/>
  <c r="B1" i="39"/>
  <c r="C8" i="39"/>
  <c r="E8" i="39"/>
  <c r="F8" i="39"/>
  <c r="H8" i="39"/>
  <c r="M8" i="39"/>
  <c r="N8" i="39"/>
  <c r="C9" i="39"/>
  <c r="E9" i="39"/>
  <c r="H9" i="39"/>
  <c r="N9" i="39"/>
  <c r="C10" i="39"/>
  <c r="E10" i="39"/>
  <c r="F10" i="39"/>
  <c r="H10" i="39"/>
  <c r="N10" i="39"/>
  <c r="C11" i="39"/>
  <c r="E11" i="39"/>
  <c r="F11" i="39"/>
  <c r="H11" i="39"/>
  <c r="K11" i="39"/>
  <c r="L11" i="39"/>
  <c r="M11" i="39"/>
  <c r="N11" i="39"/>
  <c r="C12" i="39"/>
  <c r="E12" i="39"/>
  <c r="F12" i="39"/>
  <c r="H12" i="39"/>
  <c r="N12" i="39"/>
  <c r="C13" i="39"/>
  <c r="E13" i="39"/>
  <c r="F13" i="39"/>
  <c r="H13" i="39"/>
  <c r="M13" i="39"/>
  <c r="N13" i="39"/>
  <c r="C14" i="39"/>
  <c r="E14" i="39"/>
  <c r="F14" i="39"/>
  <c r="H14" i="39"/>
  <c r="N14" i="39"/>
  <c r="C15" i="39"/>
  <c r="E15" i="39"/>
  <c r="F15" i="39"/>
  <c r="H15" i="39"/>
  <c r="N15" i="39"/>
  <c r="C16" i="39"/>
  <c r="E16" i="39"/>
  <c r="F16" i="39"/>
  <c r="H16" i="39"/>
  <c r="L16" i="39"/>
  <c r="M16" i="39"/>
  <c r="N16" i="39"/>
  <c r="C17" i="39"/>
  <c r="E17" i="39"/>
  <c r="F17" i="39"/>
  <c r="H17" i="39"/>
  <c r="L17" i="39"/>
  <c r="M17" i="39"/>
  <c r="N17" i="39"/>
  <c r="C18" i="39"/>
  <c r="E18" i="39"/>
  <c r="F18" i="39"/>
  <c r="H18" i="39"/>
  <c r="L18" i="39"/>
  <c r="M18" i="39"/>
  <c r="N18" i="39"/>
  <c r="C19" i="39"/>
  <c r="E19" i="39"/>
  <c r="F19" i="39"/>
  <c r="H19" i="39"/>
  <c r="L19" i="39"/>
  <c r="M19" i="39"/>
  <c r="N19" i="39"/>
  <c r="C20" i="39"/>
  <c r="E20" i="39"/>
  <c r="F20" i="39"/>
  <c r="H20" i="39"/>
  <c r="L20" i="39"/>
  <c r="M20" i="39"/>
  <c r="N20" i="39"/>
  <c r="C21" i="39"/>
  <c r="E21" i="39"/>
  <c r="F21" i="39"/>
  <c r="H21" i="39"/>
  <c r="L21" i="39"/>
  <c r="M21" i="39"/>
  <c r="N21" i="39"/>
  <c r="C22" i="39"/>
  <c r="E22" i="39"/>
  <c r="F22" i="39"/>
  <c r="H22" i="39"/>
  <c r="L22" i="39"/>
  <c r="M22" i="39"/>
  <c r="N22" i="39"/>
  <c r="C23" i="39"/>
  <c r="E23" i="39"/>
  <c r="F23" i="39"/>
  <c r="H23" i="39"/>
  <c r="L23" i="39"/>
  <c r="M23" i="39"/>
  <c r="N23" i="39"/>
  <c r="M24" i="39"/>
  <c r="E25" i="39"/>
  <c r="F25" i="39"/>
  <c r="L25" i="39"/>
  <c r="M25" i="39"/>
  <c r="L26" i="39"/>
  <c r="M26" i="39"/>
  <c r="E27" i="39"/>
  <c r="F27" i="39"/>
  <c r="L27" i="39"/>
  <c r="M27" i="39"/>
  <c r="N27" i="39"/>
  <c r="L28" i="39"/>
  <c r="M28" i="39"/>
  <c r="E29" i="39"/>
  <c r="F29" i="39"/>
  <c r="N29" i="39"/>
  <c r="I34" i="39"/>
  <c r="J34" i="39"/>
  <c r="K34" i="39"/>
  <c r="L34" i="39"/>
  <c r="M34" i="39"/>
  <c r="B1" i="108"/>
  <c r="C8" i="108"/>
  <c r="E8" i="108"/>
  <c r="G8" i="108"/>
  <c r="L8" i="108"/>
  <c r="C9" i="108"/>
  <c r="G9" i="108"/>
  <c r="C10" i="108"/>
  <c r="E10" i="108"/>
  <c r="G10" i="108"/>
  <c r="C11" i="108"/>
  <c r="E11" i="108"/>
  <c r="G11" i="108"/>
  <c r="J11" i="108"/>
  <c r="K11" i="108"/>
  <c r="L11" i="108"/>
  <c r="C12" i="108"/>
  <c r="E12" i="108"/>
  <c r="G12" i="108"/>
  <c r="C13" i="108"/>
  <c r="E13" i="108"/>
  <c r="G13" i="108"/>
  <c r="L13" i="108"/>
  <c r="C14" i="108"/>
  <c r="E14" i="108"/>
  <c r="G14" i="108"/>
  <c r="C15" i="108"/>
  <c r="E15" i="108"/>
  <c r="G15" i="108"/>
  <c r="C16" i="108"/>
  <c r="E16" i="108"/>
  <c r="G16" i="108"/>
  <c r="K16" i="108"/>
  <c r="L16" i="108"/>
  <c r="C17" i="108"/>
  <c r="E17" i="108"/>
  <c r="G17" i="108"/>
  <c r="L17" i="108"/>
  <c r="C18" i="108"/>
  <c r="E18" i="108"/>
  <c r="G18" i="108"/>
  <c r="L18" i="108"/>
  <c r="C19" i="108"/>
  <c r="E19" i="108"/>
  <c r="G19" i="108"/>
  <c r="L19" i="108"/>
  <c r="C20" i="108"/>
  <c r="E20" i="108"/>
  <c r="G20" i="108"/>
  <c r="L20" i="108"/>
  <c r="C21" i="108"/>
  <c r="E21" i="108"/>
  <c r="G21" i="108"/>
  <c r="L21" i="108"/>
  <c r="C22" i="108"/>
  <c r="E22" i="108"/>
  <c r="G22" i="108"/>
  <c r="L22" i="108"/>
  <c r="C23" i="108"/>
  <c r="E23" i="108"/>
  <c r="G23" i="108"/>
  <c r="H23" i="108"/>
  <c r="L23" i="108"/>
  <c r="L24" i="108"/>
  <c r="E25" i="108"/>
  <c r="H25" i="108"/>
  <c r="L25" i="108"/>
  <c r="L26" i="108"/>
  <c r="E27" i="108"/>
  <c r="H27" i="108"/>
  <c r="L27" i="108"/>
  <c r="K28" i="108"/>
  <c r="L28" i="108"/>
  <c r="E29" i="108"/>
  <c r="H29" i="108"/>
  <c r="L30" i="108"/>
  <c r="H34" i="108"/>
  <c r="I34" i="108"/>
  <c r="J34" i="108"/>
  <c r="K34" i="108"/>
  <c r="L34" i="108"/>
  <c r="B1" i="27"/>
  <c r="C8" i="27"/>
  <c r="E8" i="27"/>
  <c r="F8" i="27"/>
  <c r="H8" i="27"/>
  <c r="M8" i="27"/>
  <c r="O8" i="27"/>
  <c r="C9" i="27"/>
  <c r="E9" i="27"/>
  <c r="F9" i="27"/>
  <c r="H9" i="27"/>
  <c r="O9" i="27"/>
  <c r="C10" i="27"/>
  <c r="E10" i="27"/>
  <c r="F10" i="27"/>
  <c r="H10" i="27"/>
  <c r="O10" i="27"/>
  <c r="C11" i="27"/>
  <c r="E11" i="27"/>
  <c r="F11" i="27"/>
  <c r="H11" i="27"/>
  <c r="K11" i="27"/>
  <c r="L11" i="27"/>
  <c r="M11" i="27"/>
  <c r="O11" i="27"/>
  <c r="C12" i="27"/>
  <c r="E12" i="27"/>
  <c r="F12" i="27"/>
  <c r="H12" i="27"/>
  <c r="O12" i="27"/>
  <c r="C13" i="27"/>
  <c r="E13" i="27"/>
  <c r="F13" i="27"/>
  <c r="H13" i="27"/>
  <c r="M13" i="27"/>
  <c r="O13" i="27"/>
  <c r="C14" i="27"/>
  <c r="E14" i="27"/>
  <c r="F14" i="27"/>
  <c r="H14" i="27"/>
  <c r="O14" i="27"/>
  <c r="C15" i="27"/>
  <c r="E15" i="27"/>
  <c r="F15" i="27"/>
  <c r="H15" i="27"/>
  <c r="O15" i="27"/>
  <c r="C16" i="27"/>
  <c r="E16" i="27"/>
  <c r="F16" i="27"/>
  <c r="H16" i="27"/>
  <c r="M16" i="27"/>
  <c r="O16" i="27"/>
  <c r="C17" i="27"/>
  <c r="E17" i="27"/>
  <c r="F17" i="27"/>
  <c r="H17" i="27"/>
  <c r="M17" i="27"/>
  <c r="O17" i="27"/>
  <c r="C18" i="27"/>
  <c r="E18" i="27"/>
  <c r="F18" i="27"/>
  <c r="H18" i="27"/>
  <c r="L18" i="27"/>
  <c r="M18" i="27"/>
  <c r="O18" i="27"/>
  <c r="C19" i="27"/>
  <c r="E19" i="27"/>
  <c r="F19" i="27"/>
  <c r="H19" i="27"/>
  <c r="M19" i="27"/>
  <c r="O19" i="27"/>
  <c r="C20" i="27"/>
  <c r="E20" i="27"/>
  <c r="F20" i="27"/>
  <c r="H20" i="27"/>
  <c r="L20" i="27"/>
  <c r="M20" i="27"/>
  <c r="O20" i="27"/>
  <c r="C21" i="27"/>
  <c r="E21" i="27"/>
  <c r="F21" i="27"/>
  <c r="H21" i="27"/>
  <c r="L21" i="27"/>
  <c r="M21" i="27"/>
  <c r="O21" i="27"/>
  <c r="C22" i="27"/>
  <c r="E22" i="27"/>
  <c r="F22" i="27"/>
  <c r="H22" i="27"/>
  <c r="L22" i="27"/>
  <c r="M22" i="27"/>
  <c r="O22" i="27"/>
  <c r="C23" i="27"/>
  <c r="E23" i="27"/>
  <c r="F23" i="27"/>
  <c r="H23" i="27"/>
  <c r="L23" i="27"/>
  <c r="M23" i="27"/>
  <c r="O23" i="27"/>
  <c r="L24" i="27"/>
  <c r="M24" i="27"/>
  <c r="E25" i="27"/>
  <c r="F25" i="27"/>
  <c r="L25" i="27"/>
  <c r="M25" i="27"/>
  <c r="O25" i="27"/>
  <c r="L26" i="27"/>
  <c r="M26" i="27"/>
  <c r="E27" i="27"/>
  <c r="F27" i="27"/>
  <c r="M27" i="27"/>
  <c r="O27" i="27"/>
  <c r="L28" i="27"/>
  <c r="M28" i="27"/>
  <c r="E29" i="27"/>
  <c r="F29" i="27"/>
  <c r="I34" i="27"/>
  <c r="J34" i="27"/>
  <c r="K34" i="27"/>
  <c r="L34" i="27"/>
  <c r="M34" i="27"/>
  <c r="B1" i="178"/>
  <c r="C8" i="178"/>
  <c r="E8" i="178"/>
  <c r="F8" i="178"/>
  <c r="H8" i="178"/>
  <c r="M8" i="178"/>
  <c r="O8" i="178"/>
  <c r="C9" i="178"/>
  <c r="E9" i="178"/>
  <c r="F9" i="178"/>
  <c r="H9" i="178"/>
  <c r="O9" i="178"/>
  <c r="C10" i="178"/>
  <c r="E10" i="178"/>
  <c r="F10" i="178"/>
  <c r="H10" i="178"/>
  <c r="K10" i="178"/>
  <c r="L10" i="178"/>
  <c r="M10" i="178"/>
  <c r="O10" i="178"/>
  <c r="C11" i="178"/>
  <c r="E11" i="178"/>
  <c r="F11" i="178"/>
  <c r="H11" i="178"/>
  <c r="O11" i="178"/>
  <c r="C12" i="178"/>
  <c r="E12" i="178"/>
  <c r="F12" i="178"/>
  <c r="H12" i="178"/>
  <c r="M12" i="178"/>
  <c r="O12" i="178"/>
  <c r="C13" i="178"/>
  <c r="E13" i="178"/>
  <c r="F13" i="178"/>
  <c r="H13" i="178"/>
  <c r="O13" i="178"/>
  <c r="C14" i="178"/>
  <c r="E14" i="178"/>
  <c r="F14" i="178"/>
  <c r="H14" i="178"/>
  <c r="O14" i="178"/>
  <c r="C15" i="178"/>
  <c r="E15" i="178"/>
  <c r="F15" i="178"/>
  <c r="H15" i="178"/>
  <c r="M15" i="178"/>
  <c r="O15" i="178"/>
  <c r="C16" i="178"/>
  <c r="E16" i="178"/>
  <c r="F16" i="178"/>
  <c r="H16" i="178"/>
  <c r="M16" i="178"/>
  <c r="O16" i="178"/>
  <c r="C17" i="178"/>
  <c r="E17" i="178"/>
  <c r="F17" i="178"/>
  <c r="H17" i="178"/>
  <c r="M17" i="178"/>
  <c r="O17" i="178"/>
  <c r="C18" i="178"/>
  <c r="E18" i="178"/>
  <c r="F18" i="178"/>
  <c r="H18" i="178"/>
  <c r="M18" i="178"/>
  <c r="O18" i="178"/>
  <c r="C19" i="178"/>
  <c r="E19" i="178"/>
  <c r="F19" i="178"/>
  <c r="H19" i="178"/>
  <c r="M19" i="178"/>
  <c r="O19" i="178"/>
  <c r="C20" i="178"/>
  <c r="E20" i="178"/>
  <c r="F20" i="178"/>
  <c r="H20" i="178"/>
  <c r="M20" i="178"/>
  <c r="O20" i="178"/>
  <c r="C21" i="178"/>
  <c r="E21" i="178"/>
  <c r="F21" i="178"/>
  <c r="H21" i="178"/>
  <c r="M21" i="178"/>
  <c r="O21" i="178"/>
  <c r="C22" i="178"/>
  <c r="E22" i="178"/>
  <c r="F22" i="178"/>
  <c r="H22" i="178"/>
  <c r="M22" i="178"/>
  <c r="O22" i="178"/>
  <c r="M23" i="178"/>
  <c r="E24" i="178"/>
  <c r="F24" i="178"/>
  <c r="M24" i="178"/>
  <c r="O24" i="178"/>
  <c r="M25" i="178"/>
  <c r="E26" i="178"/>
  <c r="F26" i="178"/>
  <c r="M26" i="178"/>
  <c r="O26" i="178"/>
  <c r="L27" i="178"/>
  <c r="M27" i="178"/>
  <c r="E28" i="178"/>
  <c r="F28" i="178"/>
  <c r="I33" i="178"/>
  <c r="J33" i="178"/>
  <c r="K33" i="178"/>
  <c r="L33" i="178"/>
  <c r="M33" i="178"/>
  <c r="B1" i="130"/>
  <c r="C8" i="130"/>
  <c r="E8" i="130"/>
  <c r="F8" i="130"/>
  <c r="H8" i="130"/>
  <c r="M8" i="130"/>
  <c r="O8" i="130"/>
  <c r="C9" i="130"/>
  <c r="E9" i="130"/>
  <c r="H9" i="130"/>
  <c r="O9" i="130"/>
  <c r="C10" i="130"/>
  <c r="E10" i="130"/>
  <c r="F10" i="130"/>
  <c r="H10" i="130"/>
  <c r="O10" i="130"/>
  <c r="C11" i="130"/>
  <c r="E11" i="130"/>
  <c r="F11" i="130"/>
  <c r="H11" i="130"/>
  <c r="K11" i="130"/>
  <c r="L11" i="130"/>
  <c r="M11" i="130"/>
  <c r="O11" i="130"/>
  <c r="C12" i="130"/>
  <c r="E12" i="130"/>
  <c r="F12" i="130"/>
  <c r="H12" i="130"/>
  <c r="O12" i="130"/>
  <c r="C13" i="130"/>
  <c r="E13" i="130"/>
  <c r="F13" i="130"/>
  <c r="H13" i="130"/>
  <c r="M13" i="130"/>
  <c r="O13" i="130"/>
  <c r="C14" i="130"/>
  <c r="E14" i="130"/>
  <c r="F14" i="130"/>
  <c r="H14" i="130"/>
  <c r="O14" i="130"/>
  <c r="C15" i="130"/>
  <c r="E15" i="130"/>
  <c r="F15" i="130"/>
  <c r="H15" i="130"/>
  <c r="O15" i="130"/>
  <c r="C16" i="130"/>
  <c r="E16" i="130"/>
  <c r="F16" i="130"/>
  <c r="H16" i="130"/>
  <c r="M16" i="130"/>
  <c r="O16" i="130"/>
  <c r="C17" i="130"/>
  <c r="E17" i="130"/>
  <c r="F17" i="130"/>
  <c r="H17" i="130"/>
  <c r="M17" i="130"/>
  <c r="O17" i="130"/>
  <c r="C18" i="130"/>
  <c r="E18" i="130"/>
  <c r="F18" i="130"/>
  <c r="H18" i="130"/>
  <c r="M18" i="130"/>
  <c r="O18" i="130"/>
  <c r="C19" i="130"/>
  <c r="E19" i="130"/>
  <c r="F19" i="130"/>
  <c r="H19" i="130"/>
  <c r="M19" i="130"/>
  <c r="O19" i="130"/>
  <c r="C20" i="130"/>
  <c r="E20" i="130"/>
  <c r="F20" i="130"/>
  <c r="H20" i="130"/>
  <c r="M20" i="130"/>
  <c r="O20" i="130"/>
  <c r="C21" i="130"/>
  <c r="E21" i="130"/>
  <c r="F21" i="130"/>
  <c r="H21" i="130"/>
  <c r="M21" i="130"/>
  <c r="O21" i="130"/>
  <c r="C22" i="130"/>
  <c r="E22" i="130"/>
  <c r="F22" i="130"/>
  <c r="H22" i="130"/>
  <c r="M22" i="130"/>
  <c r="O22" i="130"/>
  <c r="C23" i="130"/>
  <c r="E23" i="130"/>
  <c r="F23" i="130"/>
  <c r="H23" i="130"/>
  <c r="M23" i="130"/>
  <c r="O23" i="130"/>
  <c r="M24" i="130"/>
  <c r="E25" i="130"/>
  <c r="F25" i="130"/>
  <c r="M25" i="130"/>
  <c r="O25" i="130"/>
  <c r="M26" i="130"/>
  <c r="E27" i="130"/>
  <c r="F27" i="130"/>
  <c r="L27" i="130"/>
  <c r="M27" i="130"/>
  <c r="O27" i="130"/>
  <c r="L28" i="130"/>
  <c r="M28" i="130"/>
  <c r="E29" i="130"/>
  <c r="F29" i="130"/>
  <c r="I34" i="130"/>
  <c r="J34" i="130"/>
  <c r="K34" i="130"/>
  <c r="L34" i="130"/>
  <c r="M34" i="130"/>
  <c r="B1" i="89"/>
  <c r="C8" i="89"/>
  <c r="E8" i="89"/>
  <c r="G8" i="89"/>
  <c r="L8" i="89"/>
  <c r="C9" i="89"/>
  <c r="G9" i="89"/>
  <c r="C10" i="89"/>
  <c r="E10" i="89"/>
  <c r="G10" i="89"/>
  <c r="C11" i="89"/>
  <c r="E11" i="89"/>
  <c r="G11" i="89"/>
  <c r="H11" i="89"/>
  <c r="J11" i="89"/>
  <c r="K11" i="89"/>
  <c r="L11" i="89"/>
  <c r="C12" i="89"/>
  <c r="E12" i="89"/>
  <c r="G12" i="89"/>
  <c r="C13" i="89"/>
  <c r="E13" i="89"/>
  <c r="G13" i="89"/>
  <c r="L13" i="89"/>
  <c r="C14" i="89"/>
  <c r="E14" i="89"/>
  <c r="G14" i="89"/>
  <c r="C15" i="89"/>
  <c r="E15" i="89"/>
  <c r="G15" i="89"/>
  <c r="C16" i="89"/>
  <c r="E16" i="89"/>
  <c r="G16" i="89"/>
  <c r="K16" i="89"/>
  <c r="L16" i="89"/>
  <c r="C17" i="89"/>
  <c r="E17" i="89"/>
  <c r="G17" i="89"/>
  <c r="L17" i="89"/>
  <c r="C18" i="89"/>
  <c r="E18" i="89"/>
  <c r="G18" i="89"/>
  <c r="L18" i="89"/>
  <c r="C19" i="89"/>
  <c r="E19" i="89"/>
  <c r="G19" i="89"/>
  <c r="L19" i="89"/>
  <c r="C20" i="89"/>
  <c r="E20" i="89"/>
  <c r="G20" i="89"/>
  <c r="L20" i="89"/>
  <c r="C21" i="89"/>
  <c r="E21" i="89"/>
  <c r="G21" i="89"/>
  <c r="L21" i="89"/>
  <c r="C22" i="89"/>
  <c r="E22" i="89"/>
  <c r="G22" i="89"/>
  <c r="L22" i="89"/>
  <c r="C23" i="89"/>
  <c r="E23" i="89"/>
  <c r="G23" i="89"/>
  <c r="H23" i="89"/>
  <c r="L23" i="89"/>
  <c r="L24" i="89"/>
  <c r="E25" i="89"/>
  <c r="L25" i="89"/>
  <c r="L26" i="89"/>
  <c r="E27" i="89"/>
  <c r="H27" i="89"/>
  <c r="L27" i="89"/>
  <c r="K28" i="89"/>
  <c r="L28" i="89"/>
  <c r="E29" i="89"/>
  <c r="H29" i="89"/>
  <c r="L30" i="89"/>
  <c r="H34" i="89"/>
  <c r="I34" i="89"/>
  <c r="J34" i="89"/>
  <c r="K34" i="89"/>
  <c r="L34" i="89"/>
  <c r="B1" i="197"/>
  <c r="C8" i="197"/>
  <c r="E8" i="197"/>
  <c r="G8" i="197"/>
  <c r="O8" i="197"/>
  <c r="E9" i="197"/>
  <c r="O9" i="197"/>
  <c r="C10" i="197"/>
  <c r="E10" i="197"/>
  <c r="G10" i="197"/>
  <c r="O10" i="197"/>
  <c r="C11" i="197"/>
  <c r="E11" i="197"/>
  <c r="G11" i="197"/>
  <c r="L11" i="197"/>
  <c r="M11" i="197"/>
  <c r="N11" i="197"/>
  <c r="O11" i="197"/>
  <c r="C12" i="197"/>
  <c r="E12" i="197"/>
  <c r="G12" i="197"/>
  <c r="O12" i="197"/>
  <c r="E13" i="197"/>
  <c r="N13" i="197"/>
  <c r="O13" i="197"/>
  <c r="C14" i="197"/>
  <c r="E14" i="197"/>
  <c r="G14" i="197"/>
  <c r="O14" i="197"/>
  <c r="C15" i="197"/>
  <c r="E15" i="197"/>
  <c r="O15" i="197"/>
  <c r="C16" i="197"/>
  <c r="E16" i="197"/>
  <c r="N16" i="197"/>
  <c r="O16" i="197"/>
  <c r="C17" i="197"/>
  <c r="E17" i="197"/>
  <c r="G17" i="197"/>
  <c r="N17" i="197"/>
  <c r="O17" i="197"/>
  <c r="C18" i="197"/>
  <c r="E18" i="197"/>
  <c r="G18" i="197"/>
  <c r="N18" i="197"/>
  <c r="O18" i="197"/>
  <c r="C19" i="197"/>
  <c r="E19" i="197"/>
  <c r="N19" i="197"/>
  <c r="O19" i="197"/>
  <c r="C20" i="197"/>
  <c r="E20" i="197"/>
  <c r="G20" i="197"/>
  <c r="N20" i="197"/>
  <c r="O20" i="197"/>
  <c r="C21" i="197"/>
  <c r="E21" i="197"/>
  <c r="N21" i="197"/>
  <c r="O21" i="197"/>
  <c r="C22" i="197"/>
  <c r="E22" i="197"/>
  <c r="G22" i="197"/>
  <c r="N22" i="197"/>
  <c r="O22" i="197"/>
  <c r="N23" i="197"/>
  <c r="G24" i="197"/>
  <c r="N24" i="197"/>
  <c r="O24" i="197"/>
  <c r="N25" i="197"/>
  <c r="G26" i="197"/>
  <c r="N26" i="197"/>
  <c r="O26" i="197"/>
  <c r="M27" i="197"/>
  <c r="N27" i="197"/>
  <c r="E28" i="197"/>
  <c r="G28" i="197"/>
  <c r="C30" i="197"/>
  <c r="E30" i="197"/>
  <c r="C31" i="197"/>
  <c r="E31" i="197"/>
  <c r="N31" i="197"/>
  <c r="C32" i="197"/>
  <c r="E32" i="197"/>
  <c r="C33" i="197"/>
  <c r="E33" i="197"/>
  <c r="C34" i="197"/>
  <c r="E34" i="197"/>
  <c r="C35" i="197"/>
  <c r="E35" i="197"/>
  <c r="C36" i="197"/>
  <c r="E36" i="197"/>
  <c r="C37" i="197"/>
  <c r="E37" i="197"/>
  <c r="C43" i="197"/>
  <c r="B1" i="135"/>
  <c r="C8" i="135"/>
  <c r="E8" i="135"/>
  <c r="H8" i="135"/>
  <c r="Q8" i="135"/>
  <c r="E9" i="135"/>
  <c r="K9" i="135"/>
  <c r="L9" i="135"/>
  <c r="Q9" i="135"/>
  <c r="E10" i="135"/>
  <c r="H10" i="135"/>
  <c r="Q10" i="135"/>
  <c r="C11" i="135"/>
  <c r="E11" i="135"/>
  <c r="H11" i="135"/>
  <c r="Q11" i="135"/>
  <c r="C12" i="135"/>
  <c r="E12" i="135"/>
  <c r="H12" i="135"/>
  <c r="J12" i="135"/>
  <c r="K12" i="135"/>
  <c r="L12" i="135"/>
  <c r="Q12" i="135"/>
  <c r="C13" i="135"/>
  <c r="E13" i="135"/>
  <c r="H13" i="135"/>
  <c r="Q13" i="135"/>
  <c r="E14" i="135"/>
  <c r="H14" i="135"/>
  <c r="L14" i="135"/>
  <c r="P14" i="135"/>
  <c r="Q14" i="135"/>
  <c r="C15" i="135"/>
  <c r="E15" i="135"/>
  <c r="H15" i="135"/>
  <c r="Q15" i="135"/>
  <c r="C16" i="135"/>
  <c r="E16" i="135"/>
  <c r="H16" i="135"/>
  <c r="Q16" i="135"/>
  <c r="C17" i="135"/>
  <c r="E17" i="135"/>
  <c r="H17" i="135"/>
  <c r="K17" i="135"/>
  <c r="L17" i="135"/>
  <c r="Q17" i="135"/>
  <c r="C18" i="135"/>
  <c r="E18" i="135"/>
  <c r="H18" i="135"/>
  <c r="K18" i="135"/>
  <c r="L18" i="135"/>
  <c r="Q18" i="135"/>
  <c r="C19" i="135"/>
  <c r="H19" i="135"/>
  <c r="K19" i="135"/>
  <c r="L19" i="135"/>
  <c r="Q19" i="135"/>
  <c r="C20" i="135"/>
  <c r="E20" i="135"/>
  <c r="H20" i="135"/>
  <c r="K20" i="135"/>
  <c r="L20" i="135"/>
  <c r="Q20" i="135"/>
  <c r="C21" i="135"/>
  <c r="E21" i="135"/>
  <c r="K21" i="135"/>
  <c r="L21" i="135"/>
  <c r="Q21" i="135"/>
  <c r="C22" i="135"/>
  <c r="E22" i="135"/>
  <c r="K22" i="135"/>
  <c r="L22" i="135"/>
  <c r="Q22" i="135"/>
  <c r="C23" i="135"/>
  <c r="E23" i="135"/>
  <c r="H23" i="135"/>
  <c r="K23" i="135"/>
  <c r="L23" i="135"/>
  <c r="Q23" i="135"/>
  <c r="K24" i="135"/>
  <c r="L24" i="135"/>
  <c r="K25" i="135"/>
  <c r="L25" i="135"/>
  <c r="Q25" i="135"/>
  <c r="K26" i="135"/>
  <c r="L26" i="135"/>
  <c r="H27" i="135"/>
  <c r="K27" i="135"/>
  <c r="L27" i="135"/>
  <c r="Q27" i="135"/>
  <c r="L28" i="135"/>
  <c r="E29" i="135"/>
  <c r="H29" i="135"/>
  <c r="K29" i="135"/>
  <c r="L29" i="135"/>
  <c r="C31" i="135"/>
  <c r="E31" i="135"/>
  <c r="C32" i="135"/>
  <c r="E32" i="135"/>
  <c r="C33" i="135"/>
  <c r="E33" i="135"/>
  <c r="L33" i="135"/>
  <c r="C34" i="135"/>
  <c r="E34" i="135"/>
  <c r="C35" i="135"/>
  <c r="E35" i="135"/>
  <c r="C36" i="135"/>
  <c r="E36" i="135"/>
  <c r="C37" i="135"/>
  <c r="E37" i="135"/>
  <c r="C38" i="135"/>
  <c r="E38" i="135"/>
  <c r="C44" i="135"/>
  <c r="B1" i="125"/>
  <c r="C8" i="125"/>
  <c r="E8" i="125"/>
  <c r="F8" i="125"/>
  <c r="H8" i="125"/>
  <c r="M8" i="125"/>
  <c r="O8" i="125"/>
  <c r="C9" i="125"/>
  <c r="E9" i="125"/>
  <c r="H9" i="125"/>
  <c r="O9" i="125"/>
  <c r="C10" i="125"/>
  <c r="E10" i="125"/>
  <c r="F10" i="125"/>
  <c r="H10" i="125"/>
  <c r="O10" i="125"/>
  <c r="C11" i="125"/>
  <c r="E11" i="125"/>
  <c r="F11" i="125"/>
  <c r="H11" i="125"/>
  <c r="K11" i="125"/>
  <c r="L11" i="125"/>
  <c r="M11" i="125"/>
  <c r="O11" i="125"/>
  <c r="C12" i="125"/>
  <c r="E12" i="125"/>
  <c r="F12" i="125"/>
  <c r="H12" i="125"/>
  <c r="O12" i="125"/>
  <c r="C13" i="125"/>
  <c r="E13" i="125"/>
  <c r="F13" i="125"/>
  <c r="H13" i="125"/>
  <c r="M13" i="125"/>
  <c r="O13" i="125"/>
  <c r="C14" i="125"/>
  <c r="E14" i="125"/>
  <c r="F14" i="125"/>
  <c r="H14" i="125"/>
  <c r="O14" i="125"/>
  <c r="C15" i="125"/>
  <c r="E15" i="125"/>
  <c r="F15" i="125"/>
  <c r="H15" i="125"/>
  <c r="O15" i="125"/>
  <c r="C16" i="125"/>
  <c r="E16" i="125"/>
  <c r="F16" i="125"/>
  <c r="H16" i="125"/>
  <c r="M16" i="125"/>
  <c r="O16" i="125"/>
  <c r="C17" i="125"/>
  <c r="E17" i="125"/>
  <c r="F17" i="125"/>
  <c r="H17" i="125"/>
  <c r="M17" i="125"/>
  <c r="O17" i="125"/>
  <c r="C18" i="125"/>
  <c r="E18" i="125"/>
  <c r="F18" i="125"/>
  <c r="H18" i="125"/>
  <c r="M18" i="125"/>
  <c r="O18" i="125"/>
  <c r="C19" i="125"/>
  <c r="E19" i="125"/>
  <c r="F19" i="125"/>
  <c r="H19" i="125"/>
  <c r="M19" i="125"/>
  <c r="O19" i="125"/>
  <c r="C20" i="125"/>
  <c r="E20" i="125"/>
  <c r="H20" i="125"/>
  <c r="M20" i="125"/>
  <c r="O20" i="125"/>
  <c r="C21" i="125"/>
  <c r="E21" i="125"/>
  <c r="F21" i="125"/>
  <c r="H21" i="125"/>
  <c r="M21" i="125"/>
  <c r="O21" i="125"/>
  <c r="C22" i="125"/>
  <c r="E22" i="125"/>
  <c r="F22" i="125"/>
  <c r="H22" i="125"/>
  <c r="M22" i="125"/>
  <c r="O22" i="125"/>
  <c r="C23" i="125"/>
  <c r="E23" i="125"/>
  <c r="F23" i="125"/>
  <c r="H23" i="125"/>
  <c r="M23" i="125"/>
  <c r="O23" i="125"/>
  <c r="M24" i="125"/>
  <c r="E25" i="125"/>
  <c r="F25" i="125"/>
  <c r="M25" i="125"/>
  <c r="O25" i="125"/>
  <c r="M26" i="125"/>
  <c r="E27" i="125"/>
  <c r="F27" i="125"/>
  <c r="M27" i="125"/>
  <c r="O27" i="125"/>
  <c r="L28" i="125"/>
  <c r="M28" i="125"/>
  <c r="E29" i="125"/>
  <c r="F29" i="125"/>
  <c r="I34" i="125"/>
  <c r="J34" i="125"/>
  <c r="K34" i="125"/>
  <c r="L34" i="125"/>
  <c r="M34" i="125"/>
  <c r="B1" i="169"/>
  <c r="C8" i="169"/>
  <c r="E8" i="169"/>
  <c r="F8" i="169"/>
  <c r="H8" i="169"/>
  <c r="M8" i="169"/>
  <c r="O8" i="169"/>
  <c r="C9" i="169"/>
  <c r="E9" i="169"/>
  <c r="H9" i="169"/>
  <c r="O9" i="169"/>
  <c r="C10" i="169"/>
  <c r="E10" i="169"/>
  <c r="F10" i="169"/>
  <c r="H10" i="169"/>
  <c r="O10" i="169"/>
  <c r="C11" i="169"/>
  <c r="E11" i="169"/>
  <c r="F11" i="169"/>
  <c r="H11" i="169"/>
  <c r="K11" i="169"/>
  <c r="L11" i="169"/>
  <c r="M11" i="169"/>
  <c r="O11" i="169"/>
  <c r="C12" i="169"/>
  <c r="E12" i="169"/>
  <c r="F12" i="169"/>
  <c r="H12" i="169"/>
  <c r="O12" i="169"/>
  <c r="C13" i="169"/>
  <c r="E13" i="169"/>
  <c r="F13" i="169"/>
  <c r="H13" i="169"/>
  <c r="M13" i="169"/>
  <c r="O13" i="169"/>
  <c r="C14" i="169"/>
  <c r="E14" i="169"/>
  <c r="F14" i="169"/>
  <c r="H14" i="169"/>
  <c r="O14" i="169"/>
  <c r="C15" i="169"/>
  <c r="E15" i="169"/>
  <c r="F15" i="169"/>
  <c r="H15" i="169"/>
  <c r="O15" i="169"/>
  <c r="C16" i="169"/>
  <c r="E16" i="169"/>
  <c r="F16" i="169"/>
  <c r="H16" i="169"/>
  <c r="M16" i="169"/>
  <c r="O16" i="169"/>
  <c r="C17" i="169"/>
  <c r="E17" i="169"/>
  <c r="F17" i="169"/>
  <c r="H17" i="169"/>
  <c r="M17" i="169"/>
  <c r="O17" i="169"/>
  <c r="C18" i="169"/>
  <c r="E18" i="169"/>
  <c r="F18" i="169"/>
  <c r="H18" i="169"/>
  <c r="M18" i="169"/>
  <c r="O18" i="169"/>
  <c r="C19" i="169"/>
  <c r="E19" i="169"/>
  <c r="F19" i="169"/>
  <c r="H19" i="169"/>
  <c r="M19" i="169"/>
  <c r="O19" i="169"/>
  <c r="C20" i="169"/>
  <c r="E20" i="169"/>
  <c r="F20" i="169"/>
  <c r="H20" i="169"/>
  <c r="M20" i="169"/>
  <c r="O20" i="169"/>
  <c r="C21" i="169"/>
  <c r="E21" i="169"/>
  <c r="F21" i="169"/>
  <c r="H21" i="169"/>
  <c r="M21" i="169"/>
  <c r="O21" i="169"/>
  <c r="C22" i="169"/>
  <c r="E22" i="169"/>
  <c r="F22" i="169"/>
  <c r="H22" i="169"/>
  <c r="M22" i="169"/>
  <c r="O22" i="169"/>
  <c r="C23" i="169"/>
  <c r="E23" i="169"/>
  <c r="F23" i="169"/>
  <c r="H23" i="169"/>
  <c r="M23" i="169"/>
  <c r="O23" i="169"/>
  <c r="M24" i="169"/>
  <c r="E25" i="169"/>
  <c r="F25" i="169"/>
  <c r="M25" i="169"/>
  <c r="O25" i="169"/>
  <c r="M26" i="169"/>
  <c r="E27" i="169"/>
  <c r="F27" i="169"/>
  <c r="M27" i="169"/>
  <c r="O27" i="169"/>
  <c r="L28" i="169"/>
  <c r="M28" i="169"/>
  <c r="E29" i="169"/>
  <c r="F29" i="169"/>
  <c r="I34" i="169"/>
  <c r="J34" i="169"/>
  <c r="K34" i="169"/>
  <c r="L34" i="169"/>
  <c r="M34" i="169"/>
  <c r="B1" i="202"/>
  <c r="C8" i="202"/>
  <c r="E8" i="202"/>
  <c r="F8" i="202"/>
  <c r="V8" i="202"/>
  <c r="E9" i="202"/>
  <c r="F9" i="202"/>
  <c r="V9" i="202"/>
  <c r="C10" i="202"/>
  <c r="E10" i="202"/>
  <c r="F10" i="202"/>
  <c r="V10" i="202"/>
  <c r="C11" i="202"/>
  <c r="E11" i="202"/>
  <c r="F11" i="202"/>
  <c r="K11" i="202"/>
  <c r="L11" i="202"/>
  <c r="M11" i="202"/>
  <c r="P11" i="202"/>
  <c r="Q11" i="202"/>
  <c r="R11" i="202"/>
  <c r="V11" i="202"/>
  <c r="C12" i="202"/>
  <c r="E12" i="202"/>
  <c r="F12" i="202"/>
  <c r="V12" i="202"/>
  <c r="E13" i="202"/>
  <c r="F13" i="202"/>
  <c r="M13" i="202"/>
  <c r="R13" i="202"/>
  <c r="V13" i="202"/>
  <c r="C14" i="202"/>
  <c r="E14" i="202"/>
  <c r="F14" i="202"/>
  <c r="V14" i="202"/>
  <c r="C15" i="202"/>
  <c r="E15" i="202"/>
  <c r="F15" i="202"/>
  <c r="I15" i="202"/>
  <c r="M15" i="202"/>
  <c r="N15" i="202"/>
  <c r="V15" i="202"/>
  <c r="C16" i="202"/>
  <c r="E16" i="202"/>
  <c r="F16" i="202"/>
  <c r="K16" i="202"/>
  <c r="M16" i="202"/>
  <c r="P16" i="202"/>
  <c r="R16" i="202"/>
  <c r="V16" i="202"/>
  <c r="C17" i="202"/>
  <c r="E17" i="202"/>
  <c r="F17" i="202"/>
  <c r="K17" i="202"/>
  <c r="M17" i="202"/>
  <c r="P17" i="202"/>
  <c r="R17" i="202"/>
  <c r="V17" i="202"/>
  <c r="C18" i="202"/>
  <c r="E18" i="202"/>
  <c r="F18" i="202"/>
  <c r="M18" i="202"/>
  <c r="R18" i="202"/>
  <c r="V18" i="202"/>
  <c r="C19" i="202"/>
  <c r="E19" i="202"/>
  <c r="F19" i="202"/>
  <c r="M19" i="202"/>
  <c r="R19" i="202"/>
  <c r="V19" i="202"/>
  <c r="C20" i="202"/>
  <c r="E20" i="202"/>
  <c r="F20" i="202"/>
  <c r="M20" i="202"/>
  <c r="R20" i="202"/>
  <c r="V20" i="202"/>
  <c r="C21" i="202"/>
  <c r="E21" i="202"/>
  <c r="F21" i="202"/>
  <c r="M21" i="202"/>
  <c r="R21" i="202"/>
  <c r="V21" i="202"/>
  <c r="C22" i="202"/>
  <c r="E22" i="202"/>
  <c r="F22" i="202"/>
  <c r="M22" i="202"/>
  <c r="R22" i="202"/>
  <c r="V22" i="202"/>
  <c r="M23" i="202"/>
  <c r="R23" i="202"/>
  <c r="F24" i="202"/>
  <c r="M24" i="202"/>
  <c r="R24" i="202"/>
  <c r="V24" i="202"/>
  <c r="M25" i="202"/>
  <c r="R25" i="202"/>
  <c r="M26" i="202"/>
  <c r="R26" i="202"/>
  <c r="V26" i="202"/>
  <c r="L27" i="202"/>
  <c r="M27" i="202"/>
  <c r="Q27" i="202"/>
  <c r="R27" i="202"/>
  <c r="E28" i="202"/>
  <c r="F28" i="202"/>
  <c r="C30" i="202"/>
  <c r="E30" i="202"/>
  <c r="C31" i="202"/>
  <c r="E31" i="202"/>
  <c r="M31" i="202"/>
  <c r="R31" i="202"/>
  <c r="C32" i="202"/>
  <c r="E32" i="202"/>
  <c r="C33" i="202"/>
  <c r="E33" i="202"/>
  <c r="C34" i="202"/>
  <c r="E34" i="202"/>
  <c r="C35" i="202"/>
  <c r="E35" i="202"/>
  <c r="C36" i="202"/>
  <c r="E36" i="202"/>
  <c r="J36" i="202"/>
  <c r="L36" i="202"/>
  <c r="M36" i="202"/>
  <c r="O36" i="202"/>
  <c r="C37" i="202"/>
  <c r="E37" i="202"/>
  <c r="J42" i="202"/>
  <c r="M42" i="202"/>
  <c r="O42" i="202"/>
  <c r="C45" i="202"/>
  <c r="B1" i="79"/>
  <c r="C8" i="79"/>
  <c r="E8" i="79"/>
  <c r="G8" i="79"/>
  <c r="L8" i="79"/>
  <c r="C9" i="79"/>
  <c r="G9" i="79"/>
  <c r="C10" i="79"/>
  <c r="E10" i="79"/>
  <c r="G10" i="79"/>
  <c r="H10" i="79"/>
  <c r="C11" i="79"/>
  <c r="E11" i="79"/>
  <c r="G11" i="79"/>
  <c r="H11" i="79"/>
  <c r="J11" i="79"/>
  <c r="K11" i="79"/>
  <c r="L11" i="79"/>
  <c r="C12" i="79"/>
  <c r="E12" i="79"/>
  <c r="G12" i="79"/>
  <c r="H12" i="79"/>
  <c r="C13" i="79"/>
  <c r="E13" i="79"/>
  <c r="G13" i="79"/>
  <c r="H13" i="79"/>
  <c r="L13" i="79"/>
  <c r="C14" i="79"/>
  <c r="E14" i="79"/>
  <c r="G14" i="79"/>
  <c r="H14" i="79"/>
  <c r="C15" i="79"/>
  <c r="E15" i="79"/>
  <c r="G15" i="79"/>
  <c r="H15" i="79"/>
  <c r="C16" i="79"/>
  <c r="E16" i="79"/>
  <c r="G16" i="79"/>
  <c r="H16" i="79"/>
  <c r="K16" i="79"/>
  <c r="L16" i="79"/>
  <c r="C17" i="79"/>
  <c r="E17" i="79"/>
  <c r="G17" i="79"/>
  <c r="H17" i="79"/>
  <c r="L17" i="79"/>
  <c r="C18" i="79"/>
  <c r="E18" i="79"/>
  <c r="G18" i="79"/>
  <c r="H18" i="79"/>
  <c r="L18" i="79"/>
  <c r="C19" i="79"/>
  <c r="E19" i="79"/>
  <c r="G19" i="79"/>
  <c r="H19" i="79"/>
  <c r="L19" i="79"/>
  <c r="C20" i="79"/>
  <c r="E20" i="79"/>
  <c r="G20" i="79"/>
  <c r="H20" i="79"/>
  <c r="L20" i="79"/>
  <c r="C21" i="79"/>
  <c r="E21" i="79"/>
  <c r="G21" i="79"/>
  <c r="H21" i="79"/>
  <c r="L21" i="79"/>
  <c r="C22" i="79"/>
  <c r="E22" i="79"/>
  <c r="G22" i="79"/>
  <c r="L22" i="79"/>
  <c r="C23" i="79"/>
  <c r="E23" i="79"/>
  <c r="G23" i="79"/>
  <c r="H23" i="79"/>
  <c r="L23" i="79"/>
  <c r="L24" i="79"/>
  <c r="E25" i="79"/>
  <c r="H25" i="79"/>
  <c r="L25" i="79"/>
  <c r="L26" i="79"/>
  <c r="E27" i="79"/>
  <c r="H27" i="79"/>
  <c r="L27" i="79"/>
  <c r="K28" i="79"/>
  <c r="L28" i="79"/>
  <c r="E29" i="79"/>
  <c r="H29" i="79"/>
  <c r="L30" i="79"/>
  <c r="H34" i="79"/>
  <c r="I34" i="79"/>
  <c r="J34" i="79"/>
  <c r="K34" i="79"/>
  <c r="L34" i="79"/>
  <c r="B1" i="66"/>
  <c r="C8" i="66"/>
  <c r="E8" i="66"/>
  <c r="G8" i="66"/>
  <c r="H8" i="66"/>
  <c r="L8" i="66"/>
  <c r="C9" i="66"/>
  <c r="G9" i="66"/>
  <c r="C10" i="66"/>
  <c r="E10" i="66"/>
  <c r="G10" i="66"/>
  <c r="H10" i="66"/>
  <c r="C11" i="66"/>
  <c r="E11" i="66"/>
  <c r="G11" i="66"/>
  <c r="H11" i="66"/>
  <c r="J11" i="66"/>
  <c r="K11" i="66"/>
  <c r="L11" i="66"/>
  <c r="C12" i="66"/>
  <c r="E12" i="66"/>
  <c r="G12" i="66"/>
  <c r="H12" i="66"/>
  <c r="C13" i="66"/>
  <c r="E13" i="66"/>
  <c r="G13" i="66"/>
  <c r="H13" i="66"/>
  <c r="L13" i="66"/>
  <c r="C14" i="66"/>
  <c r="E14" i="66"/>
  <c r="G14" i="66"/>
  <c r="H14" i="66"/>
  <c r="C15" i="66"/>
  <c r="E15" i="66"/>
  <c r="G15" i="66"/>
  <c r="H15" i="66"/>
  <c r="C16" i="66"/>
  <c r="E16" i="66"/>
  <c r="G16" i="66"/>
  <c r="H16" i="66"/>
  <c r="K16" i="66"/>
  <c r="L16" i="66"/>
  <c r="C17" i="66"/>
  <c r="E17" i="66"/>
  <c r="G17" i="66"/>
  <c r="H17" i="66"/>
  <c r="L17" i="66"/>
  <c r="C18" i="66"/>
  <c r="E18" i="66"/>
  <c r="G18" i="66"/>
  <c r="H18" i="66"/>
  <c r="L18" i="66"/>
  <c r="C19" i="66"/>
  <c r="E19" i="66"/>
  <c r="G19" i="66"/>
  <c r="H19" i="66"/>
  <c r="L19" i="66"/>
  <c r="C20" i="66"/>
  <c r="E20" i="66"/>
  <c r="G20" i="66"/>
  <c r="H20" i="66"/>
  <c r="L20" i="66"/>
  <c r="C21" i="66"/>
  <c r="E21" i="66"/>
  <c r="G21" i="66"/>
  <c r="H21" i="66"/>
  <c r="L21" i="66"/>
  <c r="C22" i="66"/>
  <c r="E22" i="66"/>
  <c r="G22" i="66"/>
  <c r="L22" i="66"/>
  <c r="C23" i="66"/>
  <c r="E23" i="66"/>
  <c r="G23" i="66"/>
  <c r="H23" i="66"/>
  <c r="L23" i="66"/>
  <c r="L24" i="66"/>
  <c r="E25" i="66"/>
  <c r="H25" i="66"/>
  <c r="L25" i="66"/>
  <c r="L26" i="66"/>
  <c r="E27" i="66"/>
  <c r="H27" i="66"/>
  <c r="L27" i="66"/>
  <c r="K28" i="66"/>
  <c r="L28" i="66"/>
  <c r="E29" i="66"/>
  <c r="H29" i="66"/>
  <c r="L30" i="66"/>
  <c r="H34" i="66"/>
  <c r="I34" i="66"/>
  <c r="J34" i="66"/>
  <c r="K34" i="66"/>
  <c r="L34" i="66"/>
  <c r="B1" i="181"/>
  <c r="C8" i="181"/>
  <c r="E8" i="181"/>
  <c r="G8" i="181"/>
  <c r="H8" i="181"/>
  <c r="L8" i="181"/>
  <c r="Q8" i="181"/>
  <c r="C9" i="181"/>
  <c r="E9" i="181"/>
  <c r="G9" i="181"/>
  <c r="H9" i="181"/>
  <c r="Q9" i="181"/>
  <c r="C10" i="181"/>
  <c r="E10" i="181"/>
  <c r="G10" i="181"/>
  <c r="H10" i="181"/>
  <c r="J10" i="181"/>
  <c r="K10" i="181"/>
  <c r="L10" i="181"/>
  <c r="Q10" i="181"/>
  <c r="C11" i="181"/>
  <c r="E11" i="181"/>
  <c r="G11" i="181"/>
  <c r="H11" i="181"/>
  <c r="Q11" i="181"/>
  <c r="C12" i="181"/>
  <c r="E12" i="181"/>
  <c r="G12" i="181"/>
  <c r="H12" i="181"/>
  <c r="L12" i="181"/>
  <c r="P12" i="181"/>
  <c r="Q12" i="181"/>
  <c r="C13" i="181"/>
  <c r="E13" i="181"/>
  <c r="G13" i="181"/>
  <c r="H13" i="181"/>
  <c r="Q13" i="181"/>
  <c r="C14" i="181"/>
  <c r="E14" i="181"/>
  <c r="G14" i="181"/>
  <c r="H14" i="181"/>
  <c r="Q14" i="181"/>
  <c r="C15" i="181"/>
  <c r="E15" i="181"/>
  <c r="G15" i="181"/>
  <c r="H15" i="181"/>
  <c r="L15" i="181"/>
  <c r="Q15" i="181"/>
  <c r="C16" i="181"/>
  <c r="E16" i="181"/>
  <c r="G16" i="181"/>
  <c r="H16" i="181"/>
  <c r="L16" i="181"/>
  <c r="Q16" i="181"/>
  <c r="C17" i="181"/>
  <c r="E17" i="181"/>
  <c r="G17" i="181"/>
  <c r="H17" i="181"/>
  <c r="L17" i="181"/>
  <c r="Q17" i="181"/>
  <c r="C18" i="181"/>
  <c r="E18" i="181"/>
  <c r="G18" i="181"/>
  <c r="H18" i="181"/>
  <c r="L18" i="181"/>
  <c r="Q18" i="181"/>
  <c r="C19" i="181"/>
  <c r="E19" i="181"/>
  <c r="G19" i="181"/>
  <c r="H19" i="181"/>
  <c r="L19" i="181"/>
  <c r="Q19" i="181"/>
  <c r="C20" i="181"/>
  <c r="E20" i="181"/>
  <c r="G20" i="181"/>
  <c r="H20" i="181"/>
  <c r="L20" i="181"/>
  <c r="Q20" i="181"/>
  <c r="C21" i="181"/>
  <c r="E21" i="181"/>
  <c r="G21" i="181"/>
  <c r="H21" i="181"/>
  <c r="L21" i="181"/>
  <c r="Q21" i="181"/>
  <c r="C22" i="181"/>
  <c r="E22" i="181"/>
  <c r="G22" i="181"/>
  <c r="H22" i="181"/>
  <c r="L22" i="181"/>
  <c r="Q22" i="181"/>
  <c r="L23" i="181"/>
  <c r="E24" i="181"/>
  <c r="H24" i="181"/>
  <c r="L24" i="181"/>
  <c r="Q24" i="181"/>
  <c r="L25" i="181"/>
  <c r="E26" i="181"/>
  <c r="H26" i="181"/>
  <c r="L26" i="181"/>
  <c r="Q26" i="181"/>
  <c r="K27" i="181"/>
  <c r="L27" i="181"/>
  <c r="E28" i="181"/>
  <c r="H28" i="181"/>
  <c r="L29" i="181"/>
  <c r="H33" i="181"/>
  <c r="I33" i="181"/>
  <c r="J33" i="181"/>
  <c r="K33" i="181"/>
  <c r="L33" i="181"/>
  <c r="B1" i="29"/>
  <c r="C8" i="29"/>
  <c r="E8" i="29"/>
  <c r="G8" i="29"/>
  <c r="H8" i="29"/>
  <c r="L8" i="29"/>
  <c r="Q8" i="29"/>
  <c r="C9" i="29"/>
  <c r="G9" i="29"/>
  <c r="H9" i="29"/>
  <c r="Q9" i="29"/>
  <c r="C10" i="29"/>
  <c r="E10" i="29"/>
  <c r="G10" i="29"/>
  <c r="H10" i="29"/>
  <c r="Q10" i="29"/>
  <c r="C11" i="29"/>
  <c r="E11" i="29"/>
  <c r="G11" i="29"/>
  <c r="H11" i="29"/>
  <c r="J11" i="29"/>
  <c r="K11" i="29"/>
  <c r="L11" i="29"/>
  <c r="Q11" i="29"/>
  <c r="C12" i="29"/>
  <c r="E12" i="29"/>
  <c r="G12" i="29"/>
  <c r="H12" i="29"/>
  <c r="Q12" i="29"/>
  <c r="C13" i="29"/>
  <c r="E13" i="29"/>
  <c r="G13" i="29"/>
  <c r="H13" i="29"/>
  <c r="L13" i="29"/>
  <c r="P13" i="29"/>
  <c r="Q13" i="29"/>
  <c r="C14" i="29"/>
  <c r="E14" i="29"/>
  <c r="G14" i="29"/>
  <c r="H14" i="29"/>
  <c r="Q14" i="29"/>
  <c r="C15" i="29"/>
  <c r="E15" i="29"/>
  <c r="G15" i="29"/>
  <c r="H15" i="29"/>
  <c r="Q15" i="29"/>
  <c r="C16" i="29"/>
  <c r="E16" i="29"/>
  <c r="G16" i="29"/>
  <c r="H16" i="29"/>
  <c r="L16" i="29"/>
  <c r="Q16" i="29"/>
  <c r="C17" i="29"/>
  <c r="E17" i="29"/>
  <c r="G17" i="29"/>
  <c r="H17" i="29"/>
  <c r="L17" i="29"/>
  <c r="Q17" i="29"/>
  <c r="C18" i="29"/>
  <c r="E18" i="29"/>
  <c r="G18" i="29"/>
  <c r="H18" i="29"/>
  <c r="L18" i="29"/>
  <c r="Q18" i="29"/>
  <c r="C19" i="29"/>
  <c r="E19" i="29"/>
  <c r="G19" i="29"/>
  <c r="H19" i="29"/>
  <c r="L19" i="29"/>
  <c r="Q19" i="29"/>
  <c r="C20" i="29"/>
  <c r="E20" i="29"/>
  <c r="G20" i="29"/>
  <c r="H20" i="29"/>
  <c r="L20" i="29"/>
  <c r="Q20" i="29"/>
  <c r="C21" i="29"/>
  <c r="E21" i="29"/>
  <c r="G21" i="29"/>
  <c r="H21" i="29"/>
  <c r="L21" i="29"/>
  <c r="Q21" i="29"/>
  <c r="C22" i="29"/>
  <c r="E22" i="29"/>
  <c r="G22" i="29"/>
  <c r="H22" i="29"/>
  <c r="L22" i="29"/>
  <c r="Q22" i="29"/>
  <c r="C23" i="29"/>
  <c r="E23" i="29"/>
  <c r="G23" i="29"/>
  <c r="H23" i="29"/>
  <c r="L23" i="29"/>
  <c r="Q23" i="29"/>
  <c r="L24" i="29"/>
  <c r="E25" i="29"/>
  <c r="H25" i="29"/>
  <c r="L25" i="29"/>
  <c r="Q25" i="29"/>
  <c r="L26" i="29"/>
  <c r="E27" i="29"/>
  <c r="H27" i="29"/>
  <c r="L27" i="29"/>
  <c r="Q27" i="29"/>
  <c r="K28" i="29"/>
  <c r="L28" i="29"/>
  <c r="E29" i="29"/>
  <c r="H29" i="29"/>
  <c r="L30" i="29"/>
  <c r="H34" i="29"/>
  <c r="I34" i="29"/>
  <c r="J34" i="29"/>
  <c r="K34" i="29"/>
  <c r="L34" i="29"/>
  <c r="B1" i="34"/>
  <c r="C8" i="34"/>
  <c r="E8" i="34"/>
  <c r="G8" i="34"/>
  <c r="H8" i="34"/>
  <c r="L8" i="34"/>
  <c r="Q8" i="34"/>
  <c r="C9" i="34"/>
  <c r="G9" i="34"/>
  <c r="Q9" i="34"/>
  <c r="C10" i="34"/>
  <c r="E10" i="34"/>
  <c r="G10" i="34"/>
  <c r="H10" i="34"/>
  <c r="Q10" i="34"/>
  <c r="C11" i="34"/>
  <c r="E11" i="34"/>
  <c r="G11" i="34"/>
  <c r="H11" i="34"/>
  <c r="J11" i="34"/>
  <c r="K11" i="34"/>
  <c r="L11" i="34"/>
  <c r="Q11" i="34"/>
  <c r="C12" i="34"/>
  <c r="E12" i="34"/>
  <c r="G12" i="34"/>
  <c r="H12" i="34"/>
  <c r="Q12" i="34"/>
  <c r="C13" i="34"/>
  <c r="E13" i="34"/>
  <c r="G13" i="34"/>
  <c r="H13" i="34"/>
  <c r="L13" i="34"/>
  <c r="P13" i="34"/>
  <c r="Q13" i="34"/>
  <c r="C14" i="34"/>
  <c r="E14" i="34"/>
  <c r="G14" i="34"/>
  <c r="H14" i="34"/>
  <c r="Q14" i="34"/>
  <c r="C15" i="34"/>
  <c r="E15" i="34"/>
  <c r="G15" i="34"/>
  <c r="H15" i="34"/>
  <c r="Q15" i="34"/>
  <c r="C16" i="34"/>
  <c r="E16" i="34"/>
  <c r="G16" i="34"/>
  <c r="H16" i="34"/>
  <c r="L16" i="34"/>
  <c r="Q16" i="34"/>
  <c r="C17" i="34"/>
  <c r="E17" i="34"/>
  <c r="G17" i="34"/>
  <c r="H17" i="34"/>
  <c r="L17" i="34"/>
  <c r="Q17" i="34"/>
  <c r="C18" i="34"/>
  <c r="E18" i="34"/>
  <c r="G18" i="34"/>
  <c r="H18" i="34"/>
  <c r="L18" i="34"/>
  <c r="Q18" i="34"/>
  <c r="C19" i="34"/>
  <c r="E19" i="34"/>
  <c r="G19" i="34"/>
  <c r="H19" i="34"/>
  <c r="L19" i="34"/>
  <c r="Q19" i="34"/>
  <c r="C20" i="34"/>
  <c r="E20" i="34"/>
  <c r="G20" i="34"/>
  <c r="H20" i="34"/>
  <c r="L20" i="34"/>
  <c r="Q20" i="34"/>
  <c r="C21" i="34"/>
  <c r="E21" i="34"/>
  <c r="G21" i="34"/>
  <c r="H21" i="34"/>
  <c r="L21" i="34"/>
  <c r="Q21" i="34"/>
  <c r="C22" i="34"/>
  <c r="E22" i="34"/>
  <c r="G22" i="34"/>
  <c r="H22" i="34"/>
  <c r="L22" i="34"/>
  <c r="Q22" i="34"/>
  <c r="C23" i="34"/>
  <c r="E23" i="34"/>
  <c r="G23" i="34"/>
  <c r="H23" i="34"/>
  <c r="L23" i="34"/>
  <c r="Q23" i="34"/>
  <c r="L24" i="34"/>
  <c r="E25" i="34"/>
  <c r="H25" i="34"/>
  <c r="L25" i="34"/>
  <c r="L26" i="34"/>
  <c r="E27" i="34"/>
  <c r="H27" i="34"/>
  <c r="L27" i="34"/>
  <c r="Q27" i="34"/>
  <c r="K28" i="34"/>
  <c r="L28" i="34"/>
  <c r="E29" i="34"/>
  <c r="H29" i="34"/>
  <c r="Q29" i="34"/>
  <c r="L30" i="34"/>
  <c r="H34" i="34"/>
  <c r="I34" i="34"/>
  <c r="J34" i="34"/>
  <c r="K34" i="34"/>
  <c r="L34" i="34"/>
  <c r="B1" i="35"/>
  <c r="C8" i="35"/>
  <c r="E8" i="35"/>
  <c r="G8" i="35"/>
  <c r="H8" i="35"/>
  <c r="L8" i="35"/>
  <c r="Q8" i="35"/>
  <c r="C9" i="35"/>
  <c r="G9" i="35"/>
  <c r="Q9" i="35"/>
  <c r="C10" i="35"/>
  <c r="E10" i="35"/>
  <c r="G10" i="35"/>
  <c r="H10" i="35"/>
  <c r="Q10" i="35"/>
  <c r="C11" i="35"/>
  <c r="E11" i="35"/>
  <c r="G11" i="35"/>
  <c r="H11" i="35"/>
  <c r="J11" i="35"/>
  <c r="K11" i="35"/>
  <c r="L11" i="35"/>
  <c r="Q11" i="35"/>
  <c r="C12" i="35"/>
  <c r="E12" i="35"/>
  <c r="G12" i="35"/>
  <c r="H12" i="35"/>
  <c r="Q12" i="35"/>
  <c r="C13" i="35"/>
  <c r="E13" i="35"/>
  <c r="G13" i="35"/>
  <c r="H13" i="35"/>
  <c r="L13" i="35"/>
  <c r="P13" i="35"/>
  <c r="Q13" i="35"/>
  <c r="C14" i="35"/>
  <c r="E14" i="35"/>
  <c r="G14" i="35"/>
  <c r="H14" i="35"/>
  <c r="Q14" i="35"/>
  <c r="C15" i="35"/>
  <c r="E15" i="35"/>
  <c r="G15" i="35"/>
  <c r="H15" i="35"/>
  <c r="Q15" i="35"/>
  <c r="C16" i="35"/>
  <c r="E16" i="35"/>
  <c r="G16" i="35"/>
  <c r="H16" i="35"/>
  <c r="K16" i="35"/>
  <c r="L16" i="35"/>
  <c r="Q16" i="35"/>
  <c r="C17" i="35"/>
  <c r="E17" i="35"/>
  <c r="G17" i="35"/>
  <c r="H17" i="35"/>
  <c r="L17" i="35"/>
  <c r="Q17" i="35"/>
  <c r="C18" i="35"/>
  <c r="E18" i="35"/>
  <c r="G18" i="35"/>
  <c r="H18" i="35"/>
  <c r="L18" i="35"/>
  <c r="Q18" i="35"/>
  <c r="C19" i="35"/>
  <c r="E19" i="35"/>
  <c r="G19" i="35"/>
  <c r="H19" i="35"/>
  <c r="L19" i="35"/>
  <c r="Q19" i="35"/>
  <c r="C20" i="35"/>
  <c r="E20" i="35"/>
  <c r="G20" i="35"/>
  <c r="H20" i="35"/>
  <c r="L20" i="35"/>
  <c r="Q20" i="35"/>
  <c r="C21" i="35"/>
  <c r="E21" i="35"/>
  <c r="G21" i="35"/>
  <c r="H21" i="35"/>
  <c r="K21" i="35"/>
  <c r="L21" i="35"/>
  <c r="Q21" i="35"/>
  <c r="C22" i="35"/>
  <c r="E22" i="35"/>
  <c r="G22" i="35"/>
  <c r="H22" i="35"/>
  <c r="L22" i="35"/>
  <c r="Q22" i="35"/>
  <c r="C23" i="35"/>
  <c r="E23" i="35"/>
  <c r="G23" i="35"/>
  <c r="H23" i="35"/>
  <c r="L23" i="35"/>
  <c r="Q23" i="35"/>
  <c r="L24" i="35"/>
  <c r="E25" i="35"/>
  <c r="H25" i="35"/>
  <c r="L25" i="35"/>
  <c r="L26" i="35"/>
  <c r="E27" i="35"/>
  <c r="H27" i="35"/>
  <c r="L27" i="35"/>
  <c r="Q27" i="35"/>
  <c r="K28" i="35"/>
  <c r="L28" i="35"/>
  <c r="E29" i="35"/>
  <c r="H29" i="35"/>
  <c r="Q29" i="35"/>
  <c r="L30" i="35"/>
  <c r="H34" i="35"/>
  <c r="I34" i="35"/>
  <c r="J34" i="35"/>
  <c r="K34" i="35"/>
  <c r="L34" i="35"/>
  <c r="B1" i="186"/>
  <c r="C8" i="186"/>
  <c r="E8" i="186"/>
  <c r="Q8" i="186"/>
  <c r="E9" i="186"/>
  <c r="Q9" i="186"/>
  <c r="C10" i="186"/>
  <c r="E10" i="186"/>
  <c r="Q10" i="186"/>
  <c r="C11" i="186"/>
  <c r="E11" i="186"/>
  <c r="H11" i="186"/>
  <c r="J11" i="186"/>
  <c r="K11" i="186"/>
  <c r="L11" i="186"/>
  <c r="Q11" i="186"/>
  <c r="C12" i="186"/>
  <c r="E12" i="186"/>
  <c r="Q12" i="186"/>
  <c r="E13" i="186"/>
  <c r="L13" i="186"/>
  <c r="P13" i="186"/>
  <c r="Q13" i="186"/>
  <c r="C14" i="186"/>
  <c r="E14" i="186"/>
  <c r="Q14" i="186"/>
  <c r="C15" i="186"/>
  <c r="E15" i="186"/>
  <c r="Q15" i="186"/>
  <c r="C16" i="186"/>
  <c r="E16" i="186"/>
  <c r="H16" i="186"/>
  <c r="K16" i="186"/>
  <c r="L16" i="186"/>
  <c r="Q16" i="186"/>
  <c r="C17" i="186"/>
  <c r="E17" i="186"/>
  <c r="K17" i="186"/>
  <c r="L17" i="186"/>
  <c r="Q17" i="186"/>
  <c r="C18" i="186"/>
  <c r="K18" i="186"/>
  <c r="L18" i="186"/>
  <c r="Q18" i="186"/>
  <c r="C19" i="186"/>
  <c r="E19" i="186"/>
  <c r="H19" i="186"/>
  <c r="K19" i="186"/>
  <c r="L19" i="186"/>
  <c r="Q19" i="186"/>
  <c r="C20" i="186"/>
  <c r="E20" i="186"/>
  <c r="H20" i="186"/>
  <c r="K20" i="186"/>
  <c r="L20" i="186"/>
  <c r="Q20" i="186"/>
  <c r="C21" i="186"/>
  <c r="E21" i="186"/>
  <c r="H21" i="186"/>
  <c r="K21" i="186"/>
  <c r="L21" i="186"/>
  <c r="Q21" i="186"/>
  <c r="C22" i="186"/>
  <c r="E22" i="186"/>
  <c r="H22" i="186"/>
  <c r="K22" i="186"/>
  <c r="L22" i="186"/>
  <c r="Q22" i="186"/>
  <c r="K23" i="186"/>
  <c r="L23" i="186"/>
  <c r="K24" i="186"/>
  <c r="L24" i="186"/>
  <c r="Q24" i="186"/>
  <c r="K25" i="186"/>
  <c r="L25" i="186"/>
  <c r="K26" i="186"/>
  <c r="L26" i="186"/>
  <c r="Q26" i="186"/>
  <c r="L27" i="186"/>
  <c r="E28" i="186"/>
  <c r="H28" i="186"/>
  <c r="K28" i="186"/>
  <c r="L28" i="186"/>
  <c r="C30" i="186"/>
  <c r="E30" i="186"/>
  <c r="C31" i="186"/>
  <c r="E31" i="186"/>
  <c r="C32" i="186"/>
  <c r="E32" i="186"/>
  <c r="L32" i="186"/>
  <c r="C33" i="186"/>
  <c r="E33" i="186"/>
  <c r="C34" i="186"/>
  <c r="E34" i="186"/>
  <c r="C35" i="186"/>
  <c r="E35" i="186"/>
  <c r="C36" i="186"/>
  <c r="E36" i="186"/>
  <c r="C37" i="186"/>
  <c r="E37" i="186"/>
  <c r="C43" i="186"/>
  <c r="B1" i="184"/>
  <c r="C8" i="184"/>
  <c r="E8" i="184"/>
  <c r="Q8" i="184"/>
  <c r="E9" i="184"/>
  <c r="Q9" i="184"/>
  <c r="C10" i="184"/>
  <c r="E10" i="184"/>
  <c r="Q10" i="184"/>
  <c r="C11" i="184"/>
  <c r="E11" i="184"/>
  <c r="H11" i="184"/>
  <c r="J11" i="184"/>
  <c r="K11" i="184"/>
  <c r="L11" i="184"/>
  <c r="Q11" i="184"/>
  <c r="C12" i="184"/>
  <c r="E12" i="184"/>
  <c r="Q12" i="184"/>
  <c r="E13" i="184"/>
  <c r="L13" i="184"/>
  <c r="P13" i="184"/>
  <c r="Q13" i="184"/>
  <c r="C14" i="184"/>
  <c r="E14" i="184"/>
  <c r="Q14" i="184"/>
  <c r="C15" i="184"/>
  <c r="E15" i="184"/>
  <c r="H15" i="184"/>
  <c r="Q15" i="184"/>
  <c r="C16" i="184"/>
  <c r="E16" i="184"/>
  <c r="H16" i="184"/>
  <c r="K16" i="184"/>
  <c r="L16" i="184"/>
  <c r="Q16" i="184"/>
  <c r="C17" i="184"/>
  <c r="E17" i="184"/>
  <c r="K17" i="184"/>
  <c r="L17" i="184"/>
  <c r="Q17" i="184"/>
  <c r="C18" i="184"/>
  <c r="K18" i="184"/>
  <c r="L18" i="184"/>
  <c r="Q18" i="184"/>
  <c r="C19" i="184"/>
  <c r="E19" i="184"/>
  <c r="H19" i="184"/>
  <c r="K19" i="184"/>
  <c r="L19" i="184"/>
  <c r="Q19" i="184"/>
  <c r="C20" i="184"/>
  <c r="E20" i="184"/>
  <c r="H20" i="184"/>
  <c r="K20" i="184"/>
  <c r="L20" i="184"/>
  <c r="Q20" i="184"/>
  <c r="C21" i="184"/>
  <c r="E21" i="184"/>
  <c r="H21" i="184"/>
  <c r="K21" i="184"/>
  <c r="L21" i="184"/>
  <c r="Q21" i="184"/>
  <c r="C22" i="184"/>
  <c r="E22" i="184"/>
  <c r="H22" i="184"/>
  <c r="K22" i="184"/>
  <c r="L22" i="184"/>
  <c r="Q22" i="184"/>
  <c r="K23" i="184"/>
  <c r="L23" i="184"/>
  <c r="K24" i="184"/>
  <c r="L24" i="184"/>
  <c r="Q24" i="184"/>
  <c r="K25" i="184"/>
  <c r="L25" i="184"/>
  <c r="K26" i="184"/>
  <c r="L26" i="184"/>
  <c r="Q26" i="184"/>
  <c r="L27" i="184"/>
  <c r="E28" i="184"/>
  <c r="K28" i="184"/>
  <c r="L28" i="184"/>
  <c r="C30" i="184"/>
  <c r="E30" i="184"/>
  <c r="C31" i="184"/>
  <c r="E31" i="184"/>
  <c r="C32" i="184"/>
  <c r="E32" i="184"/>
  <c r="L32" i="184"/>
  <c r="C33" i="184"/>
  <c r="E33" i="184"/>
  <c r="C34" i="184"/>
  <c r="E34" i="184"/>
  <c r="C35" i="184"/>
  <c r="E35" i="184"/>
  <c r="C36" i="184"/>
  <c r="E36" i="184"/>
  <c r="C37" i="184"/>
  <c r="E37" i="184"/>
  <c r="C43" i="184"/>
  <c r="B1" i="187"/>
  <c r="C8" i="187"/>
  <c r="E8" i="187"/>
  <c r="Q8" i="187"/>
  <c r="E9" i="187"/>
  <c r="Q9" i="187"/>
  <c r="C10" i="187"/>
  <c r="E10" i="187"/>
  <c r="Q10" i="187"/>
  <c r="C11" i="187"/>
  <c r="E11" i="187"/>
  <c r="H11" i="187"/>
  <c r="J11" i="187"/>
  <c r="K11" i="187"/>
  <c r="L11" i="187"/>
  <c r="Q11" i="187"/>
  <c r="C12" i="187"/>
  <c r="E12" i="187"/>
  <c r="Q12" i="187"/>
  <c r="E13" i="187"/>
  <c r="L13" i="187"/>
  <c r="P13" i="187"/>
  <c r="Q13" i="187"/>
  <c r="C14" i="187"/>
  <c r="E14" i="187"/>
  <c r="Q14" i="187"/>
  <c r="C15" i="187"/>
  <c r="E15" i="187"/>
  <c r="H15" i="187"/>
  <c r="Q15" i="187"/>
  <c r="C16" i="187"/>
  <c r="E16" i="187"/>
  <c r="H16" i="187"/>
  <c r="K16" i="187"/>
  <c r="L16" i="187"/>
  <c r="Q16" i="187"/>
  <c r="C17" i="187"/>
  <c r="E17" i="187"/>
  <c r="K17" i="187"/>
  <c r="L17" i="187"/>
  <c r="Q17" i="187"/>
  <c r="C18" i="187"/>
  <c r="K18" i="187"/>
  <c r="L18" i="187"/>
  <c r="Q18" i="187"/>
  <c r="C19" i="187"/>
  <c r="E19" i="187"/>
  <c r="H19" i="187"/>
  <c r="K19" i="187"/>
  <c r="L19" i="187"/>
  <c r="Q19" i="187"/>
  <c r="C20" i="187"/>
  <c r="E20" i="187"/>
  <c r="H20" i="187"/>
  <c r="K20" i="187"/>
  <c r="L20" i="187"/>
  <c r="Q20" i="187"/>
  <c r="C21" i="187"/>
  <c r="E21" i="187"/>
  <c r="H21" i="187"/>
  <c r="K21" i="187"/>
  <c r="L21" i="187"/>
  <c r="Q21" i="187"/>
  <c r="C22" i="187"/>
  <c r="E22" i="187"/>
  <c r="H22" i="187"/>
  <c r="K22" i="187"/>
  <c r="L22" i="187"/>
  <c r="Q22" i="187"/>
  <c r="K23" i="187"/>
  <c r="L23" i="187"/>
  <c r="K24" i="187"/>
  <c r="L24" i="187"/>
  <c r="Q24" i="187"/>
  <c r="K25" i="187"/>
  <c r="L25" i="187"/>
  <c r="K26" i="187"/>
  <c r="L26" i="187"/>
  <c r="Q26" i="187"/>
  <c r="L27" i="187"/>
  <c r="E28" i="187"/>
  <c r="H28" i="187"/>
  <c r="K28" i="187"/>
  <c r="L28" i="187"/>
  <c r="C30" i="187"/>
  <c r="E30" i="187"/>
  <c r="C31" i="187"/>
  <c r="E31" i="187"/>
  <c r="C32" i="187"/>
  <c r="E32" i="187"/>
  <c r="L32" i="187"/>
  <c r="C33" i="187"/>
  <c r="E33" i="187"/>
  <c r="C34" i="187"/>
  <c r="E34" i="187"/>
  <c r="C35" i="187"/>
  <c r="E35" i="187"/>
  <c r="C36" i="187"/>
  <c r="E36" i="187"/>
  <c r="C37" i="187"/>
  <c r="E37" i="187"/>
  <c r="C43" i="187"/>
  <c r="B1" i="185"/>
  <c r="C8" i="185"/>
  <c r="E8" i="185"/>
  <c r="Q8" i="185"/>
  <c r="E9" i="185"/>
  <c r="Q9" i="185"/>
  <c r="C10" i="185"/>
  <c r="E10" i="185"/>
  <c r="Q10" i="185"/>
  <c r="C11" i="185"/>
  <c r="E11" i="185"/>
  <c r="J11" i="185"/>
  <c r="K11" i="185"/>
  <c r="L11" i="185"/>
  <c r="Q11" i="185"/>
  <c r="C12" i="185"/>
  <c r="E12" i="185"/>
  <c r="Q12" i="185"/>
  <c r="E13" i="185"/>
  <c r="L13" i="185"/>
  <c r="P13" i="185"/>
  <c r="Q13" i="185"/>
  <c r="C14" i="185"/>
  <c r="E14" i="185"/>
  <c r="Q14" i="185"/>
  <c r="C15" i="185"/>
  <c r="E15" i="185"/>
  <c r="H15" i="185"/>
  <c r="Q15" i="185"/>
  <c r="C16" i="185"/>
  <c r="E16" i="185"/>
  <c r="H16" i="185"/>
  <c r="K16" i="185"/>
  <c r="L16" i="185"/>
  <c r="Q16" i="185"/>
  <c r="C17" i="185"/>
  <c r="E17" i="185"/>
  <c r="K17" i="185"/>
  <c r="L17" i="185"/>
  <c r="Q17" i="185"/>
  <c r="C18" i="185"/>
  <c r="K18" i="185"/>
  <c r="L18" i="185"/>
  <c r="Q18" i="185"/>
  <c r="C19" i="185"/>
  <c r="E19" i="185"/>
  <c r="H19" i="185"/>
  <c r="K19" i="185"/>
  <c r="L19" i="185"/>
  <c r="Q19" i="185"/>
  <c r="C20" i="185"/>
  <c r="E20" i="185"/>
  <c r="H20" i="185"/>
  <c r="K20" i="185"/>
  <c r="L20" i="185"/>
  <c r="Q20" i="185"/>
  <c r="C21" i="185"/>
  <c r="E21" i="185"/>
  <c r="H21" i="185"/>
  <c r="K21" i="185"/>
  <c r="L21" i="185"/>
  <c r="Q21" i="185"/>
  <c r="C22" i="185"/>
  <c r="E22" i="185"/>
  <c r="H22" i="185"/>
  <c r="K22" i="185"/>
  <c r="L22" i="185"/>
  <c r="Q22" i="185"/>
  <c r="K23" i="185"/>
  <c r="L23" i="185"/>
  <c r="K24" i="185"/>
  <c r="L24" i="185"/>
  <c r="Q24" i="185"/>
  <c r="K25" i="185"/>
  <c r="L25" i="185"/>
  <c r="K26" i="185"/>
  <c r="L26" i="185"/>
  <c r="Q26" i="185"/>
  <c r="L27" i="185"/>
  <c r="E28" i="185"/>
  <c r="H28" i="185"/>
  <c r="K28" i="185"/>
  <c r="L28" i="185"/>
  <c r="C30" i="185"/>
  <c r="E30" i="185"/>
  <c r="C31" i="185"/>
  <c r="E31" i="185"/>
  <c r="C32" i="185"/>
  <c r="E32" i="185"/>
  <c r="L32" i="185"/>
  <c r="C33" i="185"/>
  <c r="E33" i="185"/>
  <c r="C34" i="185"/>
  <c r="E34" i="185"/>
  <c r="C35" i="185"/>
  <c r="E35" i="185"/>
  <c r="C36" i="185"/>
  <c r="E36" i="185"/>
  <c r="C37" i="185"/>
  <c r="E37" i="185"/>
  <c r="C43" i="185"/>
  <c r="B1" i="205"/>
  <c r="C8" i="205"/>
  <c r="E8" i="205"/>
  <c r="G8" i="205"/>
  <c r="O8" i="205"/>
  <c r="E9" i="205"/>
  <c r="O9" i="205"/>
  <c r="C10" i="205"/>
  <c r="E10" i="205"/>
  <c r="G10" i="205"/>
  <c r="O10" i="205"/>
  <c r="C11" i="205"/>
  <c r="E11" i="205"/>
  <c r="G11" i="205"/>
  <c r="J11" i="205"/>
  <c r="L11" i="205"/>
  <c r="O11" i="205"/>
  <c r="C12" i="205"/>
  <c r="E12" i="205"/>
  <c r="G12" i="205"/>
  <c r="O12" i="205"/>
  <c r="E13" i="205"/>
  <c r="G13" i="205"/>
  <c r="L13" i="205"/>
  <c r="O13" i="205"/>
  <c r="P13" i="205"/>
  <c r="C14" i="205"/>
  <c r="E14" i="205"/>
  <c r="G14" i="205"/>
  <c r="O14" i="205"/>
  <c r="C15" i="205"/>
  <c r="E15" i="205"/>
  <c r="G15" i="205"/>
  <c r="O15" i="205"/>
  <c r="C16" i="205"/>
  <c r="E16" i="205"/>
  <c r="G16" i="205"/>
  <c r="K16" i="205"/>
  <c r="L16" i="205"/>
  <c r="O16" i="205"/>
  <c r="C17" i="205"/>
  <c r="E17" i="205"/>
  <c r="G17" i="205"/>
  <c r="J17" i="205"/>
  <c r="L17" i="205"/>
  <c r="O17" i="205"/>
  <c r="C18" i="205"/>
  <c r="E18" i="205"/>
  <c r="G18" i="205"/>
  <c r="K18" i="205"/>
  <c r="L18" i="205"/>
  <c r="O18" i="205"/>
  <c r="C19" i="205"/>
  <c r="E19" i="205"/>
  <c r="G19" i="205"/>
  <c r="J19" i="205"/>
  <c r="L19" i="205"/>
  <c r="O19" i="205"/>
  <c r="C20" i="205"/>
  <c r="E20" i="205"/>
  <c r="G20" i="205"/>
  <c r="J20" i="205"/>
  <c r="L20" i="205"/>
  <c r="O20" i="205"/>
  <c r="C21" i="205"/>
  <c r="E21" i="205"/>
  <c r="G21" i="205"/>
  <c r="J21" i="205"/>
  <c r="L21" i="205"/>
  <c r="O21" i="205"/>
  <c r="C22" i="205"/>
  <c r="E22" i="205"/>
  <c r="G22" i="205"/>
  <c r="J22" i="205"/>
  <c r="L22" i="205"/>
  <c r="O22" i="205"/>
  <c r="J23" i="205"/>
  <c r="L23" i="205"/>
  <c r="G24" i="205"/>
  <c r="J24" i="205"/>
  <c r="L24" i="205"/>
  <c r="O24" i="205"/>
  <c r="J25" i="205"/>
  <c r="K25" i="205"/>
  <c r="L25" i="205"/>
  <c r="G26" i="205"/>
  <c r="J26" i="205"/>
  <c r="L26" i="205"/>
  <c r="O26" i="205"/>
  <c r="J27" i="205"/>
  <c r="K27" i="205"/>
  <c r="L27" i="205"/>
  <c r="E28" i="205"/>
  <c r="G28" i="205"/>
  <c r="K28" i="205"/>
  <c r="L28" i="205"/>
  <c r="C30" i="205"/>
  <c r="E30" i="205"/>
  <c r="C31" i="205"/>
  <c r="E31" i="205"/>
  <c r="C32" i="205"/>
  <c r="E32" i="205"/>
  <c r="L32" i="205"/>
  <c r="C33" i="205"/>
  <c r="E33" i="205"/>
  <c r="C34" i="205"/>
  <c r="E34" i="205"/>
  <c r="C35" i="205"/>
  <c r="E35" i="205"/>
  <c r="C36" i="205"/>
  <c r="E36" i="205"/>
  <c r="C37" i="205"/>
  <c r="E37" i="205"/>
  <c r="H39" i="205"/>
  <c r="I39" i="205"/>
  <c r="J39" i="205"/>
  <c r="K39" i="205"/>
  <c r="L39" i="205"/>
  <c r="C43" i="205"/>
  <c r="B1" i="43"/>
  <c r="C8" i="43"/>
  <c r="E8" i="43"/>
  <c r="G8" i="43"/>
  <c r="O8" i="43"/>
  <c r="E9" i="43"/>
  <c r="G9" i="43"/>
  <c r="L9" i="43"/>
  <c r="M9" i="43"/>
  <c r="O9" i="43"/>
  <c r="E10" i="43"/>
  <c r="G10" i="43"/>
  <c r="O10" i="43"/>
  <c r="C11" i="43"/>
  <c r="E11" i="43"/>
  <c r="G11" i="43"/>
  <c r="O11" i="43"/>
  <c r="C12" i="43"/>
  <c r="E12" i="43"/>
  <c r="G12" i="43"/>
  <c r="K12" i="43"/>
  <c r="L12" i="43"/>
  <c r="M12" i="43"/>
  <c r="O12" i="43"/>
  <c r="C13" i="43"/>
  <c r="E13" i="43"/>
  <c r="G13" i="43"/>
  <c r="O13" i="43"/>
  <c r="E14" i="43"/>
  <c r="G14" i="43"/>
  <c r="M14" i="43"/>
  <c r="O14" i="43"/>
  <c r="C15" i="43"/>
  <c r="E15" i="43"/>
  <c r="G15" i="43"/>
  <c r="O15" i="43"/>
  <c r="C16" i="43"/>
  <c r="E16" i="43"/>
  <c r="G16" i="43"/>
  <c r="O16" i="43"/>
  <c r="C17" i="43"/>
  <c r="E17" i="43"/>
  <c r="G17" i="43"/>
  <c r="L17" i="43"/>
  <c r="M17" i="43"/>
  <c r="O17" i="43"/>
  <c r="C18" i="43"/>
  <c r="E18" i="43"/>
  <c r="G18" i="43"/>
  <c r="M18" i="43"/>
  <c r="O18" i="43"/>
  <c r="C19" i="43"/>
  <c r="E19" i="43"/>
  <c r="G19" i="43"/>
  <c r="M19" i="43"/>
  <c r="O19" i="43"/>
  <c r="C20" i="43"/>
  <c r="E20" i="43"/>
  <c r="G20" i="43"/>
  <c r="M20" i="43"/>
  <c r="O20" i="43"/>
  <c r="C21" i="43"/>
  <c r="E21" i="43"/>
  <c r="G21" i="43"/>
  <c r="M21" i="43"/>
  <c r="O21" i="43"/>
  <c r="C22" i="43"/>
  <c r="E22" i="43"/>
  <c r="G22" i="43"/>
  <c r="M22" i="43"/>
  <c r="O22" i="43"/>
  <c r="C23" i="43"/>
  <c r="E23" i="43"/>
  <c r="G23" i="43"/>
  <c r="L23" i="43"/>
  <c r="M23" i="43"/>
  <c r="O23" i="43"/>
  <c r="M24" i="43"/>
  <c r="M25" i="43"/>
  <c r="O25" i="43"/>
  <c r="M26" i="43"/>
  <c r="M27" i="43"/>
  <c r="O27" i="43"/>
  <c r="L28" i="43"/>
  <c r="M28" i="43"/>
  <c r="E29" i="43"/>
  <c r="G29" i="43"/>
  <c r="L29" i="43"/>
  <c r="M29" i="43"/>
  <c r="C31" i="43"/>
  <c r="C32" i="43"/>
  <c r="E32" i="43"/>
  <c r="C33" i="43"/>
  <c r="E33" i="43"/>
  <c r="M33" i="43"/>
  <c r="C34" i="43"/>
  <c r="E34" i="43"/>
  <c r="C35" i="43"/>
  <c r="L35" i="43"/>
  <c r="M35" i="43"/>
  <c r="C36" i="43"/>
  <c r="C37" i="43"/>
  <c r="C38" i="43"/>
  <c r="E38" i="43"/>
  <c r="C44" i="43"/>
  <c r="B1" i="17"/>
  <c r="C8" i="17"/>
  <c r="E8" i="17"/>
  <c r="G8" i="17"/>
  <c r="O8" i="17"/>
  <c r="E9" i="17"/>
  <c r="G9" i="17"/>
  <c r="L9" i="17"/>
  <c r="M9" i="17"/>
  <c r="O9" i="17"/>
  <c r="E10" i="17"/>
  <c r="G10" i="17"/>
  <c r="O10" i="17"/>
  <c r="C11" i="17"/>
  <c r="E11" i="17"/>
  <c r="G11" i="17"/>
  <c r="O11" i="17"/>
  <c r="C12" i="17"/>
  <c r="E12" i="17"/>
  <c r="G12" i="17"/>
  <c r="K12" i="17"/>
  <c r="L12" i="17"/>
  <c r="M12" i="17"/>
  <c r="O12" i="17"/>
  <c r="C13" i="17"/>
  <c r="E13" i="17"/>
  <c r="G13" i="17"/>
  <c r="O13" i="17"/>
  <c r="E14" i="17"/>
  <c r="M14" i="17"/>
  <c r="O14" i="17"/>
  <c r="C15" i="17"/>
  <c r="E15" i="17"/>
  <c r="G15" i="17"/>
  <c r="O15" i="17"/>
  <c r="C16" i="17"/>
  <c r="E16" i="17"/>
  <c r="O16" i="17"/>
  <c r="C17" i="17"/>
  <c r="E17" i="17"/>
  <c r="M17" i="17"/>
  <c r="O17" i="17"/>
  <c r="C18" i="17"/>
  <c r="E18" i="17"/>
  <c r="M18" i="17"/>
  <c r="O18" i="17"/>
  <c r="C19" i="17"/>
  <c r="E19" i="17"/>
  <c r="G19" i="17"/>
  <c r="M19" i="17"/>
  <c r="O19" i="17"/>
  <c r="C20" i="17"/>
  <c r="E20" i="17"/>
  <c r="M20" i="17"/>
  <c r="O20" i="17"/>
  <c r="C21" i="17"/>
  <c r="E21" i="17"/>
  <c r="G21" i="17"/>
  <c r="M21" i="17"/>
  <c r="O21" i="17"/>
  <c r="C22" i="17"/>
  <c r="E22" i="17"/>
  <c r="M22" i="17"/>
  <c r="O22" i="17"/>
  <c r="C23" i="17"/>
  <c r="E23" i="17"/>
  <c r="G23" i="17"/>
  <c r="M23" i="17"/>
  <c r="O23" i="17"/>
  <c r="M24" i="17"/>
  <c r="M25" i="17"/>
  <c r="O25" i="17"/>
  <c r="M26" i="17"/>
  <c r="M27" i="17"/>
  <c r="O27" i="17"/>
  <c r="M28" i="17"/>
  <c r="E29" i="17"/>
  <c r="G29" i="17"/>
  <c r="L29" i="17"/>
  <c r="M29" i="17"/>
  <c r="C31" i="17"/>
  <c r="C32" i="17"/>
  <c r="E32" i="17"/>
  <c r="C33" i="17"/>
  <c r="E33" i="17"/>
  <c r="M33" i="17"/>
  <c r="C34" i="17"/>
  <c r="E34" i="17"/>
  <c r="C35" i="17"/>
  <c r="L35" i="17"/>
  <c r="M35" i="17"/>
  <c r="C36" i="17"/>
  <c r="C37" i="17"/>
  <c r="C38" i="17"/>
  <c r="E38" i="17"/>
  <c r="C44" i="17"/>
  <c r="B1" i="194"/>
  <c r="C8" i="194"/>
  <c r="E8" i="194"/>
  <c r="G8" i="194"/>
  <c r="O8" i="194"/>
  <c r="E9" i="194"/>
  <c r="G9" i="194"/>
  <c r="O9" i="194"/>
  <c r="C10" i="194"/>
  <c r="E10" i="194"/>
  <c r="G10" i="194"/>
  <c r="O10" i="194"/>
  <c r="C11" i="194"/>
  <c r="E11" i="194"/>
  <c r="G11" i="194"/>
  <c r="K11" i="194"/>
  <c r="L11" i="194"/>
  <c r="M11" i="194"/>
  <c r="O11" i="194"/>
  <c r="C12" i="194"/>
  <c r="E12" i="194"/>
  <c r="G12" i="194"/>
  <c r="O12" i="194"/>
  <c r="E13" i="194"/>
  <c r="G13" i="194"/>
  <c r="M13" i="194"/>
  <c r="O13" i="194"/>
  <c r="C14" i="194"/>
  <c r="E14" i="194"/>
  <c r="G14" i="194"/>
  <c r="O14" i="194"/>
  <c r="C15" i="194"/>
  <c r="E15" i="194"/>
  <c r="G15" i="194"/>
  <c r="O15" i="194"/>
  <c r="C16" i="194"/>
  <c r="E16" i="194"/>
  <c r="G16" i="194"/>
  <c r="L16" i="194"/>
  <c r="M16" i="194"/>
  <c r="O16" i="194"/>
  <c r="C17" i="194"/>
  <c r="E17" i="194"/>
  <c r="G17" i="194"/>
  <c r="M17" i="194"/>
  <c r="O17" i="194"/>
  <c r="C18" i="194"/>
  <c r="E18" i="194"/>
  <c r="G18" i="194"/>
  <c r="M18" i="194"/>
  <c r="O18" i="194"/>
  <c r="C19" i="194"/>
  <c r="E19" i="194"/>
  <c r="G19" i="194"/>
  <c r="L19" i="194"/>
  <c r="M19" i="194"/>
  <c r="O19" i="194"/>
  <c r="C20" i="194"/>
  <c r="E20" i="194"/>
  <c r="G20" i="194"/>
  <c r="M20" i="194"/>
  <c r="O20" i="194"/>
  <c r="C21" i="194"/>
  <c r="E21" i="194"/>
  <c r="G21" i="194"/>
  <c r="M21" i="194"/>
  <c r="O21" i="194"/>
  <c r="C22" i="194"/>
  <c r="E22" i="194"/>
  <c r="G22" i="194"/>
  <c r="M22" i="194"/>
  <c r="O22" i="194"/>
  <c r="M23" i="194"/>
  <c r="M24" i="194"/>
  <c r="O24" i="194"/>
  <c r="M25" i="194"/>
  <c r="M26" i="194"/>
  <c r="O26" i="194"/>
  <c r="L27" i="194"/>
  <c r="M27" i="194"/>
  <c r="E28" i="194"/>
  <c r="G28" i="194"/>
  <c r="L28" i="194"/>
  <c r="M28" i="194"/>
  <c r="C30" i="194"/>
  <c r="C31" i="194"/>
  <c r="E31" i="194"/>
  <c r="C32" i="194"/>
  <c r="E32" i="194"/>
  <c r="M32" i="194"/>
  <c r="C33" i="194"/>
  <c r="E33" i="194"/>
  <c r="C34" i="194"/>
  <c r="L34" i="194"/>
  <c r="M34" i="194"/>
  <c r="C35" i="194"/>
  <c r="C36" i="194"/>
  <c r="C37" i="194"/>
  <c r="E37" i="194"/>
  <c r="C43" i="194"/>
  <c r="B1" i="18"/>
  <c r="B2" i="18"/>
  <c r="C8" i="18"/>
  <c r="E8" i="18"/>
  <c r="G8" i="18"/>
  <c r="O8" i="18"/>
  <c r="E9" i="18"/>
  <c r="G9" i="18"/>
  <c r="L9" i="18"/>
  <c r="M9" i="18"/>
  <c r="O9" i="18"/>
  <c r="E10" i="18"/>
  <c r="G10" i="18"/>
  <c r="O10" i="18"/>
  <c r="C11" i="18"/>
  <c r="E11" i="18"/>
  <c r="G11" i="18"/>
  <c r="O11" i="18"/>
  <c r="C12" i="18"/>
  <c r="E12" i="18"/>
  <c r="G12" i="18"/>
  <c r="K12" i="18"/>
  <c r="L12" i="18"/>
  <c r="M12" i="18"/>
  <c r="O12" i="18"/>
  <c r="C13" i="18"/>
  <c r="E13" i="18"/>
  <c r="G13" i="18"/>
  <c r="O13" i="18"/>
  <c r="E14" i="18"/>
  <c r="M14" i="18"/>
  <c r="O14" i="18"/>
  <c r="C15" i="18"/>
  <c r="E15" i="18"/>
  <c r="G15" i="18"/>
  <c r="O15" i="18"/>
  <c r="C16" i="18"/>
  <c r="E16" i="18"/>
  <c r="O16" i="18"/>
  <c r="C17" i="18"/>
  <c r="E17" i="18"/>
  <c r="M17" i="18"/>
  <c r="O17" i="18"/>
  <c r="C18" i="18"/>
  <c r="E18" i="18"/>
  <c r="M18" i="18"/>
  <c r="O18" i="18"/>
  <c r="C19" i="18"/>
  <c r="E19" i="18"/>
  <c r="G19" i="18"/>
  <c r="M19" i="18"/>
  <c r="O19" i="18"/>
  <c r="C20" i="18"/>
  <c r="E20" i="18"/>
  <c r="M20" i="18"/>
  <c r="O20" i="18"/>
  <c r="C21" i="18"/>
  <c r="E21" i="18"/>
  <c r="G21" i="18"/>
  <c r="M21" i="18"/>
  <c r="O21" i="18"/>
  <c r="C22" i="18"/>
  <c r="E22" i="18"/>
  <c r="M22" i="18"/>
  <c r="O22" i="18"/>
  <c r="C23" i="18"/>
  <c r="E23" i="18"/>
  <c r="G23" i="18"/>
  <c r="M23" i="18"/>
  <c r="O23" i="18"/>
  <c r="M24" i="18"/>
  <c r="G25" i="18"/>
  <c r="M25" i="18"/>
  <c r="O25" i="18"/>
  <c r="M26" i="18"/>
  <c r="M27" i="18"/>
  <c r="O27" i="18"/>
  <c r="M28" i="18"/>
  <c r="E29" i="18"/>
  <c r="G29" i="18"/>
  <c r="L29" i="18"/>
  <c r="M29" i="18"/>
  <c r="C31" i="18"/>
  <c r="C32" i="18"/>
  <c r="E32" i="18"/>
  <c r="C33" i="18"/>
  <c r="E33" i="18"/>
  <c r="M33" i="18"/>
  <c r="C34" i="18"/>
  <c r="C35" i="18"/>
  <c r="M35" i="18"/>
  <c r="C36" i="18"/>
  <c r="C37" i="18"/>
  <c r="C38" i="18"/>
  <c r="E38" i="18"/>
  <c r="C44" i="18"/>
  <c r="B1" i="195"/>
  <c r="B2" i="195"/>
  <c r="C8" i="195"/>
  <c r="E8" i="195"/>
  <c r="H8" i="195"/>
  <c r="Q8" i="195"/>
  <c r="E9" i="195"/>
  <c r="H9" i="195"/>
  <c r="Q9" i="195"/>
  <c r="C10" i="195"/>
  <c r="E10" i="195"/>
  <c r="H10" i="195"/>
  <c r="Q10" i="195"/>
  <c r="C11" i="195"/>
  <c r="E11" i="195"/>
  <c r="H11" i="195"/>
  <c r="K11" i="195"/>
  <c r="L11" i="195"/>
  <c r="M11" i="195"/>
  <c r="Q11" i="195"/>
  <c r="C12" i="195"/>
  <c r="E12" i="195"/>
  <c r="H12" i="195"/>
  <c r="Q12" i="195"/>
  <c r="E13" i="195"/>
  <c r="M13" i="195"/>
  <c r="Q13" i="195"/>
  <c r="C14" i="195"/>
  <c r="E14" i="195"/>
  <c r="H14" i="195"/>
  <c r="Q14" i="195"/>
  <c r="C15" i="195"/>
  <c r="E15" i="195"/>
  <c r="Q15" i="195"/>
  <c r="C16" i="195"/>
  <c r="E16" i="195"/>
  <c r="M16" i="195"/>
  <c r="Q16" i="195"/>
  <c r="C17" i="195"/>
  <c r="E17" i="195"/>
  <c r="M17" i="195"/>
  <c r="Q17" i="195"/>
  <c r="C18" i="195"/>
  <c r="E18" i="195"/>
  <c r="H18" i="195"/>
  <c r="M18" i="195"/>
  <c r="Q18" i="195"/>
  <c r="C19" i="195"/>
  <c r="E19" i="195"/>
  <c r="M19" i="195"/>
  <c r="Q19" i="195"/>
  <c r="C20" i="195"/>
  <c r="E20" i="195"/>
  <c r="H20" i="195"/>
  <c r="M20" i="195"/>
  <c r="Q20" i="195"/>
  <c r="C21" i="195"/>
  <c r="E21" i="195"/>
  <c r="H21" i="195"/>
  <c r="M21" i="195"/>
  <c r="Q21" i="195"/>
  <c r="C22" i="195"/>
  <c r="E22" i="195"/>
  <c r="H22" i="195"/>
  <c r="M22" i="195"/>
  <c r="Q22" i="195"/>
  <c r="M23" i="195"/>
  <c r="H24" i="195"/>
  <c r="M24" i="195"/>
  <c r="Q24" i="195"/>
  <c r="M25" i="195"/>
  <c r="M26" i="195"/>
  <c r="Q26" i="195"/>
  <c r="M27" i="195"/>
  <c r="E28" i="195"/>
  <c r="H28" i="195"/>
  <c r="L28" i="195"/>
  <c r="M28" i="195"/>
  <c r="C30" i="195"/>
  <c r="C31" i="195"/>
  <c r="E31" i="195"/>
  <c r="C32" i="195"/>
  <c r="E32" i="195"/>
  <c r="M32" i="195"/>
  <c r="C33" i="195"/>
  <c r="E33" i="195"/>
  <c r="C34" i="195"/>
  <c r="L34" i="195"/>
  <c r="M34" i="195"/>
  <c r="C35" i="195"/>
  <c r="C36" i="195"/>
  <c r="C37" i="195"/>
  <c r="E37" i="195"/>
  <c r="J39" i="195"/>
  <c r="C43" i="195"/>
  <c r="B1" i="196"/>
  <c r="C8" i="196"/>
  <c r="E8" i="196"/>
  <c r="Q8" i="196"/>
  <c r="E9" i="196"/>
  <c r="H9" i="196"/>
  <c r="L9" i="196"/>
  <c r="M9" i="196"/>
  <c r="Q9" i="196"/>
  <c r="E10" i="196"/>
  <c r="H10" i="196"/>
  <c r="Q10" i="196"/>
  <c r="C11" i="196"/>
  <c r="E11" i="196"/>
  <c r="Q11" i="196"/>
  <c r="C12" i="196"/>
  <c r="E12" i="196"/>
  <c r="K12" i="196"/>
  <c r="L12" i="196"/>
  <c r="M12" i="196"/>
  <c r="Q12" i="196"/>
  <c r="C13" i="196"/>
  <c r="E13" i="196"/>
  <c r="Q13" i="196"/>
  <c r="E14" i="196"/>
  <c r="M14" i="196"/>
  <c r="Q14" i="196"/>
  <c r="C15" i="196"/>
  <c r="E15" i="196"/>
  <c r="Q15" i="196"/>
  <c r="C16" i="196"/>
  <c r="E16" i="196"/>
  <c r="Q16" i="196"/>
  <c r="C17" i="196"/>
  <c r="E17" i="196"/>
  <c r="H17" i="196"/>
  <c r="M17" i="196"/>
  <c r="Q17" i="196"/>
  <c r="M18" i="196"/>
  <c r="B1" i="206"/>
  <c r="C8" i="206"/>
  <c r="E8" i="206"/>
  <c r="F8" i="206"/>
  <c r="O8" i="206"/>
  <c r="E9" i="206"/>
  <c r="O9" i="206"/>
  <c r="C10" i="206"/>
  <c r="E10" i="206"/>
  <c r="F10" i="206"/>
  <c r="O10" i="206"/>
  <c r="C11" i="206"/>
  <c r="E11" i="206"/>
  <c r="F11" i="206"/>
  <c r="K11" i="206"/>
  <c r="L11" i="206"/>
  <c r="M11" i="206"/>
  <c r="O11" i="206"/>
  <c r="C12" i="206"/>
  <c r="E12" i="206"/>
  <c r="F12" i="206"/>
  <c r="O12" i="206"/>
  <c r="M13" i="206"/>
  <c r="O13" i="206"/>
  <c r="C14" i="206"/>
  <c r="E14" i="206"/>
  <c r="F14" i="206"/>
  <c r="I14" i="206"/>
  <c r="O14" i="206"/>
  <c r="C15" i="206"/>
  <c r="E15" i="206"/>
  <c r="F15" i="206"/>
  <c r="O15" i="206"/>
  <c r="C16" i="206"/>
  <c r="E16" i="206"/>
  <c r="F16" i="206"/>
  <c r="M16" i="206"/>
  <c r="O16" i="206"/>
  <c r="C17" i="206"/>
  <c r="E17" i="206"/>
  <c r="F17" i="206"/>
  <c r="M17" i="206"/>
  <c r="O17" i="206"/>
  <c r="C18" i="206"/>
  <c r="E18" i="206"/>
  <c r="F18" i="206"/>
  <c r="M18" i="206"/>
  <c r="O18" i="206"/>
  <c r="C19" i="206"/>
  <c r="E19" i="206"/>
  <c r="F19" i="206"/>
  <c r="M19" i="206"/>
  <c r="O19" i="206"/>
  <c r="C20" i="206"/>
  <c r="E20" i="206"/>
  <c r="F20" i="206"/>
  <c r="M20" i="206"/>
  <c r="O20" i="206"/>
  <c r="C21" i="206"/>
  <c r="E21" i="206"/>
  <c r="F21" i="206"/>
  <c r="M21" i="206"/>
  <c r="O21" i="206"/>
  <c r="C22" i="206"/>
  <c r="E22" i="206"/>
  <c r="F22" i="206"/>
  <c r="M22" i="206"/>
  <c r="O22" i="206"/>
  <c r="M23" i="206"/>
  <c r="M24" i="206"/>
  <c r="O24" i="206"/>
  <c r="M25" i="206"/>
  <c r="M26" i="206"/>
  <c r="O26" i="206"/>
  <c r="M27" i="206"/>
  <c r="E28" i="206"/>
  <c r="F28" i="206"/>
  <c r="L28" i="206"/>
  <c r="M28" i="206"/>
  <c r="C30" i="206"/>
  <c r="E30" i="206"/>
  <c r="C31" i="206"/>
  <c r="E31" i="206"/>
  <c r="C32" i="206"/>
  <c r="E32" i="206"/>
  <c r="M32" i="206"/>
  <c r="C33" i="206"/>
  <c r="E33" i="206"/>
  <c r="C34" i="206"/>
  <c r="E34" i="206"/>
  <c r="C35" i="206"/>
  <c r="E35" i="206"/>
  <c r="C36" i="206"/>
  <c r="E36" i="206"/>
  <c r="C37" i="206"/>
  <c r="E37" i="206"/>
  <c r="I39" i="206"/>
  <c r="J39" i="206"/>
  <c r="K39" i="206"/>
  <c r="L39" i="206"/>
  <c r="M39" i="206"/>
  <c r="C43" i="206"/>
  <c r="B1" i="193"/>
  <c r="C8" i="193"/>
  <c r="E8" i="193"/>
  <c r="Q8" i="193"/>
  <c r="E9" i="193"/>
  <c r="Q9" i="193"/>
  <c r="C10" i="193"/>
  <c r="E10" i="193"/>
  <c r="Q10" i="193"/>
  <c r="C11" i="193"/>
  <c r="E11" i="193"/>
  <c r="H11" i="193"/>
  <c r="J11" i="193"/>
  <c r="K11" i="193"/>
  <c r="L11" i="193"/>
  <c r="Q11" i="193"/>
  <c r="C12" i="193"/>
  <c r="E12" i="193"/>
  <c r="Q12" i="193"/>
  <c r="E13" i="193"/>
  <c r="L13" i="193"/>
  <c r="P13" i="193"/>
  <c r="Q13" i="193"/>
  <c r="C14" i="193"/>
  <c r="E14" i="193"/>
  <c r="Q14" i="193"/>
  <c r="C15" i="193"/>
  <c r="E15" i="193"/>
  <c r="H15" i="193"/>
  <c r="Q15" i="193"/>
  <c r="C16" i="193"/>
  <c r="E16" i="193"/>
  <c r="H16" i="193"/>
  <c r="K16" i="193"/>
  <c r="L16" i="193"/>
  <c r="Q16" i="193"/>
  <c r="C17" i="193"/>
  <c r="E17" i="193"/>
  <c r="K17" i="193"/>
  <c r="L17" i="193"/>
  <c r="Q17" i="193"/>
  <c r="C18" i="193"/>
  <c r="K18" i="193"/>
  <c r="L18" i="193"/>
  <c r="Q18" i="193"/>
  <c r="C19" i="193"/>
  <c r="E19" i="193"/>
  <c r="H19" i="193"/>
  <c r="K19" i="193"/>
  <c r="L19" i="193"/>
  <c r="Q19" i="193"/>
  <c r="C20" i="193"/>
  <c r="E20" i="193"/>
  <c r="H20" i="193"/>
  <c r="K20" i="193"/>
  <c r="L20" i="193"/>
  <c r="Q20" i="193"/>
  <c r="C21" i="193"/>
  <c r="E21" i="193"/>
  <c r="H21" i="193"/>
  <c r="K21" i="193"/>
  <c r="L21" i="193"/>
  <c r="Q21" i="193"/>
  <c r="C22" i="193"/>
  <c r="E22" i="193"/>
  <c r="H22" i="193"/>
  <c r="K22" i="193"/>
  <c r="L22" i="193"/>
  <c r="Q22" i="193"/>
  <c r="K23" i="193"/>
  <c r="L23" i="193"/>
  <c r="K24" i="193"/>
  <c r="L24" i="193"/>
  <c r="Q24" i="193"/>
  <c r="K25" i="193"/>
  <c r="L25" i="193"/>
  <c r="K26" i="193"/>
  <c r="L26" i="193"/>
  <c r="Q26" i="193"/>
  <c r="L27" i="193"/>
  <c r="E28" i="193"/>
  <c r="H28" i="193"/>
  <c r="K28" i="193"/>
  <c r="L28" i="193"/>
  <c r="C30" i="193"/>
  <c r="E30" i="193"/>
  <c r="C31" i="193"/>
  <c r="E31" i="193"/>
  <c r="C32" i="193"/>
  <c r="E32" i="193"/>
  <c r="L32" i="193"/>
  <c r="C33" i="193"/>
  <c r="E33" i="193"/>
  <c r="C34" i="193"/>
  <c r="E34" i="193"/>
  <c r="C35" i="193"/>
  <c r="E35" i="193"/>
  <c r="C36" i="193"/>
  <c r="E36" i="193"/>
  <c r="C37" i="193"/>
  <c r="E37" i="193"/>
  <c r="C43" i="193"/>
  <c r="B1" i="84"/>
  <c r="C8" i="84"/>
  <c r="E8" i="84"/>
  <c r="G8" i="84"/>
  <c r="L8" i="84"/>
  <c r="C9" i="84"/>
  <c r="G9" i="84"/>
  <c r="C10" i="84"/>
  <c r="E10" i="84"/>
  <c r="G10" i="84"/>
  <c r="C11" i="84"/>
  <c r="E11" i="84"/>
  <c r="G11" i="84"/>
  <c r="J11" i="84"/>
  <c r="K11" i="84"/>
  <c r="L11" i="84"/>
  <c r="C12" i="84"/>
  <c r="E12" i="84"/>
  <c r="G12" i="84"/>
  <c r="C13" i="84"/>
  <c r="E13" i="84"/>
  <c r="G13" i="84"/>
  <c r="L13" i="84"/>
  <c r="C14" i="84"/>
  <c r="E14" i="84"/>
  <c r="G14" i="84"/>
  <c r="C15" i="84"/>
  <c r="E15" i="84"/>
  <c r="G15" i="84"/>
  <c r="C16" i="84"/>
  <c r="E16" i="84"/>
  <c r="G16" i="84"/>
  <c r="K16" i="84"/>
  <c r="L16" i="84"/>
  <c r="C17" i="84"/>
  <c r="E17" i="84"/>
  <c r="G17" i="84"/>
  <c r="L17" i="84"/>
  <c r="C18" i="84"/>
  <c r="E18" i="84"/>
  <c r="G18" i="84"/>
  <c r="L18" i="84"/>
  <c r="C19" i="84"/>
  <c r="E19" i="84"/>
  <c r="G19" i="84"/>
  <c r="L19" i="84"/>
  <c r="C20" i="84"/>
  <c r="E20" i="84"/>
  <c r="G20" i="84"/>
  <c r="L20" i="84"/>
  <c r="C21" i="84"/>
  <c r="E21" i="84"/>
  <c r="G21" i="84"/>
  <c r="L21" i="84"/>
  <c r="C22" i="84"/>
  <c r="E22" i="84"/>
  <c r="G22" i="84"/>
  <c r="L22" i="84"/>
  <c r="C23" i="84"/>
  <c r="E23" i="84"/>
  <c r="G23" i="84"/>
  <c r="H23" i="84"/>
  <c r="L23" i="84"/>
  <c r="L24" i="84"/>
  <c r="E25" i="84"/>
  <c r="H25" i="84"/>
  <c r="L25" i="84"/>
  <c r="L26" i="84"/>
  <c r="E27" i="84"/>
  <c r="H27" i="84"/>
  <c r="L27" i="84"/>
  <c r="K28" i="84"/>
  <c r="L28" i="84"/>
  <c r="E29" i="84"/>
  <c r="H29" i="84"/>
  <c r="L30" i="84"/>
  <c r="H34" i="84"/>
  <c r="I34" i="84"/>
  <c r="J34" i="84"/>
  <c r="K34" i="84"/>
  <c r="L34" i="84"/>
  <c r="B1" i="124"/>
  <c r="C8" i="124"/>
  <c r="E8" i="124"/>
  <c r="F8" i="124"/>
  <c r="H8" i="124"/>
  <c r="M8" i="124"/>
  <c r="O8" i="124"/>
  <c r="C9" i="124"/>
  <c r="E9" i="124"/>
  <c r="H9" i="124"/>
  <c r="O9" i="124"/>
  <c r="C10" i="124"/>
  <c r="E10" i="124"/>
  <c r="F10" i="124"/>
  <c r="H10" i="124"/>
  <c r="O10" i="124"/>
  <c r="C11" i="124"/>
  <c r="E11" i="124"/>
  <c r="F11" i="124"/>
  <c r="H11" i="124"/>
  <c r="K11" i="124"/>
  <c r="L11" i="124"/>
  <c r="M11" i="124"/>
  <c r="O11" i="124"/>
  <c r="C12" i="124"/>
  <c r="E12" i="124"/>
  <c r="F12" i="124"/>
  <c r="H12" i="124"/>
  <c r="O12" i="124"/>
  <c r="C13" i="124"/>
  <c r="E13" i="124"/>
  <c r="F13" i="124"/>
  <c r="H13" i="124"/>
  <c r="M13" i="124"/>
  <c r="O13" i="124"/>
  <c r="C14" i="124"/>
  <c r="E14" i="124"/>
  <c r="F14" i="124"/>
  <c r="H14" i="124"/>
  <c r="O14" i="124"/>
  <c r="C15" i="124"/>
  <c r="E15" i="124"/>
  <c r="F15" i="124"/>
  <c r="H15" i="124"/>
  <c r="O15" i="124"/>
  <c r="C16" i="124"/>
  <c r="E16" i="124"/>
  <c r="F16" i="124"/>
  <c r="H16" i="124"/>
  <c r="M16" i="124"/>
  <c r="O16" i="124"/>
  <c r="C17" i="124"/>
  <c r="E17" i="124"/>
  <c r="F17" i="124"/>
  <c r="H17" i="124"/>
  <c r="M17" i="124"/>
  <c r="O17" i="124"/>
  <c r="C18" i="124"/>
  <c r="E18" i="124"/>
  <c r="F18" i="124"/>
  <c r="H18" i="124"/>
  <c r="M18" i="124"/>
  <c r="O18" i="124"/>
  <c r="C19" i="124"/>
  <c r="E19" i="124"/>
  <c r="F19" i="124"/>
  <c r="H19" i="124"/>
  <c r="M19" i="124"/>
  <c r="O19" i="124"/>
  <c r="C20" i="124"/>
  <c r="E20" i="124"/>
  <c r="H20" i="124"/>
  <c r="M20" i="124"/>
  <c r="O20" i="124"/>
  <c r="C21" i="124"/>
  <c r="E21" i="124"/>
  <c r="F21" i="124"/>
  <c r="H21" i="124"/>
  <c r="M21" i="124"/>
  <c r="O21" i="124"/>
  <c r="C22" i="124"/>
  <c r="E22" i="124"/>
  <c r="F22" i="124"/>
  <c r="H22" i="124"/>
  <c r="M22" i="124"/>
  <c r="O22" i="124"/>
  <c r="C23" i="124"/>
  <c r="E23" i="124"/>
  <c r="F23" i="124"/>
  <c r="H23" i="124"/>
  <c r="M23" i="124"/>
  <c r="O23" i="124"/>
  <c r="M24" i="124"/>
  <c r="E25" i="124"/>
  <c r="F25" i="124"/>
  <c r="M25" i="124"/>
  <c r="O25" i="124"/>
  <c r="M26" i="124"/>
  <c r="E27" i="124"/>
  <c r="F27" i="124"/>
  <c r="M27" i="124"/>
  <c r="O27" i="124"/>
  <c r="L28" i="124"/>
  <c r="M28" i="124"/>
  <c r="E29" i="124"/>
  <c r="F29" i="124"/>
  <c r="I34" i="124"/>
  <c r="J34" i="124"/>
  <c r="K34" i="124"/>
  <c r="L34" i="124"/>
  <c r="M34" i="124"/>
  <c r="B1" i="173"/>
  <c r="C8" i="173"/>
  <c r="E8" i="173"/>
  <c r="F8" i="173"/>
  <c r="H8" i="173"/>
  <c r="M8" i="173"/>
  <c r="O8" i="173"/>
  <c r="C9" i="173"/>
  <c r="E9" i="173"/>
  <c r="H9" i="173"/>
  <c r="O9" i="173"/>
  <c r="C10" i="173"/>
  <c r="E10" i="173"/>
  <c r="F10" i="173"/>
  <c r="H10" i="173"/>
  <c r="O10" i="173"/>
  <c r="C11" i="173"/>
  <c r="E11" i="173"/>
  <c r="F11" i="173"/>
  <c r="H11" i="173"/>
  <c r="K11" i="173"/>
  <c r="L11" i="173"/>
  <c r="M11" i="173"/>
  <c r="O11" i="173"/>
  <c r="C12" i="173"/>
  <c r="E12" i="173"/>
  <c r="F12" i="173"/>
  <c r="H12" i="173"/>
  <c r="O12" i="173"/>
  <c r="C13" i="173"/>
  <c r="E13" i="173"/>
  <c r="F13" i="173"/>
  <c r="H13" i="173"/>
  <c r="M13" i="173"/>
  <c r="O13" i="173"/>
  <c r="C14" i="173"/>
  <c r="E14" i="173"/>
  <c r="F14" i="173"/>
  <c r="H14" i="173"/>
  <c r="O14" i="173"/>
  <c r="C15" i="173"/>
  <c r="E15" i="173"/>
  <c r="F15" i="173"/>
  <c r="H15" i="173"/>
  <c r="O15" i="173"/>
  <c r="C16" i="173"/>
  <c r="E16" i="173"/>
  <c r="F16" i="173"/>
  <c r="H16" i="173"/>
  <c r="M16" i="173"/>
  <c r="O16" i="173"/>
  <c r="C17" i="173"/>
  <c r="E17" i="173"/>
  <c r="F17" i="173"/>
  <c r="H17" i="173"/>
  <c r="M17" i="173"/>
  <c r="O17" i="173"/>
  <c r="C18" i="173"/>
  <c r="E18" i="173"/>
  <c r="F18" i="173"/>
  <c r="H18" i="173"/>
  <c r="M18" i="173"/>
  <c r="O18" i="173"/>
  <c r="C19" i="173"/>
  <c r="E19" i="173"/>
  <c r="F19" i="173"/>
  <c r="H19" i="173"/>
  <c r="M19" i="173"/>
  <c r="O19" i="173"/>
  <c r="C20" i="173"/>
  <c r="E20" i="173"/>
  <c r="F20" i="173"/>
  <c r="H20" i="173"/>
  <c r="M20" i="173"/>
  <c r="O20" i="173"/>
  <c r="C21" i="173"/>
  <c r="E21" i="173"/>
  <c r="F21" i="173"/>
  <c r="H21" i="173"/>
  <c r="M21" i="173"/>
  <c r="O21" i="173"/>
  <c r="C22" i="173"/>
  <c r="E22" i="173"/>
  <c r="F22" i="173"/>
  <c r="H22" i="173"/>
  <c r="M22" i="173"/>
  <c r="O22" i="173"/>
  <c r="C23" i="173"/>
  <c r="E23" i="173"/>
  <c r="F23" i="173"/>
  <c r="H23" i="173"/>
  <c r="M23" i="173"/>
  <c r="O23" i="173"/>
  <c r="M24" i="173"/>
  <c r="E25" i="173"/>
  <c r="F25" i="173"/>
  <c r="M25" i="173"/>
  <c r="O25" i="173"/>
  <c r="M26" i="173"/>
  <c r="E27" i="173"/>
  <c r="F27" i="173"/>
  <c r="M27" i="173"/>
  <c r="O27" i="173"/>
  <c r="L28" i="173"/>
  <c r="M28" i="173"/>
  <c r="E29" i="173"/>
  <c r="F29" i="173"/>
  <c r="I34" i="173"/>
  <c r="J34" i="173"/>
  <c r="K34" i="173"/>
  <c r="L34" i="173"/>
  <c r="M34" i="173"/>
  <c r="B1" i="200"/>
  <c r="C8" i="200"/>
  <c r="E8" i="200"/>
  <c r="F8" i="200"/>
  <c r="O8" i="200"/>
  <c r="E9" i="200"/>
  <c r="F9" i="200"/>
  <c r="O9" i="200"/>
  <c r="C10" i="200"/>
  <c r="E10" i="200"/>
  <c r="F10" i="200"/>
  <c r="O10" i="200"/>
  <c r="C11" i="200"/>
  <c r="E11" i="200"/>
  <c r="F11" i="200"/>
  <c r="J11" i="200"/>
  <c r="K11" i="200"/>
  <c r="L11" i="200"/>
  <c r="O11" i="200"/>
  <c r="C12" i="200"/>
  <c r="E12" i="200"/>
  <c r="F12" i="200"/>
  <c r="O12" i="200"/>
  <c r="C13" i="200"/>
  <c r="E13" i="200"/>
  <c r="F13" i="200"/>
  <c r="L13" i="200"/>
  <c r="O13" i="200"/>
  <c r="C14" i="200"/>
  <c r="E14" i="200"/>
  <c r="F14" i="200"/>
  <c r="O14" i="200"/>
  <c r="C15" i="200"/>
  <c r="E15" i="200"/>
  <c r="F15" i="200"/>
  <c r="O15" i="200"/>
  <c r="C16" i="200"/>
  <c r="E16" i="200"/>
  <c r="F16" i="200"/>
  <c r="J16" i="200"/>
  <c r="K16" i="200"/>
  <c r="L16" i="200"/>
  <c r="O16" i="200"/>
  <c r="C17" i="200"/>
  <c r="E17" i="200"/>
  <c r="F17" i="200"/>
  <c r="L17" i="200"/>
  <c r="O17" i="200"/>
  <c r="C18" i="200"/>
  <c r="E18" i="200"/>
  <c r="F18" i="200"/>
  <c r="L18" i="200"/>
  <c r="O18" i="200"/>
  <c r="C19" i="200"/>
  <c r="E19" i="200"/>
  <c r="F19" i="200"/>
  <c r="L19" i="200"/>
  <c r="O19" i="200"/>
  <c r="C20" i="200"/>
  <c r="E20" i="200"/>
  <c r="F20" i="200"/>
  <c r="L20" i="200"/>
  <c r="O20" i="200"/>
  <c r="C21" i="200"/>
  <c r="E21" i="200"/>
  <c r="F21" i="200"/>
  <c r="L21" i="200"/>
  <c r="O21" i="200"/>
  <c r="C22" i="200"/>
  <c r="E22" i="200"/>
  <c r="F22" i="200"/>
  <c r="L22" i="200"/>
  <c r="O22" i="200"/>
  <c r="L23" i="200"/>
  <c r="F24" i="200"/>
  <c r="L24" i="200"/>
  <c r="O24" i="200"/>
  <c r="L25" i="200"/>
  <c r="L26" i="200"/>
  <c r="O26" i="200"/>
  <c r="L27" i="200"/>
  <c r="E28" i="200"/>
  <c r="F28" i="200"/>
  <c r="K28" i="200"/>
  <c r="L28" i="200"/>
  <c r="C30" i="200"/>
  <c r="E30" i="200"/>
  <c r="C31" i="200"/>
  <c r="E31" i="200"/>
  <c r="C32" i="200"/>
  <c r="E32" i="200"/>
  <c r="L32" i="200"/>
  <c r="C33" i="200"/>
  <c r="E33" i="200"/>
  <c r="C34" i="200"/>
  <c r="E34" i="200"/>
  <c r="C35" i="200"/>
  <c r="E35" i="200"/>
  <c r="C36" i="200"/>
  <c r="E36" i="200"/>
  <c r="C37" i="200"/>
  <c r="E37" i="200"/>
  <c r="C39" i="200"/>
  <c r="G39" i="200"/>
  <c r="I39" i="200"/>
  <c r="J39" i="200"/>
  <c r="K39" i="200"/>
  <c r="L39" i="200"/>
  <c r="B1" i="11"/>
  <c r="C8" i="11"/>
  <c r="E8" i="11"/>
  <c r="F8" i="11"/>
  <c r="O8" i="11"/>
  <c r="E9" i="11"/>
  <c r="F9" i="11"/>
  <c r="K9" i="11"/>
  <c r="L9" i="11"/>
  <c r="O9" i="11"/>
  <c r="E10" i="11"/>
  <c r="F10" i="11"/>
  <c r="O10" i="11"/>
  <c r="C11" i="11"/>
  <c r="E11" i="11"/>
  <c r="F11" i="11"/>
  <c r="O11" i="11"/>
  <c r="C12" i="11"/>
  <c r="E12" i="11"/>
  <c r="F12" i="11"/>
  <c r="J12" i="11"/>
  <c r="K12" i="11"/>
  <c r="L12" i="11"/>
  <c r="O12" i="11"/>
  <c r="C13" i="11"/>
  <c r="E13" i="11"/>
  <c r="F13" i="11"/>
  <c r="O13" i="11"/>
  <c r="C14" i="11"/>
  <c r="E14" i="11"/>
  <c r="F14" i="11"/>
  <c r="L14" i="11"/>
  <c r="O14" i="11"/>
  <c r="C15" i="11"/>
  <c r="E15" i="11"/>
  <c r="F15" i="11"/>
  <c r="O15" i="11"/>
  <c r="C16" i="11"/>
  <c r="E16" i="11"/>
  <c r="F16" i="11"/>
  <c r="O16" i="11"/>
  <c r="C17" i="11"/>
  <c r="E17" i="11"/>
  <c r="F17" i="11"/>
  <c r="J17" i="11"/>
  <c r="K17" i="11"/>
  <c r="L17" i="11"/>
  <c r="O17" i="11"/>
  <c r="C18" i="11"/>
  <c r="E18" i="11"/>
  <c r="F18" i="11"/>
  <c r="L18" i="11"/>
  <c r="O18" i="11"/>
  <c r="C19" i="11"/>
  <c r="E19" i="11"/>
  <c r="F19" i="11"/>
  <c r="L19" i="11"/>
  <c r="O19" i="11"/>
  <c r="C20" i="11"/>
  <c r="E20" i="11"/>
  <c r="F20" i="11"/>
  <c r="L20" i="11"/>
  <c r="O20" i="11"/>
  <c r="C21" i="11"/>
  <c r="E21" i="11"/>
  <c r="F21" i="11"/>
  <c r="L21" i="11"/>
  <c r="O21" i="11"/>
  <c r="C22" i="11"/>
  <c r="E22" i="11"/>
  <c r="F22" i="11"/>
  <c r="L22" i="11"/>
  <c r="O22" i="11"/>
  <c r="C23" i="11"/>
  <c r="E23" i="11"/>
  <c r="F23" i="11"/>
  <c r="L23" i="11"/>
  <c r="O23" i="11"/>
  <c r="L24" i="11"/>
  <c r="F25" i="11"/>
  <c r="L25" i="11"/>
  <c r="O25" i="11"/>
  <c r="L26" i="11"/>
  <c r="L27" i="11"/>
  <c r="O27" i="11"/>
  <c r="L28" i="11"/>
  <c r="E29" i="11"/>
  <c r="F29" i="11"/>
  <c r="K29" i="11"/>
  <c r="L29" i="11"/>
  <c r="C31" i="11"/>
  <c r="E31" i="11"/>
  <c r="C32" i="11"/>
  <c r="E32" i="11"/>
  <c r="C33" i="11"/>
  <c r="E33" i="11"/>
  <c r="L33" i="11"/>
  <c r="C34" i="11"/>
  <c r="E34" i="11"/>
  <c r="C35" i="11"/>
  <c r="E35" i="11"/>
  <c r="C36" i="11"/>
  <c r="E36" i="11"/>
  <c r="C37" i="11"/>
  <c r="E37" i="11"/>
  <c r="C38" i="11"/>
  <c r="E38" i="11"/>
  <c r="C40" i="11"/>
  <c r="G40" i="11"/>
  <c r="I40" i="11"/>
  <c r="J40" i="11"/>
  <c r="K40" i="11"/>
  <c r="L40" i="11"/>
  <c r="B1" i="127"/>
  <c r="C8" i="127"/>
  <c r="E8" i="127"/>
  <c r="F8" i="127"/>
  <c r="H8" i="127"/>
  <c r="M8" i="127"/>
  <c r="O8" i="127"/>
  <c r="C9" i="127"/>
  <c r="E9" i="127"/>
  <c r="H9" i="127"/>
  <c r="O9" i="127"/>
  <c r="C10" i="127"/>
  <c r="E10" i="127"/>
  <c r="F10" i="127"/>
  <c r="H10" i="127"/>
  <c r="O10" i="127"/>
  <c r="C11" i="127"/>
  <c r="E11" i="127"/>
  <c r="F11" i="127"/>
  <c r="H11" i="127"/>
  <c r="K11" i="127"/>
  <c r="L11" i="127"/>
  <c r="M11" i="127"/>
  <c r="O11" i="127"/>
  <c r="C12" i="127"/>
  <c r="E12" i="127"/>
  <c r="F12" i="127"/>
  <c r="H12" i="127"/>
  <c r="O12" i="127"/>
  <c r="C13" i="127"/>
  <c r="E13" i="127"/>
  <c r="F13" i="127"/>
  <c r="H13" i="127"/>
  <c r="M13" i="127"/>
  <c r="O13" i="127"/>
  <c r="C14" i="127"/>
  <c r="E14" i="127"/>
  <c r="H14" i="127"/>
  <c r="O14" i="127"/>
  <c r="C15" i="127"/>
  <c r="E15" i="127"/>
  <c r="F15" i="127"/>
  <c r="H15" i="127"/>
  <c r="O15" i="127"/>
  <c r="C16" i="127"/>
  <c r="E16" i="127"/>
  <c r="F16" i="127"/>
  <c r="H16" i="127"/>
  <c r="M16" i="127"/>
  <c r="O16" i="127"/>
  <c r="C17" i="127"/>
  <c r="E17" i="127"/>
  <c r="F17" i="127"/>
  <c r="H17" i="127"/>
  <c r="M17" i="127"/>
  <c r="O17" i="127"/>
  <c r="C18" i="127"/>
  <c r="E18" i="127"/>
  <c r="F18" i="127"/>
  <c r="H18" i="127"/>
  <c r="M18" i="127"/>
  <c r="O18" i="127"/>
  <c r="C19" i="127"/>
  <c r="E19" i="127"/>
  <c r="F19" i="127"/>
  <c r="H19" i="127"/>
  <c r="M19" i="127"/>
  <c r="O19" i="127"/>
  <c r="C20" i="127"/>
  <c r="E20" i="127"/>
  <c r="H20" i="127"/>
  <c r="M20" i="127"/>
  <c r="O20" i="127"/>
  <c r="C21" i="127"/>
  <c r="E21" i="127"/>
  <c r="F21" i="127"/>
  <c r="H21" i="127"/>
  <c r="M21" i="127"/>
  <c r="O21" i="127"/>
  <c r="C22" i="127"/>
  <c r="E22" i="127"/>
  <c r="F22" i="127"/>
  <c r="H22" i="127"/>
  <c r="M22" i="127"/>
  <c r="O22" i="127"/>
  <c r="C23" i="127"/>
  <c r="E23" i="127"/>
  <c r="F23" i="127"/>
  <c r="H23" i="127"/>
  <c r="M23" i="127"/>
  <c r="O23" i="127"/>
  <c r="M24" i="127"/>
  <c r="E25" i="127"/>
  <c r="F25" i="127"/>
  <c r="M25" i="127"/>
  <c r="O25" i="127"/>
  <c r="M26" i="127"/>
  <c r="E27" i="127"/>
  <c r="F27" i="127"/>
  <c r="M27" i="127"/>
  <c r="O27" i="127"/>
  <c r="L28" i="127"/>
  <c r="M28" i="127"/>
  <c r="E29" i="127"/>
  <c r="F29" i="127"/>
  <c r="I34" i="127"/>
  <c r="J34" i="127"/>
  <c r="K34" i="127"/>
  <c r="L34" i="127"/>
  <c r="M34" i="127"/>
  <c r="B1" i="172"/>
  <c r="C8" i="172"/>
  <c r="E8" i="172"/>
  <c r="F8" i="172"/>
  <c r="H8" i="172"/>
  <c r="M8" i="172"/>
  <c r="O8" i="172"/>
  <c r="C9" i="172"/>
  <c r="E9" i="172"/>
  <c r="H9" i="172"/>
  <c r="O9" i="172"/>
  <c r="C10" i="172"/>
  <c r="E10" i="172"/>
  <c r="F10" i="172"/>
  <c r="H10" i="172"/>
  <c r="O10" i="172"/>
  <c r="C11" i="172"/>
  <c r="E11" i="172"/>
  <c r="F11" i="172"/>
  <c r="H11" i="172"/>
  <c r="K11" i="172"/>
  <c r="L11" i="172"/>
  <c r="M11" i="172"/>
  <c r="O11" i="172"/>
  <c r="C12" i="172"/>
  <c r="E12" i="172"/>
  <c r="F12" i="172"/>
  <c r="H12" i="172"/>
  <c r="O12" i="172"/>
  <c r="C13" i="172"/>
  <c r="E13" i="172"/>
  <c r="F13" i="172"/>
  <c r="H13" i="172"/>
  <c r="M13" i="172"/>
  <c r="O13" i="172"/>
  <c r="C14" i="172"/>
  <c r="E14" i="172"/>
  <c r="F14" i="172"/>
  <c r="H14" i="172"/>
  <c r="O14" i="172"/>
  <c r="C15" i="172"/>
  <c r="E15" i="172"/>
  <c r="F15" i="172"/>
  <c r="H15" i="172"/>
  <c r="O15" i="172"/>
  <c r="C16" i="172"/>
  <c r="E16" i="172"/>
  <c r="F16" i="172"/>
  <c r="H16" i="172"/>
  <c r="M16" i="172"/>
  <c r="O16" i="172"/>
  <c r="C17" i="172"/>
  <c r="E17" i="172"/>
  <c r="F17" i="172"/>
  <c r="H17" i="172"/>
  <c r="M17" i="172"/>
  <c r="O17" i="172"/>
  <c r="C18" i="172"/>
  <c r="E18" i="172"/>
  <c r="F18" i="172"/>
  <c r="H18" i="172"/>
  <c r="M18" i="172"/>
  <c r="O18" i="172"/>
  <c r="C19" i="172"/>
  <c r="E19" i="172"/>
  <c r="F19" i="172"/>
  <c r="H19" i="172"/>
  <c r="M19" i="172"/>
  <c r="O19" i="172"/>
  <c r="C20" i="172"/>
  <c r="E20" i="172"/>
  <c r="F20" i="172"/>
  <c r="H20" i="172"/>
  <c r="M20" i="172"/>
  <c r="O20" i="172"/>
  <c r="C21" i="172"/>
  <c r="E21" i="172"/>
  <c r="F21" i="172"/>
  <c r="H21" i="172"/>
  <c r="M21" i="172"/>
  <c r="O21" i="172"/>
  <c r="C22" i="172"/>
  <c r="E22" i="172"/>
  <c r="F22" i="172"/>
  <c r="H22" i="172"/>
  <c r="M22" i="172"/>
  <c r="O22" i="172"/>
  <c r="C23" i="172"/>
  <c r="E23" i="172"/>
  <c r="F23" i="172"/>
  <c r="H23" i="172"/>
  <c r="M23" i="172"/>
  <c r="O23" i="172"/>
  <c r="M24" i="172"/>
  <c r="E25" i="172"/>
  <c r="F25" i="172"/>
  <c r="M25" i="172"/>
  <c r="O25" i="172"/>
  <c r="M26" i="172"/>
  <c r="E27" i="172"/>
  <c r="F27" i="172"/>
  <c r="M27" i="172"/>
  <c r="O27" i="172"/>
  <c r="L28" i="172"/>
  <c r="M28" i="172"/>
  <c r="E29" i="172"/>
  <c r="F29" i="172"/>
  <c r="I34" i="172"/>
  <c r="J34" i="172"/>
  <c r="K34" i="172"/>
  <c r="L34" i="172"/>
  <c r="M34" i="172"/>
  <c r="B1" i="177"/>
  <c r="C8" i="177"/>
  <c r="E8" i="177"/>
  <c r="G8" i="177"/>
  <c r="H8" i="177"/>
  <c r="L8" i="177"/>
  <c r="C9" i="177"/>
  <c r="E9" i="177"/>
  <c r="G9" i="177"/>
  <c r="H9" i="177"/>
  <c r="C10" i="177"/>
  <c r="E10" i="177"/>
  <c r="G10" i="177"/>
  <c r="H10" i="177"/>
  <c r="J10" i="177"/>
  <c r="K10" i="177"/>
  <c r="L10" i="177"/>
  <c r="C11" i="177"/>
  <c r="E11" i="177"/>
  <c r="G11" i="177"/>
  <c r="C12" i="177"/>
  <c r="E12" i="177"/>
  <c r="G12" i="177"/>
  <c r="L12" i="177"/>
  <c r="C13" i="177"/>
  <c r="E13" i="177"/>
  <c r="G13" i="177"/>
  <c r="H13" i="177"/>
  <c r="C14" i="177"/>
  <c r="E14" i="177"/>
  <c r="G14" i="177"/>
  <c r="C15" i="177"/>
  <c r="E15" i="177"/>
  <c r="G15" i="177"/>
  <c r="H15" i="177"/>
  <c r="K15" i="177"/>
  <c r="L15" i="177"/>
  <c r="C16" i="177"/>
  <c r="E16" i="177"/>
  <c r="G16" i="177"/>
  <c r="K16" i="177"/>
  <c r="L16" i="177"/>
  <c r="C17" i="177"/>
  <c r="E17" i="177"/>
  <c r="G17" i="177"/>
  <c r="L17" i="177"/>
  <c r="C18" i="177"/>
  <c r="E18" i="177"/>
  <c r="G18" i="177"/>
  <c r="L18" i="177"/>
  <c r="C19" i="177"/>
  <c r="E19" i="177"/>
  <c r="G19" i="177"/>
  <c r="L19" i="177"/>
  <c r="C20" i="177"/>
  <c r="E20" i="177"/>
  <c r="G20" i="177"/>
  <c r="L20" i="177"/>
  <c r="C21" i="177"/>
  <c r="E21" i="177"/>
  <c r="G21" i="177"/>
  <c r="H21" i="177"/>
  <c r="L21" i="177"/>
  <c r="C22" i="177"/>
  <c r="E22" i="177"/>
  <c r="G22" i="177"/>
  <c r="H22" i="177"/>
  <c r="L22" i="177"/>
  <c r="L23" i="177"/>
  <c r="E24" i="177"/>
  <c r="H24" i="177"/>
  <c r="L24" i="177"/>
  <c r="L25" i="177"/>
  <c r="E26" i="177"/>
  <c r="H26" i="177"/>
  <c r="L26" i="177"/>
  <c r="K27" i="177"/>
  <c r="L27" i="177"/>
  <c r="E28" i="177"/>
  <c r="H28" i="177"/>
  <c r="L29" i="177"/>
  <c r="H33" i="177"/>
  <c r="I33" i="177"/>
  <c r="J33" i="177"/>
  <c r="K33" i="177"/>
  <c r="L33" i="177"/>
  <c r="B1" i="126"/>
  <c r="C8" i="126"/>
  <c r="E8" i="126"/>
  <c r="F8" i="126"/>
  <c r="H8" i="126"/>
  <c r="M8" i="126"/>
  <c r="O8" i="126"/>
  <c r="C9" i="126"/>
  <c r="E9" i="126"/>
  <c r="H9" i="126"/>
  <c r="O9" i="126"/>
  <c r="C10" i="126"/>
  <c r="E10" i="126"/>
  <c r="F10" i="126"/>
  <c r="H10" i="126"/>
  <c r="O10" i="126"/>
  <c r="C11" i="126"/>
  <c r="E11" i="126"/>
  <c r="F11" i="126"/>
  <c r="H11" i="126"/>
  <c r="K11" i="126"/>
  <c r="L11" i="126"/>
  <c r="M11" i="126"/>
  <c r="O11" i="126"/>
  <c r="C12" i="126"/>
  <c r="E12" i="126"/>
  <c r="F12" i="126"/>
  <c r="H12" i="126"/>
  <c r="O12" i="126"/>
  <c r="C13" i="126"/>
  <c r="E13" i="126"/>
  <c r="F13" i="126"/>
  <c r="H13" i="126"/>
  <c r="M13" i="126"/>
  <c r="O13" i="126"/>
  <c r="C14" i="126"/>
  <c r="E14" i="126"/>
  <c r="H14" i="126"/>
  <c r="O14" i="126"/>
  <c r="C15" i="126"/>
  <c r="E15" i="126"/>
  <c r="F15" i="126"/>
  <c r="H15" i="126"/>
  <c r="O15" i="126"/>
  <c r="C16" i="126"/>
  <c r="E16" i="126"/>
  <c r="F16" i="126"/>
  <c r="H16" i="126"/>
  <c r="M16" i="126"/>
  <c r="O16" i="126"/>
  <c r="C17" i="126"/>
  <c r="E17" i="126"/>
  <c r="F17" i="126"/>
  <c r="H17" i="126"/>
  <c r="M17" i="126"/>
  <c r="O17" i="126"/>
  <c r="C18" i="126"/>
  <c r="E18" i="126"/>
  <c r="F18" i="126"/>
  <c r="H18" i="126"/>
  <c r="M18" i="126"/>
  <c r="O18" i="126"/>
  <c r="C19" i="126"/>
  <c r="E19" i="126"/>
  <c r="F19" i="126"/>
  <c r="H19" i="126"/>
  <c r="M19" i="126"/>
  <c r="O19" i="126"/>
  <c r="C20" i="126"/>
  <c r="E20" i="126"/>
  <c r="H20" i="126"/>
  <c r="M20" i="126"/>
  <c r="O20" i="126"/>
  <c r="C21" i="126"/>
  <c r="E21" i="126"/>
  <c r="F21" i="126"/>
  <c r="H21" i="126"/>
  <c r="M21" i="126"/>
  <c r="O21" i="126"/>
  <c r="C22" i="126"/>
  <c r="E22" i="126"/>
  <c r="F22" i="126"/>
  <c r="H22" i="126"/>
  <c r="M22" i="126"/>
  <c r="O22" i="126"/>
  <c r="C23" i="126"/>
  <c r="E23" i="126"/>
  <c r="F23" i="126"/>
  <c r="H23" i="126"/>
  <c r="M23" i="126"/>
  <c r="O23" i="126"/>
  <c r="M24" i="126"/>
  <c r="E25" i="126"/>
  <c r="F25" i="126"/>
  <c r="M25" i="126"/>
  <c r="O25" i="126"/>
  <c r="M26" i="126"/>
  <c r="E27" i="126"/>
  <c r="F27" i="126"/>
  <c r="M27" i="126"/>
  <c r="O27" i="126"/>
  <c r="L28" i="126"/>
  <c r="M28" i="126"/>
  <c r="E29" i="126"/>
  <c r="F29" i="126"/>
  <c r="I34" i="126"/>
  <c r="J34" i="126"/>
  <c r="K34" i="126"/>
  <c r="L34" i="126"/>
  <c r="M34" i="126"/>
  <c r="B1" i="171"/>
  <c r="C8" i="171"/>
  <c r="E8" i="171"/>
  <c r="F8" i="171"/>
  <c r="H8" i="171"/>
  <c r="M8" i="171"/>
  <c r="O8" i="171"/>
  <c r="C9" i="171"/>
  <c r="E9" i="171"/>
  <c r="H9" i="171"/>
  <c r="O9" i="171"/>
  <c r="C10" i="171"/>
  <c r="E10" i="171"/>
  <c r="F10" i="171"/>
  <c r="H10" i="171"/>
  <c r="O10" i="171"/>
  <c r="C11" i="171"/>
  <c r="E11" i="171"/>
  <c r="F11" i="171"/>
  <c r="H11" i="171"/>
  <c r="K11" i="171"/>
  <c r="L11" i="171"/>
  <c r="M11" i="171"/>
  <c r="O11" i="171"/>
  <c r="C12" i="171"/>
  <c r="E12" i="171"/>
  <c r="F12" i="171"/>
  <c r="H12" i="171"/>
  <c r="O12" i="171"/>
  <c r="C13" i="171"/>
  <c r="E13" i="171"/>
  <c r="F13" i="171"/>
  <c r="H13" i="171"/>
  <c r="M13" i="171"/>
  <c r="O13" i="171"/>
  <c r="C14" i="171"/>
  <c r="E14" i="171"/>
  <c r="F14" i="171"/>
  <c r="H14" i="171"/>
  <c r="O14" i="171"/>
  <c r="C15" i="171"/>
  <c r="E15" i="171"/>
  <c r="F15" i="171"/>
  <c r="H15" i="171"/>
  <c r="O15" i="171"/>
  <c r="C16" i="171"/>
  <c r="E16" i="171"/>
  <c r="F16" i="171"/>
  <c r="H16" i="171"/>
  <c r="M16" i="171"/>
  <c r="O16" i="171"/>
  <c r="C17" i="171"/>
  <c r="E17" i="171"/>
  <c r="F17" i="171"/>
  <c r="H17" i="171"/>
  <c r="M17" i="171"/>
  <c r="O17" i="171"/>
  <c r="C18" i="171"/>
  <c r="E18" i="171"/>
  <c r="F18" i="171"/>
  <c r="H18" i="171"/>
  <c r="M18" i="171"/>
  <c r="O18" i="171"/>
  <c r="C19" i="171"/>
  <c r="E19" i="171"/>
  <c r="F19" i="171"/>
  <c r="H19" i="171"/>
  <c r="M19" i="171"/>
  <c r="O19" i="171"/>
  <c r="C20" i="171"/>
  <c r="E20" i="171"/>
  <c r="F20" i="171"/>
  <c r="H20" i="171"/>
  <c r="M20" i="171"/>
  <c r="O20" i="171"/>
  <c r="C21" i="171"/>
  <c r="E21" i="171"/>
  <c r="F21" i="171"/>
  <c r="H21" i="171"/>
  <c r="M21" i="171"/>
  <c r="O21" i="171"/>
  <c r="C22" i="171"/>
  <c r="E22" i="171"/>
  <c r="F22" i="171"/>
  <c r="H22" i="171"/>
  <c r="M22" i="171"/>
  <c r="O22" i="171"/>
  <c r="C23" i="171"/>
  <c r="E23" i="171"/>
  <c r="F23" i="171"/>
  <c r="H23" i="171"/>
  <c r="M23" i="171"/>
  <c r="O23" i="171"/>
  <c r="M24" i="171"/>
  <c r="E25" i="171"/>
  <c r="F25" i="171"/>
  <c r="M25" i="171"/>
  <c r="O25" i="171"/>
  <c r="M26" i="171"/>
  <c r="E27" i="171"/>
  <c r="F27" i="171"/>
  <c r="M27" i="171"/>
  <c r="O27" i="171"/>
  <c r="L28" i="171"/>
  <c r="M28" i="171"/>
  <c r="E29" i="171"/>
  <c r="F29" i="171"/>
  <c r="I34" i="171"/>
  <c r="J34" i="171"/>
  <c r="K34" i="171"/>
  <c r="L34" i="171"/>
  <c r="M34" i="171"/>
  <c r="B1" i="111"/>
  <c r="C8" i="111"/>
  <c r="E8" i="111"/>
  <c r="G8" i="111"/>
  <c r="H8" i="111"/>
  <c r="L8" i="111"/>
  <c r="C9" i="111"/>
  <c r="G9" i="111"/>
  <c r="C10" i="111"/>
  <c r="E10" i="111"/>
  <c r="G10" i="111"/>
  <c r="H10" i="111"/>
  <c r="C11" i="111"/>
  <c r="E11" i="111"/>
  <c r="G11" i="111"/>
  <c r="H11" i="111"/>
  <c r="J11" i="111"/>
  <c r="K11" i="111"/>
  <c r="L11" i="111"/>
  <c r="C12" i="111"/>
  <c r="E12" i="111"/>
  <c r="G12" i="111"/>
  <c r="H12" i="111"/>
  <c r="C13" i="111"/>
  <c r="E13" i="111"/>
  <c r="G13" i="111"/>
  <c r="H13" i="111"/>
  <c r="L13" i="111"/>
  <c r="C14" i="111"/>
  <c r="E14" i="111"/>
  <c r="G14" i="111"/>
  <c r="H14" i="111"/>
  <c r="C15" i="111"/>
  <c r="E15" i="111"/>
  <c r="G15" i="111"/>
  <c r="H15" i="111"/>
  <c r="C16" i="111"/>
  <c r="E16" i="111"/>
  <c r="G16" i="111"/>
  <c r="H16" i="111"/>
  <c r="K16" i="111"/>
  <c r="L16" i="111"/>
  <c r="C17" i="111"/>
  <c r="E17" i="111"/>
  <c r="G17" i="111"/>
  <c r="H17" i="111"/>
  <c r="L17" i="111"/>
  <c r="C18" i="111"/>
  <c r="E18" i="111"/>
  <c r="G18" i="111"/>
  <c r="H18" i="111"/>
  <c r="L18" i="111"/>
  <c r="C19" i="111"/>
  <c r="E19" i="111"/>
  <c r="G19" i="111"/>
  <c r="H19" i="111"/>
  <c r="L19" i="111"/>
  <c r="C20" i="111"/>
  <c r="E20" i="111"/>
  <c r="G20" i="111"/>
  <c r="H20" i="111"/>
  <c r="L20" i="111"/>
  <c r="C21" i="111"/>
  <c r="E21" i="111"/>
  <c r="G21" i="111"/>
  <c r="H21" i="111"/>
  <c r="L21" i="111"/>
  <c r="C22" i="111"/>
  <c r="E22" i="111"/>
  <c r="G22" i="111"/>
  <c r="L22" i="111"/>
  <c r="C23" i="111"/>
  <c r="E23" i="111"/>
  <c r="G23" i="111"/>
  <c r="H23" i="111"/>
  <c r="L23" i="111"/>
  <c r="L24" i="111"/>
  <c r="E25" i="111"/>
  <c r="H25" i="111"/>
  <c r="L25" i="111"/>
  <c r="L26" i="111"/>
  <c r="E27" i="111"/>
  <c r="H27" i="111"/>
  <c r="L27" i="111"/>
  <c r="K28" i="111"/>
  <c r="L28" i="111"/>
  <c r="E29" i="111"/>
  <c r="H29" i="111"/>
  <c r="L30" i="111"/>
  <c r="H34" i="111"/>
  <c r="I34" i="111"/>
  <c r="J34" i="111"/>
  <c r="K34" i="111"/>
  <c r="L34" i="111"/>
  <c r="B1" i="21"/>
  <c r="B2" i="21"/>
  <c r="C8" i="21"/>
  <c r="E8" i="21"/>
  <c r="F8" i="21"/>
  <c r="O8" i="21"/>
  <c r="E9" i="21"/>
  <c r="L9" i="21"/>
  <c r="M9" i="21"/>
  <c r="O9" i="21"/>
  <c r="E10" i="21"/>
  <c r="O10" i="21"/>
  <c r="C11" i="21"/>
  <c r="E11" i="21"/>
  <c r="F11" i="21"/>
  <c r="O11" i="21"/>
  <c r="C12" i="21"/>
  <c r="E12" i="21"/>
  <c r="F12" i="21"/>
  <c r="K12" i="21"/>
  <c r="L12" i="21"/>
  <c r="M12" i="21"/>
  <c r="O12" i="21"/>
  <c r="C13" i="21"/>
  <c r="E13" i="21"/>
  <c r="F13" i="21"/>
  <c r="O13" i="21"/>
  <c r="E14" i="21"/>
  <c r="F14" i="21"/>
  <c r="M14" i="21"/>
  <c r="O14" i="21"/>
  <c r="C15" i="21"/>
  <c r="E15" i="21"/>
  <c r="F15" i="21"/>
  <c r="O15" i="21"/>
  <c r="C16" i="21"/>
  <c r="E16" i="21"/>
  <c r="F16" i="21"/>
  <c r="O16" i="21"/>
  <c r="C17" i="21"/>
  <c r="E17" i="21"/>
  <c r="F17" i="21"/>
  <c r="O17" i="21"/>
  <c r="C18" i="21"/>
  <c r="E18" i="21"/>
  <c r="F18" i="21"/>
  <c r="M18" i="21"/>
  <c r="O18" i="21"/>
  <c r="C19" i="21"/>
  <c r="E19" i="21"/>
  <c r="F19" i="21"/>
  <c r="M19" i="21"/>
  <c r="O19" i="21"/>
  <c r="C20" i="21"/>
  <c r="E20" i="21"/>
  <c r="F20" i="21"/>
  <c r="M20" i="21"/>
  <c r="O20" i="21"/>
  <c r="C21" i="21"/>
  <c r="E21" i="21"/>
  <c r="F21" i="21"/>
  <c r="L21" i="21"/>
  <c r="M21" i="21"/>
  <c r="O21" i="21"/>
  <c r="C22" i="21"/>
  <c r="E22" i="21"/>
  <c r="F22" i="21"/>
  <c r="O22" i="21"/>
  <c r="C23" i="21"/>
  <c r="E23" i="21"/>
  <c r="F23" i="21"/>
  <c r="O23" i="21"/>
  <c r="O25" i="21"/>
  <c r="O27" i="21"/>
  <c r="I28" i="21"/>
  <c r="J28" i="21"/>
  <c r="K28" i="21"/>
  <c r="L28" i="21"/>
  <c r="M28" i="21"/>
  <c r="E29" i="21"/>
  <c r="F29" i="21"/>
  <c r="C31" i="21"/>
  <c r="E31" i="21"/>
  <c r="C32" i="21"/>
  <c r="E32" i="21"/>
  <c r="C33" i="21"/>
  <c r="E33" i="21"/>
  <c r="C34" i="21"/>
  <c r="E34" i="21"/>
  <c r="C35" i="21"/>
  <c r="E35" i="21"/>
  <c r="C36" i="21"/>
  <c r="E36" i="21"/>
  <c r="C37" i="21"/>
  <c r="E37" i="21"/>
  <c r="C38" i="21"/>
  <c r="E38" i="21"/>
  <c r="C44" i="21"/>
  <c r="B1" i="176"/>
  <c r="C8" i="176"/>
  <c r="E8" i="176"/>
  <c r="F8" i="176"/>
  <c r="O8" i="176"/>
  <c r="E9" i="176"/>
  <c r="O9" i="176"/>
  <c r="C10" i="176"/>
  <c r="E10" i="176"/>
  <c r="F10" i="176"/>
  <c r="O10" i="176"/>
  <c r="C11" i="176"/>
  <c r="E11" i="176"/>
  <c r="F11" i="176"/>
  <c r="K11" i="176"/>
  <c r="L11" i="176"/>
  <c r="M11" i="176"/>
  <c r="O11" i="176"/>
  <c r="C12" i="176"/>
  <c r="E12" i="176"/>
  <c r="F12" i="176"/>
  <c r="O12" i="176"/>
  <c r="E13" i="176"/>
  <c r="F13" i="176"/>
  <c r="M13" i="176"/>
  <c r="O13" i="176"/>
  <c r="C14" i="176"/>
  <c r="E14" i="176"/>
  <c r="F14" i="176"/>
  <c r="O14" i="176"/>
  <c r="C15" i="176"/>
  <c r="E15" i="176"/>
  <c r="F15" i="176"/>
  <c r="O15" i="176"/>
  <c r="C16" i="176"/>
  <c r="E16" i="176"/>
  <c r="O16" i="176"/>
  <c r="C17" i="176"/>
  <c r="E17" i="176"/>
  <c r="F17" i="176"/>
  <c r="M17" i="176"/>
  <c r="O17" i="176"/>
  <c r="C18" i="176"/>
  <c r="E18" i="176"/>
  <c r="F18" i="176"/>
  <c r="M18" i="176"/>
  <c r="O18" i="176"/>
  <c r="C19" i="176"/>
  <c r="E19" i="176"/>
  <c r="F19" i="176"/>
  <c r="M19" i="176"/>
  <c r="O19" i="176"/>
  <c r="C20" i="176"/>
  <c r="E20" i="176"/>
  <c r="F20" i="176"/>
  <c r="L20" i="176"/>
  <c r="M20" i="176"/>
  <c r="O20" i="176"/>
  <c r="C21" i="176"/>
  <c r="E21" i="176"/>
  <c r="F21" i="176"/>
  <c r="O21" i="176"/>
  <c r="C22" i="176"/>
  <c r="E22" i="176"/>
  <c r="F22" i="176"/>
  <c r="O22" i="176"/>
  <c r="F24" i="176"/>
  <c r="O24" i="176"/>
  <c r="O26" i="176"/>
  <c r="I27" i="176"/>
  <c r="J27" i="176"/>
  <c r="K27" i="176"/>
  <c r="L27" i="176"/>
  <c r="M27" i="176"/>
  <c r="E28" i="176"/>
  <c r="F28" i="176"/>
  <c r="C30" i="176"/>
  <c r="E30" i="176"/>
  <c r="C31" i="176"/>
  <c r="E31" i="176"/>
  <c r="C32" i="176"/>
  <c r="E32" i="176"/>
  <c r="C33" i="176"/>
  <c r="E33" i="176"/>
  <c r="C34" i="176"/>
  <c r="E34" i="176"/>
  <c r="C35" i="176"/>
  <c r="E35" i="176"/>
  <c r="C36" i="176"/>
  <c r="E36" i="176"/>
  <c r="C37" i="176"/>
  <c r="E37" i="176"/>
  <c r="C43" i="176"/>
  <c r="B1" i="103"/>
  <c r="B2" i="103"/>
  <c r="C8" i="103"/>
  <c r="E8" i="103"/>
  <c r="F8" i="103"/>
  <c r="O8" i="103"/>
  <c r="E9" i="103"/>
  <c r="L9" i="103"/>
  <c r="M9" i="103"/>
  <c r="O9" i="103"/>
  <c r="E10" i="103"/>
  <c r="O10" i="103"/>
  <c r="C11" i="103"/>
  <c r="E11" i="103"/>
  <c r="F11" i="103"/>
  <c r="O11" i="103"/>
  <c r="C12" i="103"/>
  <c r="E12" i="103"/>
  <c r="K12" i="103"/>
  <c r="L12" i="103"/>
  <c r="M12" i="103"/>
  <c r="O12" i="103"/>
  <c r="C13" i="103"/>
  <c r="E13" i="103"/>
  <c r="O13" i="103"/>
  <c r="E14" i="103"/>
  <c r="F14" i="103"/>
  <c r="M14" i="103"/>
  <c r="O14" i="103"/>
  <c r="C15" i="103"/>
  <c r="E15" i="103"/>
  <c r="F15" i="103"/>
  <c r="O15" i="103"/>
  <c r="C16" i="103"/>
  <c r="E16" i="103"/>
  <c r="F16" i="103"/>
  <c r="O16" i="103"/>
  <c r="C17" i="103"/>
  <c r="E17" i="103"/>
  <c r="O17" i="103"/>
  <c r="C18" i="103"/>
  <c r="E18" i="103"/>
  <c r="F18" i="103"/>
  <c r="M18" i="103"/>
  <c r="O18" i="103"/>
  <c r="C19" i="103"/>
  <c r="E19" i="103"/>
  <c r="M19" i="103"/>
  <c r="O19" i="103"/>
  <c r="C20" i="103"/>
  <c r="E20" i="103"/>
  <c r="F20" i="103"/>
  <c r="M20" i="103"/>
  <c r="O20" i="103"/>
  <c r="C21" i="103"/>
  <c r="E21" i="103"/>
  <c r="F21" i="103"/>
  <c r="L21" i="103"/>
  <c r="M21" i="103"/>
  <c r="O21" i="103"/>
  <c r="C22" i="103"/>
  <c r="E22" i="103"/>
  <c r="F22" i="103"/>
  <c r="O22" i="103"/>
  <c r="C23" i="103"/>
  <c r="E23" i="103"/>
  <c r="F23" i="103"/>
  <c r="O23" i="103"/>
  <c r="F25" i="103"/>
  <c r="O25" i="103"/>
  <c r="O27" i="103"/>
  <c r="I28" i="103"/>
  <c r="J28" i="103"/>
  <c r="K28" i="103"/>
  <c r="L28" i="103"/>
  <c r="M28" i="103"/>
  <c r="E29" i="103"/>
  <c r="F29" i="103"/>
  <c r="C31" i="103"/>
  <c r="E31" i="103"/>
  <c r="C32" i="103"/>
  <c r="E32" i="103"/>
  <c r="C33" i="103"/>
  <c r="E33" i="103"/>
  <c r="C34" i="103"/>
  <c r="E34" i="103"/>
  <c r="C35" i="103"/>
  <c r="E35" i="103"/>
  <c r="C36" i="103"/>
  <c r="E36" i="103"/>
  <c r="C37" i="103"/>
  <c r="E37" i="103"/>
  <c r="C38" i="103"/>
  <c r="E38" i="103"/>
  <c r="C44" i="103"/>
  <c r="B1" i="129"/>
  <c r="C8" i="129"/>
  <c r="E8" i="129"/>
  <c r="F8" i="129"/>
  <c r="H8" i="129"/>
  <c r="M8" i="129"/>
  <c r="O8" i="129"/>
  <c r="C9" i="129"/>
  <c r="E9" i="129"/>
  <c r="H9" i="129"/>
  <c r="O9" i="129"/>
  <c r="C10" i="129"/>
  <c r="E10" i="129"/>
  <c r="F10" i="129"/>
  <c r="H10" i="129"/>
  <c r="O10" i="129"/>
  <c r="C11" i="129"/>
  <c r="E11" i="129"/>
  <c r="F11" i="129"/>
  <c r="H11" i="129"/>
  <c r="K11" i="129"/>
  <c r="L11" i="129"/>
  <c r="M11" i="129"/>
  <c r="O11" i="129"/>
  <c r="C12" i="129"/>
  <c r="E12" i="129"/>
  <c r="F12" i="129"/>
  <c r="H12" i="129"/>
  <c r="O12" i="129"/>
  <c r="C13" i="129"/>
  <c r="E13" i="129"/>
  <c r="F13" i="129"/>
  <c r="H13" i="129"/>
  <c r="M13" i="129"/>
  <c r="O13" i="129"/>
  <c r="C14" i="129"/>
  <c r="E14" i="129"/>
  <c r="H14" i="129"/>
  <c r="O14" i="129"/>
  <c r="C15" i="129"/>
  <c r="E15" i="129"/>
  <c r="F15" i="129"/>
  <c r="H15" i="129"/>
  <c r="O15" i="129"/>
  <c r="C16" i="129"/>
  <c r="E16" i="129"/>
  <c r="F16" i="129"/>
  <c r="H16" i="129"/>
  <c r="M16" i="129"/>
  <c r="O16" i="129"/>
  <c r="C17" i="129"/>
  <c r="E17" i="129"/>
  <c r="F17" i="129"/>
  <c r="H17" i="129"/>
  <c r="M17" i="129"/>
  <c r="O17" i="129"/>
  <c r="C18" i="129"/>
  <c r="E18" i="129"/>
  <c r="F18" i="129"/>
  <c r="H18" i="129"/>
  <c r="M18" i="129"/>
  <c r="O18" i="129"/>
  <c r="C19" i="129"/>
  <c r="E19" i="129"/>
  <c r="F19" i="129"/>
  <c r="H19" i="129"/>
  <c r="M19" i="129"/>
  <c r="O19" i="129"/>
  <c r="C20" i="129"/>
  <c r="E20" i="129"/>
  <c r="H20" i="129"/>
  <c r="M20" i="129"/>
  <c r="O20" i="129"/>
  <c r="C21" i="129"/>
  <c r="E21" i="129"/>
  <c r="F21" i="129"/>
  <c r="H21" i="129"/>
  <c r="M21" i="129"/>
  <c r="O21" i="129"/>
  <c r="C22" i="129"/>
  <c r="E22" i="129"/>
  <c r="F22" i="129"/>
  <c r="H22" i="129"/>
  <c r="M22" i="129"/>
  <c r="O22" i="129"/>
  <c r="C23" i="129"/>
  <c r="E23" i="129"/>
  <c r="F23" i="129"/>
  <c r="H23" i="129"/>
  <c r="M23" i="129"/>
  <c r="O23" i="129"/>
  <c r="M24" i="129"/>
  <c r="E25" i="129"/>
  <c r="F25" i="129"/>
  <c r="M25" i="129"/>
  <c r="O25" i="129"/>
  <c r="M26" i="129"/>
  <c r="E27" i="129"/>
  <c r="F27" i="129"/>
  <c r="M27" i="129"/>
  <c r="O27" i="129"/>
  <c r="L28" i="129"/>
  <c r="M28" i="129"/>
  <c r="E29" i="129"/>
  <c r="F29" i="129"/>
  <c r="I34" i="129"/>
  <c r="J34" i="129"/>
  <c r="K34" i="129"/>
  <c r="L34" i="129"/>
  <c r="M34" i="129"/>
  <c r="B1" i="190"/>
  <c r="C8" i="190"/>
  <c r="E8" i="190"/>
  <c r="H8" i="190"/>
  <c r="Q8" i="190"/>
  <c r="E9" i="190"/>
  <c r="H9" i="190"/>
  <c r="Q9" i="190"/>
  <c r="C10" i="190"/>
  <c r="E10" i="190"/>
  <c r="H10" i="190"/>
  <c r="Q10" i="190"/>
  <c r="C11" i="190"/>
  <c r="E11" i="190"/>
  <c r="H11" i="190"/>
  <c r="J11" i="190"/>
  <c r="K11" i="190"/>
  <c r="L11" i="190"/>
  <c r="Q11" i="190"/>
  <c r="C12" i="190"/>
  <c r="E12" i="190"/>
  <c r="Q12" i="190"/>
  <c r="E13" i="190"/>
  <c r="L13" i="190"/>
  <c r="P13" i="190"/>
  <c r="Q13" i="190"/>
  <c r="C14" i="190"/>
  <c r="E14" i="190"/>
  <c r="H14" i="190"/>
  <c r="Q14" i="190"/>
  <c r="C15" i="190"/>
  <c r="E15" i="190"/>
  <c r="Q15" i="190"/>
  <c r="C16" i="190"/>
  <c r="E16" i="190"/>
  <c r="K16" i="190"/>
  <c r="L16" i="190"/>
  <c r="Q16" i="190"/>
  <c r="C17" i="190"/>
  <c r="E17" i="190"/>
  <c r="H17" i="190"/>
  <c r="K17" i="190"/>
  <c r="L17" i="190"/>
  <c r="Q17" i="190"/>
  <c r="C18" i="190"/>
  <c r="H18" i="190"/>
  <c r="K18" i="190"/>
  <c r="L18" i="190"/>
  <c r="Q18" i="190"/>
  <c r="C19" i="190"/>
  <c r="E19" i="190"/>
  <c r="K19" i="190"/>
  <c r="L19" i="190"/>
  <c r="Q19" i="190"/>
  <c r="C20" i="190"/>
  <c r="E20" i="190"/>
  <c r="K20" i="190"/>
  <c r="L20" i="190"/>
  <c r="Q20" i="190"/>
  <c r="C21" i="190"/>
  <c r="E21" i="190"/>
  <c r="K21" i="190"/>
  <c r="L21" i="190"/>
  <c r="Q21" i="190"/>
  <c r="C22" i="190"/>
  <c r="E22" i="190"/>
  <c r="H22" i="190"/>
  <c r="K22" i="190"/>
  <c r="L22" i="190"/>
  <c r="Q22" i="190"/>
  <c r="K23" i="190"/>
  <c r="L23" i="190"/>
  <c r="K24" i="190"/>
  <c r="L24" i="190"/>
  <c r="Q24" i="190"/>
  <c r="K25" i="190"/>
  <c r="L25" i="190"/>
  <c r="K26" i="190"/>
  <c r="L26" i="190"/>
  <c r="Q26" i="190"/>
  <c r="L27" i="190"/>
  <c r="E28" i="190"/>
  <c r="H28" i="190"/>
  <c r="K28" i="190"/>
  <c r="L28" i="190"/>
  <c r="C30" i="190"/>
  <c r="E30" i="190"/>
  <c r="C31" i="190"/>
  <c r="E31" i="190"/>
  <c r="C32" i="190"/>
  <c r="E32" i="190"/>
  <c r="L32" i="190"/>
  <c r="C33" i="190"/>
  <c r="E33" i="190"/>
  <c r="C34" i="190"/>
  <c r="E34" i="190"/>
  <c r="C35" i="190"/>
  <c r="E35" i="190"/>
  <c r="C36" i="190"/>
  <c r="E36" i="190"/>
  <c r="C37" i="190"/>
  <c r="E37" i="190"/>
  <c r="C43" i="190"/>
  <c r="B1" i="188"/>
  <c r="C8" i="188"/>
  <c r="E8" i="188"/>
  <c r="Q8" i="188"/>
  <c r="E9" i="188"/>
  <c r="Q9" i="188"/>
  <c r="C10" i="188"/>
  <c r="E10" i="188"/>
  <c r="Q10" i="188"/>
  <c r="C11" i="188"/>
  <c r="E11" i="188"/>
  <c r="H11" i="188"/>
  <c r="J11" i="188"/>
  <c r="K11" i="188"/>
  <c r="L11" i="188"/>
  <c r="Q11" i="188"/>
  <c r="C12" i="188"/>
  <c r="E12" i="188"/>
  <c r="Q12" i="188"/>
  <c r="E13" i="188"/>
  <c r="L13" i="188"/>
  <c r="P13" i="188"/>
  <c r="Q13" i="188"/>
  <c r="C14" i="188"/>
  <c r="E14" i="188"/>
  <c r="Q14" i="188"/>
  <c r="C15" i="188"/>
  <c r="E15" i="188"/>
  <c r="H15" i="188"/>
  <c r="Q15" i="188"/>
  <c r="C16" i="188"/>
  <c r="E16" i="188"/>
  <c r="H16" i="188"/>
  <c r="K16" i="188"/>
  <c r="L16" i="188"/>
  <c r="Q16" i="188"/>
  <c r="C17" i="188"/>
  <c r="E17" i="188"/>
  <c r="K17" i="188"/>
  <c r="L17" i="188"/>
  <c r="Q17" i="188"/>
  <c r="C18" i="188"/>
  <c r="K18" i="188"/>
  <c r="L18" i="188"/>
  <c r="Q18" i="188"/>
  <c r="C19" i="188"/>
  <c r="E19" i="188"/>
  <c r="H19" i="188"/>
  <c r="K19" i="188"/>
  <c r="L19" i="188"/>
  <c r="Q19" i="188"/>
  <c r="C20" i="188"/>
  <c r="E20" i="188"/>
  <c r="H20" i="188"/>
  <c r="K20" i="188"/>
  <c r="L20" i="188"/>
  <c r="Q20" i="188"/>
  <c r="C21" i="188"/>
  <c r="E21" i="188"/>
  <c r="H21" i="188"/>
  <c r="K21" i="188"/>
  <c r="L21" i="188"/>
  <c r="Q21" i="188"/>
  <c r="C22" i="188"/>
  <c r="E22" i="188"/>
  <c r="H22" i="188"/>
  <c r="K22" i="188"/>
  <c r="L22" i="188"/>
  <c r="Q22" i="188"/>
  <c r="K23" i="188"/>
  <c r="L23" i="188"/>
  <c r="K24" i="188"/>
  <c r="L24" i="188"/>
  <c r="Q24" i="188"/>
  <c r="K25" i="188"/>
  <c r="L25" i="188"/>
  <c r="K26" i="188"/>
  <c r="L26" i="188"/>
  <c r="Q26" i="188"/>
  <c r="L27" i="188"/>
  <c r="E28" i="188"/>
  <c r="H28" i="188"/>
  <c r="K28" i="188"/>
  <c r="L28" i="188"/>
  <c r="C30" i="188"/>
  <c r="E30" i="188"/>
  <c r="C31" i="188"/>
  <c r="E31" i="188"/>
  <c r="C32" i="188"/>
  <c r="E32" i="188"/>
  <c r="L32" i="188"/>
  <c r="C33" i="188"/>
  <c r="E33" i="188"/>
  <c r="C34" i="188"/>
  <c r="E34" i="188"/>
  <c r="C35" i="188"/>
  <c r="E35" i="188"/>
  <c r="C36" i="188"/>
  <c r="E36" i="188"/>
  <c r="C37" i="188"/>
  <c r="E37" i="188"/>
  <c r="C43" i="188"/>
  <c r="B1" i="191"/>
  <c r="C8" i="191"/>
  <c r="E8" i="191"/>
  <c r="Q8" i="191"/>
  <c r="E9" i="191"/>
  <c r="Q9" i="191"/>
  <c r="C10" i="191"/>
  <c r="E10" i="191"/>
  <c r="Q10" i="191"/>
  <c r="C11" i="191"/>
  <c r="E11" i="191"/>
  <c r="J11" i="191"/>
  <c r="K11" i="191"/>
  <c r="L11" i="191"/>
  <c r="Q11" i="191"/>
  <c r="C12" i="191"/>
  <c r="E12" i="191"/>
  <c r="Q12" i="191"/>
  <c r="E13" i="191"/>
  <c r="L13" i="191"/>
  <c r="P13" i="191"/>
  <c r="Q13" i="191"/>
  <c r="C14" i="191"/>
  <c r="E14" i="191"/>
  <c r="Q14" i="191"/>
  <c r="C15" i="191"/>
  <c r="E15" i="191"/>
  <c r="H15" i="191"/>
  <c r="Q15" i="191"/>
  <c r="C16" i="191"/>
  <c r="E16" i="191"/>
  <c r="H16" i="191"/>
  <c r="K16" i="191"/>
  <c r="L16" i="191"/>
  <c r="Q16" i="191"/>
  <c r="C17" i="191"/>
  <c r="E17" i="191"/>
  <c r="K17" i="191"/>
  <c r="L17" i="191"/>
  <c r="Q17" i="191"/>
  <c r="C18" i="191"/>
  <c r="K18" i="191"/>
  <c r="L18" i="191"/>
  <c r="Q18" i="191"/>
  <c r="C19" i="191"/>
  <c r="E19" i="191"/>
  <c r="H19" i="191"/>
  <c r="K19" i="191"/>
  <c r="L19" i="191"/>
  <c r="Q19" i="191"/>
  <c r="C20" i="191"/>
  <c r="E20" i="191"/>
  <c r="H20" i="191"/>
  <c r="K20" i="191"/>
  <c r="L20" i="191"/>
  <c r="Q20" i="191"/>
  <c r="C21" i="191"/>
  <c r="E21" i="191"/>
  <c r="H21" i="191"/>
  <c r="K21" i="191"/>
  <c r="L21" i="191"/>
  <c r="Q21" i="191"/>
  <c r="C22" i="191"/>
  <c r="E22" i="191"/>
  <c r="H22" i="191"/>
  <c r="K22" i="191"/>
  <c r="L22" i="191"/>
  <c r="Q22" i="191"/>
  <c r="K23" i="191"/>
  <c r="L23" i="191"/>
  <c r="K24" i="191"/>
  <c r="L24" i="191"/>
  <c r="Q24" i="191"/>
  <c r="K25" i="191"/>
  <c r="L25" i="191"/>
  <c r="K26" i="191"/>
  <c r="L26" i="191"/>
  <c r="Q26" i="191"/>
  <c r="L27" i="191"/>
  <c r="E28" i="191"/>
  <c r="H28" i="191"/>
  <c r="K28" i="191"/>
  <c r="L28" i="191"/>
  <c r="C30" i="191"/>
  <c r="E30" i="191"/>
  <c r="C31" i="191"/>
  <c r="E31" i="191"/>
  <c r="C32" i="191"/>
  <c r="E32" i="191"/>
  <c r="L32" i="191"/>
  <c r="C33" i="191"/>
  <c r="E33" i="191"/>
  <c r="C34" i="191"/>
  <c r="E34" i="191"/>
  <c r="C35" i="191"/>
  <c r="E35" i="191"/>
  <c r="C36" i="191"/>
  <c r="E36" i="191"/>
  <c r="C37" i="191"/>
  <c r="E37" i="191"/>
  <c r="C43" i="191"/>
  <c r="B1" i="189"/>
  <c r="C8" i="189"/>
  <c r="E8" i="189"/>
  <c r="H8" i="189"/>
  <c r="Q8" i="189"/>
  <c r="E9" i="189"/>
  <c r="Q9" i="189"/>
  <c r="C10" i="189"/>
  <c r="E10" i="189"/>
  <c r="H10" i="189"/>
  <c r="Q10" i="189"/>
  <c r="C11" i="189"/>
  <c r="E11" i="189"/>
  <c r="H11" i="189"/>
  <c r="J11" i="189"/>
  <c r="K11" i="189"/>
  <c r="L11" i="189"/>
  <c r="Q11" i="189"/>
  <c r="C12" i="189"/>
  <c r="E12" i="189"/>
  <c r="Q12" i="189"/>
  <c r="E13" i="189"/>
  <c r="L13" i="189"/>
  <c r="P13" i="189"/>
  <c r="Q13" i="189"/>
  <c r="C14" i="189"/>
  <c r="E14" i="189"/>
  <c r="H14" i="189"/>
  <c r="Q14" i="189"/>
  <c r="C15" i="189"/>
  <c r="E15" i="189"/>
  <c r="H15" i="189"/>
  <c r="Q15" i="189"/>
  <c r="C16" i="189"/>
  <c r="E16" i="189"/>
  <c r="H16" i="189"/>
  <c r="K16" i="189"/>
  <c r="L16" i="189"/>
  <c r="Q16" i="189"/>
  <c r="C17" i="189"/>
  <c r="E17" i="189"/>
  <c r="H17" i="189"/>
  <c r="K17" i="189"/>
  <c r="L17" i="189"/>
  <c r="Q17" i="189"/>
  <c r="C18" i="189"/>
  <c r="H18" i="189"/>
  <c r="K18" i="189"/>
  <c r="L18" i="189"/>
  <c r="Q18" i="189"/>
  <c r="C19" i="189"/>
  <c r="E19" i="189"/>
  <c r="H19" i="189"/>
  <c r="K19" i="189"/>
  <c r="L19" i="189"/>
  <c r="Q19" i="189"/>
  <c r="C20" i="189"/>
  <c r="E20" i="189"/>
  <c r="H20" i="189"/>
  <c r="K20" i="189"/>
  <c r="L20" i="189"/>
  <c r="Q20" i="189"/>
  <c r="C21" i="189"/>
  <c r="E21" i="189"/>
  <c r="H21" i="189"/>
  <c r="K21" i="189"/>
  <c r="L21" i="189"/>
  <c r="Q21" i="189"/>
  <c r="C22" i="189"/>
  <c r="E22" i="189"/>
  <c r="H22" i="189"/>
  <c r="K22" i="189"/>
  <c r="L22" i="189"/>
  <c r="Q22" i="189"/>
  <c r="K23" i="189"/>
  <c r="L23" i="189"/>
  <c r="K24" i="189"/>
  <c r="L24" i="189"/>
  <c r="Q24" i="189"/>
  <c r="K25" i="189"/>
  <c r="L25" i="189"/>
  <c r="K26" i="189"/>
  <c r="L26" i="189"/>
  <c r="Q26" i="189"/>
  <c r="L27" i="189"/>
  <c r="E28" i="189"/>
  <c r="H28" i="189"/>
  <c r="K28" i="189"/>
  <c r="L28" i="189"/>
  <c r="C30" i="189"/>
  <c r="E30" i="189"/>
  <c r="C31" i="189"/>
  <c r="E31" i="189"/>
  <c r="C32" i="189"/>
  <c r="E32" i="189"/>
  <c r="L32" i="189"/>
  <c r="C33" i="189"/>
  <c r="E33" i="189"/>
  <c r="C34" i="189"/>
  <c r="E34" i="189"/>
  <c r="C35" i="189"/>
  <c r="E35" i="189"/>
  <c r="C36" i="189"/>
  <c r="E36" i="189"/>
  <c r="C37" i="189"/>
  <c r="E37" i="189"/>
  <c r="C43" i="189"/>
  <c r="B1" i="180"/>
  <c r="C8" i="180"/>
  <c r="E8" i="180"/>
  <c r="G8" i="180"/>
  <c r="L8" i="180"/>
  <c r="O8" i="180"/>
  <c r="E9" i="180"/>
  <c r="O9" i="180"/>
  <c r="C10" i="180"/>
  <c r="E10" i="180"/>
  <c r="G10" i="180"/>
  <c r="J10" i="180"/>
  <c r="K10" i="180"/>
  <c r="L10" i="180"/>
  <c r="O10" i="180"/>
  <c r="C11" i="180"/>
  <c r="E11" i="180"/>
  <c r="G11" i="180"/>
  <c r="O11" i="180"/>
  <c r="C12" i="180"/>
  <c r="E12" i="180"/>
  <c r="G12" i="180"/>
  <c r="L12" i="180"/>
  <c r="O12" i="180"/>
  <c r="P12" i="180"/>
  <c r="E13" i="180"/>
  <c r="O13" i="180"/>
  <c r="C14" i="180"/>
  <c r="E14" i="180"/>
  <c r="G14" i="180"/>
  <c r="O14" i="180"/>
  <c r="C15" i="180"/>
  <c r="E15" i="180"/>
  <c r="G15" i="180"/>
  <c r="L15" i="180"/>
  <c r="O15" i="180"/>
  <c r="C16" i="180"/>
  <c r="E16" i="180"/>
  <c r="G16" i="180"/>
  <c r="L16" i="180"/>
  <c r="O16" i="180"/>
  <c r="C17" i="180"/>
  <c r="E17" i="180"/>
  <c r="G17" i="180"/>
  <c r="L17" i="180"/>
  <c r="O17" i="180"/>
  <c r="C18" i="180"/>
  <c r="E18" i="180"/>
  <c r="G18" i="180"/>
  <c r="L18" i="180"/>
  <c r="O18" i="180"/>
  <c r="C19" i="180"/>
  <c r="E19" i="180"/>
  <c r="G19" i="180"/>
  <c r="L19" i="180"/>
  <c r="O19" i="180"/>
  <c r="C20" i="180"/>
  <c r="E20" i="180"/>
  <c r="G20" i="180"/>
  <c r="L20" i="180"/>
  <c r="O20" i="180"/>
  <c r="C21" i="180"/>
  <c r="E21" i="180"/>
  <c r="G21" i="180"/>
  <c r="L21" i="180"/>
  <c r="O21" i="180"/>
  <c r="C22" i="180"/>
  <c r="E22" i="180"/>
  <c r="G22" i="180"/>
  <c r="J22" i="180"/>
  <c r="L22" i="180"/>
  <c r="O22" i="180"/>
  <c r="J23" i="180"/>
  <c r="L23" i="180"/>
  <c r="G24" i="180"/>
  <c r="J24" i="180"/>
  <c r="L24" i="180"/>
  <c r="O24" i="180"/>
  <c r="J25" i="180"/>
  <c r="L25" i="180"/>
  <c r="J26" i="180"/>
  <c r="L26" i="180"/>
  <c r="O26" i="180"/>
  <c r="K27" i="180"/>
  <c r="L27" i="180"/>
  <c r="E28" i="180"/>
  <c r="G28" i="180"/>
  <c r="C30" i="180"/>
  <c r="E30" i="180"/>
  <c r="C31" i="180"/>
  <c r="E31" i="180"/>
  <c r="L31" i="180"/>
  <c r="C32" i="180"/>
  <c r="E32" i="180"/>
  <c r="C33" i="180"/>
  <c r="E33" i="180"/>
  <c r="C34" i="180"/>
  <c r="E34" i="180"/>
  <c r="C35" i="180"/>
  <c r="E35" i="180"/>
  <c r="C36" i="180"/>
  <c r="E36" i="180"/>
  <c r="C37" i="180"/>
  <c r="E37" i="180"/>
  <c r="C43" i="180"/>
  <c r="B1" i="31"/>
  <c r="B2" i="31"/>
  <c r="C8" i="31"/>
  <c r="E8" i="31"/>
  <c r="F8" i="31"/>
  <c r="O8" i="31"/>
  <c r="E9" i="31"/>
  <c r="F9" i="31"/>
  <c r="K9" i="31"/>
  <c r="L9" i="31"/>
  <c r="O9" i="31"/>
  <c r="E10" i="31"/>
  <c r="F10" i="31"/>
  <c r="O10" i="31"/>
  <c r="C11" i="31"/>
  <c r="E11" i="31"/>
  <c r="F11" i="31"/>
  <c r="O11" i="31"/>
  <c r="C12" i="31"/>
  <c r="E12" i="31"/>
  <c r="F12" i="31"/>
  <c r="J12" i="31"/>
  <c r="K12" i="31"/>
  <c r="L12" i="31"/>
  <c r="O12" i="31"/>
  <c r="C13" i="31"/>
  <c r="E13" i="31"/>
  <c r="F13" i="31"/>
  <c r="O13" i="31"/>
  <c r="C14" i="31"/>
  <c r="E14" i="31"/>
  <c r="F14" i="31"/>
  <c r="L14" i="31"/>
  <c r="O14" i="31"/>
  <c r="P14" i="31"/>
  <c r="C15" i="31"/>
  <c r="E15" i="31"/>
  <c r="F15" i="31"/>
  <c r="O15" i="31"/>
  <c r="C16" i="31"/>
  <c r="E16" i="31"/>
  <c r="F16" i="31"/>
  <c r="O16" i="31"/>
  <c r="C17" i="31"/>
  <c r="E17" i="31"/>
  <c r="F17" i="31"/>
  <c r="J17" i="31"/>
  <c r="K17" i="31"/>
  <c r="L17" i="31"/>
  <c r="O17" i="31"/>
  <c r="C18" i="31"/>
  <c r="E18" i="31"/>
  <c r="F18" i="31"/>
  <c r="L18" i="31"/>
  <c r="O18" i="31"/>
  <c r="C19" i="31"/>
  <c r="E19" i="31"/>
  <c r="F19" i="31"/>
  <c r="L19" i="31"/>
  <c r="O19" i="31"/>
  <c r="C20" i="31"/>
  <c r="E20" i="31"/>
  <c r="F20" i="31"/>
  <c r="L20" i="31"/>
  <c r="O20" i="31"/>
  <c r="C21" i="31"/>
  <c r="E21" i="31"/>
  <c r="F21" i="31"/>
  <c r="L21" i="31"/>
  <c r="O21" i="31"/>
  <c r="C22" i="31"/>
  <c r="E22" i="31"/>
  <c r="F22" i="31"/>
  <c r="L22" i="31"/>
  <c r="O22" i="31"/>
  <c r="C23" i="31"/>
  <c r="E23" i="31"/>
  <c r="F23" i="31"/>
  <c r="L23" i="31"/>
  <c r="O23" i="31"/>
  <c r="L24" i="31"/>
  <c r="F25" i="31"/>
  <c r="L25" i="31"/>
  <c r="O25" i="31"/>
  <c r="L26" i="31"/>
  <c r="L27" i="31"/>
  <c r="O27" i="31"/>
  <c r="K28" i="31"/>
  <c r="L28" i="31"/>
  <c r="E29" i="31"/>
  <c r="F29" i="31"/>
  <c r="K29" i="31"/>
  <c r="L29" i="31"/>
  <c r="C31" i="31"/>
  <c r="E31" i="31"/>
  <c r="C32" i="31"/>
  <c r="E32" i="31"/>
  <c r="C33" i="31"/>
  <c r="E33" i="31"/>
  <c r="L33" i="31"/>
  <c r="C34" i="31"/>
  <c r="E34" i="31"/>
  <c r="C35" i="31"/>
  <c r="E35" i="31"/>
  <c r="C36" i="31"/>
  <c r="E36" i="31"/>
  <c r="C37" i="31"/>
  <c r="E37" i="31"/>
  <c r="C38" i="31"/>
  <c r="E38" i="31"/>
  <c r="C40" i="31"/>
  <c r="G40" i="31"/>
  <c r="I40" i="31"/>
  <c r="J40" i="31"/>
  <c r="K40" i="31"/>
  <c r="L40" i="31"/>
  <c r="B1" i="201"/>
  <c r="C8" i="201"/>
  <c r="E8" i="201"/>
  <c r="F8" i="201"/>
  <c r="O8" i="201"/>
  <c r="E9" i="201"/>
  <c r="F9" i="201"/>
  <c r="O9" i="201"/>
  <c r="C10" i="201"/>
  <c r="E10" i="201"/>
  <c r="F10" i="201"/>
  <c r="O10" i="201"/>
  <c r="C11" i="201"/>
  <c r="E11" i="201"/>
  <c r="F11" i="201"/>
  <c r="J11" i="201"/>
  <c r="K11" i="201"/>
  <c r="L11" i="201"/>
  <c r="O11" i="201"/>
  <c r="C12" i="201"/>
  <c r="E12" i="201"/>
  <c r="F12" i="201"/>
  <c r="O12" i="201"/>
  <c r="C13" i="201"/>
  <c r="E13" i="201"/>
  <c r="F13" i="201"/>
  <c r="L13" i="201"/>
  <c r="O13" i="201"/>
  <c r="C14" i="201"/>
  <c r="E14" i="201"/>
  <c r="F14" i="201"/>
  <c r="O14" i="201"/>
  <c r="C15" i="201"/>
  <c r="E15" i="201"/>
  <c r="F15" i="201"/>
  <c r="O15" i="201"/>
  <c r="C16" i="201"/>
  <c r="E16" i="201"/>
  <c r="F16" i="201"/>
  <c r="J16" i="201"/>
  <c r="K16" i="201"/>
  <c r="L16" i="201"/>
  <c r="O16" i="201"/>
  <c r="C17" i="201"/>
  <c r="E17" i="201"/>
  <c r="F17" i="201"/>
  <c r="L17" i="201"/>
  <c r="O17" i="201"/>
  <c r="C18" i="201"/>
  <c r="E18" i="201"/>
  <c r="F18" i="201"/>
  <c r="L18" i="201"/>
  <c r="O18" i="201"/>
  <c r="C19" i="201"/>
  <c r="E19" i="201"/>
  <c r="F19" i="201"/>
  <c r="L19" i="201"/>
  <c r="O19" i="201"/>
  <c r="C20" i="201"/>
  <c r="E20" i="201"/>
  <c r="F20" i="201"/>
  <c r="L20" i="201"/>
  <c r="O20" i="201"/>
  <c r="C21" i="201"/>
  <c r="E21" i="201"/>
  <c r="F21" i="201"/>
  <c r="L21" i="201"/>
  <c r="O21" i="201"/>
  <c r="C22" i="201"/>
  <c r="E22" i="201"/>
  <c r="F22" i="201"/>
  <c r="L22" i="201"/>
  <c r="O22" i="201"/>
  <c r="L23" i="201"/>
  <c r="F24" i="201"/>
  <c r="L24" i="201"/>
  <c r="O24" i="201"/>
  <c r="L25" i="201"/>
  <c r="L26" i="201"/>
  <c r="O26" i="201"/>
  <c r="L27" i="201"/>
  <c r="E28" i="201"/>
  <c r="F28" i="201"/>
  <c r="K28" i="201"/>
  <c r="L28" i="201"/>
  <c r="C30" i="201"/>
  <c r="E30" i="201"/>
  <c r="C31" i="201"/>
  <c r="E31" i="201"/>
  <c r="C32" i="201"/>
  <c r="E32" i="201"/>
  <c r="L32" i="201"/>
  <c r="C33" i="201"/>
  <c r="E33" i="201"/>
  <c r="C34" i="201"/>
  <c r="E34" i="201"/>
  <c r="C35" i="201"/>
  <c r="E35" i="201"/>
  <c r="C36" i="201"/>
  <c r="E36" i="201"/>
  <c r="C37" i="201"/>
  <c r="E37" i="201"/>
  <c r="C39" i="201"/>
  <c r="G39" i="201"/>
  <c r="I39" i="201"/>
  <c r="J39" i="201"/>
  <c r="K39" i="201"/>
  <c r="L39" i="201"/>
  <c r="B1" i="15"/>
  <c r="C8" i="15"/>
  <c r="E8" i="15"/>
  <c r="G8" i="15"/>
  <c r="O8" i="15"/>
  <c r="E9" i="15"/>
  <c r="G9" i="15"/>
  <c r="L9" i="15"/>
  <c r="M9" i="15"/>
  <c r="O9" i="15"/>
  <c r="E10" i="15"/>
  <c r="G10" i="15"/>
  <c r="O10" i="15"/>
  <c r="C11" i="15"/>
  <c r="E11" i="15"/>
  <c r="G11" i="15"/>
  <c r="O11" i="15"/>
  <c r="C12" i="15"/>
  <c r="E12" i="15"/>
  <c r="G12" i="15"/>
  <c r="K12" i="15"/>
  <c r="M12" i="15"/>
  <c r="O12" i="15"/>
  <c r="C13" i="15"/>
  <c r="E13" i="15"/>
  <c r="G13" i="15"/>
  <c r="O13" i="15"/>
  <c r="C14" i="15"/>
  <c r="E14" i="15"/>
  <c r="G14" i="15"/>
  <c r="M14" i="15"/>
  <c r="O14" i="15"/>
  <c r="C15" i="15"/>
  <c r="E15" i="15"/>
  <c r="G15" i="15"/>
  <c r="O15" i="15"/>
  <c r="C16" i="15"/>
  <c r="E16" i="15"/>
  <c r="O16" i="15"/>
  <c r="C17" i="15"/>
  <c r="E17" i="15"/>
  <c r="M17" i="15"/>
  <c r="O17" i="15"/>
  <c r="C18" i="15"/>
  <c r="E18" i="15"/>
  <c r="M18" i="15"/>
  <c r="O18" i="15"/>
  <c r="C19" i="15"/>
  <c r="E19" i="15"/>
  <c r="G19" i="15"/>
  <c r="M19" i="15"/>
  <c r="O19" i="15"/>
  <c r="C20" i="15"/>
  <c r="E20" i="15"/>
  <c r="M20" i="15"/>
  <c r="O20" i="15"/>
  <c r="C21" i="15"/>
  <c r="E21" i="15"/>
  <c r="G21" i="15"/>
  <c r="M21" i="15"/>
  <c r="O21" i="15"/>
  <c r="C22" i="15"/>
  <c r="E22" i="15"/>
  <c r="M22" i="15"/>
  <c r="O22" i="15"/>
  <c r="C23" i="15"/>
  <c r="E23" i="15"/>
  <c r="G23" i="15"/>
  <c r="M23" i="15"/>
  <c r="O23" i="15"/>
  <c r="M24" i="15"/>
  <c r="M25" i="15"/>
  <c r="O25" i="15"/>
  <c r="M26" i="15"/>
  <c r="M27" i="15"/>
  <c r="O27" i="15"/>
  <c r="M28" i="15"/>
  <c r="E29" i="15"/>
  <c r="G29" i="15"/>
  <c r="L29" i="15"/>
  <c r="M29" i="15"/>
  <c r="C31" i="15"/>
  <c r="E31" i="15"/>
  <c r="C32" i="15"/>
  <c r="E32" i="15"/>
  <c r="C33" i="15"/>
  <c r="E33" i="15"/>
  <c r="M33" i="15"/>
  <c r="C34" i="15"/>
  <c r="C35" i="15"/>
  <c r="L35" i="15"/>
  <c r="M35" i="15"/>
  <c r="C36" i="15"/>
  <c r="C37" i="15"/>
  <c r="C38" i="15"/>
  <c r="C40" i="15"/>
  <c r="B1" i="128"/>
  <c r="C8" i="128"/>
  <c r="E8" i="128"/>
  <c r="F8" i="128"/>
  <c r="H8" i="128"/>
  <c r="M8" i="128"/>
  <c r="O8" i="128"/>
  <c r="C9" i="128"/>
  <c r="E9" i="128"/>
  <c r="H9" i="128"/>
  <c r="O9" i="128"/>
  <c r="C10" i="128"/>
  <c r="E10" i="128"/>
  <c r="F10" i="128"/>
  <c r="H10" i="128"/>
  <c r="O10" i="128"/>
  <c r="C11" i="128"/>
  <c r="E11" i="128"/>
  <c r="F11" i="128"/>
  <c r="H11" i="128"/>
  <c r="K11" i="128"/>
  <c r="L11" i="128"/>
  <c r="M11" i="128"/>
  <c r="O11" i="128"/>
  <c r="C12" i="128"/>
  <c r="E12" i="128"/>
  <c r="F12" i="128"/>
  <c r="H12" i="128"/>
  <c r="O12" i="128"/>
  <c r="C13" i="128"/>
  <c r="E13" i="128"/>
  <c r="F13" i="128"/>
  <c r="H13" i="128"/>
  <c r="M13" i="128"/>
  <c r="O13" i="128"/>
  <c r="C14" i="128"/>
  <c r="E14" i="128"/>
  <c r="H14" i="128"/>
  <c r="O14" i="128"/>
  <c r="C15" i="128"/>
  <c r="E15" i="128"/>
  <c r="F15" i="128"/>
  <c r="H15" i="128"/>
  <c r="O15" i="128"/>
  <c r="C16" i="128"/>
  <c r="E16" i="128"/>
  <c r="F16" i="128"/>
  <c r="H16" i="128"/>
  <c r="M16" i="128"/>
  <c r="O16" i="128"/>
  <c r="C17" i="128"/>
  <c r="E17" i="128"/>
  <c r="F17" i="128"/>
  <c r="H17" i="128"/>
  <c r="M17" i="128"/>
  <c r="O17" i="128"/>
  <c r="C18" i="128"/>
  <c r="E18" i="128"/>
  <c r="F18" i="128"/>
  <c r="H18" i="128"/>
  <c r="M18" i="128"/>
  <c r="O18" i="128"/>
  <c r="C19" i="128"/>
  <c r="E19" i="128"/>
  <c r="F19" i="128"/>
  <c r="H19" i="128"/>
  <c r="M19" i="128"/>
  <c r="O19" i="128"/>
  <c r="C20" i="128"/>
  <c r="E20" i="128"/>
  <c r="H20" i="128"/>
  <c r="M20" i="128"/>
  <c r="O20" i="128"/>
  <c r="C21" i="128"/>
  <c r="E21" i="128"/>
  <c r="F21" i="128"/>
  <c r="H21" i="128"/>
  <c r="M21" i="128"/>
  <c r="O21" i="128"/>
  <c r="C22" i="128"/>
  <c r="E22" i="128"/>
  <c r="F22" i="128"/>
  <c r="H22" i="128"/>
  <c r="M22" i="128"/>
  <c r="O22" i="128"/>
  <c r="C23" i="128"/>
  <c r="E23" i="128"/>
  <c r="F23" i="128"/>
  <c r="H23" i="128"/>
  <c r="M23" i="128"/>
  <c r="O23" i="128"/>
  <c r="M24" i="128"/>
  <c r="E25" i="128"/>
  <c r="F25" i="128"/>
  <c r="M25" i="128"/>
  <c r="O25" i="128"/>
  <c r="M26" i="128"/>
  <c r="E27" i="128"/>
  <c r="F27" i="128"/>
  <c r="M27" i="128"/>
  <c r="O27" i="128"/>
  <c r="L28" i="128"/>
  <c r="M28" i="128"/>
  <c r="E29" i="128"/>
  <c r="F29" i="128"/>
  <c r="I34" i="128"/>
  <c r="J34" i="128"/>
  <c r="K34" i="128"/>
  <c r="L34" i="128"/>
  <c r="M34" i="128"/>
  <c r="B1" i="170"/>
  <c r="C8" i="170"/>
  <c r="E8" i="170"/>
  <c r="F8" i="170"/>
  <c r="H8" i="170"/>
  <c r="M8" i="170"/>
  <c r="O8" i="170"/>
  <c r="C9" i="170"/>
  <c r="E9" i="170"/>
  <c r="H9" i="170"/>
  <c r="O9" i="170"/>
  <c r="C10" i="170"/>
  <c r="E10" i="170"/>
  <c r="F10" i="170"/>
  <c r="H10" i="170"/>
  <c r="O10" i="170"/>
  <c r="C11" i="170"/>
  <c r="E11" i="170"/>
  <c r="F11" i="170"/>
  <c r="H11" i="170"/>
  <c r="K11" i="170"/>
  <c r="L11" i="170"/>
  <c r="M11" i="170"/>
  <c r="O11" i="170"/>
  <c r="C12" i="170"/>
  <c r="E12" i="170"/>
  <c r="F12" i="170"/>
  <c r="H12" i="170"/>
  <c r="O12" i="170"/>
  <c r="C13" i="170"/>
  <c r="E13" i="170"/>
  <c r="F13" i="170"/>
  <c r="H13" i="170"/>
  <c r="M13" i="170"/>
  <c r="O13" i="170"/>
  <c r="C14" i="170"/>
  <c r="E14" i="170"/>
  <c r="F14" i="170"/>
  <c r="H14" i="170"/>
  <c r="O14" i="170"/>
  <c r="C15" i="170"/>
  <c r="E15" i="170"/>
  <c r="F15" i="170"/>
  <c r="H15" i="170"/>
  <c r="O15" i="170"/>
  <c r="C16" i="170"/>
  <c r="E16" i="170"/>
  <c r="F16" i="170"/>
  <c r="H16" i="170"/>
  <c r="M16" i="170"/>
  <c r="O16" i="170"/>
  <c r="C17" i="170"/>
  <c r="E17" i="170"/>
  <c r="F17" i="170"/>
  <c r="H17" i="170"/>
  <c r="M17" i="170"/>
  <c r="O17" i="170"/>
  <c r="C18" i="170"/>
  <c r="E18" i="170"/>
  <c r="F18" i="170"/>
  <c r="H18" i="170"/>
  <c r="M18" i="170"/>
  <c r="O18" i="170"/>
  <c r="C19" i="170"/>
  <c r="E19" i="170"/>
  <c r="F19" i="170"/>
  <c r="H19" i="170"/>
  <c r="M19" i="170"/>
  <c r="O19" i="170"/>
  <c r="C20" i="170"/>
  <c r="E20" i="170"/>
  <c r="F20" i="170"/>
  <c r="H20" i="170"/>
  <c r="M20" i="170"/>
  <c r="O20" i="170"/>
  <c r="C21" i="170"/>
  <c r="E21" i="170"/>
  <c r="F21" i="170"/>
  <c r="H21" i="170"/>
  <c r="M21" i="170"/>
  <c r="O21" i="170"/>
  <c r="C22" i="170"/>
  <c r="E22" i="170"/>
  <c r="F22" i="170"/>
  <c r="H22" i="170"/>
  <c r="M22" i="170"/>
  <c r="O22" i="170"/>
  <c r="C23" i="170"/>
  <c r="E23" i="170"/>
  <c r="F23" i="170"/>
  <c r="H23" i="170"/>
  <c r="M23" i="170"/>
  <c r="O23" i="170"/>
  <c r="M24" i="170"/>
  <c r="E25" i="170"/>
  <c r="F25" i="170"/>
  <c r="M25" i="170"/>
  <c r="O25" i="170"/>
  <c r="M26" i="170"/>
  <c r="E27" i="170"/>
  <c r="F27" i="170"/>
  <c r="M27" i="170"/>
  <c r="O27" i="170"/>
  <c r="L28" i="170"/>
  <c r="M28" i="170"/>
  <c r="E29" i="170"/>
  <c r="F29" i="170"/>
  <c r="I34" i="170"/>
  <c r="J34" i="170"/>
  <c r="K34" i="170"/>
  <c r="L34" i="170"/>
  <c r="M34" i="170"/>
  <c r="B1" i="182"/>
  <c r="C8" i="182"/>
  <c r="E8" i="182"/>
  <c r="G8" i="182"/>
  <c r="I8" i="182"/>
  <c r="M8" i="182"/>
  <c r="N8" i="182"/>
  <c r="O8" i="182"/>
  <c r="C9" i="182"/>
  <c r="E9" i="182"/>
  <c r="G9" i="182"/>
  <c r="I9" i="182"/>
  <c r="O9" i="182"/>
  <c r="C10" i="182"/>
  <c r="E10" i="182"/>
  <c r="G10" i="182"/>
  <c r="I10" i="182"/>
  <c r="L10" i="182"/>
  <c r="M10" i="182"/>
  <c r="N10" i="182"/>
  <c r="O10" i="182"/>
  <c r="C11" i="182"/>
  <c r="E11" i="182"/>
  <c r="G11" i="182"/>
  <c r="I11" i="182"/>
  <c r="O11" i="182"/>
  <c r="C12" i="182"/>
  <c r="E12" i="182"/>
  <c r="G12" i="182"/>
  <c r="I12" i="182"/>
  <c r="N12" i="182"/>
  <c r="O12" i="182"/>
  <c r="C13" i="182"/>
  <c r="E13" i="182"/>
  <c r="G13" i="182"/>
  <c r="I13" i="182"/>
  <c r="O13" i="182"/>
  <c r="C14" i="182"/>
  <c r="E14" i="182"/>
  <c r="G14" i="182"/>
  <c r="I14" i="182"/>
  <c r="O14" i="182"/>
  <c r="C15" i="182"/>
  <c r="E15" i="182"/>
  <c r="G15" i="182"/>
  <c r="I15" i="182"/>
  <c r="N15" i="182"/>
  <c r="O15" i="182"/>
  <c r="C16" i="182"/>
  <c r="E16" i="182"/>
  <c r="G16" i="182"/>
  <c r="I16" i="182"/>
  <c r="N16" i="182"/>
  <c r="O16" i="182"/>
  <c r="C17" i="182"/>
  <c r="E17" i="182"/>
  <c r="G17" i="182"/>
  <c r="I17" i="182"/>
  <c r="N17" i="182"/>
  <c r="O17" i="182"/>
  <c r="C18" i="182"/>
  <c r="E18" i="182"/>
  <c r="G18" i="182"/>
  <c r="I18" i="182"/>
  <c r="N18" i="182"/>
  <c r="O18" i="182"/>
  <c r="C19" i="182"/>
  <c r="E19" i="182"/>
  <c r="G19" i="182"/>
  <c r="I19" i="182"/>
  <c r="M19" i="182"/>
  <c r="N19" i="182"/>
  <c r="O19" i="182"/>
  <c r="C20" i="182"/>
  <c r="E20" i="182"/>
  <c r="G20" i="182"/>
  <c r="I20" i="182"/>
  <c r="N20" i="182"/>
  <c r="O20" i="182"/>
  <c r="C21" i="182"/>
  <c r="E21" i="182"/>
  <c r="G21" i="182"/>
  <c r="I21" i="182"/>
  <c r="N21" i="182"/>
  <c r="O21" i="182"/>
  <c r="C22" i="182"/>
  <c r="E22" i="182"/>
  <c r="G22" i="182"/>
  <c r="I22" i="182"/>
  <c r="N22" i="182"/>
  <c r="O22" i="182"/>
  <c r="M23" i="182"/>
  <c r="N23" i="182"/>
  <c r="E24" i="182"/>
  <c r="G24" i="182"/>
  <c r="N24" i="182"/>
  <c r="N25" i="182"/>
  <c r="E26" i="182"/>
  <c r="G26" i="182"/>
  <c r="N26" i="182"/>
  <c r="O26" i="182"/>
  <c r="M27" i="182"/>
  <c r="N27" i="182"/>
  <c r="E28" i="182"/>
  <c r="G28" i="182"/>
  <c r="O28" i="182"/>
  <c r="J33" i="182"/>
  <c r="K33" i="182"/>
  <c r="L33" i="182"/>
  <c r="M33" i="182"/>
  <c r="N33" i="182"/>
  <c r="H8" i="44"/>
  <c r="J8" i="44"/>
  <c r="L8" i="44"/>
  <c r="N8" i="44"/>
  <c r="R8" i="44"/>
  <c r="L10" i="44"/>
  <c r="N10" i="44"/>
  <c r="R10" i="44"/>
  <c r="L12" i="44"/>
  <c r="N12" i="44"/>
  <c r="R12" i="44"/>
  <c r="R14" i="44"/>
  <c r="R16" i="44"/>
  <c r="N18" i="44"/>
  <c r="R22" i="44"/>
  <c r="G24" i="44"/>
  <c r="H24" i="44"/>
  <c r="J24" i="44"/>
  <c r="L24" i="44"/>
  <c r="N24" i="44"/>
  <c r="P24" i="44"/>
  <c r="R24" i="44"/>
  <c r="T24" i="44"/>
  <c r="R26" i="44"/>
  <c r="N28" i="44"/>
  <c r="P28" i="44"/>
  <c r="R28" i="44"/>
  <c r="T28" i="44"/>
  <c r="R30" i="44"/>
  <c r="R32" i="44"/>
  <c r="R34" i="44"/>
  <c r="R36" i="44"/>
  <c r="P39" i="44"/>
  <c r="R39" i="44"/>
  <c r="P40" i="44"/>
  <c r="R40" i="44"/>
  <c r="P41" i="44"/>
  <c r="R41" i="44"/>
  <c r="T41" i="44"/>
  <c r="P42" i="44"/>
  <c r="R42" i="44"/>
  <c r="P43" i="44"/>
  <c r="R43" i="44"/>
  <c r="P44" i="44"/>
  <c r="R44" i="44"/>
  <c r="P45" i="44"/>
  <c r="R45" i="44"/>
  <c r="P46" i="44"/>
  <c r="R46" i="44"/>
  <c r="P47" i="44"/>
  <c r="R47" i="44"/>
  <c r="P48" i="44"/>
  <c r="R48" i="44"/>
  <c r="H49" i="44"/>
  <c r="L49" i="44"/>
  <c r="R49" i="44"/>
  <c r="T49" i="44"/>
  <c r="V49" i="44"/>
  <c r="R51" i="44"/>
  <c r="R53" i="44"/>
  <c r="R54" i="44"/>
  <c r="R55" i="44"/>
  <c r="R56" i="44"/>
  <c r="R59" i="44"/>
  <c r="R61" i="44"/>
  <c r="H64" i="44"/>
  <c r="R64" i="44"/>
  <c r="R65" i="44"/>
  <c r="R66" i="44"/>
  <c r="R67" i="44"/>
  <c r="H69" i="44"/>
  <c r="N73" i="44"/>
  <c r="P73" i="44"/>
  <c r="R73" i="44"/>
  <c r="T73" i="44"/>
  <c r="P76" i="44"/>
  <c r="R76" i="44"/>
  <c r="H80" i="44"/>
  <c r="J80" i="44"/>
  <c r="L80" i="44"/>
  <c r="N80" i="44"/>
  <c r="P80" i="44"/>
  <c r="R80" i="44"/>
  <c r="T80" i="44"/>
  <c r="G83" i="44"/>
  <c r="H83" i="44"/>
  <c r="J83" i="44"/>
  <c r="L83" i="44"/>
  <c r="N83" i="44"/>
  <c r="P83" i="44"/>
  <c r="R83" i="44"/>
  <c r="T83" i="44"/>
  <c r="H9" i="46"/>
  <c r="J9" i="46"/>
  <c r="L9" i="46"/>
  <c r="N9" i="46"/>
  <c r="R9" i="46"/>
  <c r="R11" i="46"/>
  <c r="R13" i="46"/>
  <c r="R15" i="46"/>
  <c r="R17" i="46"/>
  <c r="R19" i="46"/>
  <c r="R21" i="46"/>
  <c r="R23" i="46"/>
  <c r="R25" i="46"/>
  <c r="R27" i="46"/>
  <c r="R29" i="46"/>
  <c r="R31" i="46"/>
  <c r="P33" i="46"/>
  <c r="R33" i="46"/>
  <c r="T33" i="46"/>
  <c r="R35" i="46"/>
  <c r="R37" i="46"/>
  <c r="R39" i="46"/>
  <c r="R41" i="46"/>
  <c r="R43" i="46"/>
  <c r="R45" i="46"/>
  <c r="R47" i="46"/>
  <c r="R49" i="46"/>
  <c r="R51" i="46"/>
  <c r="R53" i="46"/>
  <c r="R55" i="46"/>
  <c r="P57" i="46"/>
  <c r="R57" i="46"/>
  <c r="T57" i="46"/>
  <c r="L59" i="46"/>
  <c r="N59" i="46"/>
  <c r="R59" i="46"/>
  <c r="R61" i="46"/>
  <c r="E63" i="46"/>
  <c r="G63" i="46"/>
  <c r="P63" i="46"/>
  <c r="R63" i="46"/>
  <c r="T63" i="46"/>
  <c r="R65" i="46"/>
  <c r="R67" i="46"/>
  <c r="R69" i="46"/>
  <c r="N70" i="46"/>
  <c r="E75" i="46"/>
  <c r="G75" i="46"/>
  <c r="P75" i="46"/>
  <c r="R75" i="46"/>
  <c r="T75" i="46"/>
  <c r="R77" i="46"/>
  <c r="G79" i="46"/>
  <c r="H79" i="46"/>
  <c r="J79" i="46"/>
  <c r="L79" i="46"/>
  <c r="N79" i="46"/>
  <c r="P79" i="46"/>
  <c r="R79" i="46"/>
  <c r="T79" i="46"/>
  <c r="R81" i="46"/>
  <c r="P83" i="46"/>
  <c r="R83" i="46"/>
  <c r="T83" i="46"/>
  <c r="R85" i="46"/>
  <c r="R87" i="46"/>
  <c r="R89" i="46"/>
  <c r="R91" i="46"/>
  <c r="R94" i="46"/>
  <c r="R95" i="46"/>
  <c r="R96" i="46"/>
  <c r="R97" i="46"/>
  <c r="R98" i="46"/>
  <c r="R99" i="46"/>
  <c r="R100" i="46"/>
  <c r="R101" i="46"/>
  <c r="R102" i="46"/>
  <c r="T102" i="46"/>
  <c r="R103" i="46"/>
  <c r="R104" i="46"/>
  <c r="R105" i="46"/>
  <c r="R106" i="46"/>
  <c r="H107" i="46"/>
  <c r="L107" i="46"/>
  <c r="P107" i="46"/>
  <c r="R107" i="46"/>
  <c r="T107" i="46"/>
  <c r="V107" i="46"/>
  <c r="R109" i="46"/>
  <c r="P110" i="46"/>
  <c r="R110" i="46"/>
  <c r="R112" i="46"/>
  <c r="R114" i="46"/>
  <c r="R116" i="46"/>
  <c r="R118" i="46"/>
  <c r="R120" i="46"/>
  <c r="R122" i="46"/>
  <c r="R124" i="46"/>
  <c r="N126" i="46"/>
  <c r="R126" i="46"/>
  <c r="T126" i="46"/>
  <c r="R128" i="46"/>
  <c r="R130" i="46"/>
  <c r="R131" i="46"/>
  <c r="R133" i="46"/>
  <c r="H136" i="46"/>
  <c r="R136" i="46"/>
  <c r="R137" i="46"/>
  <c r="R138" i="46"/>
  <c r="R139" i="46"/>
  <c r="H141" i="46"/>
  <c r="N145" i="46"/>
  <c r="R145" i="46"/>
  <c r="P148" i="46"/>
  <c r="R148" i="46"/>
  <c r="H152" i="46"/>
  <c r="J152" i="46"/>
  <c r="L152" i="46"/>
  <c r="N152" i="46"/>
  <c r="P152" i="46"/>
  <c r="R152" i="46"/>
  <c r="T152" i="46"/>
  <c r="G155" i="46"/>
  <c r="H155" i="46"/>
  <c r="J155" i="46"/>
  <c r="L155" i="46"/>
  <c r="N155" i="46"/>
  <c r="P155" i="46"/>
  <c r="R155" i="46"/>
  <c r="T155" i="46"/>
  <c r="B1" i="204"/>
  <c r="B2" i="204"/>
  <c r="C8" i="204"/>
  <c r="E8" i="204"/>
  <c r="F8" i="204"/>
  <c r="P8" i="204"/>
  <c r="Q8" i="204"/>
  <c r="E9" i="204"/>
  <c r="L9" i="204"/>
  <c r="P9" i="204"/>
  <c r="Q9" i="204"/>
  <c r="C10" i="204"/>
  <c r="E10" i="204"/>
  <c r="F10" i="204"/>
  <c r="Q10" i="204"/>
  <c r="C11" i="204"/>
  <c r="E11" i="204"/>
  <c r="F11" i="204"/>
  <c r="P11" i="204"/>
  <c r="Q11" i="204"/>
  <c r="C12" i="204"/>
  <c r="E12" i="204"/>
  <c r="F12" i="204"/>
  <c r="Q12" i="204"/>
  <c r="C13" i="204"/>
  <c r="E13" i="204"/>
  <c r="F13" i="204"/>
  <c r="I13" i="204"/>
  <c r="Q13" i="204"/>
  <c r="C14" i="204"/>
  <c r="E14" i="204"/>
  <c r="F14" i="204"/>
  <c r="Q14" i="204"/>
  <c r="C15" i="204"/>
  <c r="E15" i="204"/>
  <c r="F15" i="204"/>
  <c r="L15" i="204"/>
  <c r="Q15" i="204"/>
  <c r="C16" i="204"/>
  <c r="E16" i="204"/>
  <c r="F16" i="204"/>
  <c r="L16" i="204"/>
  <c r="Q16" i="204"/>
  <c r="C17" i="204"/>
  <c r="E17" i="204"/>
  <c r="F17" i="204"/>
  <c r="L17" i="204"/>
  <c r="Q17" i="204"/>
  <c r="C18" i="204"/>
  <c r="E18" i="204"/>
  <c r="F18" i="204"/>
  <c r="L18" i="204"/>
  <c r="Q18" i="204"/>
  <c r="C19" i="204"/>
  <c r="E19" i="204"/>
  <c r="F19" i="204"/>
  <c r="L19" i="204"/>
  <c r="Q19" i="204"/>
  <c r="C20" i="204"/>
  <c r="E20" i="204"/>
  <c r="F20" i="204"/>
  <c r="L20" i="204"/>
  <c r="Q20" i="204"/>
  <c r="C21" i="204"/>
  <c r="E21" i="204"/>
  <c r="F21" i="204"/>
  <c r="L21" i="204"/>
  <c r="Q21" i="204"/>
  <c r="C22" i="204"/>
  <c r="E22" i="204"/>
  <c r="F22" i="204"/>
  <c r="K22" i="204"/>
  <c r="L22" i="204"/>
  <c r="Q22" i="204"/>
  <c r="K23" i="204"/>
  <c r="L23" i="204"/>
  <c r="L24" i="204"/>
  <c r="L25" i="204"/>
  <c r="L26" i="204"/>
  <c r="E28" i="204"/>
  <c r="F28" i="204"/>
  <c r="Q28" i="204"/>
  <c r="C30" i="204"/>
  <c r="E30" i="204"/>
  <c r="L30" i="204"/>
  <c r="C31" i="204"/>
  <c r="E31" i="204"/>
  <c r="C32" i="204"/>
  <c r="E32" i="204"/>
  <c r="C33" i="204"/>
  <c r="E33" i="204"/>
  <c r="C34" i="204"/>
  <c r="E34" i="204"/>
  <c r="C35" i="204"/>
  <c r="E35" i="204"/>
  <c r="C36" i="204"/>
  <c r="E36" i="204"/>
  <c r="C37" i="204"/>
  <c r="E37" i="204"/>
  <c r="I39" i="204"/>
  <c r="J39" i="204"/>
  <c r="K39" i="204"/>
  <c r="L39" i="204"/>
  <c r="M39" i="204"/>
  <c r="N39" i="204"/>
  <c r="C40" i="204"/>
  <c r="B1" i="112"/>
  <c r="C8" i="112"/>
  <c r="E8" i="112"/>
  <c r="G8" i="112"/>
  <c r="L8" i="112"/>
  <c r="C9" i="112"/>
  <c r="G9" i="112"/>
  <c r="C10" i="112"/>
  <c r="E10" i="112"/>
  <c r="G10" i="112"/>
  <c r="H10" i="112"/>
  <c r="C11" i="112"/>
  <c r="E11" i="112"/>
  <c r="G11" i="112"/>
  <c r="J11" i="112"/>
  <c r="K11" i="112"/>
  <c r="L11" i="112"/>
  <c r="C12" i="112"/>
  <c r="E12" i="112"/>
  <c r="G12" i="112"/>
  <c r="C13" i="112"/>
  <c r="E13" i="112"/>
  <c r="G13" i="112"/>
  <c r="L13" i="112"/>
  <c r="C14" i="112"/>
  <c r="E14" i="112"/>
  <c r="G14" i="112"/>
  <c r="C15" i="112"/>
  <c r="E15" i="112"/>
  <c r="G15" i="112"/>
  <c r="C16" i="112"/>
  <c r="E16" i="112"/>
  <c r="G16" i="112"/>
  <c r="K16" i="112"/>
  <c r="L16" i="112"/>
  <c r="C17" i="112"/>
  <c r="E17" i="112"/>
  <c r="G17" i="112"/>
  <c r="L17" i="112"/>
  <c r="C18" i="112"/>
  <c r="E18" i="112"/>
  <c r="G18" i="112"/>
  <c r="L18" i="112"/>
  <c r="C19" i="112"/>
  <c r="E19" i="112"/>
  <c r="G19" i="112"/>
  <c r="L19" i="112"/>
  <c r="C20" i="112"/>
  <c r="E20" i="112"/>
  <c r="G20" i="112"/>
  <c r="L20" i="112"/>
  <c r="C21" i="112"/>
  <c r="E21" i="112"/>
  <c r="G21" i="112"/>
  <c r="L21" i="112"/>
  <c r="C22" i="112"/>
  <c r="E22" i="112"/>
  <c r="G22" i="112"/>
  <c r="L22" i="112"/>
  <c r="C23" i="112"/>
  <c r="E23" i="112"/>
  <c r="G23" i="112"/>
  <c r="H23" i="112"/>
  <c r="L23" i="112"/>
  <c r="L24" i="112"/>
  <c r="E25" i="112"/>
  <c r="H25" i="112"/>
  <c r="L25" i="112"/>
  <c r="L26" i="112"/>
  <c r="E27" i="112"/>
  <c r="H27" i="112"/>
  <c r="L27" i="112"/>
  <c r="K28" i="112"/>
  <c r="L28" i="112"/>
  <c r="E29" i="112"/>
  <c r="H29" i="112"/>
  <c r="L30" i="112"/>
  <c r="H34" i="112"/>
  <c r="I34" i="112"/>
  <c r="J34" i="112"/>
  <c r="K34" i="112"/>
  <c r="L34" i="112"/>
  <c r="B1" i="107"/>
  <c r="C8" i="107"/>
  <c r="E8" i="107"/>
  <c r="G8" i="107"/>
  <c r="L8" i="107"/>
  <c r="C9" i="107"/>
  <c r="G9" i="107"/>
  <c r="C10" i="107"/>
  <c r="E10" i="107"/>
  <c r="G10" i="107"/>
  <c r="C11" i="107"/>
  <c r="E11" i="107"/>
  <c r="G11" i="107"/>
  <c r="J11" i="107"/>
  <c r="K11" i="107"/>
  <c r="L11" i="107"/>
  <c r="C12" i="107"/>
  <c r="E12" i="107"/>
  <c r="G12" i="107"/>
  <c r="C13" i="107"/>
  <c r="E13" i="107"/>
  <c r="G13" i="107"/>
  <c r="L13" i="107"/>
  <c r="C14" i="107"/>
  <c r="E14" i="107"/>
  <c r="G14" i="107"/>
  <c r="C15" i="107"/>
  <c r="E15" i="107"/>
  <c r="G15" i="107"/>
  <c r="C16" i="107"/>
  <c r="E16" i="107"/>
  <c r="G16" i="107"/>
  <c r="K16" i="107"/>
  <c r="L16" i="107"/>
  <c r="C17" i="107"/>
  <c r="E17" i="107"/>
  <c r="G17" i="107"/>
  <c r="L17" i="107"/>
  <c r="C18" i="107"/>
  <c r="E18" i="107"/>
  <c r="G18" i="107"/>
  <c r="L18" i="107"/>
  <c r="C19" i="107"/>
  <c r="E19" i="107"/>
  <c r="G19" i="107"/>
  <c r="L19" i="107"/>
  <c r="C20" i="107"/>
  <c r="E20" i="107"/>
  <c r="G20" i="107"/>
  <c r="L20" i="107"/>
  <c r="C21" i="107"/>
  <c r="E21" i="107"/>
  <c r="G21" i="107"/>
  <c r="L21" i="107"/>
  <c r="C22" i="107"/>
  <c r="E22" i="107"/>
  <c r="G22" i="107"/>
  <c r="L22" i="107"/>
  <c r="C23" i="107"/>
  <c r="E23" i="107"/>
  <c r="G23" i="107"/>
  <c r="H23" i="107"/>
  <c r="L23" i="107"/>
  <c r="L24" i="107"/>
  <c r="E25" i="107"/>
  <c r="H25" i="107"/>
  <c r="L25" i="107"/>
  <c r="L26" i="107"/>
  <c r="E27" i="107"/>
  <c r="H27" i="107"/>
  <c r="L27" i="107"/>
  <c r="K28" i="107"/>
  <c r="L28" i="107"/>
  <c r="E29" i="107"/>
  <c r="H29" i="107"/>
  <c r="L30" i="107"/>
  <c r="H34" i="107"/>
  <c r="I34" i="107"/>
  <c r="J34" i="107"/>
  <c r="K34" i="107"/>
  <c r="L34" i="107"/>
  <c r="B1" i="97"/>
  <c r="C8" i="97"/>
  <c r="E8" i="97"/>
  <c r="G8" i="97"/>
  <c r="L8" i="97"/>
  <c r="C9" i="97"/>
  <c r="G9" i="97"/>
  <c r="C10" i="97"/>
  <c r="E10" i="97"/>
  <c r="G10" i="97"/>
  <c r="C11" i="97"/>
  <c r="E11" i="97"/>
  <c r="G11" i="97"/>
  <c r="H11" i="97"/>
  <c r="J11" i="97"/>
  <c r="K11" i="97"/>
  <c r="L11" i="97"/>
  <c r="C12" i="97"/>
  <c r="E12" i="97"/>
  <c r="G12" i="97"/>
  <c r="H12" i="97"/>
  <c r="C13" i="97"/>
  <c r="E13" i="97"/>
  <c r="G13" i="97"/>
  <c r="L13" i="97"/>
  <c r="C14" i="97"/>
  <c r="E14" i="97"/>
  <c r="G14" i="97"/>
  <c r="C15" i="97"/>
  <c r="E15" i="97"/>
  <c r="G15" i="97"/>
  <c r="C16" i="97"/>
  <c r="E16" i="97"/>
  <c r="G16" i="97"/>
  <c r="K16" i="97"/>
  <c r="L16" i="97"/>
  <c r="C17" i="97"/>
  <c r="E17" i="97"/>
  <c r="G17" i="97"/>
  <c r="L17" i="97"/>
  <c r="C18" i="97"/>
  <c r="E18" i="97"/>
  <c r="G18" i="97"/>
  <c r="L18" i="97"/>
  <c r="C19" i="97"/>
  <c r="E19" i="97"/>
  <c r="G19" i="97"/>
  <c r="L19" i="97"/>
  <c r="C20" i="97"/>
  <c r="E20" i="97"/>
  <c r="G20" i="97"/>
  <c r="L20" i="97"/>
  <c r="C21" i="97"/>
  <c r="E21" i="97"/>
  <c r="G21" i="97"/>
  <c r="L21" i="97"/>
  <c r="C22" i="97"/>
  <c r="E22" i="97"/>
  <c r="G22" i="97"/>
  <c r="L22" i="97"/>
  <c r="C23" i="97"/>
  <c r="E23" i="97"/>
  <c r="G23" i="97"/>
  <c r="H23" i="97"/>
  <c r="L23" i="97"/>
  <c r="L24" i="97"/>
  <c r="E25" i="97"/>
  <c r="L25" i="97"/>
  <c r="L26" i="97"/>
  <c r="E27" i="97"/>
  <c r="H27" i="97"/>
  <c r="L27" i="97"/>
  <c r="K28" i="97"/>
  <c r="L28" i="97"/>
  <c r="E29" i="97"/>
  <c r="H29" i="97"/>
  <c r="L30" i="97"/>
  <c r="H34" i="97"/>
  <c r="I34" i="97"/>
  <c r="J34" i="97"/>
  <c r="K34" i="97"/>
  <c r="L34" i="97"/>
  <c r="B1" i="183"/>
  <c r="C8" i="183"/>
  <c r="E8" i="183"/>
  <c r="G8" i="183"/>
  <c r="H8" i="183"/>
  <c r="L8" i="183"/>
  <c r="Q8" i="183"/>
  <c r="C9" i="183"/>
  <c r="E9" i="183"/>
  <c r="G9" i="183"/>
  <c r="H9" i="183"/>
  <c r="Q9" i="183"/>
  <c r="C10" i="183"/>
  <c r="E10" i="183"/>
  <c r="G10" i="183"/>
  <c r="H10" i="183"/>
  <c r="J10" i="183"/>
  <c r="K10" i="183"/>
  <c r="L10" i="183"/>
  <c r="Q10" i="183"/>
  <c r="C11" i="183"/>
  <c r="E11" i="183"/>
  <c r="G11" i="183"/>
  <c r="H11" i="183"/>
  <c r="Q11" i="183"/>
  <c r="C12" i="183"/>
  <c r="E12" i="183"/>
  <c r="G12" i="183"/>
  <c r="H12" i="183"/>
  <c r="L12" i="183"/>
  <c r="P12" i="183"/>
  <c r="Q12" i="183"/>
  <c r="C13" i="183"/>
  <c r="E13" i="183"/>
  <c r="G13" i="183"/>
  <c r="Q13" i="183"/>
  <c r="C14" i="183"/>
  <c r="E14" i="183"/>
  <c r="G14" i="183"/>
  <c r="H14" i="183"/>
  <c r="Q14" i="183"/>
  <c r="C15" i="183"/>
  <c r="E15" i="183"/>
  <c r="G15" i="183"/>
  <c r="H15" i="183"/>
  <c r="K15" i="183"/>
  <c r="L15" i="183"/>
  <c r="Q15" i="183"/>
  <c r="C16" i="183"/>
  <c r="E16" i="183"/>
  <c r="G16" i="183"/>
  <c r="H16" i="183"/>
  <c r="K16" i="183"/>
  <c r="L16" i="183"/>
  <c r="Q16" i="183"/>
  <c r="C17" i="183"/>
  <c r="E17" i="183"/>
  <c r="G17" i="183"/>
  <c r="H17" i="183"/>
  <c r="K17" i="183"/>
  <c r="L17" i="183"/>
  <c r="Q17" i="183"/>
  <c r="C18" i="183"/>
  <c r="E18" i="183"/>
  <c r="G18" i="183"/>
  <c r="H18" i="183"/>
  <c r="K18" i="183"/>
  <c r="L18" i="183"/>
  <c r="Q18" i="183"/>
  <c r="C19" i="183"/>
  <c r="E19" i="183"/>
  <c r="G19" i="183"/>
  <c r="H19" i="183"/>
  <c r="L19" i="183"/>
  <c r="Q19" i="183"/>
  <c r="C20" i="183"/>
  <c r="E20" i="183"/>
  <c r="G20" i="183"/>
  <c r="H20" i="183"/>
  <c r="K20" i="183"/>
  <c r="L20" i="183"/>
  <c r="Q20" i="183"/>
  <c r="C21" i="183"/>
  <c r="E21" i="183"/>
  <c r="G21" i="183"/>
  <c r="H21" i="183"/>
  <c r="K21" i="183"/>
  <c r="L21" i="183"/>
  <c r="Q21" i="183"/>
  <c r="C22" i="183"/>
  <c r="E22" i="183"/>
  <c r="G22" i="183"/>
  <c r="H22" i="183"/>
  <c r="L22" i="183"/>
  <c r="Q22" i="183"/>
  <c r="K23" i="183"/>
  <c r="L23" i="183"/>
  <c r="E24" i="183"/>
  <c r="H24" i="183"/>
  <c r="K24" i="183"/>
  <c r="L24" i="183"/>
  <c r="Q24" i="183"/>
  <c r="L25" i="183"/>
  <c r="E26" i="183"/>
  <c r="H26" i="183"/>
  <c r="K26" i="183"/>
  <c r="L26" i="183"/>
  <c r="Q26" i="183"/>
  <c r="K27" i="183"/>
  <c r="L27" i="183"/>
  <c r="E28" i="183"/>
  <c r="H28" i="183"/>
  <c r="L29" i="183"/>
  <c r="H33" i="183"/>
  <c r="I33" i="183"/>
  <c r="J33" i="183"/>
  <c r="K33" i="183"/>
  <c r="L33" i="183"/>
  <c r="B1" i="36"/>
  <c r="C8" i="36"/>
  <c r="E8" i="36"/>
  <c r="I8" i="36"/>
  <c r="M8" i="36"/>
  <c r="N8" i="36"/>
  <c r="O8" i="36"/>
  <c r="C9" i="36"/>
  <c r="E9" i="36"/>
  <c r="I9" i="36"/>
  <c r="O9" i="36"/>
  <c r="C10" i="36"/>
  <c r="E10" i="36"/>
  <c r="I10" i="36"/>
  <c r="O10" i="36"/>
  <c r="C11" i="36"/>
  <c r="E11" i="36"/>
  <c r="I11" i="36"/>
  <c r="L11" i="36"/>
  <c r="M11" i="36"/>
  <c r="N11" i="36"/>
  <c r="O11" i="36"/>
  <c r="C12" i="36"/>
  <c r="E12" i="36"/>
  <c r="I12" i="36"/>
  <c r="O12" i="36"/>
  <c r="C13" i="36"/>
  <c r="E13" i="36"/>
  <c r="I13" i="36"/>
  <c r="N13" i="36"/>
  <c r="O13" i="36"/>
  <c r="C14" i="36"/>
  <c r="E14" i="36"/>
  <c r="I14" i="36"/>
  <c r="O14" i="36"/>
  <c r="C15" i="36"/>
  <c r="E15" i="36"/>
  <c r="I15" i="36"/>
  <c r="O15" i="36"/>
  <c r="C16" i="36"/>
  <c r="E16" i="36"/>
  <c r="I16" i="36"/>
  <c r="N16" i="36"/>
  <c r="O16" i="36"/>
  <c r="C17" i="36"/>
  <c r="E17" i="36"/>
  <c r="I17" i="36"/>
  <c r="N17" i="36"/>
  <c r="O17" i="36"/>
  <c r="C18" i="36"/>
  <c r="E18" i="36"/>
  <c r="I18" i="36"/>
  <c r="N18" i="36"/>
  <c r="O18" i="36"/>
  <c r="C19" i="36"/>
  <c r="E19" i="36"/>
  <c r="I19" i="36"/>
  <c r="N19" i="36"/>
  <c r="O19" i="36"/>
  <c r="C20" i="36"/>
  <c r="E20" i="36"/>
  <c r="I20" i="36"/>
  <c r="N20" i="36"/>
  <c r="O20" i="36"/>
  <c r="C21" i="36"/>
  <c r="E21" i="36"/>
  <c r="I21" i="36"/>
  <c r="N21" i="36"/>
  <c r="O21" i="36"/>
  <c r="C22" i="36"/>
  <c r="E22" i="36"/>
  <c r="I22" i="36"/>
  <c r="N22" i="36"/>
  <c r="O22" i="36"/>
  <c r="C23" i="36"/>
  <c r="E23" i="36"/>
  <c r="I23" i="36"/>
  <c r="N23" i="36"/>
  <c r="O23" i="36"/>
  <c r="N24" i="36"/>
  <c r="E25" i="36"/>
  <c r="N25" i="36"/>
  <c r="N26" i="36"/>
  <c r="E27" i="36"/>
  <c r="N27" i="36"/>
  <c r="O27" i="36"/>
  <c r="M28" i="36"/>
  <c r="N28" i="36"/>
  <c r="E29" i="36"/>
  <c r="O29" i="36"/>
  <c r="J34" i="36"/>
  <c r="K34" i="36"/>
  <c r="L34" i="36"/>
  <c r="M34" i="36"/>
  <c r="N34" i="36"/>
  <c r="B1" i="115"/>
  <c r="C8" i="115"/>
  <c r="E8" i="115"/>
  <c r="G8" i="115"/>
  <c r="L8" i="115"/>
  <c r="N8" i="115"/>
  <c r="C9" i="115"/>
  <c r="G9" i="115"/>
  <c r="C10" i="115"/>
  <c r="E10" i="115"/>
  <c r="G10" i="115"/>
  <c r="C11" i="115"/>
  <c r="E11" i="115"/>
  <c r="G11" i="115"/>
  <c r="J11" i="115"/>
  <c r="K11" i="115"/>
  <c r="L11" i="115"/>
  <c r="N11" i="115"/>
  <c r="C12" i="115"/>
  <c r="E12" i="115"/>
  <c r="G12" i="115"/>
  <c r="C13" i="115"/>
  <c r="E13" i="115"/>
  <c r="G13" i="115"/>
  <c r="L13" i="115"/>
  <c r="C14" i="115"/>
  <c r="E14" i="115"/>
  <c r="G14" i="115"/>
  <c r="C15" i="115"/>
  <c r="E15" i="115"/>
  <c r="G15" i="115"/>
  <c r="N15" i="115"/>
  <c r="C16" i="115"/>
  <c r="E16" i="115"/>
  <c r="G16" i="115"/>
  <c r="K16" i="115"/>
  <c r="L16" i="115"/>
  <c r="C17" i="115"/>
  <c r="E17" i="115"/>
  <c r="G17" i="115"/>
  <c r="L17" i="115"/>
  <c r="C18" i="115"/>
  <c r="E18" i="115"/>
  <c r="G18" i="115"/>
  <c r="L18" i="115"/>
  <c r="C19" i="115"/>
  <c r="E19" i="115"/>
  <c r="G19" i="115"/>
  <c r="L19" i="115"/>
  <c r="C20" i="115"/>
  <c r="E20" i="115"/>
  <c r="G20" i="115"/>
  <c r="L20" i="115"/>
  <c r="C21" i="115"/>
  <c r="E21" i="115"/>
  <c r="G21" i="115"/>
  <c r="L21" i="115"/>
  <c r="C22" i="115"/>
  <c r="E22" i="115"/>
  <c r="G22" i="115"/>
  <c r="L22" i="115"/>
  <c r="C23" i="115"/>
  <c r="E23" i="115"/>
  <c r="G23" i="115"/>
  <c r="H23" i="115"/>
  <c r="L23" i="115"/>
  <c r="N23" i="115"/>
  <c r="K24" i="115"/>
  <c r="L24" i="115"/>
  <c r="E25" i="115"/>
  <c r="H25" i="115"/>
  <c r="L25" i="115"/>
  <c r="K26" i="115"/>
  <c r="L26" i="115"/>
  <c r="E27" i="115"/>
  <c r="H27" i="115"/>
  <c r="L27" i="115"/>
  <c r="K28" i="115"/>
  <c r="L28" i="115"/>
  <c r="E29" i="115"/>
  <c r="H29" i="115"/>
  <c r="L30" i="115"/>
  <c r="H34" i="115"/>
  <c r="I34" i="115"/>
  <c r="J34" i="115"/>
  <c r="K34" i="115"/>
  <c r="L34" i="115"/>
  <c r="B1" i="37"/>
  <c r="C8" i="37"/>
  <c r="E8" i="37"/>
  <c r="I8" i="37"/>
  <c r="M8" i="37"/>
  <c r="N8" i="37"/>
  <c r="O8" i="37"/>
  <c r="C9" i="37"/>
  <c r="E9" i="37"/>
  <c r="I9" i="37"/>
  <c r="O9" i="37"/>
  <c r="C10" i="37"/>
  <c r="E10" i="37"/>
  <c r="I10" i="37"/>
  <c r="O10" i="37"/>
  <c r="C11" i="37"/>
  <c r="E11" i="37"/>
  <c r="I11" i="37"/>
  <c r="L11" i="37"/>
  <c r="M11" i="37"/>
  <c r="N11" i="37"/>
  <c r="O11" i="37"/>
  <c r="C12" i="37"/>
  <c r="E12" i="37"/>
  <c r="I12" i="37"/>
  <c r="O12" i="37"/>
  <c r="C13" i="37"/>
  <c r="E13" i="37"/>
  <c r="I13" i="37"/>
  <c r="N13" i="37"/>
  <c r="O13" i="37"/>
  <c r="C14" i="37"/>
  <c r="E14" i="37"/>
  <c r="I14" i="37"/>
  <c r="O14" i="37"/>
  <c r="C15" i="37"/>
  <c r="E15" i="37"/>
  <c r="I15" i="37"/>
  <c r="O15" i="37"/>
  <c r="C16" i="37"/>
  <c r="E16" i="37"/>
  <c r="I16" i="37"/>
  <c r="N16" i="37"/>
  <c r="O16" i="37"/>
  <c r="C17" i="37"/>
  <c r="E17" i="37"/>
  <c r="I17" i="37"/>
  <c r="N17" i="37"/>
  <c r="O17" i="37"/>
  <c r="C18" i="37"/>
  <c r="E18" i="37"/>
  <c r="I18" i="37"/>
  <c r="N18" i="37"/>
  <c r="O18" i="37"/>
  <c r="C19" i="37"/>
  <c r="E19" i="37"/>
  <c r="I19" i="37"/>
  <c r="N19" i="37"/>
  <c r="O19" i="37"/>
  <c r="C20" i="37"/>
  <c r="E20" i="37"/>
  <c r="I20" i="37"/>
  <c r="M20" i="37"/>
  <c r="N20" i="37"/>
  <c r="O20" i="37"/>
  <c r="C21" i="37"/>
  <c r="E21" i="37"/>
  <c r="I21" i="37"/>
  <c r="N21" i="37"/>
  <c r="O21" i="37"/>
  <c r="C22" i="37"/>
  <c r="E22" i="37"/>
  <c r="I22" i="37"/>
  <c r="N22" i="37"/>
  <c r="O22" i="37"/>
  <c r="C23" i="37"/>
  <c r="E23" i="37"/>
  <c r="I23" i="37"/>
  <c r="N23" i="37"/>
  <c r="O23" i="37"/>
  <c r="M24" i="37"/>
  <c r="N24" i="37"/>
  <c r="E25" i="37"/>
  <c r="N25" i="37"/>
  <c r="N26" i="37"/>
  <c r="E27" i="37"/>
  <c r="N27" i="37"/>
  <c r="O27" i="37"/>
  <c r="M28" i="37"/>
  <c r="N28" i="37"/>
  <c r="E29" i="37"/>
  <c r="O29" i="37"/>
  <c r="J34" i="37"/>
  <c r="K34" i="37"/>
  <c r="L34" i="37"/>
  <c r="M34" i="37"/>
  <c r="N34" i="37"/>
  <c r="B1" i="110"/>
  <c r="C8" i="110"/>
  <c r="E8" i="110"/>
  <c r="G8" i="110"/>
  <c r="L8" i="110"/>
  <c r="N8" i="110"/>
  <c r="C9" i="110"/>
  <c r="G9" i="110"/>
  <c r="C10" i="110"/>
  <c r="E10" i="110"/>
  <c r="G10" i="110"/>
  <c r="C11" i="110"/>
  <c r="E11" i="110"/>
  <c r="G11" i="110"/>
  <c r="J11" i="110"/>
  <c r="K11" i="110"/>
  <c r="L11" i="110"/>
  <c r="N11" i="110"/>
  <c r="C12" i="110"/>
  <c r="E12" i="110"/>
  <c r="G12" i="110"/>
  <c r="C13" i="110"/>
  <c r="E13" i="110"/>
  <c r="G13" i="110"/>
  <c r="L13" i="110"/>
  <c r="C14" i="110"/>
  <c r="E14" i="110"/>
  <c r="G14" i="110"/>
  <c r="C15" i="110"/>
  <c r="E15" i="110"/>
  <c r="G15" i="110"/>
  <c r="C16" i="110"/>
  <c r="E16" i="110"/>
  <c r="G16" i="110"/>
  <c r="K16" i="110"/>
  <c r="L16" i="110"/>
  <c r="C17" i="110"/>
  <c r="E17" i="110"/>
  <c r="G17" i="110"/>
  <c r="L17" i="110"/>
  <c r="C18" i="110"/>
  <c r="E18" i="110"/>
  <c r="G18" i="110"/>
  <c r="L18" i="110"/>
  <c r="C19" i="110"/>
  <c r="E19" i="110"/>
  <c r="G19" i="110"/>
  <c r="L19" i="110"/>
  <c r="C20" i="110"/>
  <c r="E20" i="110"/>
  <c r="G20" i="110"/>
  <c r="L20" i="110"/>
  <c r="C21" i="110"/>
  <c r="E21" i="110"/>
  <c r="G21" i="110"/>
  <c r="L21" i="110"/>
  <c r="C22" i="110"/>
  <c r="E22" i="110"/>
  <c r="G22" i="110"/>
  <c r="L22" i="110"/>
  <c r="C23" i="110"/>
  <c r="E23" i="110"/>
  <c r="G23" i="110"/>
  <c r="H23" i="110"/>
  <c r="L23" i="110"/>
  <c r="N23" i="110"/>
  <c r="K24" i="110"/>
  <c r="L24" i="110"/>
  <c r="E25" i="110"/>
  <c r="H25" i="110"/>
  <c r="L25" i="110"/>
  <c r="L26" i="110"/>
  <c r="E27" i="110"/>
  <c r="H27" i="110"/>
  <c r="L27" i="110"/>
  <c r="K28" i="110"/>
  <c r="L28" i="110"/>
  <c r="E29" i="110"/>
  <c r="H29" i="110"/>
  <c r="L30" i="110"/>
  <c r="H34" i="110"/>
  <c r="I34" i="110"/>
  <c r="J34" i="110"/>
  <c r="K34" i="110"/>
  <c r="L34" i="110"/>
  <c r="B1" i="179"/>
  <c r="C8" i="179"/>
  <c r="E8" i="179"/>
  <c r="G8" i="179"/>
  <c r="I8" i="179"/>
  <c r="N8" i="179"/>
  <c r="O8" i="179"/>
  <c r="C9" i="179"/>
  <c r="E9" i="179"/>
  <c r="G9" i="179"/>
  <c r="I9" i="179"/>
  <c r="O9" i="179"/>
  <c r="C10" i="179"/>
  <c r="E10" i="179"/>
  <c r="G10" i="179"/>
  <c r="I10" i="179"/>
  <c r="L10" i="179"/>
  <c r="M10" i="179"/>
  <c r="N10" i="179"/>
  <c r="O10" i="179"/>
  <c r="C11" i="179"/>
  <c r="E11" i="179"/>
  <c r="I11" i="179"/>
  <c r="O11" i="179"/>
  <c r="C12" i="179"/>
  <c r="E12" i="179"/>
  <c r="I12" i="179"/>
  <c r="N12" i="179"/>
  <c r="O12" i="179"/>
  <c r="C13" i="179"/>
  <c r="E13" i="179"/>
  <c r="I13" i="179"/>
  <c r="O13" i="179"/>
  <c r="C14" i="179"/>
  <c r="E14" i="179"/>
  <c r="I14" i="179"/>
  <c r="O14" i="179"/>
  <c r="C15" i="179"/>
  <c r="E15" i="179"/>
  <c r="G15" i="179"/>
  <c r="I15" i="179"/>
  <c r="N15" i="179"/>
  <c r="O15" i="179"/>
  <c r="C16" i="179"/>
  <c r="E16" i="179"/>
  <c r="I16" i="179"/>
  <c r="M16" i="179"/>
  <c r="N16" i="179"/>
  <c r="O16" i="179"/>
  <c r="C17" i="179"/>
  <c r="E17" i="179"/>
  <c r="G17" i="179"/>
  <c r="I17" i="179"/>
  <c r="N17" i="179"/>
  <c r="O17" i="179"/>
  <c r="C18" i="179"/>
  <c r="E18" i="179"/>
  <c r="I18" i="179"/>
  <c r="N18" i="179"/>
  <c r="O18" i="179"/>
  <c r="C19" i="179"/>
  <c r="E19" i="179"/>
  <c r="I19" i="179"/>
  <c r="N19" i="179"/>
  <c r="O19" i="179"/>
  <c r="C20" i="179"/>
  <c r="E20" i="179"/>
  <c r="I20" i="179"/>
  <c r="N20" i="179"/>
  <c r="O20" i="179"/>
  <c r="C21" i="179"/>
  <c r="E21" i="179"/>
  <c r="G21" i="179"/>
  <c r="I21" i="179"/>
  <c r="N21" i="179"/>
  <c r="O21" i="179"/>
  <c r="C22" i="179"/>
  <c r="E22" i="179"/>
  <c r="G22" i="179"/>
  <c r="I22" i="179"/>
  <c r="N22" i="179"/>
  <c r="O22" i="179"/>
  <c r="N23" i="179"/>
  <c r="E24" i="179"/>
  <c r="G24" i="179"/>
  <c r="N24" i="179"/>
  <c r="O24" i="179"/>
  <c r="N25" i="179"/>
  <c r="E26" i="179"/>
  <c r="G26" i="179"/>
  <c r="N26" i="179"/>
  <c r="O26" i="179"/>
  <c r="M27" i="179"/>
  <c r="N27" i="179"/>
  <c r="E28" i="179"/>
  <c r="G28" i="179"/>
  <c r="J33" i="179"/>
  <c r="K33" i="179"/>
  <c r="L33" i="179"/>
  <c r="M33" i="179"/>
  <c r="N33" i="179"/>
  <c r="B1" i="175"/>
  <c r="C8" i="175"/>
  <c r="E8" i="175"/>
  <c r="G8" i="175"/>
  <c r="I8" i="175"/>
  <c r="N8" i="175"/>
  <c r="O8" i="175"/>
  <c r="C9" i="175"/>
  <c r="E9" i="175"/>
  <c r="G9" i="175"/>
  <c r="I9" i="175"/>
  <c r="O9" i="175"/>
  <c r="C10" i="175"/>
  <c r="E10" i="175"/>
  <c r="G10" i="175"/>
  <c r="I10" i="175"/>
  <c r="O10" i="175"/>
  <c r="C11" i="175"/>
  <c r="E11" i="175"/>
  <c r="G11" i="175"/>
  <c r="I11" i="175"/>
  <c r="L11" i="175"/>
  <c r="M11" i="175"/>
  <c r="N11" i="175"/>
  <c r="O11" i="175"/>
  <c r="C12" i="175"/>
  <c r="E12" i="175"/>
  <c r="G12" i="175"/>
  <c r="I12" i="175"/>
  <c r="O12" i="175"/>
  <c r="C13" i="175"/>
  <c r="E13" i="175"/>
  <c r="G13" i="175"/>
  <c r="I13" i="175"/>
  <c r="N13" i="175"/>
  <c r="O13" i="175"/>
  <c r="C14" i="175"/>
  <c r="E14" i="175"/>
  <c r="G14" i="175"/>
  <c r="I14" i="175"/>
  <c r="O14" i="175"/>
  <c r="C15" i="175"/>
  <c r="E15" i="175"/>
  <c r="G15" i="175"/>
  <c r="I15" i="175"/>
  <c r="O15" i="175"/>
  <c r="C16" i="175"/>
  <c r="E16" i="175"/>
  <c r="G16" i="175"/>
  <c r="I16" i="175"/>
  <c r="M16" i="175"/>
  <c r="N16" i="175"/>
  <c r="O16" i="175"/>
  <c r="C17" i="175"/>
  <c r="E17" i="175"/>
  <c r="G17" i="175"/>
  <c r="I17" i="175"/>
  <c r="M17" i="175"/>
  <c r="N17" i="175"/>
  <c r="O17" i="175"/>
  <c r="C18" i="175"/>
  <c r="E18" i="175"/>
  <c r="G18" i="175"/>
  <c r="I18" i="175"/>
  <c r="N18" i="175"/>
  <c r="O18" i="175"/>
  <c r="C19" i="175"/>
  <c r="E19" i="175"/>
  <c r="G19" i="175"/>
  <c r="I19" i="175"/>
  <c r="M19" i="175"/>
  <c r="N19" i="175"/>
  <c r="O19" i="175"/>
  <c r="C20" i="175"/>
  <c r="E20" i="175"/>
  <c r="G20" i="175"/>
  <c r="I20" i="175"/>
  <c r="M20" i="175"/>
  <c r="N20" i="175"/>
  <c r="O20" i="175"/>
  <c r="C21" i="175"/>
  <c r="E21" i="175"/>
  <c r="G21" i="175"/>
  <c r="I21" i="175"/>
  <c r="M21" i="175"/>
  <c r="N21" i="175"/>
  <c r="O21" i="175"/>
  <c r="C22" i="175"/>
  <c r="E22" i="175"/>
  <c r="G22" i="175"/>
  <c r="I22" i="175"/>
  <c r="M22" i="175"/>
  <c r="N22" i="175"/>
  <c r="O22" i="175"/>
  <c r="C23" i="175"/>
  <c r="E23" i="175"/>
  <c r="G23" i="175"/>
  <c r="I23" i="175"/>
  <c r="M23" i="175"/>
  <c r="N23" i="175"/>
  <c r="O23" i="175"/>
  <c r="M24" i="175"/>
  <c r="N24" i="175"/>
  <c r="E25" i="175"/>
  <c r="G25" i="175"/>
  <c r="N25" i="175"/>
  <c r="O25" i="175"/>
  <c r="M26" i="175"/>
  <c r="N26" i="175"/>
  <c r="E27" i="175"/>
  <c r="G27" i="175"/>
  <c r="M27" i="175"/>
  <c r="N27" i="175"/>
  <c r="O27" i="175"/>
  <c r="M28" i="175"/>
  <c r="N28" i="175"/>
  <c r="E29" i="175"/>
  <c r="G29" i="175"/>
  <c r="J34" i="175"/>
  <c r="K34" i="175"/>
  <c r="L34" i="175"/>
  <c r="M34" i="175"/>
  <c r="N34" i="175"/>
  <c r="B1" i="92"/>
  <c r="C8" i="92"/>
  <c r="E8" i="92"/>
  <c r="G8" i="92"/>
  <c r="I8" i="92"/>
  <c r="N8" i="92"/>
  <c r="O8" i="92"/>
  <c r="C9" i="92"/>
  <c r="E9" i="92"/>
  <c r="I9" i="92"/>
  <c r="O9" i="92"/>
  <c r="C10" i="92"/>
  <c r="E10" i="92"/>
  <c r="G10" i="92"/>
  <c r="I10" i="92"/>
  <c r="O10" i="92"/>
  <c r="C11" i="92"/>
  <c r="E11" i="92"/>
  <c r="G11" i="92"/>
  <c r="I11" i="92"/>
  <c r="L11" i="92"/>
  <c r="M11" i="92"/>
  <c r="N11" i="92"/>
  <c r="O11" i="92"/>
  <c r="C12" i="92"/>
  <c r="E12" i="92"/>
  <c r="G12" i="92"/>
  <c r="I12" i="92"/>
  <c r="O12" i="92"/>
  <c r="C13" i="92"/>
  <c r="E13" i="92"/>
  <c r="G13" i="92"/>
  <c r="I13" i="92"/>
  <c r="N13" i="92"/>
  <c r="O13" i="92"/>
  <c r="C14" i="92"/>
  <c r="E14" i="92"/>
  <c r="I14" i="92"/>
  <c r="O14" i="92"/>
  <c r="C15" i="92"/>
  <c r="E15" i="92"/>
  <c r="I15" i="92"/>
  <c r="O15" i="92"/>
  <c r="C16" i="92"/>
  <c r="E16" i="92"/>
  <c r="G16" i="92"/>
  <c r="I16" i="92"/>
  <c r="N16" i="92"/>
  <c r="O16" i="92"/>
  <c r="C17" i="92"/>
  <c r="E17" i="92"/>
  <c r="G17" i="92"/>
  <c r="I17" i="92"/>
  <c r="N17" i="92"/>
  <c r="O17" i="92"/>
  <c r="C18" i="92"/>
  <c r="E18" i="92"/>
  <c r="G18" i="92"/>
  <c r="I18" i="92"/>
  <c r="N18" i="92"/>
  <c r="O18" i="92"/>
  <c r="C19" i="92"/>
  <c r="E19" i="92"/>
  <c r="G19" i="92"/>
  <c r="I19" i="92"/>
  <c r="N19" i="92"/>
  <c r="O19" i="92"/>
  <c r="C20" i="92"/>
  <c r="E20" i="92"/>
  <c r="G20" i="92"/>
  <c r="I20" i="92"/>
  <c r="N20" i="92"/>
  <c r="O20" i="92"/>
  <c r="C21" i="92"/>
  <c r="E21" i="92"/>
  <c r="G21" i="92"/>
  <c r="I21" i="92"/>
  <c r="N21" i="92"/>
  <c r="O21" i="92"/>
  <c r="C22" i="92"/>
  <c r="E22" i="92"/>
  <c r="G22" i="92"/>
  <c r="I22" i="92"/>
  <c r="N22" i="92"/>
  <c r="O22" i="92"/>
  <c r="C23" i="92"/>
  <c r="E23" i="92"/>
  <c r="G23" i="92"/>
  <c r="I23" i="92"/>
  <c r="N23" i="92"/>
  <c r="O23" i="92"/>
  <c r="N24" i="92"/>
  <c r="E25" i="92"/>
  <c r="G25" i="92"/>
  <c r="N25" i="92"/>
  <c r="O25" i="92"/>
  <c r="N26" i="92"/>
  <c r="E27" i="92"/>
  <c r="G27" i="92"/>
  <c r="N27" i="92"/>
  <c r="O27" i="92"/>
  <c r="M28" i="92"/>
  <c r="N28" i="92"/>
  <c r="E29" i="92"/>
  <c r="G29" i="92"/>
  <c r="J34" i="92"/>
  <c r="K34" i="92"/>
  <c r="L34" i="92"/>
  <c r="M34" i="92"/>
  <c r="N34" i="92"/>
  <c r="B1" i="118"/>
  <c r="C8" i="118"/>
  <c r="E8" i="118"/>
  <c r="G8" i="118"/>
  <c r="I8" i="118"/>
  <c r="N8" i="118"/>
  <c r="O8" i="118"/>
  <c r="C9" i="118"/>
  <c r="E9" i="118"/>
  <c r="G9" i="118"/>
  <c r="I9" i="118"/>
  <c r="O9" i="118"/>
  <c r="C10" i="118"/>
  <c r="E10" i="118"/>
  <c r="G10" i="118"/>
  <c r="I10" i="118"/>
  <c r="O10" i="118"/>
  <c r="C11" i="118"/>
  <c r="E11" i="118"/>
  <c r="G11" i="118"/>
  <c r="I11" i="118"/>
  <c r="L11" i="118"/>
  <c r="M11" i="118"/>
  <c r="N11" i="118"/>
  <c r="O11" i="118"/>
  <c r="C12" i="118"/>
  <c r="E12" i="118"/>
  <c r="G12" i="118"/>
  <c r="I12" i="118"/>
  <c r="O12" i="118"/>
  <c r="C13" i="118"/>
  <c r="E13" i="118"/>
  <c r="G13" i="118"/>
  <c r="I13" i="118"/>
  <c r="N13" i="118"/>
  <c r="O13" i="118"/>
  <c r="C14" i="118"/>
  <c r="E14" i="118"/>
  <c r="G14" i="118"/>
  <c r="I14" i="118"/>
  <c r="O14" i="118"/>
  <c r="C15" i="118"/>
  <c r="E15" i="118"/>
  <c r="G15" i="118"/>
  <c r="I15" i="118"/>
  <c r="O15" i="118"/>
  <c r="C16" i="118"/>
  <c r="E16" i="118"/>
  <c r="G16" i="118"/>
  <c r="I16" i="118"/>
  <c r="M16" i="118"/>
  <c r="N16" i="118"/>
  <c r="O16" i="118"/>
  <c r="C17" i="118"/>
  <c r="E17" i="118"/>
  <c r="G17" i="118"/>
  <c r="I17" i="118"/>
  <c r="M17" i="118"/>
  <c r="N17" i="118"/>
  <c r="O17" i="118"/>
  <c r="C18" i="118"/>
  <c r="E18" i="118"/>
  <c r="G18" i="118"/>
  <c r="I18" i="118"/>
  <c r="N18" i="118"/>
  <c r="O18" i="118"/>
  <c r="C19" i="118"/>
  <c r="E19" i="118"/>
  <c r="G19" i="118"/>
  <c r="I19" i="118"/>
  <c r="M19" i="118"/>
  <c r="N19" i="118"/>
  <c r="O19" i="118"/>
  <c r="C20" i="118"/>
  <c r="E20" i="118"/>
  <c r="G20" i="118"/>
  <c r="I20" i="118"/>
  <c r="M20" i="118"/>
  <c r="N20" i="118"/>
  <c r="O20" i="118"/>
  <c r="C21" i="118"/>
  <c r="E21" i="118"/>
  <c r="G21" i="118"/>
  <c r="I21" i="118"/>
  <c r="M21" i="118"/>
  <c r="N21" i="118"/>
  <c r="O21" i="118"/>
  <c r="C22" i="118"/>
  <c r="E22" i="118"/>
  <c r="G22" i="118"/>
  <c r="I22" i="118"/>
  <c r="M22" i="118"/>
  <c r="N22" i="118"/>
  <c r="O22" i="118"/>
  <c r="C23" i="118"/>
  <c r="E23" i="118"/>
  <c r="G23" i="118"/>
  <c r="I23" i="118"/>
  <c r="M23" i="118"/>
  <c r="N23" i="118"/>
  <c r="O23" i="118"/>
  <c r="M24" i="118"/>
  <c r="N24" i="118"/>
  <c r="E25" i="118"/>
  <c r="G25" i="118"/>
  <c r="N25" i="118"/>
  <c r="O25" i="118"/>
  <c r="M26" i="118"/>
  <c r="N26" i="118"/>
  <c r="E27" i="118"/>
  <c r="G27" i="118"/>
  <c r="M27" i="118"/>
  <c r="N27" i="118"/>
  <c r="O27" i="118"/>
  <c r="M28" i="118"/>
  <c r="N28" i="118"/>
  <c r="E29" i="118"/>
  <c r="G29" i="118"/>
  <c r="J34" i="118"/>
  <c r="K34" i="118"/>
  <c r="L34" i="118"/>
  <c r="M34" i="118"/>
  <c r="N34" i="118"/>
  <c r="B1" i="81"/>
  <c r="C8" i="81"/>
  <c r="E8" i="81"/>
  <c r="G8" i="81"/>
  <c r="L8" i="81"/>
  <c r="N8" i="81"/>
  <c r="C9" i="81"/>
  <c r="G9" i="81"/>
  <c r="C10" i="81"/>
  <c r="E10" i="81"/>
  <c r="G10" i="81"/>
  <c r="C11" i="81"/>
  <c r="E11" i="81"/>
  <c r="G11" i="81"/>
  <c r="H11" i="81"/>
  <c r="J11" i="81"/>
  <c r="K11" i="81"/>
  <c r="L11" i="81"/>
  <c r="N11" i="81"/>
  <c r="C12" i="81"/>
  <c r="E12" i="81"/>
  <c r="G12" i="81"/>
  <c r="C13" i="81"/>
  <c r="E13" i="81"/>
  <c r="G13" i="81"/>
  <c r="L13" i="81"/>
  <c r="C14" i="81"/>
  <c r="E14" i="81"/>
  <c r="G14" i="81"/>
  <c r="C15" i="81"/>
  <c r="E15" i="81"/>
  <c r="G15" i="81"/>
  <c r="C16" i="81"/>
  <c r="E16" i="81"/>
  <c r="G16" i="81"/>
  <c r="K16" i="81"/>
  <c r="L16" i="81"/>
  <c r="C17" i="81"/>
  <c r="E17" i="81"/>
  <c r="G17" i="81"/>
  <c r="L17" i="81"/>
  <c r="C18" i="81"/>
  <c r="E18" i="81"/>
  <c r="G18" i="81"/>
  <c r="L18" i="81"/>
  <c r="C19" i="81"/>
  <c r="E19" i="81"/>
  <c r="G19" i="81"/>
  <c r="L19" i="81"/>
  <c r="C20" i="81"/>
  <c r="E20" i="81"/>
  <c r="G20" i="81"/>
  <c r="L20" i="81"/>
  <c r="C21" i="81"/>
  <c r="E21" i="81"/>
  <c r="G21" i="81"/>
  <c r="L21" i="81"/>
  <c r="C22" i="81"/>
  <c r="E22" i="81"/>
  <c r="G22" i="81"/>
  <c r="L22" i="81"/>
  <c r="C23" i="81"/>
  <c r="E23" i="81"/>
  <c r="G23" i="81"/>
  <c r="H23" i="81"/>
  <c r="L23" i="81"/>
  <c r="N23" i="81"/>
  <c r="K24" i="81"/>
  <c r="L24" i="81"/>
  <c r="E25" i="81"/>
  <c r="L25" i="81"/>
  <c r="L26" i="81"/>
  <c r="E27" i="81"/>
  <c r="H27" i="81"/>
  <c r="L27" i="81"/>
  <c r="K28" i="81"/>
  <c r="L28" i="81"/>
  <c r="E29" i="81"/>
  <c r="H29" i="81"/>
  <c r="L30" i="81"/>
  <c r="H34" i="81"/>
  <c r="I34" i="81"/>
  <c r="J34" i="81"/>
  <c r="K34" i="81"/>
  <c r="L34" i="81"/>
</calcChain>
</file>

<file path=xl/comments1.xml><?xml version="1.0" encoding="utf-8"?>
<comments xmlns="http://schemas.openxmlformats.org/spreadsheetml/2006/main">
  <authors>
    <author>dvandor</author>
  </authors>
  <commentList>
    <comment ref="O17" authorId="0" shapeId="0">
      <text>
        <r>
          <rPr>
            <b/>
            <sz val="8"/>
            <color indexed="81"/>
            <rFont val="Tahoma"/>
          </rPr>
          <t>dvandor:</t>
        </r>
        <r>
          <rPr>
            <sz val="8"/>
            <color indexed="81"/>
            <rFont val="Tahoma"/>
          </rPr>
          <t xml:space="preserve">
Per Hunter, he is Associate, not Sr Spec per HR file</t>
        </r>
      </text>
    </comment>
  </commentList>
</comments>
</file>

<file path=xl/comments2.xml><?xml version="1.0" encoding="utf-8"?>
<comments xmlns="http://schemas.openxmlformats.org/spreadsheetml/2006/main">
  <authors>
    <author>thardy</author>
  </authors>
  <commentList>
    <comment ref="K11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3.xml><?xml version="1.0" encoding="utf-8"?>
<comments xmlns="http://schemas.openxmlformats.org/spreadsheetml/2006/main">
  <authors>
    <author>thardy</author>
  </authors>
  <commentList>
    <comment ref="K11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4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5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6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7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8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sharedStrings.xml><?xml version="1.0" encoding="utf-8"?>
<sst xmlns="http://schemas.openxmlformats.org/spreadsheetml/2006/main" count="7178" uniqueCount="333">
  <si>
    <t>2002 Plan</t>
  </si>
  <si>
    <t>Per HC</t>
  </si>
  <si>
    <t>New HC</t>
  </si>
  <si>
    <t>Adjust Comp</t>
  </si>
  <si>
    <t xml:space="preserve">% of </t>
  </si>
  <si>
    <t>YTD Actual</t>
  </si>
  <si>
    <t>Forecast</t>
  </si>
  <si>
    <t>Plan</t>
  </si>
  <si>
    <t>Total Exp</t>
  </si>
  <si>
    <t>ENACOMP</t>
  </si>
  <si>
    <t>Compensation</t>
  </si>
  <si>
    <t>Special Pays</t>
  </si>
  <si>
    <t>Analysts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</si>
  <si>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</si>
  <si>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</si>
  <si>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</si>
  <si>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</si>
  <si>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</si>
  <si>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</si>
  <si>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</si>
  <si>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</si>
  <si>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</si>
  <si>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</si>
  <si>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</si>
  <si>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</si>
  <si>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</si>
  <si>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</si>
  <si>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Clerk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</si>
  <si>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</si>
  <si>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</si>
  <si>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</si>
  <si>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</si>
  <si>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</si>
  <si>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</si>
  <si>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</si>
  <si>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</si>
  <si>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</si>
  <si>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</si>
  <si>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</si>
  <si>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</si>
  <si>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</si>
  <si>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</si>
  <si>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</si>
  <si>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</si>
  <si>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</si>
  <si>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</si>
  <si>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</si>
  <si>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</si>
  <si>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</si>
  <si>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</si>
  <si>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</si>
  <si>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</si>
  <si>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</si>
  <si>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Analyst &amp; Associate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</si>
  <si>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</si>
  <si>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</si>
  <si>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</si>
  <si>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</si>
  <si>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</si>
  <si>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</si>
  <si>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</si>
  <si>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2001</t>
  </si>
  <si>
    <t>%</t>
  </si>
  <si>
    <t>2002</t>
  </si>
  <si>
    <t>of Total</t>
  </si>
  <si>
    <t>Analyst &amp; Associates</t>
  </si>
  <si>
    <t>Intern</t>
  </si>
  <si>
    <t>A&amp;A Headcount</t>
  </si>
  <si>
    <t>Mexico</t>
  </si>
  <si>
    <t>Annualized</t>
  </si>
  <si>
    <t>Analyst &amp; Assoicate</t>
  </si>
  <si>
    <t>ENAOUTLG</t>
  </si>
  <si>
    <t>Outside Legal</t>
  </si>
  <si>
    <t>ENAOUTTX</t>
  </si>
  <si>
    <t>Outside Tax</t>
  </si>
  <si>
    <t>ENAINSUR</t>
  </si>
  <si>
    <t>Insurance</t>
  </si>
  <si>
    <t>ENASYSDV</t>
  </si>
  <si>
    <t>System Development</t>
  </si>
  <si>
    <t>ENACORIT</t>
  </si>
  <si>
    <t>Controllable Infrastructure</t>
  </si>
  <si>
    <t>ENACORRN</t>
  </si>
  <si>
    <t>Corporate Rent</t>
  </si>
  <si>
    <t>ENAOTHAL</t>
  </si>
  <si>
    <t>Other Allocated Direct  Expenses</t>
  </si>
  <si>
    <t>ENADEPR</t>
  </si>
  <si>
    <t>Depreciation &amp; Amortization</t>
  </si>
  <si>
    <t>East Power</t>
  </si>
  <si>
    <t xml:space="preserve">Canada </t>
  </si>
  <si>
    <t xml:space="preserve">Analysts &amp; Associates  </t>
  </si>
  <si>
    <t>CEO</t>
  </si>
  <si>
    <t>*  Analysts and Associates are billed through normal payroll for Canada.</t>
  </si>
  <si>
    <t>Adjusted Amts</t>
  </si>
  <si>
    <t>Admins</t>
  </si>
  <si>
    <t>Analysts</t>
  </si>
  <si>
    <t>Sr Specialst</t>
  </si>
  <si>
    <t>Managers</t>
  </si>
  <si>
    <t>Directors</t>
  </si>
  <si>
    <t>Sr Director</t>
  </si>
  <si>
    <t>Vice President</t>
  </si>
  <si>
    <t>Managing Dir</t>
  </si>
  <si>
    <t>Analysts &amp; Associate Headcount</t>
  </si>
  <si>
    <t>Benefits &amp; Taxes</t>
  </si>
  <si>
    <t>Also adjusted up to reach a total of $800k.</t>
  </si>
  <si>
    <t>Financial Operations</t>
  </si>
  <si>
    <t>Reporting, GL, Trading &amp; Transaction Support</t>
  </si>
  <si>
    <t>Cash Operations</t>
  </si>
  <si>
    <t>Adj Comp</t>
  </si>
  <si>
    <t>Sr Specialist</t>
  </si>
  <si>
    <t xml:space="preserve">This was adjusted up 600,000 </t>
  </si>
  <si>
    <t>for Audit fees during the year.</t>
  </si>
  <si>
    <t>It was also adjusted 704,684</t>
  </si>
  <si>
    <t xml:space="preserve">to get to a total of 7,000,000 </t>
  </si>
  <si>
    <t>for the BA&amp;R group.</t>
  </si>
  <si>
    <t xml:space="preserve">This was adjusted up 360,000 </t>
  </si>
  <si>
    <t>for consulting fees during the year.</t>
  </si>
  <si>
    <t>Regulatory Affairs</t>
  </si>
  <si>
    <t>Coordinator</t>
  </si>
  <si>
    <t>Based on Legal Expenses</t>
  </si>
  <si>
    <t>General Counsel Asst</t>
  </si>
  <si>
    <t xml:space="preserve">Credit </t>
  </si>
  <si>
    <t>Credit</t>
  </si>
  <si>
    <t>Analyst &amp; Associate</t>
  </si>
  <si>
    <t>EVP/CRO</t>
  </si>
  <si>
    <t>Human Resources</t>
  </si>
  <si>
    <t>EOPs/Risk</t>
  </si>
  <si>
    <t>IT</t>
  </si>
  <si>
    <t>Accounting</t>
  </si>
  <si>
    <t>Legal</t>
  </si>
  <si>
    <t>Sr. Counsel</t>
  </si>
  <si>
    <t>Toronto</t>
  </si>
  <si>
    <t>SAP</t>
  </si>
  <si>
    <t>Consultants</t>
  </si>
  <si>
    <t>Based on information from ENW accounting.</t>
  </si>
  <si>
    <t>IT Development</t>
  </si>
  <si>
    <t>Tech</t>
  </si>
  <si>
    <t>IT Consultants</t>
  </si>
  <si>
    <t>Consulatant</t>
  </si>
  <si>
    <t>EOL Support</t>
  </si>
  <si>
    <t>Sr Counsel</t>
  </si>
  <si>
    <t>VP - Counsel</t>
  </si>
  <si>
    <t>Outside Legal - $5,000,000</t>
  </si>
  <si>
    <t>COO</t>
  </si>
  <si>
    <t>Enron North America</t>
  </si>
  <si>
    <t>VAR Limit</t>
  </si>
  <si>
    <t>Gross Margin</t>
  </si>
  <si>
    <t>Direct Expenses</t>
  </si>
  <si>
    <t>EBIT</t>
  </si>
  <si>
    <t xml:space="preserve"> </t>
  </si>
  <si>
    <t>West Power Trading/Origination- Portland</t>
  </si>
  <si>
    <t>Total Commercial</t>
  </si>
  <si>
    <t>Accounting, Transaction Support</t>
  </si>
  <si>
    <t>Energy Ops</t>
  </si>
  <si>
    <t>Gas Logistics</t>
  </si>
  <si>
    <t>Gas Book Running</t>
  </si>
  <si>
    <t>Gas Settlements</t>
  </si>
  <si>
    <t>Gas Volume Mgmt</t>
  </si>
  <si>
    <t>Power Logistics</t>
  </si>
  <si>
    <t>Power Book Running</t>
  </si>
  <si>
    <t>Power Settlements</t>
  </si>
  <si>
    <t>Power Volume Mgmt</t>
  </si>
  <si>
    <t>Canada</t>
  </si>
  <si>
    <t>HR</t>
  </si>
  <si>
    <t>Canada Support</t>
  </si>
  <si>
    <t xml:space="preserve">Rent </t>
  </si>
  <si>
    <t>Bonus</t>
  </si>
  <si>
    <t>Total Group</t>
  </si>
  <si>
    <t>Infrastructure costs include amounts for desktop support, e-mail administration, security,</t>
  </si>
  <si>
    <t>IT Development costs includes amounts for maintenance and enhancements to</t>
  </si>
  <si>
    <t xml:space="preserve">Enpower, Sitara, Unify, TAGG, ERMS, and other trading systems along </t>
  </si>
  <si>
    <t>with Oracle and Tibco licenses.</t>
  </si>
  <si>
    <t xml:space="preserve">Energy Operations </t>
  </si>
  <si>
    <t>Energy Operations</t>
  </si>
  <si>
    <t xml:space="preserve">communications (long distance, trading turrets, phones, cables), licenses (Microsoft, etc), </t>
  </si>
  <si>
    <t>market data feeds, T1 lines, internet access, WAN, LAN, etc.</t>
  </si>
  <si>
    <t>Weather</t>
  </si>
  <si>
    <t>Market Risk</t>
  </si>
  <si>
    <t>East Power Trading/Orig</t>
  </si>
  <si>
    <t>Canada Gas/Power Trading/Orig</t>
  </si>
  <si>
    <t>IT- Development *</t>
  </si>
  <si>
    <t>IT- Infrastructure**</t>
  </si>
  <si>
    <t>IT- EOL</t>
  </si>
  <si>
    <t>IT- EOL Support</t>
  </si>
  <si>
    <t>Houston &amp; Other</t>
  </si>
  <si>
    <t>Portland</t>
  </si>
  <si>
    <t>Houston Fundamentals/Structuring, CABC, and Weather</t>
  </si>
  <si>
    <t>ENE Service Level Agreements</t>
  </si>
  <si>
    <t>Natural Gas Fundamentals</t>
  </si>
  <si>
    <t>Natural Gas Structuring</t>
  </si>
  <si>
    <t>West Power Fundamentals</t>
  </si>
  <si>
    <t>West Power Structuring</t>
  </si>
  <si>
    <t>East Power Fundamentals</t>
  </si>
  <si>
    <t>East Power Structuring</t>
  </si>
  <si>
    <t>Structuring</t>
  </si>
  <si>
    <t xml:space="preserve"> Fundamentals</t>
  </si>
  <si>
    <t>Includes 1 HR</t>
  </si>
  <si>
    <t>Information Technology</t>
  </si>
  <si>
    <t>`</t>
  </si>
  <si>
    <t>2000 YTD</t>
  </si>
  <si>
    <t>2001 Oct YTD</t>
  </si>
  <si>
    <t>HPL/Upstream/Bridgeline</t>
  </si>
  <si>
    <t>Merchant</t>
  </si>
  <si>
    <t>Office of the Chairman</t>
  </si>
  <si>
    <t>Cash Operations and Tax</t>
  </si>
  <si>
    <t>Other Corporate Charges</t>
  </si>
  <si>
    <t>Moved $2.4 of SAP costs here, and decreased HC by 12</t>
  </si>
  <si>
    <t>and moved $2.0 for SAP cost of system and maintenance</t>
  </si>
  <si>
    <t>Total Expenses</t>
  </si>
  <si>
    <t>Houston Gas Trading/Orig (includes Mexico)</t>
  </si>
  <si>
    <t>2002 Expenses</t>
  </si>
  <si>
    <t xml:space="preserve">*IT Development includes systems maintenance and enhancements of ERMS, TAGG, </t>
  </si>
  <si>
    <t>EnPower, Sitara, Unify, etc. and license fees for Oracle and Tibco</t>
  </si>
  <si>
    <t>**IT Infrastructure includes desk top support, communications, market data feeds, licenses,</t>
  </si>
  <si>
    <t xml:space="preserve"> servers, tie lines, remote office support, WAN, and LAN.</t>
  </si>
  <si>
    <t>Includes 1 from Reg Affairs</t>
  </si>
  <si>
    <t>includes 1 Analyst</t>
  </si>
  <si>
    <t>Research/Market Risk</t>
  </si>
  <si>
    <t>Documentation</t>
  </si>
  <si>
    <t>Management</t>
  </si>
  <si>
    <t>East Power Origination</t>
  </si>
  <si>
    <t>West Power Trading- Portland</t>
  </si>
  <si>
    <t>West Power Origination- Portland</t>
  </si>
  <si>
    <t>Canada Gas/Power Trading</t>
  </si>
  <si>
    <t>Canada Gas/Power Origination</t>
  </si>
  <si>
    <t>Leadership(Office of the Chair)</t>
  </si>
  <si>
    <t>Analysts &amp; Associates Directly Supporting Commercial Teams</t>
  </si>
  <si>
    <t>Admins for Commercial Teams</t>
  </si>
  <si>
    <t>Natural Gas Admins</t>
  </si>
  <si>
    <t>East Power Admins</t>
  </si>
  <si>
    <t>West Power Trading</t>
  </si>
  <si>
    <t>West Power Origination</t>
  </si>
  <si>
    <t>West Power Admins</t>
  </si>
  <si>
    <t>Canada Trading</t>
  </si>
  <si>
    <t>Canada Origination</t>
  </si>
  <si>
    <t>Canada Analyst &amp; Associate</t>
  </si>
  <si>
    <t>Canada Admins</t>
  </si>
  <si>
    <t>Texas Gas Trading</t>
  </si>
  <si>
    <t>East Gas Trading</t>
  </si>
  <si>
    <t>Central Gas Trading</t>
  </si>
  <si>
    <t>West Gas Trading</t>
  </si>
  <si>
    <t>Texas Gas Origination</t>
  </si>
  <si>
    <t>East Gas Origination</t>
  </si>
  <si>
    <t>Central Gas Origination</t>
  </si>
  <si>
    <t>West Gas Origination</t>
  </si>
  <si>
    <t>Central Gas - Trading</t>
  </si>
  <si>
    <t>Financial Gas</t>
  </si>
  <si>
    <t>Crude</t>
  </si>
  <si>
    <t>Central Gas - Orig</t>
  </si>
  <si>
    <t>ADJUSTED</t>
  </si>
  <si>
    <t>DIRECTOR</t>
  </si>
  <si>
    <t>MANAGER</t>
  </si>
  <si>
    <t>VICE PRESIDENT</t>
  </si>
  <si>
    <t>Texas - Trading</t>
  </si>
  <si>
    <t>ASSOCIATE</t>
  </si>
  <si>
    <t>Quigley, Henry H</t>
  </si>
  <si>
    <t>ENA FINANCIAL</t>
  </si>
  <si>
    <t>Maggi, Michael J</t>
  </si>
  <si>
    <t>May, Lawrence J</t>
  </si>
  <si>
    <t>Griffith, John H</t>
  </si>
  <si>
    <t>Arnold, John D</t>
  </si>
  <si>
    <t>Zipper, Andrew A</t>
  </si>
  <si>
    <t>Ligums, John (Jeb)</t>
  </si>
  <si>
    <t>West Gas - Orig</t>
  </si>
  <si>
    <t>Jaime Williams-Quintero</t>
  </si>
  <si>
    <t>Agustin Perez-Miranda</t>
  </si>
  <si>
    <t>East Gas - Orig</t>
  </si>
  <si>
    <t>East Gas - Trading</t>
  </si>
  <si>
    <t>East Gas - Trading Analysts/Associates</t>
  </si>
  <si>
    <t>Derivatives/Wellhead Analysts/Associates</t>
  </si>
  <si>
    <t>West Gas - Trading Analysts/Associates</t>
  </si>
  <si>
    <t>Central Gas - Trading Analysts/Associates</t>
  </si>
  <si>
    <t>Texas - Trading Analysts/Associates</t>
  </si>
  <si>
    <t>Financial Gas Analysts/Associates</t>
  </si>
  <si>
    <t>Total Gas Trading and Origination***</t>
  </si>
  <si>
    <t>***Unable to identify which region 2 gas employees belong to.</t>
  </si>
  <si>
    <t>Gas Risk Management</t>
  </si>
  <si>
    <t>Power Risk Management</t>
  </si>
  <si>
    <t>Power Logistics****</t>
  </si>
  <si>
    <t>****Power Logistics Plan was based on Gas Logistics Plan adjusted for headcount.</t>
  </si>
  <si>
    <t>Total Canada Trading and Origination</t>
  </si>
  <si>
    <t>Hicks, W. Wade</t>
  </si>
  <si>
    <t>US-GP LPG TRADING</t>
  </si>
  <si>
    <t>Jackson, Lee C</t>
  </si>
  <si>
    <t>South, Chad E</t>
  </si>
  <si>
    <t>US-GP PETROCHEMICALS TRADING</t>
  </si>
  <si>
    <t>Crude Analysts &amp; Associates</t>
  </si>
  <si>
    <t>Nymex Desk Trading</t>
  </si>
  <si>
    <t>Nymex Desk</t>
  </si>
  <si>
    <t>Derivatives Marketing</t>
  </si>
  <si>
    <t>Tax</t>
  </si>
  <si>
    <t>Research</t>
  </si>
  <si>
    <t>Office of the Chair Administration</t>
  </si>
  <si>
    <t>Fundamentals</t>
  </si>
  <si>
    <t>West Gas - Trading</t>
  </si>
  <si>
    <t>Texas - Origination</t>
  </si>
  <si>
    <t>Management Book</t>
  </si>
  <si>
    <t>ERCOT Power Trading</t>
  </si>
  <si>
    <t>Northeast Power Trading</t>
  </si>
  <si>
    <t>Midwest Power Trading</t>
  </si>
  <si>
    <t>Southeast Trading</t>
  </si>
  <si>
    <t>Options</t>
  </si>
  <si>
    <t>Total East Power Trading and Origination</t>
  </si>
  <si>
    <t>Management Power Trading</t>
  </si>
  <si>
    <t>Ercot Power Trading</t>
  </si>
  <si>
    <t>Midwest Trading</t>
  </si>
  <si>
    <t>Total West Power Trading and Origination</t>
  </si>
  <si>
    <t>Gas Volume Management</t>
  </si>
  <si>
    <t xml:space="preserve">Power Volume Management </t>
  </si>
  <si>
    <t>Gas Settlement</t>
  </si>
  <si>
    <t>Power Settlement</t>
  </si>
  <si>
    <t>Gas Risk</t>
  </si>
  <si>
    <t>Power Risk</t>
  </si>
  <si>
    <t>Management Originations</t>
  </si>
  <si>
    <t>Ercot Power Originations</t>
  </si>
  <si>
    <t>Northeast Power Originations</t>
  </si>
  <si>
    <t>Midwest Power Originations</t>
  </si>
  <si>
    <t>Southeast Power Originations</t>
  </si>
  <si>
    <t>Ercot Origination</t>
  </si>
  <si>
    <t>Northeast Power Origination</t>
  </si>
  <si>
    <t>Midwest Power Origination</t>
  </si>
  <si>
    <t>Management Power Origination</t>
  </si>
  <si>
    <t>.</t>
  </si>
  <si>
    <t>Southeast Power Origination</t>
  </si>
  <si>
    <t>IT Infrastructure - Capital Projects</t>
  </si>
  <si>
    <t>Data Center Relocation</t>
  </si>
  <si>
    <t>Disaster Recovery</t>
  </si>
  <si>
    <t>Core Infrastructure Build</t>
  </si>
  <si>
    <t>Temp Data Center Readiness</t>
  </si>
  <si>
    <t>Desktop Technology Refresh</t>
  </si>
  <si>
    <t>Peripheral Technology Refresh</t>
  </si>
  <si>
    <t>Network Printer Refresh</t>
  </si>
  <si>
    <t>Total Capital Expenses</t>
  </si>
  <si>
    <t>West Power Consolidated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</si>
</sst>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7" formatCode="_(* #,##0.0_);_(* \(#,##0.0\);_(* &quot;-&quot;??_);_(@_)"/>
    <numFmt numFmtId="168" formatCode="_(* #,##0.0_);_(* \(#,##0.0\);_(* &quot;-&quot;?_);_(@_)"/>
    <numFmt numFmtId="169" formatCode="0.0%"/>
    <numFmt numFmtId="188" formatCode="0.0"/>
    <numFmt numFmtId="189" formatCode="_(* #,##0_);_(* \(#,##0\);_(* &quot;-&quot;?_);_(@_)"/>
  </numFmts>
  <fonts count="15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8"/>
      <name val="MS Sans Serif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150">
    <xf numFmtId="0" fontId="0" fillId="0" borderId="0" xfId="0"/>
    <xf numFmtId="0" fontId="2" fillId="0" borderId="0" xfId="0" applyFont="1" applyAlignment="1" applyProtection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7" fontId="3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65" fontId="6" fillId="0" borderId="0" xfId="3" applyNumberFormat="1" applyFont="1" applyProtection="1"/>
    <xf numFmtId="9" fontId="6" fillId="0" borderId="0" xfId="6" applyFont="1" applyProtection="1"/>
    <xf numFmtId="165" fontId="1" fillId="0" borderId="0" xfId="3" applyNumberFormat="1" applyBorder="1"/>
    <xf numFmtId="165" fontId="0" fillId="0" borderId="5" xfId="0" applyNumberFormat="1" applyBorder="1"/>
    <xf numFmtId="165" fontId="1" fillId="0" borderId="0" xfId="3" applyNumberFormat="1" applyBorder="1" applyAlignment="1">
      <alignment horizontal="center"/>
    </xf>
    <xf numFmtId="165" fontId="6" fillId="2" borderId="0" xfId="3" applyNumberFormat="1" applyFont="1" applyFill="1" applyProtection="1"/>
    <xf numFmtId="165" fontId="6" fillId="0" borderId="0" xfId="3" applyNumberFormat="1" applyFont="1" applyFill="1" applyProtection="1"/>
    <xf numFmtId="0" fontId="0" fillId="0" borderId="6" xfId="0" applyBorder="1"/>
    <xf numFmtId="0" fontId="0" fillId="0" borderId="7" xfId="0" applyBorder="1"/>
    <xf numFmtId="165" fontId="0" fillId="0" borderId="8" xfId="0" applyNumberFormat="1" applyBorder="1"/>
    <xf numFmtId="165" fontId="1" fillId="0" borderId="0" xfId="3" applyNumberFormat="1"/>
    <xf numFmtId="49" fontId="5" fillId="0" borderId="0" xfId="1" applyNumberFormat="1" applyFont="1" applyProtection="1"/>
    <xf numFmtId="0" fontId="3" fillId="0" borderId="0" xfId="1" applyNumberFormat="1" applyFont="1" applyProtection="1"/>
    <xf numFmtId="166" fontId="6" fillId="0" borderId="9" xfId="4" applyNumberFormat="1" applyFont="1" applyBorder="1"/>
    <xf numFmtId="166" fontId="6" fillId="0" borderId="0" xfId="4" applyNumberFormat="1" applyFont="1" applyBorder="1"/>
    <xf numFmtId="9" fontId="6" fillId="0" borderId="9" xfId="6" applyFont="1" applyBorder="1"/>
    <xf numFmtId="165" fontId="6" fillId="0" borderId="9" xfId="3" applyNumberFormat="1" applyFont="1" applyBorder="1" applyProtection="1"/>
    <xf numFmtId="165" fontId="6" fillId="0" borderId="0" xfId="3" applyNumberFormat="1" applyFont="1" applyBorder="1" applyProtection="1"/>
    <xf numFmtId="0" fontId="7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165" fontId="2" fillId="0" borderId="0" xfId="3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5" xfId="3" applyNumberFormat="1" applyBorder="1"/>
    <xf numFmtId="17" fontId="3" fillId="0" borderId="0" xfId="0" quotePrefix="1" applyNumberFormat="1" applyFont="1" applyFill="1" applyBorder="1" applyAlignment="1" applyProtection="1">
      <alignment horizontal="center"/>
    </xf>
    <xf numFmtId="169" fontId="6" fillId="0" borderId="0" xfId="6" applyNumberFormat="1" applyFont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0" fillId="0" borderId="0" xfId="0" applyNumberFormat="1"/>
    <xf numFmtId="165" fontId="1" fillId="0" borderId="0" xfId="3" applyNumberFormat="1" applyFont="1"/>
    <xf numFmtId="169" fontId="6" fillId="0" borderId="9" xfId="6" applyNumberFormat="1" applyFont="1" applyBorder="1"/>
    <xf numFmtId="9" fontId="1" fillId="0" borderId="0" xfId="6"/>
    <xf numFmtId="165" fontId="6" fillId="0" borderId="0" xfId="3" applyNumberFormat="1" applyFont="1" applyAlignment="1" applyProtection="1">
      <alignment horizontal="right"/>
    </xf>
    <xf numFmtId="166" fontId="0" fillId="0" borderId="0" xfId="0" applyNumberFormat="1"/>
    <xf numFmtId="0" fontId="0" fillId="0" borderId="9" xfId="0" applyFill="1" applyBorder="1"/>
    <xf numFmtId="0" fontId="1" fillId="0" borderId="0" xfId="3" applyNumberFormat="1" applyAlignment="1">
      <alignment horizontal="center"/>
    </xf>
    <xf numFmtId="0" fontId="8" fillId="0" borderId="0" xfId="0" applyFont="1" applyAlignment="1">
      <alignment horizontal="center"/>
    </xf>
    <xf numFmtId="166" fontId="6" fillId="0" borderId="10" xfId="4" applyNumberFormat="1" applyFont="1" applyBorder="1"/>
    <xf numFmtId="165" fontId="0" fillId="0" borderId="9" xfId="0" applyNumberFormat="1" applyBorder="1"/>
    <xf numFmtId="0" fontId="0" fillId="0" borderId="0" xfId="0" applyFill="1" applyBorder="1"/>
    <xf numFmtId="0" fontId="6" fillId="0" borderId="9" xfId="2" applyNumberFormat="1" applyFont="1" applyBorder="1" applyProtection="1"/>
    <xf numFmtId="0" fontId="0" fillId="0" borderId="11" xfId="0" applyBorder="1"/>
    <xf numFmtId="0" fontId="0" fillId="0" borderId="12" xfId="0" applyBorder="1"/>
    <xf numFmtId="165" fontId="1" fillId="0" borderId="12" xfId="3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7" fillId="0" borderId="14" xfId="0" applyFont="1" applyBorder="1"/>
    <xf numFmtId="165" fontId="1" fillId="0" borderId="15" xfId="3" applyNumberFormat="1" applyBorder="1"/>
    <xf numFmtId="0" fontId="0" fillId="0" borderId="16" xfId="0" applyBorder="1"/>
    <xf numFmtId="165" fontId="1" fillId="0" borderId="17" xfId="3" applyNumberFormat="1" applyBorder="1"/>
    <xf numFmtId="165" fontId="1" fillId="0" borderId="18" xfId="3" applyNumberFormat="1" applyBorder="1"/>
    <xf numFmtId="166" fontId="6" fillId="0" borderId="9" xfId="4" applyNumberFormat="1" applyFont="1" applyFill="1" applyBorder="1"/>
    <xf numFmtId="165" fontId="1" fillId="0" borderId="5" xfId="3" applyNumberFormat="1" applyFill="1" applyBorder="1" applyAlignment="1">
      <alignment horizontal="center"/>
    </xf>
    <xf numFmtId="165" fontId="0" fillId="0" borderId="0" xfId="0" applyNumberFormat="1" applyBorder="1"/>
    <xf numFmtId="0" fontId="3" fillId="0" borderId="0" xfId="0" quotePrefix="1" applyNumberFormat="1" applyFont="1" applyFill="1" applyBorder="1" applyAlignment="1" applyProtection="1">
      <alignment horizontal="center"/>
    </xf>
    <xf numFmtId="0" fontId="9" fillId="0" borderId="0" xfId="0" applyFont="1"/>
    <xf numFmtId="43" fontId="1" fillId="0" borderId="0" xfId="3" applyBorder="1"/>
    <xf numFmtId="165" fontId="0" fillId="0" borderId="9" xfId="0" applyNumberFormat="1" applyFill="1" applyBorder="1"/>
    <xf numFmtId="165" fontId="6" fillId="0" borderId="17" xfId="3" applyNumberFormat="1" applyFont="1" applyBorder="1" applyProtection="1"/>
    <xf numFmtId="164" fontId="2" fillId="0" borderId="0" xfId="0" applyNumberFormat="1" applyFont="1" applyBorder="1" applyAlignment="1" applyProtection="1">
      <alignment horizontal="center"/>
    </xf>
    <xf numFmtId="165" fontId="1" fillId="0" borderId="0" xfId="3" applyNumberFormat="1" applyFill="1" applyBorder="1" applyAlignment="1">
      <alignment horizontal="center"/>
    </xf>
    <xf numFmtId="0" fontId="7" fillId="0" borderId="0" xfId="0" applyFont="1" applyAlignment="1">
      <alignment horizontal="centerContinuous"/>
    </xf>
    <xf numFmtId="0" fontId="7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7" fontId="1" fillId="0" borderId="21" xfId="3" applyNumberFormat="1" applyBorder="1"/>
    <xf numFmtId="167" fontId="1" fillId="0" borderId="0" xfId="3" applyNumberFormat="1"/>
    <xf numFmtId="167" fontId="1" fillId="0" borderId="0" xfId="3" applyNumberFormat="1" applyFont="1"/>
    <xf numFmtId="0" fontId="0" fillId="0" borderId="21" xfId="0" applyBorder="1"/>
    <xf numFmtId="167" fontId="1" fillId="0" borderId="22" xfId="3" applyNumberFormat="1" applyBorder="1"/>
    <xf numFmtId="0" fontId="0" fillId="0" borderId="22" xfId="0" applyBorder="1"/>
    <xf numFmtId="165" fontId="1" fillId="0" borderId="21" xfId="3" applyNumberFormat="1" applyBorder="1"/>
    <xf numFmtId="168" fontId="0" fillId="0" borderId="22" xfId="0" applyNumberFormat="1" applyBorder="1"/>
    <xf numFmtId="168" fontId="0" fillId="0" borderId="23" xfId="0" applyNumberFormat="1" applyBorder="1"/>
    <xf numFmtId="189" fontId="0" fillId="0" borderId="23" xfId="0" applyNumberFormat="1" applyBorder="1"/>
    <xf numFmtId="0" fontId="0" fillId="0" borderId="20" xfId="0" applyBorder="1"/>
    <xf numFmtId="168" fontId="0" fillId="0" borderId="21" xfId="0" applyNumberFormat="1" applyBorder="1"/>
    <xf numFmtId="189" fontId="0" fillId="0" borderId="21" xfId="0" applyNumberFormat="1" applyBorder="1"/>
    <xf numFmtId="167" fontId="0" fillId="0" borderId="21" xfId="0" applyNumberFormat="1" applyBorder="1"/>
    <xf numFmtId="43" fontId="1" fillId="0" borderId="21" xfId="3" applyBorder="1"/>
    <xf numFmtId="167" fontId="1" fillId="0" borderId="20" xfId="3" applyNumberFormat="1" applyBorder="1"/>
    <xf numFmtId="167" fontId="1" fillId="0" borderId="21" xfId="3" applyNumberFormat="1" applyFont="1" applyBorder="1"/>
    <xf numFmtId="167" fontId="1" fillId="0" borderId="0" xfId="3" applyNumberFormat="1" applyBorder="1"/>
    <xf numFmtId="168" fontId="0" fillId="0" borderId="0" xfId="0" applyNumberFormat="1" applyBorder="1"/>
    <xf numFmtId="167" fontId="0" fillId="0" borderId="23" xfId="0" applyNumberFormat="1" applyBorder="1"/>
    <xf numFmtId="165" fontId="0" fillId="0" borderId="23" xfId="0" applyNumberFormat="1" applyBorder="1"/>
    <xf numFmtId="165" fontId="6" fillId="0" borderId="0" xfId="3" applyNumberFormat="1" applyFont="1" applyAlignment="1" applyProtection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165" fontId="1" fillId="0" borderId="21" xfId="3" applyNumberFormat="1" applyFont="1" applyBorder="1"/>
    <xf numFmtId="188" fontId="0" fillId="0" borderId="21" xfId="0" applyNumberFormat="1" applyBorder="1"/>
    <xf numFmtId="188" fontId="0" fillId="0" borderId="0" xfId="0" applyNumberFormat="1" applyBorder="1"/>
    <xf numFmtId="43" fontId="1" fillId="0" borderId="21" xfId="3" applyFont="1" applyBorder="1"/>
    <xf numFmtId="43" fontId="1" fillId="0" borderId="22" xfId="3" applyFont="1" applyBorder="1"/>
    <xf numFmtId="167" fontId="0" fillId="0" borderId="0" xfId="0" applyNumberFormat="1" applyBorder="1"/>
    <xf numFmtId="167" fontId="1" fillId="0" borderId="23" xfId="3" applyNumberFormat="1" applyBorder="1"/>
    <xf numFmtId="165" fontId="1" fillId="0" borderId="23" xfId="3" applyNumberFormat="1" applyBorder="1"/>
    <xf numFmtId="0" fontId="7" fillId="0" borderId="25" xfId="0" applyFont="1" applyBorder="1" applyAlignment="1">
      <alignment horizontal="center"/>
    </xf>
    <xf numFmtId="0" fontId="0" fillId="0" borderId="17" xfId="0" applyBorder="1"/>
    <xf numFmtId="43" fontId="6" fillId="0" borderId="0" xfId="3" applyFont="1" applyBorder="1" applyProtection="1"/>
    <xf numFmtId="0" fontId="13" fillId="0" borderId="26" xfId="5" applyFont="1" applyFill="1" applyBorder="1" applyAlignment="1">
      <alignment horizontal="left"/>
    </xf>
    <xf numFmtId="0" fontId="13" fillId="0" borderId="27" xfId="5" applyFont="1" applyFill="1" applyBorder="1" applyAlignment="1">
      <alignment horizontal="left"/>
    </xf>
    <xf numFmtId="165" fontId="7" fillId="0" borderId="0" xfId="3" applyNumberFormat="1" applyFont="1" applyFill="1" applyBorder="1" applyAlignment="1">
      <alignment horizontal="center"/>
    </xf>
    <xf numFmtId="168" fontId="0" fillId="0" borderId="0" xfId="0" applyNumberFormat="1"/>
    <xf numFmtId="167" fontId="7" fillId="0" borderId="21" xfId="3" applyNumberFormat="1" applyFont="1" applyBorder="1"/>
    <xf numFmtId="167" fontId="7" fillId="0" borderId="0" xfId="3" applyNumberFormat="1" applyFont="1"/>
    <xf numFmtId="167" fontId="7" fillId="0" borderId="0" xfId="3" applyNumberFormat="1" applyFont="1" applyBorder="1"/>
    <xf numFmtId="165" fontId="7" fillId="0" borderId="21" xfId="3" applyNumberFormat="1" applyFont="1" applyBorder="1"/>
    <xf numFmtId="0" fontId="7" fillId="0" borderId="21" xfId="0" applyFont="1" applyBorder="1"/>
    <xf numFmtId="43" fontId="7" fillId="0" borderId="21" xfId="3" applyFont="1" applyBorder="1"/>
    <xf numFmtId="0" fontId="7" fillId="0" borderId="0" xfId="0" applyFont="1" applyBorder="1"/>
    <xf numFmtId="0" fontId="14" fillId="0" borderId="0" xfId="0" applyFont="1"/>
    <xf numFmtId="167" fontId="14" fillId="0" borderId="21" xfId="3" applyNumberFormat="1" applyFont="1" applyBorder="1"/>
    <xf numFmtId="167" fontId="14" fillId="0" borderId="0" xfId="3" applyNumberFormat="1" applyFont="1"/>
    <xf numFmtId="167" fontId="14" fillId="0" borderId="0" xfId="3" applyNumberFormat="1" applyFont="1" applyBorder="1"/>
    <xf numFmtId="165" fontId="14" fillId="0" borderId="21" xfId="3" applyNumberFormat="1" applyFont="1" applyBorder="1"/>
    <xf numFmtId="0" fontId="14" fillId="0" borderId="21" xfId="0" applyFont="1" applyBorder="1"/>
    <xf numFmtId="165" fontId="6" fillId="0" borderId="0" xfId="3" applyNumberFormat="1" applyFont="1"/>
    <xf numFmtId="0" fontId="7" fillId="0" borderId="0" xfId="0" applyFont="1" applyAlignment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0" xfId="0" applyAlignment="1">
      <alignment horizontal="center"/>
    </xf>
    <xf numFmtId="17" fontId="2" fillId="0" borderId="0" xfId="0" applyNumberFormat="1" applyFont="1" applyAlignment="1" applyProtection="1">
      <alignment horizontal="center"/>
    </xf>
    <xf numFmtId="17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164" fontId="2" fillId="0" borderId="0" xfId="0" quotePrefix="1" applyNumberFormat="1" applyFont="1" applyAlignment="1" applyProtection="1">
      <alignment horizontal="center"/>
    </xf>
  </cellXfs>
  <cellStyles count="10">
    <cellStyle name="Comma" xfId="3" builtinId="3"/>
    <cellStyle name="Currency" xfId="4" builtinId="4"/>
    <cellStyle name="Normal" xfId="0" builtinId="0"/>
    <cellStyle name="Normal_Sheet1" xfId="5"/>
    <cellStyle name="Percent" xfId="6" builtinId="5"/>
    <cellStyle name="RowLevel_3" xfId="1" builtinId="1" iLevel="2"/>
    <cellStyle name="RowLevel_4" xfId="2" builtinId="1" iLevel="3"/>
    <cellStyle name="SAPLocked" xfId="7"/>
    <cellStyle name="SAPOutput" xfId="8"/>
    <cellStyle name="SAPUnLocked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externalLink" Target="externalLinks/externalLink21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externalLink" Target="externalLinks/externalLink16.xml"/><Relationship Id="rId16" Type="http://schemas.openxmlformats.org/officeDocument/2006/relationships/worksheet" Target="worksheets/sheet16.xml"/><Relationship Id="rId107" Type="http://schemas.openxmlformats.org/officeDocument/2006/relationships/externalLink" Target="externalLinks/externalLink1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externalLink" Target="externalLinks/externalLink6.xml"/><Relationship Id="rId123" Type="http://schemas.openxmlformats.org/officeDocument/2006/relationships/externalLink" Target="externalLinks/externalLink27.xml"/><Relationship Id="rId128" Type="http://schemas.openxmlformats.org/officeDocument/2006/relationships/calcChain" Target="calcChain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externalLink" Target="externalLinks/externalLink17.xml"/><Relationship Id="rId118" Type="http://schemas.openxmlformats.org/officeDocument/2006/relationships/externalLink" Target="externalLinks/externalLink2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externalLink" Target="externalLinks/externalLink7.xml"/><Relationship Id="rId108" Type="http://schemas.openxmlformats.org/officeDocument/2006/relationships/externalLink" Target="externalLinks/externalLink12.xml"/><Relationship Id="rId124" Type="http://schemas.openxmlformats.org/officeDocument/2006/relationships/externalLink" Target="externalLinks/externalLink2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externalLink" Target="externalLinks/externalLink18.xml"/><Relationship Id="rId119" Type="http://schemas.openxmlformats.org/officeDocument/2006/relationships/externalLink" Target="externalLinks/externalLink23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externalLink" Target="externalLinks/externalLink13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externalLink" Target="externalLinks/externalLink1.xml"/><Relationship Id="rId104" Type="http://schemas.openxmlformats.org/officeDocument/2006/relationships/externalLink" Target="externalLinks/externalLink8.xml"/><Relationship Id="rId120" Type="http://schemas.openxmlformats.org/officeDocument/2006/relationships/externalLink" Target="externalLinks/externalLink24.xml"/><Relationship Id="rId125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externalLink" Target="externalLinks/externalLink14.xml"/><Relationship Id="rId115" Type="http://schemas.openxmlformats.org/officeDocument/2006/relationships/externalLink" Target="externalLinks/externalLink19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externalLink" Target="externalLinks/externalLink4.xml"/><Relationship Id="rId105" Type="http://schemas.openxmlformats.org/officeDocument/2006/relationships/externalLink" Target="externalLinks/externalLink9.xml"/><Relationship Id="rId12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externalLink" Target="externalLinks/externalLink2.xml"/><Relationship Id="rId121" Type="http://schemas.openxmlformats.org/officeDocument/2006/relationships/externalLink" Target="externalLinks/externalLink25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externalLink" Target="externalLinks/externalLink20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externalLink" Target="externalLinks/externalLink15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externalLink" Target="externalLinks/externalLink10.xml"/><Relationship Id="rId1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externalLink" Target="externalLinks/externalLink3.xml"/><Relationship Id="rId101" Type="http://schemas.openxmlformats.org/officeDocument/2006/relationships/externalLink" Target="externalLinks/externalLink5.xml"/><Relationship Id="rId122" Type="http://schemas.openxmlformats.org/officeDocument/2006/relationships/externalLink" Target="externalLinks/externalLink2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nada%20Consolidated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ast%20Power%20Consolidation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atural%20Gas%20Consolidate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Power%20Consolidatio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east/Local%20Settings/Temporary%20Internet%20Files/OLK588/WPR%20Trading%20Repor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east/Local%20Settings/Temporary%20Internet%20Files/OLK588/Natural%20Gas%20Consolidated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vandor/Local%20Settings/Temporary%20Internet%20Files/OLK180/WPR%20Trading%20Repor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vandor/Local%20Settings/Temporary%20Internet%20Files/OLK180/West%20Power%20Consolidation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atural%20Gas%20-%20Regions/Derivatives_Wellhead_Mexico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Power%20Netco%20Budget%2001-03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usiness%20Analysis%20&amp;%20Reporti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n%20Gas%20%20Repor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ax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Regulatory%20Affair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orth%20America%20Plan%2001-09%20adj(2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Human%20Resources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nada%20Support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T_Infra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Legal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ops%20breakout%2001-09adj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ops%20breakout%2001-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ompetitive%20Analysi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Research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T_SA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T_Developmen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T_EO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Office%20of%20the%20Chai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PR%20Trading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idated"/>
      <sheetName val="Natural Gas"/>
      <sheetName val="Ontario"/>
      <sheetName val="Finance"/>
      <sheetName val="Executive"/>
      <sheetName val="Alberta"/>
    </sheetNames>
    <sheetDataSet>
      <sheetData sheetId="0" refreshError="1"/>
      <sheetData sheetId="1">
        <row r="8">
          <cell r="C8">
            <v>1193609.22</v>
          </cell>
          <cell r="E8">
            <v>1591478.96</v>
          </cell>
        </row>
        <row r="9">
          <cell r="E9">
            <v>0</v>
          </cell>
        </row>
        <row r="11">
          <cell r="C11">
            <v>103223.21999999999</v>
          </cell>
          <cell r="E11">
            <v>137630.96</v>
          </cell>
        </row>
        <row r="12">
          <cell r="C12">
            <v>22851.149999999998</v>
          </cell>
          <cell r="E12">
            <v>30468.199999999997</v>
          </cell>
        </row>
        <row r="13">
          <cell r="C13">
            <v>104096.53</v>
          </cell>
          <cell r="E13">
            <v>138795.37333333335</v>
          </cell>
        </row>
        <row r="14">
          <cell r="C14">
            <v>173109.88</v>
          </cell>
          <cell r="E14">
            <v>230813.17333333334</v>
          </cell>
        </row>
        <row r="15">
          <cell r="C15">
            <v>3086.9599999999996</v>
          </cell>
          <cell r="E15">
            <v>4115.9466666666658</v>
          </cell>
        </row>
        <row r="16">
          <cell r="C16">
            <v>0</v>
          </cell>
          <cell r="E16">
            <v>0</v>
          </cell>
        </row>
        <row r="17">
          <cell r="C17">
            <v>488.97</v>
          </cell>
          <cell r="E17">
            <v>651.96</v>
          </cell>
        </row>
        <row r="18">
          <cell r="C18">
            <v>10705.9</v>
          </cell>
          <cell r="E18">
            <v>14274.533333333333</v>
          </cell>
        </row>
        <row r="19">
          <cell r="C19">
            <v>45596.1</v>
          </cell>
          <cell r="E19">
            <v>60794.8</v>
          </cell>
        </row>
        <row r="20">
          <cell r="C20">
            <v>0</v>
          </cell>
          <cell r="E20">
            <v>0</v>
          </cell>
        </row>
        <row r="21">
          <cell r="C21">
            <v>1635.2900000000373</v>
          </cell>
          <cell r="E21">
            <v>2180.3866666667163</v>
          </cell>
        </row>
        <row r="22">
          <cell r="C22">
            <v>59.44</v>
          </cell>
          <cell r="E22">
            <v>79.25333333333333</v>
          </cell>
        </row>
        <row r="25">
          <cell r="E25">
            <v>14</v>
          </cell>
        </row>
        <row r="27">
          <cell r="E27">
            <v>11</v>
          </cell>
        </row>
      </sheetData>
      <sheetData sheetId="2">
        <row r="8">
          <cell r="C8">
            <v>577497.65</v>
          </cell>
          <cell r="E8">
            <v>769996.8666666667</v>
          </cell>
        </row>
        <row r="9">
          <cell r="E9">
            <v>0</v>
          </cell>
        </row>
        <row r="11">
          <cell r="C11">
            <v>99488.99</v>
          </cell>
          <cell r="E11">
            <v>132651.98666666669</v>
          </cell>
        </row>
        <row r="12">
          <cell r="C12">
            <v>21575.309999999998</v>
          </cell>
          <cell r="E12">
            <v>28767.079999999994</v>
          </cell>
        </row>
        <row r="13">
          <cell r="C13">
            <v>69520.989999999991</v>
          </cell>
          <cell r="E13">
            <v>92694.653333333321</v>
          </cell>
        </row>
        <row r="14">
          <cell r="C14">
            <v>53310.62</v>
          </cell>
          <cell r="E14">
            <v>71080.826666666675</v>
          </cell>
        </row>
        <row r="15">
          <cell r="C15">
            <v>994.06</v>
          </cell>
          <cell r="E15">
            <v>1325.4133333333332</v>
          </cell>
        </row>
        <row r="16">
          <cell r="C16">
            <v>0</v>
          </cell>
          <cell r="E16">
            <v>0</v>
          </cell>
        </row>
        <row r="17">
          <cell r="C17">
            <v>319.09999999999997</v>
          </cell>
          <cell r="E17">
            <v>425.46666666666658</v>
          </cell>
        </row>
        <row r="18">
          <cell r="C18">
            <v>991.31999999999994</v>
          </cell>
          <cell r="E18">
            <v>1321.76</v>
          </cell>
        </row>
        <row r="19">
          <cell r="C19">
            <v>1887.45</v>
          </cell>
          <cell r="E19">
            <v>2516.6</v>
          </cell>
        </row>
        <row r="20">
          <cell r="C20">
            <v>0</v>
          </cell>
          <cell r="E20">
            <v>0</v>
          </cell>
        </row>
        <row r="21">
          <cell r="C21">
            <v>6275.16</v>
          </cell>
          <cell r="E21">
            <v>8366.880000000001</v>
          </cell>
        </row>
        <row r="22">
          <cell r="C22">
            <v>0</v>
          </cell>
          <cell r="E22">
            <v>0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3">
        <row r="8">
          <cell r="C8">
            <v>290260.77</v>
          </cell>
          <cell r="E8">
            <v>387014.36000000004</v>
          </cell>
        </row>
        <row r="9">
          <cell r="E9">
            <v>0</v>
          </cell>
        </row>
        <row r="11">
          <cell r="C11">
            <v>38678.51</v>
          </cell>
          <cell r="E11">
            <v>51571.346666666665</v>
          </cell>
        </row>
        <row r="12">
          <cell r="C12">
            <v>4768.0999999999995</v>
          </cell>
          <cell r="E12">
            <v>6357.4666666666653</v>
          </cell>
        </row>
        <row r="13">
          <cell r="C13">
            <v>39685.300000000003</v>
          </cell>
          <cell r="E13">
            <v>52913.733333333337</v>
          </cell>
        </row>
        <row r="14">
          <cell r="C14">
            <v>46875.47</v>
          </cell>
          <cell r="E14">
            <v>62500.626666666663</v>
          </cell>
        </row>
        <row r="15">
          <cell r="C15">
            <v>746.0799999999997</v>
          </cell>
          <cell r="E15">
            <v>994.77333333333297</v>
          </cell>
        </row>
        <row r="16">
          <cell r="C16">
            <v>0</v>
          </cell>
          <cell r="E16">
            <v>0</v>
          </cell>
        </row>
        <row r="17">
          <cell r="C17">
            <v>767.34</v>
          </cell>
          <cell r="E17">
            <v>1023.1200000000001</v>
          </cell>
        </row>
        <row r="18">
          <cell r="C18">
            <v>3684.3199999999997</v>
          </cell>
          <cell r="E18">
            <v>4912.4266666666663</v>
          </cell>
        </row>
        <row r="19">
          <cell r="C19">
            <v>288.83</v>
          </cell>
          <cell r="E19">
            <v>385.10666666666663</v>
          </cell>
        </row>
        <row r="20">
          <cell r="C20">
            <v>0</v>
          </cell>
          <cell r="E20">
            <v>0</v>
          </cell>
        </row>
        <row r="21">
          <cell r="C21">
            <v>2802.8100000000013</v>
          </cell>
          <cell r="E21">
            <v>3737.0800000000017</v>
          </cell>
        </row>
        <row r="22">
          <cell r="C22">
            <v>6047.2600000000093</v>
          </cell>
          <cell r="E22">
            <v>8063.0133333333461</v>
          </cell>
        </row>
        <row r="25">
          <cell r="E25">
            <v>2</v>
          </cell>
        </row>
        <row r="27">
          <cell r="E27">
            <v>3</v>
          </cell>
        </row>
      </sheetData>
      <sheetData sheetId="4">
        <row r="8">
          <cell r="C8">
            <v>201176.03999999998</v>
          </cell>
          <cell r="E8">
            <v>268234.71999999997</v>
          </cell>
        </row>
        <row r="9">
          <cell r="E9">
            <v>0</v>
          </cell>
        </row>
        <row r="10">
          <cell r="C10">
            <v>0</v>
          </cell>
          <cell r="E10">
            <v>0</v>
          </cell>
        </row>
        <row r="12">
          <cell r="C12">
            <v>3745.83</v>
          </cell>
          <cell r="E12">
            <v>4994.4399999999996</v>
          </cell>
        </row>
        <row r="13">
          <cell r="C13">
            <v>12817.840000000002</v>
          </cell>
          <cell r="E13">
            <v>17090.453333333335</v>
          </cell>
        </row>
        <row r="14">
          <cell r="C14">
            <v>8483.6</v>
          </cell>
          <cell r="E14">
            <v>11311.466666666667</v>
          </cell>
        </row>
        <row r="15">
          <cell r="C15">
            <v>795.65</v>
          </cell>
          <cell r="E15">
            <v>1060.8666666666666</v>
          </cell>
        </row>
        <row r="16">
          <cell r="C16">
            <v>0</v>
          </cell>
          <cell r="E16">
            <v>0</v>
          </cell>
        </row>
        <row r="17">
          <cell r="C17">
            <v>308.20999999999998</v>
          </cell>
          <cell r="E17">
            <v>410.94666666666666</v>
          </cell>
        </row>
        <row r="18">
          <cell r="C18">
            <v>501.29</v>
          </cell>
          <cell r="E18">
            <v>668.38666666666666</v>
          </cell>
        </row>
        <row r="19">
          <cell r="C19">
            <v>0</v>
          </cell>
          <cell r="E19">
            <v>0</v>
          </cell>
        </row>
        <row r="20">
          <cell r="C20">
            <v>0</v>
          </cell>
          <cell r="E20">
            <v>0</v>
          </cell>
        </row>
        <row r="21">
          <cell r="C21">
            <v>4553.0099999999984</v>
          </cell>
          <cell r="E21">
            <v>6070.6799999999976</v>
          </cell>
        </row>
        <row r="22">
          <cell r="C22">
            <v>0</v>
          </cell>
          <cell r="E22">
            <v>0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5">
        <row r="8">
          <cell r="C8">
            <v>593378.34999999986</v>
          </cell>
          <cell r="E8">
            <v>791171.13333333307</v>
          </cell>
        </row>
        <row r="9">
          <cell r="C9">
            <v>0</v>
          </cell>
          <cell r="E9">
            <v>0</v>
          </cell>
        </row>
        <row r="11">
          <cell r="C11">
            <v>71291.649999999994</v>
          </cell>
          <cell r="E11">
            <v>95055.533333333326</v>
          </cell>
        </row>
        <row r="12">
          <cell r="C12">
            <v>14379.74</v>
          </cell>
          <cell r="E12">
            <v>19172.986666666664</v>
          </cell>
        </row>
        <row r="13">
          <cell r="C13">
            <v>71751.179999999993</v>
          </cell>
          <cell r="E13">
            <v>95668.239999999991</v>
          </cell>
        </row>
        <row r="14">
          <cell r="C14">
            <v>223960.41000000003</v>
          </cell>
          <cell r="E14">
            <v>298613.88000000006</v>
          </cell>
        </row>
        <row r="15">
          <cell r="C15">
            <v>804.67000000000007</v>
          </cell>
          <cell r="E15">
            <v>1072.8933333333334</v>
          </cell>
        </row>
        <row r="16">
          <cell r="C16">
            <v>0</v>
          </cell>
          <cell r="E16">
            <v>0</v>
          </cell>
        </row>
        <row r="17">
          <cell r="C17">
            <v>0</v>
          </cell>
          <cell r="E17">
            <v>0</v>
          </cell>
        </row>
        <row r="18">
          <cell r="C18">
            <v>3325.59</v>
          </cell>
          <cell r="E18">
            <v>4434.12</v>
          </cell>
        </row>
        <row r="19">
          <cell r="C19">
            <v>4572.46</v>
          </cell>
          <cell r="E19">
            <v>6096.6133333333337</v>
          </cell>
        </row>
        <row r="20">
          <cell r="C20">
            <v>0</v>
          </cell>
          <cell r="E20">
            <v>0</v>
          </cell>
        </row>
        <row r="21">
          <cell r="C21">
            <v>4502.9000000000087</v>
          </cell>
          <cell r="E21">
            <v>6003.8666666666786</v>
          </cell>
        </row>
        <row r="22">
          <cell r="C22">
            <v>0</v>
          </cell>
          <cell r="E22">
            <v>0</v>
          </cell>
        </row>
        <row r="25">
          <cell r="E25">
            <v>8</v>
          </cell>
        </row>
        <row r="27">
          <cell r="E27">
            <v>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st Power Consolidated"/>
      <sheetName val="Fund-Struct"/>
      <sheetName val="Ercot Trading"/>
      <sheetName val="Ercot Origination"/>
      <sheetName val="Southeast Trading"/>
      <sheetName val="Southeast Origination"/>
      <sheetName val="Midwest Trading"/>
      <sheetName val="Midwest Origination"/>
      <sheetName val="Northeast Trading"/>
      <sheetName val="Northeast Origination"/>
      <sheetName val="Management Book"/>
      <sheetName val="Structuring_Fund"/>
      <sheetName val="Services"/>
      <sheetName val="Options"/>
    </sheetNames>
    <sheetDataSet>
      <sheetData sheetId="0"/>
      <sheetData sheetId="1"/>
      <sheetData sheetId="2">
        <row r="8">
          <cell r="C8">
            <v>435566.2300000001</v>
          </cell>
        </row>
        <row r="9">
          <cell r="C9">
            <v>57500</v>
          </cell>
        </row>
        <row r="10">
          <cell r="C10">
            <v>136200</v>
          </cell>
        </row>
        <row r="11">
          <cell r="C11">
            <v>96245.64</v>
          </cell>
        </row>
        <row r="12">
          <cell r="C12">
            <v>35923.870000000003</v>
          </cell>
        </row>
        <row r="13">
          <cell r="C13">
            <v>15703.859999999999</v>
          </cell>
        </row>
        <row r="14">
          <cell r="C14">
            <v>0</v>
          </cell>
        </row>
        <row r="15">
          <cell r="C15">
            <v>6868.09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63424.47</v>
          </cell>
          <cell r="K19">
            <v>0</v>
          </cell>
        </row>
        <row r="20">
          <cell r="C20">
            <v>0</v>
          </cell>
        </row>
        <row r="21">
          <cell r="C21">
            <v>197.29000000000815</v>
          </cell>
        </row>
        <row r="22">
          <cell r="C22">
            <v>81.42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3">
        <row r="8">
          <cell r="C8">
            <v>264134.33999999997</v>
          </cell>
        </row>
        <row r="9">
          <cell r="C9">
            <v>115000</v>
          </cell>
        </row>
        <row r="10">
          <cell r="C10">
            <v>87371</v>
          </cell>
        </row>
        <row r="11">
          <cell r="C11">
            <v>94561.45</v>
          </cell>
        </row>
        <row r="12">
          <cell r="C12">
            <v>17122.72</v>
          </cell>
        </row>
        <row r="13">
          <cell r="C13">
            <v>66686.51999999999</v>
          </cell>
        </row>
        <row r="14">
          <cell r="C14">
            <v>2489.4699999999998</v>
          </cell>
        </row>
        <row r="15">
          <cell r="C15">
            <v>2719</v>
          </cell>
        </row>
        <row r="16">
          <cell r="C16">
            <v>0</v>
          </cell>
          <cell r="K16">
            <v>0</v>
          </cell>
        </row>
        <row r="17">
          <cell r="C17">
            <v>300</v>
          </cell>
          <cell r="K17">
            <v>0</v>
          </cell>
        </row>
        <row r="18">
          <cell r="C18">
            <v>129.24</v>
          </cell>
          <cell r="K18">
            <v>0</v>
          </cell>
        </row>
        <row r="19">
          <cell r="C19">
            <v>1267.8</v>
          </cell>
          <cell r="K19">
            <v>0</v>
          </cell>
        </row>
        <row r="20">
          <cell r="C20">
            <v>0</v>
          </cell>
        </row>
        <row r="21">
          <cell r="C21">
            <v>1704.4800000000032</v>
          </cell>
        </row>
        <row r="22">
          <cell r="C22">
            <v>54</v>
          </cell>
        </row>
        <row r="25">
          <cell r="E25">
            <v>3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4">
        <row r="8">
          <cell r="C8">
            <v>713168.45000000007</v>
          </cell>
        </row>
        <row r="9">
          <cell r="C9">
            <v>130000</v>
          </cell>
        </row>
        <row r="10">
          <cell r="C10">
            <v>167015</v>
          </cell>
        </row>
        <row r="11">
          <cell r="C11">
            <v>157936.78</v>
          </cell>
        </row>
        <row r="12">
          <cell r="C12">
            <v>44114.159999999989</v>
          </cell>
        </row>
        <row r="13">
          <cell r="C13">
            <v>43025.299999999996</v>
          </cell>
        </row>
        <row r="14">
          <cell r="C14">
            <v>28750</v>
          </cell>
        </row>
        <row r="15">
          <cell r="C15">
            <v>433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14417.72</v>
          </cell>
          <cell r="K19">
            <v>0</v>
          </cell>
        </row>
        <row r="20">
          <cell r="C20">
            <v>0</v>
          </cell>
        </row>
        <row r="21">
          <cell r="C21">
            <v>30.899999999994179</v>
          </cell>
        </row>
        <row r="22">
          <cell r="C22">
            <v>123.97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4</v>
          </cell>
          <cell r="K27">
            <v>0</v>
          </cell>
        </row>
      </sheetData>
      <sheetData sheetId="5">
        <row r="8">
          <cell r="C8">
            <v>501061.72000000009</v>
          </cell>
        </row>
        <row r="9">
          <cell r="C9">
            <v>7500</v>
          </cell>
        </row>
        <row r="10">
          <cell r="C10">
            <v>345600</v>
          </cell>
        </row>
        <row r="11">
          <cell r="C11">
            <v>112865</v>
          </cell>
        </row>
        <row r="12">
          <cell r="C12">
            <v>43971.199999999997</v>
          </cell>
        </row>
        <row r="13">
          <cell r="C13">
            <v>272272.65000000002</v>
          </cell>
        </row>
        <row r="14">
          <cell r="C14">
            <v>25184.139999999956</v>
          </cell>
        </row>
        <row r="15">
          <cell r="C15">
            <v>6445.68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54297.13</v>
          </cell>
          <cell r="K19">
            <v>0</v>
          </cell>
        </row>
        <row r="20">
          <cell r="C20">
            <v>0</v>
          </cell>
        </row>
        <row r="21">
          <cell r="C21">
            <v>10598.029999999999</v>
          </cell>
        </row>
        <row r="22">
          <cell r="C22">
            <v>81.47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6">
        <row r="8">
          <cell r="C8">
            <v>742310.07000000007</v>
          </cell>
        </row>
        <row r="9">
          <cell r="C9">
            <v>100000</v>
          </cell>
        </row>
        <row r="10">
          <cell r="C10">
            <v>221148</v>
          </cell>
        </row>
        <row r="11">
          <cell r="C11">
            <v>169144.2</v>
          </cell>
        </row>
        <row r="12">
          <cell r="C12">
            <v>16314.75</v>
          </cell>
        </row>
        <row r="13">
          <cell r="C13">
            <v>35684.489999999991</v>
          </cell>
        </row>
        <row r="14">
          <cell r="C14">
            <v>12093.23</v>
          </cell>
        </row>
        <row r="15">
          <cell r="C15">
            <v>578.04999999999995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5658.16</v>
          </cell>
          <cell r="K19">
            <v>0</v>
          </cell>
        </row>
        <row r="20">
          <cell r="C20">
            <v>0</v>
          </cell>
        </row>
        <row r="21">
          <cell r="C21">
            <v>2821.6199999999953</v>
          </cell>
        </row>
        <row r="22">
          <cell r="C22">
            <v>144.88000000000002</v>
          </cell>
        </row>
        <row r="25">
          <cell r="E25">
            <v>10</v>
          </cell>
          <cell r="K25">
            <v>0</v>
          </cell>
        </row>
        <row r="26">
          <cell r="K26">
            <v>0</v>
          </cell>
        </row>
        <row r="27">
          <cell r="E27">
            <v>2</v>
          </cell>
          <cell r="K27">
            <v>0</v>
          </cell>
        </row>
      </sheetData>
      <sheetData sheetId="7">
        <row r="8">
          <cell r="C8">
            <v>677169.81</v>
          </cell>
        </row>
        <row r="9">
          <cell r="C9">
            <v>250000</v>
          </cell>
        </row>
        <row r="10">
          <cell r="C10">
            <v>188354</v>
          </cell>
        </row>
        <row r="11">
          <cell r="C11">
            <v>120189.63999999998</v>
          </cell>
        </row>
        <row r="12">
          <cell r="C12">
            <v>29402.569999999992</v>
          </cell>
        </row>
        <row r="13">
          <cell r="C13">
            <v>92160.449999999983</v>
          </cell>
        </row>
        <row r="14">
          <cell r="C14">
            <v>242.05</v>
          </cell>
        </row>
        <row r="15">
          <cell r="C15">
            <v>9557.0800000000017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158.21</v>
          </cell>
          <cell r="K18">
            <v>0</v>
          </cell>
        </row>
        <row r="19">
          <cell r="C19">
            <v>9885.14</v>
          </cell>
          <cell r="K19">
            <v>0</v>
          </cell>
        </row>
        <row r="20">
          <cell r="C20">
            <v>20.9</v>
          </cell>
        </row>
        <row r="21">
          <cell r="C21">
            <v>18010.459999999992</v>
          </cell>
        </row>
        <row r="22">
          <cell r="C22">
            <v>106.7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3</v>
          </cell>
          <cell r="K27">
            <v>0</v>
          </cell>
        </row>
      </sheetData>
      <sheetData sheetId="8">
        <row r="8">
          <cell r="C8">
            <v>903642.27</v>
          </cell>
        </row>
        <row r="9">
          <cell r="C9">
            <v>390000</v>
          </cell>
        </row>
        <row r="10">
          <cell r="C10">
            <v>232380</v>
          </cell>
        </row>
        <row r="11">
          <cell r="C11">
            <v>220674.42</v>
          </cell>
        </row>
        <row r="12">
          <cell r="C12">
            <v>25845.53</v>
          </cell>
        </row>
        <row r="13">
          <cell r="C13">
            <v>13971.93</v>
          </cell>
        </row>
        <row r="14">
          <cell r="C14">
            <v>0</v>
          </cell>
        </row>
        <row r="15">
          <cell r="C15">
            <v>333.47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14862.380000000001</v>
          </cell>
          <cell r="K19">
            <v>0</v>
          </cell>
        </row>
        <row r="20">
          <cell r="C20">
            <v>0</v>
          </cell>
        </row>
        <row r="21">
          <cell r="C21">
            <v>8467.4700000000012</v>
          </cell>
        </row>
        <row r="22">
          <cell r="C22">
            <v>168.95999999999998</v>
          </cell>
        </row>
        <row r="25">
          <cell r="E25">
            <v>12</v>
          </cell>
          <cell r="K25">
            <v>0</v>
          </cell>
        </row>
        <row r="26">
          <cell r="K26">
            <v>0</v>
          </cell>
        </row>
        <row r="27">
          <cell r="E27">
            <v>8</v>
          </cell>
          <cell r="K27">
            <v>0</v>
          </cell>
        </row>
      </sheetData>
      <sheetData sheetId="9">
        <row r="8">
          <cell r="C8">
            <v>663063.48999999987</v>
          </cell>
        </row>
        <row r="9">
          <cell r="C9">
            <v>50000</v>
          </cell>
        </row>
        <row r="10">
          <cell r="C10">
            <v>283250</v>
          </cell>
        </row>
        <row r="11">
          <cell r="C11">
            <v>136045.92000000001</v>
          </cell>
        </row>
        <row r="12">
          <cell r="C12">
            <v>39620.5</v>
          </cell>
        </row>
        <row r="13">
          <cell r="C13">
            <v>200036.58999999997</v>
          </cell>
        </row>
        <row r="14">
          <cell r="C14">
            <v>20336.080000000002</v>
          </cell>
        </row>
        <row r="15">
          <cell r="C15">
            <v>2960.7799999999997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1975.2800000000002</v>
          </cell>
          <cell r="K19">
            <v>0</v>
          </cell>
        </row>
        <row r="20">
          <cell r="C20">
            <v>17.420000000000002</v>
          </cell>
        </row>
        <row r="21">
          <cell r="C21">
            <v>13949.079999999987</v>
          </cell>
        </row>
        <row r="22">
          <cell r="C22">
            <v>105.32000000000001</v>
          </cell>
        </row>
        <row r="25">
          <cell r="E25">
            <v>9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10">
        <row r="8">
          <cell r="C8">
            <v>345705.82000000007</v>
          </cell>
        </row>
        <row r="9">
          <cell r="C9">
            <v>150000</v>
          </cell>
        </row>
        <row r="10">
          <cell r="C10">
            <v>146692</v>
          </cell>
        </row>
        <row r="11">
          <cell r="C11">
            <v>109518.69000000003</v>
          </cell>
        </row>
        <row r="12">
          <cell r="C12">
            <v>145400.09999999998</v>
          </cell>
        </row>
        <row r="13">
          <cell r="C13">
            <v>165802.99000000005</v>
          </cell>
        </row>
        <row r="14">
          <cell r="C14">
            <v>296513.40000000014</v>
          </cell>
        </row>
        <row r="15">
          <cell r="C15">
            <v>50390.180000000008</v>
          </cell>
        </row>
        <row r="16">
          <cell r="C16">
            <v>0</v>
          </cell>
          <cell r="K16">
            <v>0</v>
          </cell>
        </row>
        <row r="17">
          <cell r="C17">
            <v>5000</v>
          </cell>
          <cell r="K17">
            <v>0</v>
          </cell>
        </row>
        <row r="18">
          <cell r="C18">
            <v>-0.16000000000349246</v>
          </cell>
          <cell r="K18">
            <v>0</v>
          </cell>
        </row>
        <row r="19">
          <cell r="C19">
            <v>139857</v>
          </cell>
          <cell r="K19">
            <v>0</v>
          </cell>
        </row>
        <row r="20">
          <cell r="C20">
            <v>-0.14999999999999858</v>
          </cell>
        </row>
        <row r="21">
          <cell r="C21">
            <v>379439.20999999996</v>
          </cell>
        </row>
        <row r="22">
          <cell r="C22">
            <v>151.43</v>
          </cell>
        </row>
        <row r="25">
          <cell r="E25">
            <v>5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1">
        <row r="8">
          <cell r="C8">
            <v>987140.56</v>
          </cell>
        </row>
        <row r="9">
          <cell r="C9">
            <v>95000</v>
          </cell>
        </row>
        <row r="10">
          <cell r="C10">
            <v>777100</v>
          </cell>
        </row>
        <row r="11">
          <cell r="C11">
            <v>233487.59000000003</v>
          </cell>
        </row>
        <row r="12">
          <cell r="C12">
            <v>140603.93</v>
          </cell>
        </row>
        <row r="13">
          <cell r="C13">
            <v>78714.61</v>
          </cell>
        </row>
        <row r="14">
          <cell r="C14">
            <v>138341.62</v>
          </cell>
        </row>
        <row r="15">
          <cell r="C15">
            <v>12308.900000000001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180017.87000000005</v>
          </cell>
          <cell r="K19">
            <v>0</v>
          </cell>
        </row>
        <row r="20">
          <cell r="C20">
            <v>40.01</v>
          </cell>
        </row>
        <row r="21">
          <cell r="C21">
            <v>196871.17000000004</v>
          </cell>
        </row>
        <row r="22">
          <cell r="C22">
            <v>172.09</v>
          </cell>
        </row>
        <row r="25">
          <cell r="E25">
            <v>15</v>
          </cell>
          <cell r="K25">
            <v>0</v>
          </cell>
        </row>
        <row r="26">
          <cell r="K26">
            <v>0</v>
          </cell>
        </row>
        <row r="27">
          <cell r="E27">
            <v>14</v>
          </cell>
          <cell r="K27">
            <v>0</v>
          </cell>
        </row>
      </sheetData>
      <sheetData sheetId="12">
        <row r="8">
          <cell r="C8">
            <v>197185.15000000002</v>
          </cell>
        </row>
        <row r="9">
          <cell r="C9">
            <v>0</v>
          </cell>
        </row>
        <row r="10">
          <cell r="C10">
            <v>7800</v>
          </cell>
        </row>
        <row r="11">
          <cell r="C11">
            <v>40348.020000000004</v>
          </cell>
        </row>
        <row r="12">
          <cell r="C12">
            <v>11786.189999999999</v>
          </cell>
        </row>
        <row r="13">
          <cell r="C13">
            <v>13423</v>
          </cell>
        </row>
        <row r="14">
          <cell r="C14">
            <v>117.39</v>
          </cell>
        </row>
        <row r="15">
          <cell r="C15">
            <v>0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1247.28</v>
          </cell>
          <cell r="K19">
            <v>0</v>
          </cell>
        </row>
        <row r="20">
          <cell r="C20">
            <v>0</v>
          </cell>
        </row>
        <row r="21">
          <cell r="C21">
            <v>36</v>
          </cell>
        </row>
        <row r="22">
          <cell r="C22">
            <v>0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3">
        <row r="8">
          <cell r="C8">
            <v>210626.89</v>
          </cell>
        </row>
        <row r="9">
          <cell r="C9">
            <v>115000</v>
          </cell>
        </row>
        <row r="10">
          <cell r="C10">
            <v>59600</v>
          </cell>
        </row>
        <row r="11">
          <cell r="C11">
            <v>45326.109999999993</v>
          </cell>
        </row>
        <row r="12">
          <cell r="C12">
            <v>6351.6799999999994</v>
          </cell>
        </row>
        <row r="13">
          <cell r="C13">
            <v>16883.02</v>
          </cell>
        </row>
        <row r="14">
          <cell r="C14">
            <v>0</v>
          </cell>
        </row>
        <row r="15">
          <cell r="C15">
            <v>632.9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238.97</v>
          </cell>
          <cell r="K19">
            <v>0</v>
          </cell>
        </row>
        <row r="20">
          <cell r="C20">
            <v>0</v>
          </cell>
        </row>
        <row r="21">
          <cell r="C21">
            <v>1282.7900000000009</v>
          </cell>
        </row>
        <row r="22">
          <cell r="C22">
            <v>0</v>
          </cell>
        </row>
        <row r="25">
          <cell r="E25">
            <v>4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idated West Power"/>
      <sheetName val="Fund-Struct"/>
      <sheetName val="Executive Orig"/>
      <sheetName val="Origination"/>
      <sheetName val="Trading"/>
      <sheetName val="Mid Market"/>
      <sheetName val="Services"/>
      <sheetName val="Fundamentals"/>
    </sheetNames>
    <sheetDataSet>
      <sheetData sheetId="0"/>
      <sheetData sheetId="1"/>
      <sheetData sheetId="2">
        <row r="8">
          <cell r="C8">
            <v>239634.01</v>
          </cell>
        </row>
        <row r="9">
          <cell r="C9">
            <v>40000</v>
          </cell>
        </row>
        <row r="10">
          <cell r="C10">
            <v>16800</v>
          </cell>
        </row>
        <row r="11">
          <cell r="C11">
            <v>39290.629999999997</v>
          </cell>
        </row>
        <row r="12">
          <cell r="C12">
            <v>17889.27</v>
          </cell>
        </row>
        <row r="13">
          <cell r="C13">
            <v>43129.5</v>
          </cell>
        </row>
        <row r="14">
          <cell r="C14">
            <v>45237.920000000006</v>
          </cell>
        </row>
        <row r="15">
          <cell r="C15">
            <v>4511.29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3818.79</v>
          </cell>
        </row>
        <row r="19">
          <cell r="C19">
            <v>18427.650000000001</v>
          </cell>
        </row>
        <row r="20">
          <cell r="C20">
            <v>0</v>
          </cell>
        </row>
        <row r="21">
          <cell r="C21">
            <v>23306.050000000003</v>
          </cell>
        </row>
        <row r="22">
          <cell r="C22">
            <v>1425.29</v>
          </cell>
        </row>
        <row r="25">
          <cell r="E25">
            <v>4</v>
          </cell>
        </row>
        <row r="27">
          <cell r="E27">
            <v>2</v>
          </cell>
        </row>
      </sheetData>
      <sheetData sheetId="3">
        <row r="8">
          <cell r="C8">
            <v>1414950.6999999997</v>
          </cell>
        </row>
        <row r="9">
          <cell r="C9">
            <v>150000</v>
          </cell>
        </row>
        <row r="10">
          <cell r="C10">
            <v>214200</v>
          </cell>
        </row>
        <row r="11">
          <cell r="C11">
            <v>299162.15999999997</v>
          </cell>
        </row>
        <row r="12">
          <cell r="C12">
            <v>96496.17</v>
          </cell>
        </row>
        <row r="13">
          <cell r="C13">
            <v>381261.27</v>
          </cell>
        </row>
        <row r="14">
          <cell r="C14">
            <v>358852.8899999999</v>
          </cell>
        </row>
        <row r="15">
          <cell r="C15">
            <v>11981.99</v>
          </cell>
        </row>
        <row r="16">
          <cell r="C16">
            <v>0</v>
          </cell>
        </row>
        <row r="17">
          <cell r="C17">
            <v>7050</v>
          </cell>
        </row>
        <row r="18">
          <cell r="C18">
            <v>141212.29999999999</v>
          </cell>
        </row>
        <row r="19">
          <cell r="C19">
            <v>11584.289999999999</v>
          </cell>
        </row>
        <row r="20">
          <cell r="C20">
            <v>116.15</v>
          </cell>
        </row>
        <row r="21">
          <cell r="C21">
            <v>55889.010000000009</v>
          </cell>
        </row>
        <row r="22">
          <cell r="C22">
            <v>11413.48</v>
          </cell>
        </row>
        <row r="25">
          <cell r="E25">
            <v>14</v>
          </cell>
        </row>
        <row r="27">
          <cell r="E27">
            <v>2</v>
          </cell>
        </row>
      </sheetData>
      <sheetData sheetId="4">
        <row r="8">
          <cell r="C8">
            <v>2252130.4999999995</v>
          </cell>
        </row>
        <row r="9">
          <cell r="C9">
            <v>1135500</v>
          </cell>
        </row>
        <row r="10">
          <cell r="C10">
            <v>557967</v>
          </cell>
        </row>
        <row r="11">
          <cell r="C11">
            <v>551903.41</v>
          </cell>
        </row>
        <row r="12">
          <cell r="C12">
            <v>503728.11</v>
          </cell>
        </row>
        <row r="13">
          <cell r="C13">
            <v>198594.99000000005</v>
          </cell>
        </row>
        <row r="14">
          <cell r="C14">
            <v>182158.55</v>
          </cell>
        </row>
        <row r="15">
          <cell r="C15">
            <v>95696.91</v>
          </cell>
        </row>
        <row r="16">
          <cell r="C16">
            <v>0</v>
          </cell>
        </row>
        <row r="17">
          <cell r="C17">
            <v>1750</v>
          </cell>
        </row>
        <row r="18">
          <cell r="C18">
            <v>176422.81000000003</v>
          </cell>
        </row>
        <row r="19">
          <cell r="C19">
            <v>105076.45999999999</v>
          </cell>
        </row>
        <row r="20">
          <cell r="C20">
            <v>0</v>
          </cell>
        </row>
        <row r="21">
          <cell r="C21">
            <v>443149.94000000018</v>
          </cell>
        </row>
        <row r="22">
          <cell r="C22">
            <v>45029.469999999958</v>
          </cell>
        </row>
        <row r="25">
          <cell r="E25">
            <v>44</v>
          </cell>
        </row>
        <row r="27">
          <cell r="E27">
            <v>10</v>
          </cell>
        </row>
      </sheetData>
      <sheetData sheetId="5">
        <row r="8">
          <cell r="C8">
            <v>441152.37</v>
          </cell>
        </row>
        <row r="9">
          <cell r="C9">
            <v>5000</v>
          </cell>
        </row>
        <row r="10">
          <cell r="C10">
            <v>0</v>
          </cell>
        </row>
        <row r="11">
          <cell r="C11">
            <v>95688.11</v>
          </cell>
        </row>
        <row r="12">
          <cell r="C12">
            <v>21174.129999999997</v>
          </cell>
        </row>
        <row r="13">
          <cell r="C13">
            <v>72009.7</v>
          </cell>
        </row>
        <row r="14">
          <cell r="C14">
            <v>40914.379999999997</v>
          </cell>
        </row>
        <row r="15">
          <cell r="C15">
            <v>12922.06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2288.4500000000003</v>
          </cell>
        </row>
        <row r="19">
          <cell r="C19">
            <v>5065</v>
          </cell>
        </row>
        <row r="20">
          <cell r="C20">
            <v>0</v>
          </cell>
        </row>
        <row r="21">
          <cell r="C21">
            <v>3737.8800000000006</v>
          </cell>
        </row>
        <row r="22">
          <cell r="C22">
            <v>8112.83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6">
        <row r="8">
          <cell r="C8">
            <v>166916.68999999997</v>
          </cell>
        </row>
        <row r="9">
          <cell r="C9">
            <v>16000</v>
          </cell>
        </row>
        <row r="10">
          <cell r="C10">
            <v>0</v>
          </cell>
        </row>
        <row r="11">
          <cell r="C11">
            <v>43743.03</v>
          </cell>
        </row>
        <row r="12">
          <cell r="C12">
            <v>2719.32</v>
          </cell>
        </row>
        <row r="13">
          <cell r="C13">
            <v>9726.85</v>
          </cell>
        </row>
        <row r="14">
          <cell r="C14">
            <v>27236.059999999998</v>
          </cell>
        </row>
        <row r="15">
          <cell r="C15">
            <v>673.12000000000012</v>
          </cell>
        </row>
        <row r="16">
          <cell r="C16">
            <v>0</v>
          </cell>
        </row>
        <row r="17">
          <cell r="C17">
            <v>2500</v>
          </cell>
        </row>
        <row r="18">
          <cell r="C18">
            <v>938.06</v>
          </cell>
        </row>
        <row r="19">
          <cell r="C19">
            <v>350</v>
          </cell>
        </row>
        <row r="20">
          <cell r="C20">
            <v>0</v>
          </cell>
        </row>
        <row r="21">
          <cell r="C21">
            <v>492.88</v>
          </cell>
        </row>
        <row r="22">
          <cell r="C22">
            <v>5418.9499999999989</v>
          </cell>
        </row>
        <row r="25">
          <cell r="E25">
            <v>2</v>
          </cell>
        </row>
        <row r="27">
          <cell r="E27">
            <v>0</v>
          </cell>
        </row>
      </sheetData>
      <sheetData sheetId="7">
        <row r="8">
          <cell r="C8">
            <v>275174.72000000003</v>
          </cell>
        </row>
        <row r="9">
          <cell r="C9">
            <v>117500</v>
          </cell>
        </row>
        <row r="10">
          <cell r="C10">
            <v>15600</v>
          </cell>
        </row>
        <row r="11">
          <cell r="C11">
            <v>66280.87</v>
          </cell>
        </row>
        <row r="12">
          <cell r="C12">
            <v>16110.68</v>
          </cell>
        </row>
        <row r="13">
          <cell r="C13">
            <v>15051.49</v>
          </cell>
        </row>
        <row r="14">
          <cell r="C14">
            <v>22922.440000000002</v>
          </cell>
        </row>
        <row r="15">
          <cell r="C15">
            <v>3104.77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2767.33</v>
          </cell>
        </row>
        <row r="19">
          <cell r="C19">
            <v>15341.970000000001</v>
          </cell>
        </row>
        <row r="20">
          <cell r="C20">
            <v>0</v>
          </cell>
        </row>
        <row r="21">
          <cell r="C21">
            <v>40294.17</v>
          </cell>
        </row>
        <row r="22">
          <cell r="C22">
            <v>4309.63</v>
          </cell>
        </row>
        <row r="25">
          <cell r="E25">
            <v>5</v>
          </cell>
        </row>
        <row r="27">
          <cell r="E27">
            <v>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 refreshError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idated West Power"/>
      <sheetName val="Fund-Struct"/>
      <sheetName val="Executive Orig"/>
      <sheetName val="Origination"/>
      <sheetName val="Trading"/>
      <sheetName val="Mid Market"/>
      <sheetName val="Services"/>
      <sheetName val="Fundamentals"/>
    </sheetNames>
    <sheetDataSet>
      <sheetData sheetId="0" refreshError="1"/>
      <sheetData sheetId="1" refreshError="1"/>
      <sheetData sheetId="2">
        <row r="8">
          <cell r="C8">
            <v>239634.01</v>
          </cell>
        </row>
        <row r="9">
          <cell r="C9">
            <v>40000</v>
          </cell>
        </row>
        <row r="10">
          <cell r="C10">
            <v>16800</v>
          </cell>
        </row>
        <row r="11">
          <cell r="C11">
            <v>39290.629999999997</v>
          </cell>
        </row>
        <row r="12">
          <cell r="C12">
            <v>17889.27</v>
          </cell>
        </row>
        <row r="13">
          <cell r="C13">
            <v>43129.5</v>
          </cell>
        </row>
        <row r="14">
          <cell r="C14">
            <v>45237.920000000006</v>
          </cell>
        </row>
        <row r="15">
          <cell r="C15">
            <v>4511.29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3818.79</v>
          </cell>
        </row>
        <row r="19">
          <cell r="C19">
            <v>18427.650000000001</v>
          </cell>
        </row>
        <row r="20">
          <cell r="C20">
            <v>0</v>
          </cell>
        </row>
        <row r="21">
          <cell r="C21">
            <v>23306.050000000003</v>
          </cell>
        </row>
        <row r="22">
          <cell r="C22">
            <v>1425.29</v>
          </cell>
        </row>
        <row r="25">
          <cell r="E25">
            <v>4</v>
          </cell>
        </row>
        <row r="27">
          <cell r="E27">
            <v>2</v>
          </cell>
        </row>
      </sheetData>
      <sheetData sheetId="3">
        <row r="8">
          <cell r="C8">
            <v>1414950.6999999997</v>
          </cell>
        </row>
        <row r="9">
          <cell r="C9">
            <v>150000</v>
          </cell>
        </row>
        <row r="10">
          <cell r="C10">
            <v>214200</v>
          </cell>
        </row>
        <row r="11">
          <cell r="C11">
            <v>299162.15999999997</v>
          </cell>
        </row>
        <row r="12">
          <cell r="C12">
            <v>96496.17</v>
          </cell>
        </row>
        <row r="13">
          <cell r="C13">
            <v>381261.27</v>
          </cell>
        </row>
        <row r="14">
          <cell r="C14">
            <v>358852.8899999999</v>
          </cell>
        </row>
        <row r="15">
          <cell r="C15">
            <v>11981.99</v>
          </cell>
        </row>
        <row r="16">
          <cell r="C16">
            <v>0</v>
          </cell>
        </row>
        <row r="17">
          <cell r="C17">
            <v>7050</v>
          </cell>
        </row>
        <row r="18">
          <cell r="C18">
            <v>141212.29999999999</v>
          </cell>
        </row>
        <row r="19">
          <cell r="C19">
            <v>11584.289999999999</v>
          </cell>
        </row>
        <row r="20">
          <cell r="C20">
            <v>116.15</v>
          </cell>
        </row>
        <row r="21">
          <cell r="C21">
            <v>55889.010000000009</v>
          </cell>
        </row>
        <row r="22">
          <cell r="C22">
            <v>11413.48</v>
          </cell>
        </row>
        <row r="25">
          <cell r="E25">
            <v>14</v>
          </cell>
        </row>
        <row r="27">
          <cell r="E27">
            <v>2</v>
          </cell>
        </row>
      </sheetData>
      <sheetData sheetId="4">
        <row r="8">
          <cell r="C8">
            <v>2252130.4999999995</v>
          </cell>
        </row>
        <row r="9">
          <cell r="C9">
            <v>1135500</v>
          </cell>
        </row>
        <row r="10">
          <cell r="C10">
            <v>557967</v>
          </cell>
        </row>
        <row r="11">
          <cell r="C11">
            <v>551903.41</v>
          </cell>
        </row>
        <row r="12">
          <cell r="C12">
            <v>503728.11</v>
          </cell>
        </row>
        <row r="13">
          <cell r="C13">
            <v>198594.99000000005</v>
          </cell>
        </row>
        <row r="14">
          <cell r="C14">
            <v>182158.55</v>
          </cell>
        </row>
        <row r="15">
          <cell r="C15">
            <v>95696.91</v>
          </cell>
        </row>
        <row r="16">
          <cell r="C16">
            <v>0</v>
          </cell>
        </row>
        <row r="17">
          <cell r="C17">
            <v>1750</v>
          </cell>
        </row>
        <row r="18">
          <cell r="C18">
            <v>176422.81000000003</v>
          </cell>
        </row>
        <row r="19">
          <cell r="C19">
            <v>105076.45999999999</v>
          </cell>
        </row>
        <row r="20">
          <cell r="C20">
            <v>0</v>
          </cell>
        </row>
        <row r="21">
          <cell r="C21">
            <v>443149.94000000018</v>
          </cell>
        </row>
        <row r="22">
          <cell r="C22">
            <v>45029.469999999958</v>
          </cell>
        </row>
        <row r="25">
          <cell r="E25">
            <v>44</v>
          </cell>
        </row>
        <row r="27">
          <cell r="E27">
            <v>10</v>
          </cell>
        </row>
      </sheetData>
      <sheetData sheetId="5">
        <row r="8">
          <cell r="C8">
            <v>441152.37</v>
          </cell>
        </row>
        <row r="9">
          <cell r="C9">
            <v>5000</v>
          </cell>
        </row>
        <row r="10">
          <cell r="C10">
            <v>0</v>
          </cell>
        </row>
        <row r="11">
          <cell r="C11">
            <v>95688.11</v>
          </cell>
        </row>
        <row r="12">
          <cell r="C12">
            <v>21174.129999999997</v>
          </cell>
        </row>
        <row r="13">
          <cell r="C13">
            <v>72009.7</v>
          </cell>
        </row>
        <row r="14">
          <cell r="C14">
            <v>40914.379999999997</v>
          </cell>
        </row>
        <row r="15">
          <cell r="C15">
            <v>12922.06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2288.4500000000003</v>
          </cell>
        </row>
        <row r="19">
          <cell r="C19">
            <v>5065</v>
          </cell>
        </row>
        <row r="20">
          <cell r="C20">
            <v>0</v>
          </cell>
        </row>
        <row r="21">
          <cell r="C21">
            <v>3737.8800000000006</v>
          </cell>
        </row>
        <row r="22">
          <cell r="C22">
            <v>8112.83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6">
        <row r="8">
          <cell r="C8">
            <v>166916.68999999997</v>
          </cell>
        </row>
        <row r="9">
          <cell r="C9">
            <v>16000</v>
          </cell>
        </row>
        <row r="10">
          <cell r="C10">
            <v>0</v>
          </cell>
        </row>
        <row r="11">
          <cell r="C11">
            <v>43743.03</v>
          </cell>
        </row>
        <row r="12">
          <cell r="C12">
            <v>2719.32</v>
          </cell>
        </row>
        <row r="13">
          <cell r="C13">
            <v>9726.85</v>
          </cell>
        </row>
        <row r="14">
          <cell r="C14">
            <v>27236.059999999998</v>
          </cell>
        </row>
        <row r="15">
          <cell r="C15">
            <v>673.12000000000012</v>
          </cell>
        </row>
        <row r="16">
          <cell r="C16">
            <v>0</v>
          </cell>
        </row>
        <row r="17">
          <cell r="C17">
            <v>2500</v>
          </cell>
        </row>
        <row r="18">
          <cell r="C18">
            <v>938.06</v>
          </cell>
        </row>
        <row r="19">
          <cell r="C19">
            <v>350</v>
          </cell>
        </row>
        <row r="20">
          <cell r="C20">
            <v>0</v>
          </cell>
        </row>
        <row r="21">
          <cell r="C21">
            <v>492.88</v>
          </cell>
        </row>
        <row r="22">
          <cell r="C22">
            <v>5418.9499999999989</v>
          </cell>
        </row>
        <row r="25">
          <cell r="E25">
            <v>2</v>
          </cell>
        </row>
        <row r="27">
          <cell r="E27">
            <v>0</v>
          </cell>
        </row>
      </sheetData>
      <sheetData sheetId="7">
        <row r="8">
          <cell r="C8">
            <v>275174.72000000003</v>
          </cell>
        </row>
        <row r="9">
          <cell r="C9">
            <v>117500</v>
          </cell>
        </row>
        <row r="10">
          <cell r="C10">
            <v>15600</v>
          </cell>
        </row>
        <row r="11">
          <cell r="C11">
            <v>66280.87</v>
          </cell>
        </row>
        <row r="12">
          <cell r="C12">
            <v>16110.68</v>
          </cell>
        </row>
        <row r="13">
          <cell r="C13">
            <v>15051.49</v>
          </cell>
        </row>
        <row r="14">
          <cell r="C14">
            <v>22922.440000000002</v>
          </cell>
        </row>
        <row r="15">
          <cell r="C15">
            <v>3104.77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2767.33</v>
          </cell>
        </row>
        <row r="19">
          <cell r="C19">
            <v>15341.970000000001</v>
          </cell>
        </row>
        <row r="20">
          <cell r="C20">
            <v>0</v>
          </cell>
        </row>
        <row r="21">
          <cell r="C21">
            <v>40294.17</v>
          </cell>
        </row>
        <row r="22">
          <cell r="C22">
            <v>4309.63</v>
          </cell>
        </row>
        <row r="25">
          <cell r="E25">
            <v>5</v>
          </cell>
        </row>
        <row r="27">
          <cell r="E27">
            <v>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tural Gas Consolidated"/>
      <sheetName val="Deriv-Mex"/>
      <sheetName val="Mexico"/>
      <sheetName val="Derivatives &amp; Wellhead"/>
      <sheetName val="Derivatives w-o AA"/>
      <sheetName val="Derivatives AA"/>
    </sheetNames>
    <sheetDataSet>
      <sheetData sheetId="0" refreshError="1"/>
      <sheetData sheetId="1" refreshError="1"/>
      <sheetData sheetId="2">
        <row r="25">
          <cell r="H25">
            <v>2</v>
          </cell>
        </row>
        <row r="27">
          <cell r="H27">
            <v>0</v>
          </cell>
        </row>
      </sheetData>
      <sheetData sheetId="3">
        <row r="25">
          <cell r="H25">
            <v>9</v>
          </cell>
        </row>
        <row r="27">
          <cell r="H27">
            <v>1</v>
          </cell>
        </row>
      </sheetData>
      <sheetData sheetId="4" refreshError="1"/>
      <sheetData sheetId="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West Power Consolidated Trading"/>
      <sheetName val="West Power Trading"/>
      <sheetName val="West Power A&amp;A"/>
      <sheetName val="West Power Origination"/>
      <sheetName val="West Power Admins"/>
      <sheetName val="West - Struct"/>
      <sheetName val="West - Fund"/>
    </sheetNames>
    <sheetDataSet>
      <sheetData sheetId="0" refreshError="1"/>
      <sheetData sheetId="1" refreshError="1"/>
      <sheetData sheetId="2">
        <row r="8">
          <cell r="G8">
            <v>2157000</v>
          </cell>
        </row>
        <row r="10">
          <cell r="G10">
            <v>0</v>
          </cell>
        </row>
        <row r="11">
          <cell r="G11">
            <v>431400</v>
          </cell>
        </row>
        <row r="12">
          <cell r="G12">
            <v>169644.44444444444</v>
          </cell>
        </row>
        <row r="13">
          <cell r="G13">
            <v>200400</v>
          </cell>
        </row>
        <row r="14">
          <cell r="G14">
            <v>160000</v>
          </cell>
        </row>
        <row r="15">
          <cell r="G15">
            <v>46080</v>
          </cell>
        </row>
        <row r="16">
          <cell r="G16">
            <v>20000</v>
          </cell>
        </row>
        <row r="17">
          <cell r="G17">
            <v>6094</v>
          </cell>
        </row>
        <row r="18">
          <cell r="G18">
            <v>92400</v>
          </cell>
        </row>
        <row r="19">
          <cell r="G19">
            <v>72355.555555555562</v>
          </cell>
        </row>
        <row r="20">
          <cell r="G20">
            <v>0</v>
          </cell>
        </row>
        <row r="21">
          <cell r="G21">
            <v>75000</v>
          </cell>
        </row>
        <row r="22">
          <cell r="G22">
            <v>21777.15775280898</v>
          </cell>
        </row>
        <row r="25">
          <cell r="G25">
            <v>16</v>
          </cell>
        </row>
        <row r="27">
          <cell r="G27">
            <v>0</v>
          </cell>
        </row>
      </sheetData>
      <sheetData sheetId="3">
        <row r="8">
          <cell r="G8">
            <v>0</v>
          </cell>
        </row>
        <row r="10">
          <cell r="G10">
            <v>559200</v>
          </cell>
        </row>
        <row r="11">
          <cell r="G11">
            <v>111840</v>
          </cell>
        </row>
        <row r="12">
          <cell r="G12">
            <v>38044.444444444445</v>
          </cell>
        </row>
        <row r="13">
          <cell r="G13">
            <v>93600</v>
          </cell>
        </row>
        <row r="14">
          <cell r="G14">
            <v>3.4516853897759076E-2</v>
          </cell>
        </row>
        <row r="15">
          <cell r="G15">
            <v>23040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7200</v>
          </cell>
        </row>
        <row r="19">
          <cell r="G19">
            <v>31644.444444444445</v>
          </cell>
        </row>
        <row r="20">
          <cell r="G20">
            <v>0</v>
          </cell>
        </row>
        <row r="21">
          <cell r="G21">
            <v>10000</v>
          </cell>
        </row>
        <row r="22">
          <cell r="G22">
            <v>10888.57887640449</v>
          </cell>
        </row>
        <row r="25">
          <cell r="G25">
            <v>0</v>
          </cell>
        </row>
        <row r="27">
          <cell r="G27">
            <v>8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fin ops"/>
      <sheetName val="cash ops"/>
      <sheetName val="sapactivexlhiddensheet"/>
      <sheetName val="Variance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4985502.2300000004</v>
          </cell>
        </row>
        <row r="26">
          <cell r="BA26">
            <v>1210281.1100000001</v>
          </cell>
        </row>
        <row r="27">
          <cell r="BA27">
            <v>190029.97</v>
          </cell>
        </row>
        <row r="28">
          <cell r="BA28">
            <v>78390.58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69921.63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19039.670000000002</v>
          </cell>
        </row>
        <row r="37">
          <cell r="BA37">
            <v>17422.019999999997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24670.390000000003</v>
          </cell>
        </row>
        <row r="41">
          <cell r="BA41">
            <v>481045.43000000005</v>
          </cell>
        </row>
        <row r="42">
          <cell r="BA42">
            <v>75042.680000000008</v>
          </cell>
        </row>
        <row r="43">
          <cell r="BA43">
            <v>-771915.88</v>
          </cell>
        </row>
        <row r="44">
          <cell r="BA44">
            <v>1226.24</v>
          </cell>
        </row>
        <row r="45">
          <cell r="BA45">
            <v>0</v>
          </cell>
        </row>
      </sheetData>
      <sheetData sheetId="2"/>
      <sheetData sheetId="3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Tax</v>
          </cell>
        </row>
      </sheetData>
      <sheetData sheetId="1">
        <row r="1">
          <cell r="B1" t="str">
            <v>Enron North America</v>
          </cell>
        </row>
        <row r="25">
          <cell r="BA25">
            <v>1971599.0200000003</v>
          </cell>
        </row>
        <row r="26">
          <cell r="BA26">
            <v>441478.66999999993</v>
          </cell>
        </row>
        <row r="27">
          <cell r="BA27">
            <v>93416.53</v>
          </cell>
        </row>
        <row r="28">
          <cell r="BA28">
            <v>59005.25</v>
          </cell>
        </row>
        <row r="29">
          <cell r="BA29">
            <v>0</v>
          </cell>
        </row>
        <row r="30">
          <cell r="BA30">
            <v>-3920.75</v>
          </cell>
        </row>
        <row r="31">
          <cell r="BA31">
            <v>0</v>
          </cell>
        </row>
        <row r="32">
          <cell r="BA32">
            <v>195340.47000000003</v>
          </cell>
        </row>
        <row r="33">
          <cell r="BA33">
            <v>23102.660000000003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13879.95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37953.1</v>
          </cell>
        </row>
        <row r="41">
          <cell r="BA41">
            <v>218397.73</v>
          </cell>
        </row>
        <row r="42">
          <cell r="BA42">
            <v>23120.5</v>
          </cell>
        </row>
        <row r="43">
          <cell r="BA43">
            <v>-1506130.81</v>
          </cell>
        </row>
        <row r="44">
          <cell r="BA44">
            <v>432.37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2002 Revised"/>
      <sheetName val="Summary 2002"/>
      <sheetName val="Consolidated IS"/>
      <sheetName val="Commercial IS"/>
      <sheetName val="Support IS"/>
      <sheetName val="Texas-Trading w-o AA"/>
      <sheetName val="East-Trading w-o AA"/>
      <sheetName val="Central-Trading w-o AA"/>
      <sheetName val="West-Trading w-o AA"/>
      <sheetName val="Financial w-o AA"/>
      <sheetName val="Texas - Orig"/>
      <sheetName val="East - Orig"/>
      <sheetName val="Central Gas - Orig"/>
      <sheetName val="West - Orig"/>
      <sheetName val="Derivatives w-o  AA-Mex"/>
      <sheetName val="Derivatives w-o  AA"/>
      <sheetName val="Mexico"/>
      <sheetName val="East-Trading AA"/>
      <sheetName val="West-Trading AA"/>
      <sheetName val="Texas-Trading AA"/>
      <sheetName val="Financial - AA"/>
      <sheetName val="Derivatives AA"/>
      <sheetName val="Central - Trading AA"/>
      <sheetName val="Financial Gas"/>
      <sheetName val="East Power"/>
      <sheetName val="Crude w-o AA"/>
      <sheetName val="Management"/>
      <sheetName val="Pwr Trad Mgmt HC"/>
      <sheetName val="Ercot"/>
      <sheetName val="Ercot Trad HC"/>
      <sheetName val="Northeast"/>
      <sheetName val="NE Trad HC"/>
      <sheetName val="Midwest"/>
      <sheetName val="MW Trad HC"/>
      <sheetName val="Southeast"/>
      <sheetName val="SE Trad HC"/>
      <sheetName val="Options"/>
      <sheetName val="Options HC"/>
      <sheetName val="East Power Origination"/>
      <sheetName val="Mgmt Orig"/>
      <sheetName val="Mgmt Orig HC"/>
      <sheetName val="Ercot Orig"/>
      <sheetName val="Ercot Orig HC"/>
      <sheetName val="Northeast Orig"/>
      <sheetName val="NE Orig HC"/>
      <sheetName val="Midwest Orig"/>
      <sheetName val="MW Orig HC"/>
      <sheetName val="Southeast Orig"/>
      <sheetName val="SE Orig HC"/>
      <sheetName val="West Power Trading"/>
      <sheetName val="West Power Origination"/>
      <sheetName val="Canada Trading"/>
      <sheetName val="Canada Origination"/>
      <sheetName val="Office of the Chair"/>
      <sheetName val="OOC w-o Adm"/>
      <sheetName val="East Power A&amp;A"/>
      <sheetName val="Gas A&amp;A"/>
      <sheetName val="Crude AA"/>
      <sheetName val="West Power A&amp;A"/>
      <sheetName val="Canada A&amp;A"/>
      <sheetName val="OOC Admin"/>
      <sheetName val="Natural Gas Admin"/>
      <sheetName val="East Power Admins"/>
      <sheetName val="West Power Admins"/>
      <sheetName val="Canada"/>
      <sheetName val="Canada Admins"/>
      <sheetName val="Reg Affairs"/>
      <sheetName val="Fundies-All"/>
      <sheetName val="Struct"/>
      <sheetName val="Weather"/>
      <sheetName val="SAP"/>
      <sheetName val="EOPs"/>
      <sheetName val="Power Logistics (2)"/>
      <sheetName val="Gas Risk"/>
      <sheetName val="Gas Vol Mgmt"/>
      <sheetName val="Gas Logistics"/>
      <sheetName val="Gas Settlemnt"/>
      <sheetName val="Pwr Risk"/>
      <sheetName val="Pwr Vol Mgmt"/>
      <sheetName val="Power Logistics"/>
      <sheetName val="Pwr Settlemt"/>
      <sheetName val="Documentation"/>
      <sheetName val="Managemt"/>
      <sheetName val="IT Dev-EOL"/>
      <sheetName val="IT Infra"/>
      <sheetName val="IT Infra-Cap"/>
      <sheetName val="EOL Support"/>
      <sheetName val="Canada Support"/>
      <sheetName val="Credit"/>
      <sheetName val="Research"/>
      <sheetName val="Mkt Risk - Combined"/>
      <sheetName val="Mkt Risk "/>
      <sheetName val="Research1"/>
      <sheetName val="Fin Ops"/>
      <sheetName val="Cash Ops"/>
      <sheetName val="Tax"/>
      <sheetName val="HR"/>
      <sheetName val="Legal"/>
      <sheetName val="IT Dev"/>
      <sheetName val="IT EOL"/>
      <sheetName val="IT All"/>
      <sheetName val="Fundies-Hou"/>
      <sheetName val="Competitive Ana"/>
      <sheetName val="Gas - Fund"/>
      <sheetName val="East - Fund"/>
      <sheetName val="West - Fund"/>
      <sheetName val="West - Struct"/>
      <sheetName val="Gas - Struct"/>
      <sheetName val="East - Stru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>
        <row r="12">
          <cell r="G12">
            <v>1660208</v>
          </cell>
        </row>
        <row r="13">
          <cell r="G13">
            <v>869308.16</v>
          </cell>
        </row>
        <row r="14">
          <cell r="G14">
            <v>0</v>
          </cell>
        </row>
        <row r="15">
          <cell r="G15">
            <v>317266.56</v>
          </cell>
        </row>
        <row r="16">
          <cell r="G16">
            <v>0</v>
          </cell>
        </row>
        <row r="17">
          <cell r="G17">
            <v>0</v>
          </cell>
          <cell r="L17">
            <v>0</v>
          </cell>
        </row>
        <row r="18">
          <cell r="G18">
            <v>0</v>
          </cell>
        </row>
        <row r="19">
          <cell r="G19">
            <v>2539758.08</v>
          </cell>
        </row>
        <row r="20">
          <cell r="G20">
            <v>0</v>
          </cell>
        </row>
        <row r="21">
          <cell r="G21">
            <v>8663166</v>
          </cell>
        </row>
        <row r="22">
          <cell r="G22">
            <v>0</v>
          </cell>
        </row>
        <row r="28">
          <cell r="L28">
            <v>0</v>
          </cell>
        </row>
      </sheetData>
      <sheetData sheetId="99">
        <row r="12">
          <cell r="G12">
            <v>544134</v>
          </cell>
        </row>
        <row r="13">
          <cell r="G13">
            <v>326949.68</v>
          </cell>
        </row>
        <row r="14">
          <cell r="G14">
            <v>0</v>
          </cell>
        </row>
        <row r="15">
          <cell r="G15">
            <v>178122.88</v>
          </cell>
        </row>
        <row r="16">
          <cell r="G16">
            <v>0</v>
          </cell>
        </row>
        <row r="17">
          <cell r="G17">
            <v>0</v>
          </cell>
          <cell r="L17">
            <v>0</v>
          </cell>
        </row>
        <row r="18">
          <cell r="G18">
            <v>0</v>
          </cell>
        </row>
        <row r="19">
          <cell r="G19">
            <v>285541.83999999997</v>
          </cell>
        </row>
        <row r="20">
          <cell r="G20">
            <v>0</v>
          </cell>
        </row>
        <row r="21">
          <cell r="G21">
            <v>1124911.3999999999</v>
          </cell>
        </row>
        <row r="22">
          <cell r="G22">
            <v>0</v>
          </cell>
        </row>
        <row r="28">
          <cell r="L28">
            <v>0</v>
          </cell>
        </row>
      </sheetData>
      <sheetData sheetId="100" refreshError="1"/>
      <sheetData sheetId="101" refreshError="1"/>
      <sheetData sheetId="102">
        <row r="8">
          <cell r="F8">
            <v>406800</v>
          </cell>
        </row>
        <row r="10">
          <cell r="F10">
            <v>0</v>
          </cell>
        </row>
        <row r="11">
          <cell r="F11">
            <v>81360</v>
          </cell>
        </row>
        <row r="12">
          <cell r="F12">
            <v>19057.991071428572</v>
          </cell>
        </row>
        <row r="13">
          <cell r="F13">
            <v>119999.69571428571</v>
          </cell>
        </row>
        <row r="14">
          <cell r="F14">
            <v>479999.98142857139</v>
          </cell>
        </row>
        <row r="15">
          <cell r="F15">
            <v>6531.4136904761908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249.36607142857144</v>
          </cell>
        </row>
        <row r="19">
          <cell r="F19">
            <v>67497.394047619047</v>
          </cell>
        </row>
        <row r="20">
          <cell r="F20">
            <v>2.4255952380952381</v>
          </cell>
        </row>
        <row r="21">
          <cell r="F21">
            <v>56238.314285714288</v>
          </cell>
        </row>
        <row r="22">
          <cell r="F22">
            <v>146.77309523809524</v>
          </cell>
        </row>
        <row r="25">
          <cell r="F25">
            <v>5</v>
          </cell>
        </row>
        <row r="27">
          <cell r="F27">
            <v>0</v>
          </cell>
        </row>
      </sheetData>
      <sheetData sheetId="103">
        <row r="8">
          <cell r="H8">
            <v>591580</v>
          </cell>
        </row>
        <row r="10">
          <cell r="H10">
            <v>779900</v>
          </cell>
        </row>
        <row r="11">
          <cell r="H11">
            <v>274296</v>
          </cell>
        </row>
        <row r="12">
          <cell r="H12">
            <v>86274.632499999963</v>
          </cell>
        </row>
        <row r="13">
          <cell r="H13">
            <v>10000.396833333347</v>
          </cell>
        </row>
        <row r="14">
          <cell r="H14">
            <v>475600.02799999999</v>
          </cell>
        </row>
        <row r="15">
          <cell r="H15">
            <v>12199.016666666665</v>
          </cell>
        </row>
        <row r="16">
          <cell r="H16">
            <v>0</v>
          </cell>
        </row>
        <row r="17">
          <cell r="H17">
            <v>688.33333333333326</v>
          </cell>
        </row>
        <row r="18">
          <cell r="H18">
            <v>12501.407333333334</v>
          </cell>
        </row>
        <row r="19">
          <cell r="H19">
            <v>12741.204</v>
          </cell>
        </row>
        <row r="20">
          <cell r="H20">
            <v>1.8666666666666667</v>
          </cell>
        </row>
        <row r="21">
          <cell r="H21">
            <v>15842.039499999986</v>
          </cell>
        </row>
        <row r="22">
          <cell r="H22">
            <v>131069.61266666692</v>
          </cell>
        </row>
        <row r="25">
          <cell r="H25">
            <v>3</v>
          </cell>
        </row>
        <row r="27">
          <cell r="H27">
            <v>11</v>
          </cell>
        </row>
      </sheetData>
      <sheetData sheetId="104">
        <row r="8">
          <cell r="F8">
            <v>318000</v>
          </cell>
        </row>
        <row r="10">
          <cell r="F10">
            <v>357600</v>
          </cell>
        </row>
        <row r="11">
          <cell r="F11">
            <v>135120</v>
          </cell>
        </row>
        <row r="12">
          <cell r="F12">
            <v>44200.855602836877</v>
          </cell>
        </row>
        <row r="13">
          <cell r="F13">
            <v>80573.706326241139</v>
          </cell>
        </row>
        <row r="14">
          <cell r="F14">
            <v>1000000</v>
          </cell>
        </row>
        <row r="15">
          <cell r="F15">
            <v>7405.2755744680844</v>
          </cell>
        </row>
        <row r="16">
          <cell r="F16">
            <v>0</v>
          </cell>
        </row>
        <row r="17">
          <cell r="F17">
            <v>420.99290780141843</v>
          </cell>
        </row>
        <row r="18">
          <cell r="F18">
            <v>22.82019858156001</v>
          </cell>
        </row>
        <row r="19">
          <cell r="F19">
            <v>38695.539290780143</v>
          </cell>
        </row>
        <row r="20">
          <cell r="F20">
            <v>6.2100425531914896</v>
          </cell>
        </row>
        <row r="21">
          <cell r="F21">
            <v>50313.299290780131</v>
          </cell>
        </row>
        <row r="22">
          <cell r="F22">
            <v>94.543886524822696</v>
          </cell>
        </row>
        <row r="25">
          <cell r="F25">
            <v>3</v>
          </cell>
        </row>
        <row r="27">
          <cell r="F27">
            <v>4</v>
          </cell>
        </row>
      </sheetData>
      <sheetData sheetId="105">
        <row r="8">
          <cell r="G8">
            <v>495000</v>
          </cell>
        </row>
        <row r="10">
          <cell r="G10">
            <v>132000</v>
          </cell>
        </row>
        <row r="11">
          <cell r="G11">
            <v>125400</v>
          </cell>
        </row>
        <row r="12">
          <cell r="G12">
            <v>30000</v>
          </cell>
        </row>
        <row r="13">
          <cell r="G13">
            <v>30000</v>
          </cell>
        </row>
        <row r="14">
          <cell r="G14">
            <v>80000</v>
          </cell>
        </row>
        <row r="15">
          <cell r="G15">
            <v>20160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6300</v>
          </cell>
        </row>
        <row r="19">
          <cell r="G19">
            <v>49612.001617977527</v>
          </cell>
        </row>
        <row r="20">
          <cell r="G20">
            <v>0</v>
          </cell>
        </row>
        <row r="21">
          <cell r="G21">
            <v>71336.44062921351</v>
          </cell>
        </row>
        <row r="22">
          <cell r="G22">
            <v>9527.5065168539295</v>
          </cell>
        </row>
        <row r="25">
          <cell r="G25">
            <v>5</v>
          </cell>
        </row>
        <row r="27">
          <cell r="G27">
            <v>2</v>
          </cell>
        </row>
      </sheetData>
      <sheetData sheetId="106">
        <row r="8">
          <cell r="G8">
            <v>120000</v>
          </cell>
        </row>
        <row r="10">
          <cell r="G10">
            <v>97200</v>
          </cell>
        </row>
        <row r="11">
          <cell r="G11">
            <v>43440</v>
          </cell>
        </row>
        <row r="12">
          <cell r="G12">
            <v>14400</v>
          </cell>
        </row>
        <row r="13">
          <cell r="G13">
            <v>27800</v>
          </cell>
        </row>
        <row r="14">
          <cell r="G14">
            <v>8.6292134744397689E-3</v>
          </cell>
        </row>
        <row r="15">
          <cell r="G15">
            <v>5760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1800</v>
          </cell>
        </row>
        <row r="19">
          <cell r="G19">
            <v>5603.4290337078646</v>
          </cell>
        </row>
        <row r="20">
          <cell r="G20">
            <v>4.1761797752808993</v>
          </cell>
        </row>
        <row r="21">
          <cell r="G21">
            <v>5000</v>
          </cell>
        </row>
        <row r="22">
          <cell r="G22">
            <v>2722.1447191011225</v>
          </cell>
        </row>
        <row r="25">
          <cell r="G25">
            <v>1</v>
          </cell>
        </row>
        <row r="27">
          <cell r="G27">
            <v>1</v>
          </cell>
        </row>
      </sheetData>
      <sheetData sheetId="107">
        <row r="8">
          <cell r="H8">
            <v>475200</v>
          </cell>
        </row>
        <row r="10">
          <cell r="H10">
            <v>0</v>
          </cell>
        </row>
        <row r="11">
          <cell r="H11">
            <v>95040</v>
          </cell>
        </row>
        <row r="12">
          <cell r="H12">
            <v>18487.421249999992</v>
          </cell>
        </row>
        <row r="13">
          <cell r="H13">
            <v>16454.870750000002</v>
          </cell>
        </row>
        <row r="14">
          <cell r="H14">
            <v>6.0000000004947641E-3</v>
          </cell>
        </row>
        <row r="15">
          <cell r="H15">
            <v>2614.0749999999998</v>
          </cell>
        </row>
        <row r="16">
          <cell r="H16">
            <v>0</v>
          </cell>
        </row>
        <row r="17">
          <cell r="H17">
            <v>147.5</v>
          </cell>
        </row>
        <row r="18">
          <cell r="H18">
            <v>2678.8730000000005</v>
          </cell>
        </row>
        <row r="19">
          <cell r="H19">
            <v>2730.2579999999998</v>
          </cell>
        </row>
        <row r="20">
          <cell r="H20">
            <v>0.4</v>
          </cell>
        </row>
        <row r="21">
          <cell r="H21">
            <v>3394.7227499999972</v>
          </cell>
        </row>
        <row r="22">
          <cell r="H22">
            <v>0.41700000004493631</v>
          </cell>
        </row>
        <row r="25">
          <cell r="H25">
            <v>3</v>
          </cell>
        </row>
        <row r="27">
          <cell r="H27">
            <v>0</v>
          </cell>
        </row>
      </sheetData>
      <sheetData sheetId="10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3696902.5199999996</v>
          </cell>
        </row>
        <row r="26">
          <cell r="BA26">
            <v>823813.24</v>
          </cell>
        </row>
        <row r="27">
          <cell r="BA27">
            <v>-177210.59000000003</v>
          </cell>
        </row>
        <row r="28">
          <cell r="BA28">
            <v>238343.32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93641.700000000012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3626.4</v>
          </cell>
        </row>
        <row r="37">
          <cell r="BA37">
            <v>121524.64000000001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77797.26999999999</v>
          </cell>
        </row>
        <row r="41">
          <cell r="BA41">
            <v>677124.53999999992</v>
          </cell>
        </row>
        <row r="42">
          <cell r="BA42">
            <v>33298.459999999992</v>
          </cell>
        </row>
        <row r="43">
          <cell r="BA43">
            <v>-1637349.75</v>
          </cell>
        </row>
        <row r="44">
          <cell r="BA44">
            <v>1737.16</v>
          </cell>
        </row>
        <row r="45">
          <cell r="BA45">
            <v>15745.09</v>
          </cell>
        </row>
      </sheetData>
      <sheetData sheetId="2" refreshError="1"/>
      <sheetData sheetId="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Canada Support</v>
          </cell>
        </row>
      </sheetData>
      <sheetData sheetId="1">
        <row r="1">
          <cell r="B1" t="str">
            <v>Enron North America</v>
          </cell>
        </row>
        <row r="25">
          <cell r="BA25">
            <v>3097005.1799999992</v>
          </cell>
        </row>
        <row r="26">
          <cell r="BA26">
            <v>405010.39999999997</v>
          </cell>
        </row>
        <row r="27">
          <cell r="BA27">
            <v>309437.02</v>
          </cell>
        </row>
        <row r="28">
          <cell r="BA28">
            <v>270791.23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5703579.5799999991</v>
          </cell>
        </row>
        <row r="33">
          <cell r="BA33">
            <v>132382.80000000002</v>
          </cell>
        </row>
        <row r="34">
          <cell r="BA34">
            <v>0</v>
          </cell>
        </row>
        <row r="35">
          <cell r="BA35">
            <v>36209.440000000002</v>
          </cell>
        </row>
        <row r="36">
          <cell r="BA36">
            <v>489327.92000000004</v>
          </cell>
        </row>
        <row r="37">
          <cell r="BA37">
            <v>23628.120000000003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25924.200000000004</v>
          </cell>
        </row>
        <row r="41">
          <cell r="BA41">
            <v>1904.7300000000002</v>
          </cell>
        </row>
        <row r="42">
          <cell r="BA42">
            <v>308878.27000000008</v>
          </cell>
        </row>
        <row r="43">
          <cell r="BA43">
            <v>-612901.88</v>
          </cell>
        </row>
        <row r="44">
          <cell r="BA44">
            <v>30.12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OPs"/>
      <sheetName val="Gas Risk"/>
      <sheetName val="Gas Vol Mgmt"/>
      <sheetName val="Gas Logistics"/>
      <sheetName val="Gas Settlemnt"/>
      <sheetName val="Pwr Risk"/>
      <sheetName val="Pwr Vol Mgmt"/>
      <sheetName val="Power Logistics"/>
      <sheetName val="Pwr Settlemt"/>
      <sheetName val="Documentation"/>
      <sheetName val="Managemt"/>
    </sheetNames>
    <sheetDataSet>
      <sheetData sheetId="0">
        <row r="16">
          <cell r="H16">
            <v>0</v>
          </cell>
        </row>
        <row r="17">
          <cell r="H17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OPs"/>
      <sheetName val="Gas Risk"/>
      <sheetName val="Gas Vol Mgmt"/>
      <sheetName val="Gas Logistics"/>
      <sheetName val="Gas Settlemnt"/>
      <sheetName val="Pwr Risk"/>
      <sheetName val="Pwr Vol Mgmt"/>
      <sheetName val="Power Logistics"/>
      <sheetName val="Pwr Settlemt"/>
      <sheetName val="Documentation"/>
      <sheetName val="Managemt"/>
    </sheetNames>
    <sheetDataSet>
      <sheetData sheetId="0">
        <row r="16">
          <cell r="H16">
            <v>0</v>
          </cell>
        </row>
        <row r="17">
          <cell r="H17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Competitive Analysis</v>
          </cell>
        </row>
      </sheetData>
      <sheetData sheetId="1">
        <row r="1">
          <cell r="B1" t="str">
            <v>Enron North America</v>
          </cell>
        </row>
        <row r="25">
          <cell r="BA25">
            <v>1004954.44</v>
          </cell>
        </row>
        <row r="26">
          <cell r="BA26">
            <v>241285.2</v>
          </cell>
        </row>
        <row r="27">
          <cell r="BA27">
            <v>64034.85</v>
          </cell>
        </row>
        <row r="28">
          <cell r="BA28">
            <v>201286.59999999998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1140922.94</v>
          </cell>
        </row>
        <row r="33">
          <cell r="BA33">
            <v>21945.55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837.87000000000012</v>
          </cell>
        </row>
        <row r="37">
          <cell r="BA37">
            <v>24222.35</v>
          </cell>
        </row>
        <row r="38">
          <cell r="BA38">
            <v>8.15</v>
          </cell>
        </row>
        <row r="39">
          <cell r="BA39">
            <v>0</v>
          </cell>
        </row>
        <row r="40">
          <cell r="BA40">
            <v>155543.13</v>
          </cell>
        </row>
        <row r="41">
          <cell r="BA41">
            <v>132051.71</v>
          </cell>
        </row>
        <row r="42">
          <cell r="BA42">
            <v>196834.1</v>
          </cell>
        </row>
        <row r="43">
          <cell r="BA43">
            <v>-1900070.7900000003</v>
          </cell>
        </row>
        <row r="44">
          <cell r="BA44">
            <v>474.19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Research</v>
          </cell>
        </row>
      </sheetData>
      <sheetData sheetId="1">
        <row r="1">
          <cell r="B1" t="str">
            <v>Enron North America</v>
          </cell>
        </row>
        <row r="25">
          <cell r="BA25">
            <v>3640949.9</v>
          </cell>
        </row>
        <row r="26">
          <cell r="BA26">
            <v>762369.14000000013</v>
          </cell>
        </row>
        <row r="27">
          <cell r="BA27">
            <v>173944.72999999998</v>
          </cell>
        </row>
        <row r="28">
          <cell r="BA28">
            <v>293972.73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67481.55</v>
          </cell>
        </row>
        <row r="33">
          <cell r="BA33">
            <v>48511.92</v>
          </cell>
        </row>
        <row r="34">
          <cell r="BA34">
            <v>0</v>
          </cell>
        </row>
        <row r="35">
          <cell r="BA35">
            <v>2500</v>
          </cell>
        </row>
        <row r="36">
          <cell r="BA36">
            <v>0</v>
          </cell>
        </row>
        <row r="37">
          <cell r="BA37">
            <v>129576.91999999998</v>
          </cell>
        </row>
        <row r="38">
          <cell r="BA38">
            <v>10.029999999999999</v>
          </cell>
        </row>
        <row r="39">
          <cell r="BA39">
            <v>0</v>
          </cell>
        </row>
        <row r="40">
          <cell r="BA40">
            <v>147341.90000000002</v>
          </cell>
        </row>
        <row r="41">
          <cell r="BA41">
            <v>285701.8</v>
          </cell>
        </row>
        <row r="42">
          <cell r="BA42">
            <v>302115.48</v>
          </cell>
        </row>
        <row r="43">
          <cell r="BA43">
            <v>-4445984</v>
          </cell>
        </row>
        <row r="44">
          <cell r="BA44">
            <v>774.43</v>
          </cell>
        </row>
        <row r="45">
          <cell r="BA45">
            <v>1176.06</v>
          </cell>
        </row>
      </sheetData>
      <sheetData sheetId="2" refreshError="1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17469588.960000001</v>
          </cell>
        </row>
        <row r="26">
          <cell r="BA26">
            <v>1272399.6399999999</v>
          </cell>
        </row>
        <row r="27">
          <cell r="BA27">
            <v>141777.57</v>
          </cell>
        </row>
        <row r="28">
          <cell r="BA28">
            <v>100051.51000000001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13823042.719999999</v>
          </cell>
        </row>
        <row r="33">
          <cell r="BA33">
            <v>7559.4299999999994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91694.450000000012</v>
          </cell>
        </row>
        <row r="37">
          <cell r="BA37">
            <v>-7331217.4600000009</v>
          </cell>
        </row>
        <row r="38">
          <cell r="BA38">
            <v>0</v>
          </cell>
        </row>
        <row r="39">
          <cell r="BA39">
            <v>-7489842.25</v>
          </cell>
        </row>
        <row r="40">
          <cell r="BA40">
            <v>2999489.79</v>
          </cell>
        </row>
        <row r="41">
          <cell r="BA41">
            <v>205055.58999999997</v>
          </cell>
        </row>
        <row r="42">
          <cell r="BA42">
            <v>24774212.690000001</v>
          </cell>
        </row>
        <row r="43">
          <cell r="BA43">
            <v>42687168.700000003</v>
          </cell>
        </row>
        <row r="44">
          <cell r="BA44">
            <v>16.600000000000001</v>
          </cell>
        </row>
        <row r="45">
          <cell r="BA45">
            <v>8186094.0700000003</v>
          </cell>
        </row>
      </sheetData>
      <sheetData sheetId="2" refreshError="1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Office of the Chair</v>
          </cell>
        </row>
      </sheetData>
      <sheetData sheetId="1">
        <row r="1">
          <cell r="B1" t="str">
            <v>Enron North America</v>
          </cell>
        </row>
        <row r="25">
          <cell r="BA25">
            <v>888807.72</v>
          </cell>
        </row>
        <row r="26">
          <cell r="BA26">
            <v>249788.37</v>
          </cell>
        </row>
        <row r="27">
          <cell r="BA27">
            <v>180082.12999999998</v>
          </cell>
        </row>
        <row r="28">
          <cell r="BA28">
            <v>201416.5</v>
          </cell>
        </row>
        <row r="29">
          <cell r="BA29">
            <v>143473.75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10998.160000000003</v>
          </cell>
        </row>
        <row r="34">
          <cell r="BA34">
            <v>0</v>
          </cell>
        </row>
        <row r="35">
          <cell r="BA35">
            <v>25000</v>
          </cell>
        </row>
        <row r="36">
          <cell r="BA36">
            <v>2602.3200000000002</v>
          </cell>
        </row>
        <row r="37">
          <cell r="BA37">
            <v>40643.17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47150.06</v>
          </cell>
        </row>
        <row r="41">
          <cell r="BA41">
            <v>150417.00999999998</v>
          </cell>
        </row>
        <row r="42">
          <cell r="BA42">
            <v>243106036.81999999</v>
          </cell>
        </row>
        <row r="43">
          <cell r="BA43">
            <v>7417.54</v>
          </cell>
        </row>
        <row r="44">
          <cell r="BA44">
            <v>78.789999999999992</v>
          </cell>
        </row>
        <row r="45">
          <cell r="BA45">
            <v>11194108.379999999</v>
          </cell>
        </row>
      </sheetData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162"/>
  <sheetViews>
    <sheetView tabSelected="1" topLeftCell="B1" zoomScaleNormal="100" workbookViewId="0">
      <selection activeCell="P30" sqref="P30"/>
    </sheetView>
  </sheetViews>
  <sheetFormatPr defaultRowHeight="12.75" x14ac:dyDescent="0.2"/>
  <cols>
    <col min="4" max="4" width="29.28515625" customWidth="1"/>
    <col min="5" max="5" width="18.5703125" customWidth="1"/>
    <col min="6" max="6" width="2.7109375" customWidth="1"/>
    <col min="7" max="7" width="18.5703125" customWidth="1"/>
    <col min="8" max="8" width="15.5703125" hidden="1" customWidth="1"/>
    <col min="9" max="9" width="2.5703125" hidden="1" customWidth="1"/>
    <col min="10" max="10" width="10.7109375" hidden="1" customWidth="1"/>
    <col min="11" max="11" width="2.85546875" hidden="1" customWidth="1"/>
    <col min="12" max="12" width="15.5703125" hidden="1" customWidth="1"/>
    <col min="13" max="13" width="2.7109375" hidden="1" customWidth="1"/>
    <col min="14" max="14" width="10.7109375" hidden="1" customWidth="1"/>
    <col min="15" max="15" width="2.7109375" customWidth="1"/>
    <col min="16" max="16" width="15.5703125" bestFit="1" customWidth="1"/>
    <col min="17" max="17" width="2.7109375" customWidth="1"/>
    <col min="18" max="18" width="10" customWidth="1"/>
    <col min="19" max="19" width="2.7109375" customWidth="1"/>
    <col min="20" max="20" width="10.7109375" bestFit="1" customWidth="1"/>
    <col min="21" max="21" width="49.42578125" bestFit="1" customWidth="1"/>
  </cols>
  <sheetData>
    <row r="1" spans="1:20" x14ac:dyDescent="0.2">
      <c r="A1" s="83" t="s">
        <v>143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x14ac:dyDescent="0.2">
      <c r="A2" s="83" t="s">
        <v>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</row>
    <row r="4" spans="1:20" ht="13.5" thickBot="1" x14ac:dyDescent="0.25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</row>
    <row r="5" spans="1:20" ht="13.5" thickBot="1" x14ac:dyDescent="0.25">
      <c r="A5" s="60"/>
      <c r="H5" s="84" t="s">
        <v>198</v>
      </c>
      <c r="I5" s="110"/>
      <c r="J5" s="84">
        <v>2000</v>
      </c>
      <c r="L5" s="84" t="s">
        <v>199</v>
      </c>
      <c r="N5" s="84">
        <v>2001</v>
      </c>
      <c r="P5" s="84" t="s">
        <v>0</v>
      </c>
      <c r="T5" s="84" t="s">
        <v>0</v>
      </c>
    </row>
    <row r="6" spans="1:20" ht="13.5" thickBot="1" x14ac:dyDescent="0.25">
      <c r="E6" s="84" t="s">
        <v>144</v>
      </c>
      <c r="G6" s="120" t="s">
        <v>145</v>
      </c>
      <c r="H6" s="111" t="s">
        <v>146</v>
      </c>
      <c r="I6" s="110"/>
      <c r="J6" s="111" t="s">
        <v>50</v>
      </c>
      <c r="K6" s="110"/>
      <c r="L6" s="111" t="s">
        <v>146</v>
      </c>
      <c r="M6" s="2"/>
      <c r="N6" s="111" t="s">
        <v>50</v>
      </c>
      <c r="O6" s="2"/>
      <c r="P6" s="111" t="s">
        <v>146</v>
      </c>
      <c r="R6" s="84" t="s">
        <v>147</v>
      </c>
      <c r="T6" s="111" t="s">
        <v>50</v>
      </c>
    </row>
    <row r="7" spans="1:20" x14ac:dyDescent="0.2">
      <c r="E7" s="85"/>
      <c r="G7" s="85"/>
      <c r="H7" s="86"/>
      <c r="I7" s="109"/>
      <c r="J7" s="86"/>
      <c r="K7" s="109"/>
      <c r="L7" s="86"/>
      <c r="M7" s="2"/>
      <c r="N7" s="86"/>
      <c r="O7" s="2"/>
      <c r="P7" s="86"/>
      <c r="R7" s="85"/>
      <c r="T7" s="86"/>
    </row>
    <row r="8" spans="1:20" x14ac:dyDescent="0.2">
      <c r="E8" s="86"/>
      <c r="G8" s="86"/>
      <c r="H8" s="86"/>
      <c r="I8" s="109"/>
      <c r="J8" s="86"/>
      <c r="K8" s="109"/>
      <c r="L8" s="86"/>
      <c r="M8" s="2"/>
      <c r="N8" s="86"/>
      <c r="O8" s="2"/>
      <c r="P8" s="86"/>
      <c r="R8" s="86"/>
      <c r="T8" s="86"/>
    </row>
    <row r="9" spans="1:20" x14ac:dyDescent="0.2">
      <c r="B9" t="s">
        <v>236</v>
      </c>
      <c r="E9" s="87">
        <v>0</v>
      </c>
      <c r="F9" s="88"/>
      <c r="G9" s="87">
        <v>0</v>
      </c>
      <c r="H9" s="87">
        <f>67.7-0.7+4.6</f>
        <v>71.599999999999994</v>
      </c>
      <c r="I9" s="104"/>
      <c r="J9" s="112">
        <f>151+12</f>
        <v>163</v>
      </c>
      <c r="K9" s="104"/>
      <c r="L9" s="87">
        <f>29.1+5+4.1</f>
        <v>38.200000000000003</v>
      </c>
      <c r="M9" s="89" t="s">
        <v>148</v>
      </c>
      <c r="N9" s="90">
        <f>164-37+16</f>
        <v>143</v>
      </c>
      <c r="O9" s="89"/>
      <c r="P9" s="87">
        <v>1.2</v>
      </c>
      <c r="Q9" s="88"/>
      <c r="R9" s="87">
        <f>G9-P9</f>
        <v>-1.2</v>
      </c>
      <c r="T9" s="90">
        <v>5</v>
      </c>
    </row>
    <row r="10" spans="1:20" ht="7.5" customHeight="1" x14ac:dyDescent="0.2">
      <c r="E10" s="87"/>
      <c r="F10" s="88"/>
      <c r="G10" s="87"/>
      <c r="H10" s="87"/>
      <c r="I10" s="104"/>
      <c r="J10" s="112"/>
      <c r="K10" s="104"/>
      <c r="L10" s="87"/>
      <c r="M10" s="89"/>
      <c r="N10" s="90"/>
      <c r="O10" s="89"/>
      <c r="P10" s="87"/>
      <c r="Q10" s="88"/>
      <c r="R10" s="87"/>
      <c r="T10" s="90"/>
    </row>
    <row r="11" spans="1:20" ht="12.75" customHeight="1" x14ac:dyDescent="0.2">
      <c r="B11" t="s">
        <v>237</v>
      </c>
      <c r="E11" s="87">
        <v>0</v>
      </c>
      <c r="F11" s="88"/>
      <c r="G11" s="87">
        <v>0</v>
      </c>
      <c r="H11" s="87"/>
      <c r="I11" s="104"/>
      <c r="J11" s="112"/>
      <c r="K11" s="104"/>
      <c r="L11" s="87"/>
      <c r="M11" s="89"/>
      <c r="N11" s="90"/>
      <c r="O11" s="89"/>
      <c r="P11" s="87">
        <v>5.6</v>
      </c>
      <c r="Q11" s="88"/>
      <c r="R11" s="87">
        <f>G11-P11</f>
        <v>-5.6</v>
      </c>
      <c r="T11" s="90">
        <v>8</v>
      </c>
    </row>
    <row r="12" spans="1:20" ht="7.5" customHeight="1" x14ac:dyDescent="0.2">
      <c r="E12" s="87"/>
      <c r="F12" s="88"/>
      <c r="G12" s="87"/>
      <c r="H12" s="87"/>
      <c r="I12" s="104"/>
      <c r="J12" s="112"/>
      <c r="K12" s="104"/>
      <c r="L12" s="87"/>
      <c r="M12" s="89"/>
      <c r="N12" s="90"/>
      <c r="O12" s="89"/>
      <c r="P12" s="87"/>
      <c r="Q12" s="88"/>
      <c r="R12" s="87"/>
      <c r="T12" s="90"/>
    </row>
    <row r="13" spans="1:20" ht="12.75" customHeight="1" x14ac:dyDescent="0.2">
      <c r="B13" t="s">
        <v>238</v>
      </c>
      <c r="E13" s="87">
        <v>0</v>
      </c>
      <c r="F13" s="88"/>
      <c r="G13" s="87">
        <v>0</v>
      </c>
      <c r="H13" s="87"/>
      <c r="I13" s="104"/>
      <c r="J13" s="112"/>
      <c r="K13" s="104"/>
      <c r="L13" s="87"/>
      <c r="M13" s="89"/>
      <c r="N13" s="90"/>
      <c r="O13" s="89"/>
      <c r="P13" s="87">
        <v>1.6</v>
      </c>
      <c r="Q13" s="88"/>
      <c r="R13" s="87">
        <f>G13-P13</f>
        <v>-1.6</v>
      </c>
      <c r="T13" s="90">
        <v>8</v>
      </c>
    </row>
    <row r="14" spans="1:20" ht="7.5" customHeight="1" x14ac:dyDescent="0.2">
      <c r="E14" s="87"/>
      <c r="F14" s="88"/>
      <c r="G14" s="87"/>
      <c r="H14" s="87"/>
      <c r="I14" s="104"/>
      <c r="J14" s="112"/>
      <c r="K14" s="104"/>
      <c r="L14" s="87"/>
      <c r="M14" s="89"/>
      <c r="N14" s="90"/>
      <c r="O14" s="89"/>
      <c r="P14" s="87"/>
      <c r="Q14" s="88"/>
      <c r="R14" s="87"/>
      <c r="T14" s="90"/>
    </row>
    <row r="15" spans="1:20" ht="12.75" customHeight="1" x14ac:dyDescent="0.2">
      <c r="B15" t="s">
        <v>239</v>
      </c>
      <c r="E15" s="87">
        <v>0</v>
      </c>
      <c r="F15" s="88"/>
      <c r="G15" s="87">
        <v>0</v>
      </c>
      <c r="H15" s="87"/>
      <c r="I15" s="104"/>
      <c r="J15" s="112"/>
      <c r="K15" s="104"/>
      <c r="L15" s="87"/>
      <c r="M15" s="89"/>
      <c r="N15" s="90"/>
      <c r="O15" s="89"/>
      <c r="P15" s="87">
        <v>1.8</v>
      </c>
      <c r="Q15" s="88"/>
      <c r="R15" s="87">
        <f>G15-P15</f>
        <v>-1.8</v>
      </c>
      <c r="T15" s="90">
        <v>10</v>
      </c>
    </row>
    <row r="16" spans="1:20" ht="7.5" customHeight="1" x14ac:dyDescent="0.2">
      <c r="E16" s="87"/>
      <c r="F16" s="88"/>
      <c r="G16" s="87"/>
      <c r="H16" s="87"/>
      <c r="I16" s="104"/>
      <c r="J16" s="112"/>
      <c r="K16" s="104"/>
      <c r="L16" s="87"/>
      <c r="M16" s="89"/>
      <c r="N16" s="90"/>
      <c r="O16" s="89"/>
      <c r="P16" s="87"/>
      <c r="Q16" s="88"/>
      <c r="R16" s="87"/>
      <c r="T16" s="90"/>
    </row>
    <row r="17" spans="2:20" ht="12.75" customHeight="1" x14ac:dyDescent="0.2">
      <c r="B17" t="s">
        <v>286</v>
      </c>
      <c r="E17" s="87">
        <v>0</v>
      </c>
      <c r="F17" s="88"/>
      <c r="G17" s="87">
        <v>0</v>
      </c>
      <c r="H17" s="87"/>
      <c r="I17" s="104"/>
      <c r="J17" s="112"/>
      <c r="K17" s="104"/>
      <c r="L17" s="87"/>
      <c r="M17" s="89"/>
      <c r="N17" s="90"/>
      <c r="O17" s="89"/>
      <c r="P17" s="87">
        <v>1.6</v>
      </c>
      <c r="Q17" s="88"/>
      <c r="R17" s="87">
        <f>G17-P17</f>
        <v>-1.6</v>
      </c>
      <c r="T17" s="90">
        <v>7</v>
      </c>
    </row>
    <row r="18" spans="2:20" ht="7.5" customHeight="1" x14ac:dyDescent="0.2">
      <c r="E18" s="87"/>
      <c r="F18" s="88"/>
      <c r="G18" s="87"/>
      <c r="H18" s="87"/>
      <c r="I18" s="104"/>
      <c r="J18" s="112"/>
      <c r="K18" s="104"/>
      <c r="L18" s="87"/>
      <c r="M18" s="89"/>
      <c r="N18" s="90"/>
      <c r="O18" s="89"/>
      <c r="P18" s="87"/>
      <c r="Q18" s="88"/>
      <c r="R18" s="87"/>
      <c r="T18" s="90"/>
    </row>
    <row r="19" spans="2:20" ht="12.75" customHeight="1" x14ac:dyDescent="0.2">
      <c r="B19" t="s">
        <v>240</v>
      </c>
      <c r="E19" s="87">
        <v>0</v>
      </c>
      <c r="F19" s="88"/>
      <c r="G19" s="87">
        <v>0</v>
      </c>
      <c r="H19" s="87"/>
      <c r="I19" s="104"/>
      <c r="J19" s="112"/>
      <c r="K19" s="104"/>
      <c r="L19" s="87"/>
      <c r="M19" s="89"/>
      <c r="N19" s="90"/>
      <c r="O19" s="89"/>
      <c r="P19" s="87">
        <v>1.5</v>
      </c>
      <c r="Q19" s="88"/>
      <c r="R19" s="87">
        <f>G19-P19</f>
        <v>-1.5</v>
      </c>
      <c r="T19" s="90">
        <v>4</v>
      </c>
    </row>
    <row r="20" spans="2:20" ht="7.5" customHeight="1" x14ac:dyDescent="0.2">
      <c r="E20" s="87"/>
      <c r="F20" s="88"/>
      <c r="G20" s="87"/>
      <c r="H20" s="87"/>
      <c r="I20" s="104"/>
      <c r="J20" s="112"/>
      <c r="K20" s="104"/>
      <c r="L20" s="87"/>
      <c r="M20" s="89"/>
      <c r="N20" s="90"/>
      <c r="O20" s="89"/>
      <c r="P20" s="87"/>
      <c r="Q20" s="88"/>
      <c r="R20" s="87"/>
      <c r="T20" s="90"/>
    </row>
    <row r="21" spans="2:20" x14ac:dyDescent="0.2">
      <c r="B21" t="s">
        <v>241</v>
      </c>
      <c r="E21" s="87">
        <v>0</v>
      </c>
      <c r="F21" s="88"/>
      <c r="G21" s="87">
        <v>0</v>
      </c>
      <c r="H21" s="87"/>
      <c r="I21" s="104"/>
      <c r="J21" s="112"/>
      <c r="K21" s="104"/>
      <c r="L21" s="87" t="s">
        <v>148</v>
      </c>
      <c r="M21" s="89"/>
      <c r="N21" s="90"/>
      <c r="O21" s="89"/>
      <c r="P21" s="87">
        <v>1.1000000000000001</v>
      </c>
      <c r="Q21" s="88"/>
      <c r="R21" s="87">
        <f>G21-P21</f>
        <v>-1.1000000000000001</v>
      </c>
      <c r="T21" s="90">
        <v>4</v>
      </c>
    </row>
    <row r="22" spans="2:20" ht="6.75" customHeight="1" x14ac:dyDescent="0.2">
      <c r="E22" s="87"/>
      <c r="F22" s="88"/>
      <c r="G22" s="87"/>
      <c r="H22" s="87"/>
      <c r="I22" s="104"/>
      <c r="J22" s="101"/>
      <c r="K22" s="104"/>
      <c r="L22" s="103"/>
      <c r="M22" s="88"/>
      <c r="N22" s="90"/>
      <c r="O22" s="88"/>
      <c r="P22" s="87"/>
      <c r="Q22" s="88"/>
      <c r="R22" s="87"/>
      <c r="T22" s="90"/>
    </row>
    <row r="23" spans="2:20" x14ac:dyDescent="0.2">
      <c r="B23" t="s">
        <v>242</v>
      </c>
      <c r="E23" s="87">
        <v>0</v>
      </c>
      <c r="F23" s="88"/>
      <c r="G23" s="87">
        <v>0</v>
      </c>
      <c r="H23" s="87"/>
      <c r="I23" s="104"/>
      <c r="J23" s="112"/>
      <c r="K23" s="104"/>
      <c r="L23" s="87"/>
      <c r="M23" s="89"/>
      <c r="N23" s="90"/>
      <c r="O23" s="89"/>
      <c r="P23" s="87">
        <v>1.9</v>
      </c>
      <c r="Q23" s="88"/>
      <c r="R23" s="87">
        <f>G23-P23</f>
        <v>-1.9</v>
      </c>
      <c r="T23" s="90">
        <v>7</v>
      </c>
    </row>
    <row r="24" spans="2:20" ht="6.75" customHeight="1" x14ac:dyDescent="0.2">
      <c r="E24" s="87"/>
      <c r="F24" s="88"/>
      <c r="G24" s="87"/>
      <c r="H24" s="87"/>
      <c r="I24" s="104"/>
      <c r="J24" s="101"/>
      <c r="K24" s="104"/>
      <c r="L24" s="103"/>
      <c r="M24" s="88"/>
      <c r="N24" s="90"/>
      <c r="O24" s="88"/>
      <c r="P24" s="87"/>
      <c r="Q24" s="88"/>
      <c r="R24" s="87"/>
      <c r="T24" s="90"/>
    </row>
    <row r="25" spans="2:20" x14ac:dyDescent="0.2">
      <c r="B25" t="s">
        <v>243</v>
      </c>
      <c r="E25" s="87">
        <v>0</v>
      </c>
      <c r="F25" s="88"/>
      <c r="G25" s="87">
        <v>0</v>
      </c>
      <c r="H25" s="87"/>
      <c r="I25" s="104"/>
      <c r="J25" s="112"/>
      <c r="K25" s="104"/>
      <c r="L25" s="87"/>
      <c r="M25" s="89"/>
      <c r="N25" s="90"/>
      <c r="O25" s="89"/>
      <c r="P25" s="87">
        <v>1.7</v>
      </c>
      <c r="Q25" s="88"/>
      <c r="R25" s="87">
        <f>G25-P25</f>
        <v>-1.7</v>
      </c>
      <c r="T25" s="90">
        <v>7</v>
      </c>
    </row>
    <row r="26" spans="2:20" ht="6.75" customHeight="1" x14ac:dyDescent="0.2">
      <c r="E26" s="87"/>
      <c r="F26" s="88"/>
      <c r="G26" s="87"/>
      <c r="H26" s="87"/>
      <c r="I26" s="104"/>
      <c r="J26" s="101"/>
      <c r="K26" s="104"/>
      <c r="L26" s="103"/>
      <c r="M26" s="88"/>
      <c r="N26" s="90"/>
      <c r="O26" s="88"/>
      <c r="P26" s="87"/>
      <c r="Q26" s="88"/>
      <c r="R26" s="87"/>
      <c r="T26" s="90"/>
    </row>
    <row r="27" spans="2:20" x14ac:dyDescent="0.2">
      <c r="B27" t="s">
        <v>288</v>
      </c>
      <c r="E27" s="87">
        <v>0</v>
      </c>
      <c r="F27" s="88"/>
      <c r="G27" s="87">
        <v>0</v>
      </c>
      <c r="H27" s="87"/>
      <c r="I27" s="104"/>
      <c r="J27" s="112"/>
      <c r="K27" s="104"/>
      <c r="L27" s="87"/>
      <c r="M27" s="89"/>
      <c r="N27" s="90"/>
      <c r="O27" s="89"/>
      <c r="P27" s="87">
        <v>2.7</v>
      </c>
      <c r="Q27" s="88"/>
      <c r="R27" s="87">
        <f>G27-P27</f>
        <v>-2.7</v>
      </c>
      <c r="T27" s="90">
        <v>12</v>
      </c>
    </row>
    <row r="28" spans="2:20" ht="6.75" hidden="1" customHeight="1" x14ac:dyDescent="0.2">
      <c r="E28" s="87"/>
      <c r="F28" s="88"/>
      <c r="G28" s="87"/>
      <c r="H28" s="87"/>
      <c r="I28" s="104"/>
      <c r="J28" s="101"/>
      <c r="K28" s="104"/>
      <c r="L28" s="103"/>
      <c r="M28" s="88"/>
      <c r="N28" s="90"/>
      <c r="O28" s="88"/>
      <c r="P28" s="87"/>
      <c r="Q28" s="88"/>
      <c r="R28" s="87"/>
      <c r="T28" s="90"/>
    </row>
    <row r="29" spans="2:20" hidden="1" x14ac:dyDescent="0.2">
      <c r="B29" t="s">
        <v>68</v>
      </c>
      <c r="E29" s="87">
        <v>0</v>
      </c>
      <c r="F29" s="88"/>
      <c r="G29" s="87">
        <v>0</v>
      </c>
      <c r="H29" s="87"/>
      <c r="I29" s="104"/>
      <c r="J29" s="112"/>
      <c r="K29" s="104"/>
      <c r="L29" s="87"/>
      <c r="M29" s="89"/>
      <c r="N29" s="90"/>
      <c r="O29" s="89"/>
      <c r="P29" s="87">
        <v>0</v>
      </c>
      <c r="Q29" s="88"/>
      <c r="R29" s="87">
        <f>G29-P29</f>
        <v>0</v>
      </c>
      <c r="T29" s="90">
        <v>0</v>
      </c>
    </row>
    <row r="30" spans="2:20" ht="5.25" customHeight="1" x14ac:dyDescent="0.2">
      <c r="E30" s="87"/>
      <c r="F30" s="88"/>
      <c r="G30" s="87"/>
      <c r="H30" s="87"/>
      <c r="I30" s="104"/>
      <c r="J30" s="112"/>
      <c r="K30" s="104"/>
      <c r="L30" s="87"/>
      <c r="M30" s="89"/>
      <c r="N30" s="90"/>
      <c r="O30" s="89"/>
      <c r="P30" s="87"/>
      <c r="Q30" s="88"/>
      <c r="R30" s="87"/>
      <c r="T30" s="90"/>
    </row>
    <row r="31" spans="2:20" x14ac:dyDescent="0.2">
      <c r="B31" t="s">
        <v>246</v>
      </c>
      <c r="E31" s="87">
        <v>0</v>
      </c>
      <c r="F31" s="88"/>
      <c r="G31" s="127">
        <v>0</v>
      </c>
      <c r="H31" s="87"/>
      <c r="I31" s="104"/>
      <c r="J31" s="112"/>
      <c r="K31" s="104"/>
      <c r="L31" s="87"/>
      <c r="M31" s="89"/>
      <c r="N31" s="90"/>
      <c r="O31" s="89"/>
      <c r="P31" s="87">
        <v>0.6</v>
      </c>
      <c r="Q31" s="88"/>
      <c r="R31" s="87">
        <f>G31-P31</f>
        <v>-0.6</v>
      </c>
      <c r="T31" s="90">
        <v>3</v>
      </c>
    </row>
    <row r="32" spans="2:20" ht="6.75" customHeight="1" x14ac:dyDescent="0.2">
      <c r="E32" s="87"/>
      <c r="F32" s="88"/>
      <c r="G32" s="87"/>
      <c r="H32" s="87"/>
      <c r="I32" s="104"/>
      <c r="J32" s="112"/>
      <c r="K32" s="104"/>
      <c r="L32" s="87"/>
      <c r="M32" s="89"/>
      <c r="N32" s="90"/>
      <c r="O32" s="89"/>
      <c r="P32" s="87"/>
      <c r="Q32" s="88"/>
      <c r="R32" s="87"/>
      <c r="T32" s="90"/>
    </row>
    <row r="33" spans="2:20" x14ac:dyDescent="0.2">
      <c r="B33" s="33" t="s">
        <v>273</v>
      </c>
      <c r="C33" s="33"/>
      <c r="D33" s="33"/>
      <c r="E33" s="127">
        <v>0</v>
      </c>
      <c r="F33" s="128"/>
      <c r="G33" s="127">
        <v>425</v>
      </c>
      <c r="H33" s="127"/>
      <c r="I33" s="129"/>
      <c r="J33" s="130"/>
      <c r="K33" s="129"/>
      <c r="L33" s="127"/>
      <c r="M33" s="128"/>
      <c r="N33" s="131"/>
      <c r="O33" s="128"/>
      <c r="P33" s="127">
        <f>SUM(P9:P31)</f>
        <v>21.3</v>
      </c>
      <c r="Q33" s="128"/>
      <c r="R33" s="127">
        <f>G33-P33</f>
        <v>403.7</v>
      </c>
      <c r="S33" s="33"/>
      <c r="T33" s="131">
        <f>SUM(T9:T31)</f>
        <v>75</v>
      </c>
    </row>
    <row r="34" spans="2:20" ht="6" customHeight="1" x14ac:dyDescent="0.2">
      <c r="B34" s="33"/>
      <c r="C34" s="33"/>
      <c r="D34" s="33"/>
      <c r="E34" s="127"/>
      <c r="F34" s="128"/>
      <c r="G34" s="127"/>
      <c r="H34" s="127"/>
      <c r="I34" s="129"/>
      <c r="J34" s="130"/>
      <c r="K34" s="129"/>
      <c r="L34" s="127"/>
      <c r="M34" s="128"/>
      <c r="N34" s="131"/>
      <c r="O34" s="128"/>
      <c r="P34" s="127"/>
      <c r="Q34" s="128"/>
      <c r="R34" s="127"/>
      <c r="S34" s="33"/>
      <c r="T34" s="131"/>
    </row>
    <row r="35" spans="2:20" x14ac:dyDescent="0.2">
      <c r="B35" s="134" t="s">
        <v>295</v>
      </c>
      <c r="C35" s="33"/>
      <c r="D35" s="33"/>
      <c r="E35" s="127">
        <v>0</v>
      </c>
      <c r="F35" s="136"/>
      <c r="G35" s="127">
        <v>0</v>
      </c>
      <c r="H35" s="135"/>
      <c r="I35" s="137"/>
      <c r="J35" s="138"/>
      <c r="K35" s="137"/>
      <c r="L35" s="135"/>
      <c r="M35" s="136"/>
      <c r="N35" s="139"/>
      <c r="O35" s="136"/>
      <c r="P35" s="135">
        <v>1.2</v>
      </c>
      <c r="Q35" s="136"/>
      <c r="R35" s="87">
        <f>G35-P35</f>
        <v>-1.2</v>
      </c>
      <c r="S35" s="134"/>
      <c r="T35" s="139">
        <v>5</v>
      </c>
    </row>
    <row r="36" spans="2:20" ht="6" customHeight="1" x14ac:dyDescent="0.2">
      <c r="B36" s="134"/>
      <c r="C36" s="33"/>
      <c r="D36" s="33"/>
      <c r="E36" s="135"/>
      <c r="F36" s="136"/>
      <c r="G36" s="135"/>
      <c r="H36" s="135"/>
      <c r="I36" s="137"/>
      <c r="J36" s="138"/>
      <c r="K36" s="137"/>
      <c r="L36" s="135"/>
      <c r="M36" s="136"/>
      <c r="N36" s="139"/>
      <c r="O36" s="136"/>
      <c r="P36" s="135"/>
      <c r="Q36" s="136"/>
      <c r="R36" s="135"/>
      <c r="S36" s="134"/>
      <c r="T36" s="139"/>
    </row>
    <row r="37" spans="2:20" x14ac:dyDescent="0.2">
      <c r="B37" s="134" t="s">
        <v>296</v>
      </c>
      <c r="C37" s="33"/>
      <c r="D37" s="33"/>
      <c r="E37" s="127">
        <v>0</v>
      </c>
      <c r="F37" s="136"/>
      <c r="G37" s="127">
        <v>0</v>
      </c>
      <c r="H37" s="135"/>
      <c r="I37" s="137"/>
      <c r="J37" s="138"/>
      <c r="K37" s="137"/>
      <c r="L37" s="135"/>
      <c r="M37" s="136"/>
      <c r="N37" s="139"/>
      <c r="O37" s="136"/>
      <c r="P37" s="135">
        <v>1.5</v>
      </c>
      <c r="Q37" s="136"/>
      <c r="R37" s="87">
        <f>G37-P37</f>
        <v>-1.5</v>
      </c>
      <c r="S37" s="134"/>
      <c r="T37" s="139">
        <v>8</v>
      </c>
    </row>
    <row r="38" spans="2:20" ht="6" customHeight="1" x14ac:dyDescent="0.2">
      <c r="B38" s="134"/>
      <c r="C38" s="33"/>
      <c r="D38" s="33"/>
      <c r="E38" s="135"/>
      <c r="F38" s="136"/>
      <c r="G38" s="135"/>
      <c r="H38" s="135"/>
      <c r="I38" s="137"/>
      <c r="J38" s="138"/>
      <c r="K38" s="137"/>
      <c r="L38" s="135"/>
      <c r="M38" s="136"/>
      <c r="N38" s="139"/>
      <c r="O38" s="136"/>
      <c r="P38" s="135"/>
      <c r="Q38" s="136"/>
      <c r="R38" s="135"/>
      <c r="S38" s="134"/>
      <c r="T38" s="139"/>
    </row>
    <row r="39" spans="2:20" x14ac:dyDescent="0.2">
      <c r="B39" s="134" t="s">
        <v>297</v>
      </c>
      <c r="C39" s="33"/>
      <c r="D39" s="33"/>
      <c r="E39" s="127">
        <v>0</v>
      </c>
      <c r="F39" s="136"/>
      <c r="G39" s="127">
        <v>0</v>
      </c>
      <c r="H39" s="135"/>
      <c r="I39" s="137"/>
      <c r="J39" s="138"/>
      <c r="K39" s="137"/>
      <c r="L39" s="135"/>
      <c r="M39" s="136"/>
      <c r="N39" s="139"/>
      <c r="O39" s="136"/>
      <c r="P39" s="135">
        <v>2.5</v>
      </c>
      <c r="Q39" s="136"/>
      <c r="R39" s="87">
        <f>G39-P39</f>
        <v>-2.5</v>
      </c>
      <c r="S39" s="134"/>
      <c r="T39" s="139">
        <v>13</v>
      </c>
    </row>
    <row r="40" spans="2:20" ht="6" customHeight="1" x14ac:dyDescent="0.2">
      <c r="B40" s="134"/>
      <c r="C40" s="33"/>
      <c r="D40" s="33"/>
      <c r="E40" s="135"/>
      <c r="F40" s="136"/>
      <c r="G40" s="135"/>
      <c r="H40" s="135"/>
      <c r="I40" s="137"/>
      <c r="J40" s="138"/>
      <c r="K40" s="137"/>
      <c r="L40" s="135"/>
      <c r="M40" s="136"/>
      <c r="N40" s="139"/>
      <c r="O40" s="136"/>
      <c r="P40" s="135"/>
      <c r="Q40" s="136"/>
      <c r="R40" s="135"/>
      <c r="S40" s="134"/>
      <c r="T40" s="139"/>
    </row>
    <row r="41" spans="2:20" x14ac:dyDescent="0.2">
      <c r="B41" s="134" t="s">
        <v>298</v>
      </c>
      <c r="C41" s="33"/>
      <c r="D41" s="33"/>
      <c r="E41" s="127">
        <v>0</v>
      </c>
      <c r="F41" s="136"/>
      <c r="G41" s="127">
        <v>0</v>
      </c>
      <c r="H41" s="135"/>
      <c r="I41" s="137"/>
      <c r="J41" s="138"/>
      <c r="K41" s="137"/>
      <c r="L41" s="135"/>
      <c r="M41" s="136"/>
      <c r="N41" s="139"/>
      <c r="O41" s="136"/>
      <c r="P41" s="135">
        <v>1.4</v>
      </c>
      <c r="Q41" s="136"/>
      <c r="R41" s="87">
        <f>G41-P41</f>
        <v>-1.4</v>
      </c>
      <c r="S41" s="134"/>
      <c r="T41" s="139">
        <v>8</v>
      </c>
    </row>
    <row r="42" spans="2:20" ht="6" customHeight="1" x14ac:dyDescent="0.2">
      <c r="B42" s="134"/>
      <c r="C42" s="33"/>
      <c r="D42" s="33"/>
      <c r="E42" s="135"/>
      <c r="F42" s="136"/>
      <c r="G42" s="135"/>
      <c r="H42" s="135"/>
      <c r="I42" s="137"/>
      <c r="J42" s="138"/>
      <c r="K42" s="137"/>
      <c r="L42" s="135"/>
      <c r="M42" s="136"/>
      <c r="N42" s="139"/>
      <c r="O42" s="136"/>
      <c r="P42" s="135"/>
      <c r="Q42" s="136"/>
      <c r="R42" s="135"/>
      <c r="S42" s="134"/>
      <c r="T42" s="139"/>
    </row>
    <row r="43" spans="2:20" x14ac:dyDescent="0.2">
      <c r="B43" s="134" t="s">
        <v>299</v>
      </c>
      <c r="C43" s="33"/>
      <c r="D43" s="33"/>
      <c r="E43" s="127">
        <v>0</v>
      </c>
      <c r="F43" s="136"/>
      <c r="G43" s="127">
        <v>0</v>
      </c>
      <c r="H43" s="135"/>
      <c r="I43" s="137"/>
      <c r="J43" s="138"/>
      <c r="K43" s="137"/>
      <c r="L43" s="135"/>
      <c r="M43" s="136"/>
      <c r="N43" s="139"/>
      <c r="O43" s="136"/>
      <c r="P43" s="135">
        <v>1.6</v>
      </c>
      <c r="Q43" s="136"/>
      <c r="R43" s="87">
        <f>G43-P43</f>
        <v>-1.6</v>
      </c>
      <c r="S43" s="134"/>
      <c r="T43" s="139">
        <v>9</v>
      </c>
    </row>
    <row r="44" spans="2:20" ht="6" customHeight="1" x14ac:dyDescent="0.2">
      <c r="B44" s="134"/>
      <c r="C44" s="33"/>
      <c r="D44" s="33"/>
      <c r="E44" s="135"/>
      <c r="F44" s="136"/>
      <c r="G44" s="135"/>
      <c r="H44" s="135"/>
      <c r="I44" s="137"/>
      <c r="J44" s="138"/>
      <c r="K44" s="137"/>
      <c r="L44" s="135"/>
      <c r="M44" s="136"/>
      <c r="N44" s="139"/>
      <c r="O44" s="136"/>
      <c r="P44" s="135"/>
      <c r="Q44" s="136"/>
      <c r="R44" s="135"/>
      <c r="S44" s="134"/>
      <c r="T44" s="139"/>
    </row>
    <row r="45" spans="2:20" x14ac:dyDescent="0.2">
      <c r="B45" s="134" t="s">
        <v>300</v>
      </c>
      <c r="C45" s="33"/>
      <c r="D45" s="33"/>
      <c r="E45" s="127">
        <v>0</v>
      </c>
      <c r="F45" s="136"/>
      <c r="G45" s="127">
        <v>0</v>
      </c>
      <c r="H45" s="135"/>
      <c r="I45" s="137"/>
      <c r="J45" s="138"/>
      <c r="K45" s="137"/>
      <c r="L45" s="135"/>
      <c r="M45" s="136"/>
      <c r="N45" s="139"/>
      <c r="O45" s="136"/>
      <c r="P45" s="135">
        <v>1.1000000000000001</v>
      </c>
      <c r="Q45" s="136"/>
      <c r="R45" s="87">
        <f>G45-P45</f>
        <v>-1.1000000000000001</v>
      </c>
      <c r="S45" s="134"/>
      <c r="T45" s="139">
        <v>5</v>
      </c>
    </row>
    <row r="46" spans="2:20" ht="6" customHeight="1" x14ac:dyDescent="0.2">
      <c r="B46" s="134"/>
      <c r="C46" s="33"/>
      <c r="D46" s="33"/>
      <c r="E46" s="135"/>
      <c r="F46" s="136"/>
      <c r="G46" s="135"/>
      <c r="H46" s="135"/>
      <c r="I46" s="137"/>
      <c r="J46" s="138"/>
      <c r="K46" s="137"/>
      <c r="L46" s="135"/>
      <c r="M46" s="136"/>
      <c r="N46" s="139"/>
      <c r="O46" s="136"/>
      <c r="P46" s="135"/>
      <c r="Q46" s="136"/>
      <c r="R46" s="135"/>
      <c r="S46" s="134"/>
      <c r="T46" s="139"/>
    </row>
    <row r="47" spans="2:20" ht="12.75" customHeight="1" x14ac:dyDescent="0.2">
      <c r="B47" s="134" t="s">
        <v>312</v>
      </c>
      <c r="C47" s="33"/>
      <c r="D47" s="33"/>
      <c r="E47" s="135">
        <v>0</v>
      </c>
      <c r="F47" s="136"/>
      <c r="G47" s="135">
        <v>0</v>
      </c>
      <c r="H47" s="135"/>
      <c r="I47" s="137"/>
      <c r="J47" s="138"/>
      <c r="K47" s="137"/>
      <c r="L47" s="135"/>
      <c r="M47" s="136"/>
      <c r="N47" s="139"/>
      <c r="O47" s="136"/>
      <c r="P47" s="135">
        <v>0.7</v>
      </c>
      <c r="Q47" s="136"/>
      <c r="R47" s="87">
        <f>G47-P47</f>
        <v>-0.7</v>
      </c>
      <c r="S47" s="134"/>
      <c r="T47" s="139">
        <v>3</v>
      </c>
    </row>
    <row r="48" spans="2:20" ht="6" customHeight="1" x14ac:dyDescent="0.2">
      <c r="B48" s="134"/>
      <c r="C48" s="33"/>
      <c r="D48" s="33"/>
      <c r="E48" s="135"/>
      <c r="F48" s="136"/>
      <c r="G48" s="135"/>
      <c r="H48" s="135"/>
      <c r="I48" s="137"/>
      <c r="J48" s="138"/>
      <c r="K48" s="137"/>
      <c r="L48" s="135"/>
      <c r="M48" s="136"/>
      <c r="N48" s="139"/>
      <c r="O48" s="136"/>
      <c r="P48" s="135" t="s">
        <v>321</v>
      </c>
      <c r="Q48" s="136"/>
      <c r="R48" s="135"/>
      <c r="S48" s="134"/>
      <c r="T48" s="139"/>
    </row>
    <row r="49" spans="2:20" ht="12.75" customHeight="1" x14ac:dyDescent="0.2">
      <c r="B49" s="134" t="s">
        <v>313</v>
      </c>
      <c r="C49" s="33"/>
      <c r="D49" s="33"/>
      <c r="E49" s="135">
        <v>0</v>
      </c>
      <c r="F49" s="136"/>
      <c r="G49" s="135">
        <v>0</v>
      </c>
      <c r="H49" s="135"/>
      <c r="I49" s="137"/>
      <c r="J49" s="138"/>
      <c r="K49" s="137"/>
      <c r="L49" s="135"/>
      <c r="M49" s="136"/>
      <c r="N49" s="139"/>
      <c r="O49" s="136"/>
      <c r="P49" s="135">
        <v>0.8</v>
      </c>
      <c r="Q49" s="136"/>
      <c r="R49" s="87">
        <f>G49-P49</f>
        <v>-0.8</v>
      </c>
      <c r="S49" s="134"/>
      <c r="T49" s="139">
        <v>3</v>
      </c>
    </row>
    <row r="50" spans="2:20" ht="6" customHeight="1" x14ac:dyDescent="0.2">
      <c r="B50" s="134"/>
      <c r="C50" s="33"/>
      <c r="D50" s="33"/>
      <c r="E50" s="135"/>
      <c r="F50" s="136"/>
      <c r="G50" s="135"/>
      <c r="H50" s="135"/>
      <c r="I50" s="137"/>
      <c r="J50" s="138"/>
      <c r="K50" s="137"/>
      <c r="L50" s="135"/>
      <c r="M50" s="136"/>
      <c r="N50" s="139"/>
      <c r="O50" s="136"/>
      <c r="P50" s="135"/>
      <c r="Q50" s="136"/>
      <c r="R50" s="135"/>
      <c r="S50" s="134"/>
      <c r="T50" s="139"/>
    </row>
    <row r="51" spans="2:20" ht="12.75" customHeight="1" x14ac:dyDescent="0.2">
      <c r="B51" s="134" t="s">
        <v>314</v>
      </c>
      <c r="C51" s="33"/>
      <c r="D51" s="33"/>
      <c r="E51" s="135">
        <v>0</v>
      </c>
      <c r="F51" s="136"/>
      <c r="G51" s="135">
        <v>0</v>
      </c>
      <c r="H51" s="135"/>
      <c r="I51" s="137"/>
      <c r="J51" s="138"/>
      <c r="K51" s="137"/>
      <c r="L51" s="135"/>
      <c r="M51" s="136"/>
      <c r="N51" s="139"/>
      <c r="O51" s="136"/>
      <c r="P51" s="135">
        <v>1.1000000000000001</v>
      </c>
      <c r="Q51" s="136"/>
      <c r="R51" s="87">
        <f>G51-P51</f>
        <v>-1.1000000000000001</v>
      </c>
      <c r="S51" s="134"/>
      <c r="T51" s="139">
        <v>5</v>
      </c>
    </row>
    <row r="52" spans="2:20" ht="6" customHeight="1" x14ac:dyDescent="0.2">
      <c r="B52" s="134"/>
      <c r="C52" s="33"/>
      <c r="D52" s="33"/>
      <c r="E52" s="135"/>
      <c r="F52" s="136"/>
      <c r="G52" s="135"/>
      <c r="H52" s="135"/>
      <c r="I52" s="137"/>
      <c r="J52" s="138"/>
      <c r="K52" s="137"/>
      <c r="L52" s="135"/>
      <c r="M52" s="136"/>
      <c r="N52" s="139"/>
      <c r="O52" s="136"/>
      <c r="P52" s="135"/>
      <c r="Q52" s="136"/>
      <c r="R52" s="135"/>
      <c r="S52" s="134"/>
      <c r="T52" s="139"/>
    </row>
    <row r="53" spans="2:20" ht="12.75" customHeight="1" x14ac:dyDescent="0.2">
      <c r="B53" s="134" t="s">
        <v>315</v>
      </c>
      <c r="C53" s="33"/>
      <c r="D53" s="33"/>
      <c r="E53" s="135">
        <v>0</v>
      </c>
      <c r="F53" s="136"/>
      <c r="G53" s="135">
        <v>0</v>
      </c>
      <c r="H53" s="135"/>
      <c r="I53" s="137"/>
      <c r="J53" s="138"/>
      <c r="K53" s="137"/>
      <c r="L53" s="135"/>
      <c r="M53" s="136"/>
      <c r="N53" s="139"/>
      <c r="O53" s="136"/>
      <c r="P53" s="135">
        <v>0.8</v>
      </c>
      <c r="Q53" s="136"/>
      <c r="R53" s="87">
        <f>G53-P53</f>
        <v>-0.8</v>
      </c>
      <c r="S53" s="134"/>
      <c r="T53" s="139">
        <v>3</v>
      </c>
    </row>
    <row r="54" spans="2:20" ht="6" customHeight="1" x14ac:dyDescent="0.2">
      <c r="B54" s="134"/>
      <c r="C54" s="33"/>
      <c r="D54" s="33"/>
      <c r="E54" s="135"/>
      <c r="F54" s="136"/>
      <c r="G54" s="135"/>
      <c r="H54" s="135"/>
      <c r="I54" s="137"/>
      <c r="J54" s="138"/>
      <c r="K54" s="137"/>
      <c r="L54" s="135"/>
      <c r="M54" s="136"/>
      <c r="N54" s="139"/>
      <c r="O54" s="136"/>
      <c r="P54" s="135"/>
      <c r="Q54" s="136"/>
      <c r="R54" s="135"/>
      <c r="S54" s="134"/>
      <c r="T54" s="139"/>
    </row>
    <row r="55" spans="2:20" ht="12.75" customHeight="1" x14ac:dyDescent="0.2">
      <c r="B55" s="134" t="s">
        <v>316</v>
      </c>
      <c r="C55" s="33"/>
      <c r="D55" s="33"/>
      <c r="E55" s="135">
        <v>0</v>
      </c>
      <c r="F55" s="136"/>
      <c r="G55" s="135">
        <v>0</v>
      </c>
      <c r="H55" s="135"/>
      <c r="I55" s="137"/>
      <c r="J55" s="138"/>
      <c r="K55" s="137"/>
      <c r="L55" s="135"/>
      <c r="M55" s="136"/>
      <c r="N55" s="139"/>
      <c r="O55" s="136"/>
      <c r="P55" s="135">
        <v>0.8</v>
      </c>
      <c r="Q55" s="136"/>
      <c r="R55" s="87">
        <f>G55-P55</f>
        <v>-0.8</v>
      </c>
      <c r="S55" s="134"/>
      <c r="T55" s="139">
        <v>3</v>
      </c>
    </row>
    <row r="56" spans="2:20" ht="6" customHeight="1" x14ac:dyDescent="0.2">
      <c r="B56" s="134"/>
      <c r="C56" s="33"/>
      <c r="D56" s="33"/>
      <c r="E56" s="135"/>
      <c r="F56" s="136"/>
      <c r="G56" s="135"/>
      <c r="H56" s="135"/>
      <c r="I56" s="137"/>
      <c r="J56" s="138"/>
      <c r="K56" s="137"/>
      <c r="L56" s="135"/>
      <c r="M56" s="136"/>
      <c r="N56" s="139"/>
      <c r="O56" s="136"/>
      <c r="P56" s="135"/>
      <c r="Q56" s="136"/>
      <c r="R56" s="135"/>
      <c r="S56" s="134"/>
      <c r="T56" s="139"/>
    </row>
    <row r="57" spans="2:20" x14ac:dyDescent="0.2">
      <c r="B57" s="33" t="s">
        <v>301</v>
      </c>
      <c r="C57" s="33"/>
      <c r="D57" s="33"/>
      <c r="E57" s="127">
        <v>0</v>
      </c>
      <c r="F57" s="128"/>
      <c r="G57" s="127">
        <v>250</v>
      </c>
      <c r="H57" s="127"/>
      <c r="I57" s="129"/>
      <c r="J57" s="130"/>
      <c r="K57" s="129"/>
      <c r="L57" s="127"/>
      <c r="M57" s="128"/>
      <c r="N57" s="131"/>
      <c r="O57" s="128"/>
      <c r="P57" s="127">
        <f>SUM(P35:P56)</f>
        <v>13.5</v>
      </c>
      <c r="Q57" s="128"/>
      <c r="R57" s="127">
        <f>G57-P57</f>
        <v>236.5</v>
      </c>
      <c r="S57" s="33"/>
      <c r="T57" s="131">
        <f>SUM(T35:T56)</f>
        <v>65</v>
      </c>
    </row>
    <row r="58" spans="2:20" ht="7.5" customHeight="1" x14ac:dyDescent="0.2">
      <c r="E58" s="87"/>
      <c r="F58" s="88"/>
      <c r="G58" s="87"/>
      <c r="H58" s="87"/>
      <c r="I58" s="104"/>
      <c r="J58" s="101"/>
      <c r="K58" s="104"/>
      <c r="L58" s="87"/>
      <c r="M58" s="88"/>
      <c r="N58" s="90"/>
      <c r="O58" s="88"/>
      <c r="P58" s="87"/>
      <c r="Q58" s="88"/>
      <c r="R58" s="87"/>
      <c r="T58" s="90"/>
    </row>
    <row r="59" spans="2:20" x14ac:dyDescent="0.2">
      <c r="B59" t="s">
        <v>220</v>
      </c>
      <c r="E59" s="87">
        <v>0</v>
      </c>
      <c r="F59" s="88"/>
      <c r="G59" s="87">
        <v>150</v>
      </c>
      <c r="H59" s="87">
        <v>18.100000000000001</v>
      </c>
      <c r="I59" s="104"/>
      <c r="J59" s="93">
        <v>67</v>
      </c>
      <c r="K59" s="104"/>
      <c r="L59" s="87">
        <f>27.3+6.5</f>
        <v>33.799999999999997</v>
      </c>
      <c r="M59" s="88"/>
      <c r="N59" s="90">
        <f>106-10</f>
        <v>96</v>
      </c>
      <c r="O59" s="88"/>
      <c r="P59" s="87">
        <v>4.8</v>
      </c>
      <c r="Q59" s="88"/>
      <c r="R59" s="87">
        <f>G59-P59</f>
        <v>145.19999999999999</v>
      </c>
      <c r="T59" s="90">
        <v>24</v>
      </c>
    </row>
    <row r="60" spans="2:20" ht="7.5" customHeight="1" x14ac:dyDescent="0.2">
      <c r="E60" s="87"/>
      <c r="F60" s="88"/>
      <c r="G60" s="87"/>
      <c r="H60" s="87"/>
      <c r="I60" s="104"/>
      <c r="J60" s="93"/>
      <c r="K60" s="104"/>
      <c r="L60" s="87"/>
      <c r="M60" s="88"/>
      <c r="N60" s="90"/>
      <c r="O60" s="88"/>
      <c r="P60" s="87"/>
      <c r="Q60" s="88"/>
      <c r="R60" s="87"/>
      <c r="T60" s="90"/>
    </row>
    <row r="61" spans="2:20" x14ac:dyDescent="0.2">
      <c r="B61" t="s">
        <v>221</v>
      </c>
      <c r="E61" s="87">
        <v>0</v>
      </c>
      <c r="F61" s="88"/>
      <c r="G61" s="87">
        <v>0</v>
      </c>
      <c r="H61" s="87"/>
      <c r="I61" s="104"/>
      <c r="J61" s="101"/>
      <c r="K61" s="104"/>
      <c r="L61" s="87"/>
      <c r="M61" s="88"/>
      <c r="N61" s="90"/>
      <c r="O61" s="88"/>
      <c r="P61" s="87">
        <v>3.7</v>
      </c>
      <c r="Q61" s="88"/>
      <c r="R61" s="87">
        <f>G61-P61</f>
        <v>-3.7</v>
      </c>
      <c r="T61" s="90">
        <v>12</v>
      </c>
    </row>
    <row r="62" spans="2:20" ht="7.5" customHeight="1" x14ac:dyDescent="0.2">
      <c r="E62" s="87"/>
      <c r="F62" s="88"/>
      <c r="G62" s="87"/>
      <c r="H62" s="87"/>
      <c r="I62" s="104"/>
      <c r="J62" s="101"/>
      <c r="K62" s="104"/>
      <c r="L62" s="87"/>
      <c r="M62" s="88"/>
      <c r="N62" s="90"/>
      <c r="O62" s="88"/>
      <c r="P62" s="87"/>
      <c r="Q62" s="88"/>
      <c r="R62" s="87"/>
      <c r="T62" s="90"/>
    </row>
    <row r="63" spans="2:20" s="33" customFormat="1" ht="12.75" customHeight="1" x14ac:dyDescent="0.2">
      <c r="B63" s="33" t="s">
        <v>305</v>
      </c>
      <c r="E63" s="127">
        <f>SUM(E58:E61)</f>
        <v>0</v>
      </c>
      <c r="F63" s="128"/>
      <c r="G63" s="127">
        <f>SUM(G58:G61)</f>
        <v>150</v>
      </c>
      <c r="H63" s="127"/>
      <c r="I63" s="129"/>
      <c r="J63" s="132"/>
      <c r="K63" s="129"/>
      <c r="L63" s="127"/>
      <c r="M63" s="128"/>
      <c r="N63" s="131"/>
      <c r="O63" s="128"/>
      <c r="P63" s="127">
        <f>SUM(P58:P61)</f>
        <v>8.5</v>
      </c>
      <c r="Q63" s="128"/>
      <c r="R63" s="127">
        <f>SUM(R58:R61)</f>
        <v>141.5</v>
      </c>
      <c r="T63" s="131">
        <f>SUM(T58:T61)</f>
        <v>36</v>
      </c>
    </row>
    <row r="64" spans="2:20" ht="7.5" customHeight="1" x14ac:dyDescent="0.2">
      <c r="E64" s="87"/>
      <c r="F64" s="88"/>
      <c r="G64" s="87"/>
      <c r="H64" s="87"/>
      <c r="I64" s="104"/>
      <c r="J64" s="101"/>
      <c r="K64" s="104"/>
      <c r="L64" s="87"/>
      <c r="M64" s="88"/>
      <c r="N64" s="90"/>
      <c r="O64" s="88"/>
      <c r="P64" s="87"/>
      <c r="Q64" s="88"/>
      <c r="R64" s="87"/>
      <c r="T64" s="90"/>
    </row>
    <row r="65" spans="2:22" x14ac:dyDescent="0.2">
      <c r="B65" t="s">
        <v>222</v>
      </c>
      <c r="E65" s="87">
        <v>0</v>
      </c>
      <c r="F65" s="88"/>
      <c r="G65" s="87">
        <v>25</v>
      </c>
      <c r="H65" s="87">
        <v>8</v>
      </c>
      <c r="I65" s="104"/>
      <c r="J65" s="93">
        <v>47</v>
      </c>
      <c r="K65" s="104"/>
      <c r="L65" s="87">
        <v>9</v>
      </c>
      <c r="M65" s="88"/>
      <c r="N65" s="90">
        <v>49</v>
      </c>
      <c r="O65" s="88"/>
      <c r="P65" s="87">
        <v>1.8</v>
      </c>
      <c r="Q65" s="88"/>
      <c r="R65" s="87">
        <f>G65-P65</f>
        <v>23.2</v>
      </c>
      <c r="T65" s="90">
        <v>12</v>
      </c>
      <c r="V65" s="8"/>
    </row>
    <row r="66" spans="2:22" hidden="1" x14ac:dyDescent="0.2">
      <c r="B66" t="s">
        <v>178</v>
      </c>
      <c r="E66" s="87"/>
      <c r="F66" s="88"/>
      <c r="G66" s="87"/>
      <c r="H66" s="87"/>
      <c r="I66" s="104"/>
      <c r="J66" s="101"/>
      <c r="K66" s="104"/>
      <c r="L66" s="87"/>
      <c r="M66" s="88"/>
      <c r="N66" s="90"/>
      <c r="O66" s="88"/>
      <c r="P66" s="87"/>
      <c r="Q66" s="88"/>
      <c r="R66" s="87"/>
      <c r="T66" s="90"/>
      <c r="V66" s="8"/>
    </row>
    <row r="67" spans="2:22" hidden="1" x14ac:dyDescent="0.2">
      <c r="B67" t="s">
        <v>178</v>
      </c>
      <c r="E67" s="87"/>
      <c r="F67" s="88"/>
      <c r="G67" s="87">
        <v>0</v>
      </c>
      <c r="H67" s="87">
        <v>0</v>
      </c>
      <c r="I67" s="104"/>
      <c r="J67" s="93">
        <v>0</v>
      </c>
      <c r="K67" s="104"/>
      <c r="L67" s="87">
        <v>0</v>
      </c>
      <c r="M67" s="88"/>
      <c r="N67" s="90">
        <v>0</v>
      </c>
      <c r="O67" s="88"/>
      <c r="P67" s="87">
        <v>0</v>
      </c>
      <c r="Q67" s="88"/>
      <c r="R67" s="87">
        <f>G67-P67</f>
        <v>0</v>
      </c>
      <c r="T67" s="90">
        <v>0</v>
      </c>
      <c r="V67" s="8"/>
    </row>
    <row r="68" spans="2:22" ht="7.5" customHeight="1" x14ac:dyDescent="0.2">
      <c r="E68" s="87"/>
      <c r="F68" s="88"/>
      <c r="G68" s="87"/>
      <c r="H68" s="87"/>
      <c r="I68" s="104"/>
      <c r="J68" s="93"/>
      <c r="K68" s="104"/>
      <c r="L68" s="87"/>
      <c r="M68" s="88"/>
      <c r="N68" s="90"/>
      <c r="O68" s="88"/>
      <c r="P68" s="87"/>
      <c r="Q68" s="88"/>
      <c r="R68" s="87"/>
      <c r="T68" s="90"/>
      <c r="V68" s="8"/>
    </row>
    <row r="69" spans="2:22" x14ac:dyDescent="0.2">
      <c r="B69" t="s">
        <v>223</v>
      </c>
      <c r="E69" s="87">
        <v>0</v>
      </c>
      <c r="F69" s="88"/>
      <c r="G69" s="87">
        <v>25</v>
      </c>
      <c r="H69" s="87"/>
      <c r="I69" s="104"/>
      <c r="J69" s="101"/>
      <c r="K69" s="104"/>
      <c r="L69" s="87"/>
      <c r="M69" s="88"/>
      <c r="N69" s="90"/>
      <c r="O69" s="88"/>
      <c r="P69" s="87">
        <v>2.7</v>
      </c>
      <c r="Q69" s="88"/>
      <c r="R69" s="87">
        <f>G69-P69</f>
        <v>22.3</v>
      </c>
      <c r="T69" s="90">
        <v>15</v>
      </c>
      <c r="V69" s="8"/>
    </row>
    <row r="70" spans="2:22" hidden="1" x14ac:dyDescent="0.2">
      <c r="B70" t="s">
        <v>200</v>
      </c>
      <c r="E70" s="87"/>
      <c r="F70" s="88"/>
      <c r="G70" s="87"/>
      <c r="H70" s="87">
        <v>162</v>
      </c>
      <c r="I70" s="104"/>
      <c r="J70" s="93">
        <v>151</v>
      </c>
      <c r="K70" s="104"/>
      <c r="L70" s="87">
        <v>140</v>
      </c>
      <c r="M70" s="88"/>
      <c r="N70" s="112">
        <f>25+17</f>
        <v>42</v>
      </c>
      <c r="O70" s="88"/>
      <c r="P70" s="87">
        <v>0</v>
      </c>
      <c r="Q70" s="88"/>
      <c r="R70" s="87"/>
      <c r="T70" s="101">
        <v>0</v>
      </c>
      <c r="V70" s="8"/>
    </row>
    <row r="71" spans="2:22" hidden="1" x14ac:dyDescent="0.2">
      <c r="E71" s="87"/>
      <c r="F71" s="88"/>
      <c r="G71" s="87"/>
      <c r="H71" s="87"/>
      <c r="I71" s="104"/>
      <c r="J71" s="101" t="s">
        <v>148</v>
      </c>
      <c r="K71" s="104"/>
      <c r="L71" s="87"/>
      <c r="M71" s="88"/>
      <c r="N71" s="90" t="s">
        <v>148</v>
      </c>
      <c r="O71" s="88"/>
      <c r="P71" s="87"/>
      <c r="Q71" s="88"/>
      <c r="R71" s="87"/>
      <c r="T71" s="90" t="s">
        <v>148</v>
      </c>
      <c r="V71" s="8"/>
    </row>
    <row r="72" spans="2:22" hidden="1" x14ac:dyDescent="0.2">
      <c r="B72" t="s">
        <v>201</v>
      </c>
      <c r="E72" s="87"/>
      <c r="F72" s="88"/>
      <c r="G72" s="87"/>
      <c r="H72" s="87">
        <v>31</v>
      </c>
      <c r="I72" s="104"/>
      <c r="J72" s="93">
        <v>107</v>
      </c>
      <c r="K72" s="104"/>
      <c r="L72" s="87">
        <v>7</v>
      </c>
      <c r="M72" s="88"/>
      <c r="N72" s="93">
        <v>36</v>
      </c>
      <c r="O72" s="88"/>
      <c r="P72" s="87">
        <v>0</v>
      </c>
      <c r="Q72" s="88"/>
      <c r="R72" s="87"/>
      <c r="T72" s="101">
        <v>0</v>
      </c>
      <c r="V72" s="8"/>
    </row>
    <row r="73" spans="2:22" hidden="1" x14ac:dyDescent="0.2">
      <c r="E73" s="87"/>
      <c r="F73" s="88"/>
      <c r="G73" s="87"/>
      <c r="H73" s="87"/>
      <c r="I73" s="104"/>
      <c r="J73" s="101"/>
      <c r="K73" s="104"/>
      <c r="L73" s="87"/>
      <c r="M73" s="88"/>
      <c r="N73" s="90"/>
      <c r="O73" s="88"/>
      <c r="P73" s="87"/>
      <c r="Q73" s="88"/>
      <c r="R73" s="87"/>
      <c r="T73" s="90"/>
      <c r="V73" s="8"/>
    </row>
    <row r="74" spans="2:22" ht="7.5" customHeight="1" x14ac:dyDescent="0.2">
      <c r="E74" s="87"/>
      <c r="F74" s="88"/>
      <c r="G74" s="87"/>
      <c r="H74" s="87"/>
      <c r="I74" s="104"/>
      <c r="J74" s="101"/>
      <c r="K74" s="104"/>
      <c r="L74" s="87"/>
      <c r="M74" s="88"/>
      <c r="N74" s="90"/>
      <c r="O74" s="88"/>
      <c r="P74" s="87"/>
      <c r="Q74" s="88"/>
      <c r="R74" s="87"/>
      <c r="T74" s="90"/>
      <c r="V74" s="8"/>
    </row>
    <row r="75" spans="2:22" s="33" customFormat="1" x14ac:dyDescent="0.2">
      <c r="B75" s="33" t="s">
        <v>279</v>
      </c>
      <c r="E75" s="127">
        <f>SUM(E65:E69)</f>
        <v>0</v>
      </c>
      <c r="F75" s="128"/>
      <c r="G75" s="127">
        <f>SUM(G65:G69)</f>
        <v>50</v>
      </c>
      <c r="H75" s="127"/>
      <c r="I75" s="129"/>
      <c r="J75" s="132"/>
      <c r="K75" s="129"/>
      <c r="L75" s="127"/>
      <c r="M75" s="128"/>
      <c r="N75" s="131"/>
      <c r="O75" s="128"/>
      <c r="P75" s="127">
        <f>SUM(P65:P69)</f>
        <v>4.5</v>
      </c>
      <c r="Q75" s="128"/>
      <c r="R75" s="127">
        <f>SUM(R65:R69)</f>
        <v>45.5</v>
      </c>
      <c r="T75" s="131">
        <f>SUM(T65:T69)</f>
        <v>27</v>
      </c>
      <c r="V75" s="133"/>
    </row>
    <row r="76" spans="2:22" ht="7.5" customHeight="1" x14ac:dyDescent="0.2">
      <c r="E76" s="87"/>
      <c r="F76" s="88"/>
      <c r="G76" s="87"/>
      <c r="H76" s="87"/>
      <c r="I76" s="104"/>
      <c r="J76" s="101"/>
      <c r="K76" s="104"/>
      <c r="L76" s="87"/>
      <c r="M76" s="88"/>
      <c r="N76" s="90"/>
      <c r="O76" s="88"/>
      <c r="P76" s="87"/>
      <c r="Q76" s="88"/>
      <c r="R76" s="87"/>
      <c r="T76" s="90"/>
      <c r="V76" s="8"/>
    </row>
    <row r="77" spans="2:22" s="33" customFormat="1" x14ac:dyDescent="0.2">
      <c r="B77" s="33" t="s">
        <v>224</v>
      </c>
      <c r="E77" s="127">
        <v>0</v>
      </c>
      <c r="G77" s="127">
        <v>0</v>
      </c>
      <c r="H77" s="131">
        <v>34.299999999999997</v>
      </c>
      <c r="I77" s="133"/>
      <c r="J77" s="130">
        <v>65</v>
      </c>
      <c r="K77" s="133"/>
      <c r="L77" s="131">
        <v>257.10000000000002</v>
      </c>
      <c r="N77" s="131">
        <v>5</v>
      </c>
      <c r="P77" s="127">
        <v>1.9</v>
      </c>
      <c r="R77" s="127">
        <f>G77-P77</f>
        <v>-1.9</v>
      </c>
      <c r="T77" s="131">
        <v>3</v>
      </c>
    </row>
    <row r="78" spans="2:22" x14ac:dyDescent="0.2">
      <c r="E78" s="92"/>
      <c r="G78" s="92"/>
      <c r="H78" s="90"/>
      <c r="I78" s="8"/>
      <c r="J78" s="92"/>
      <c r="K78" s="8"/>
      <c r="L78" s="90"/>
      <c r="N78" s="92"/>
      <c r="P78" s="91"/>
      <c r="R78" s="92"/>
      <c r="T78" s="92"/>
    </row>
    <row r="79" spans="2:22" x14ac:dyDescent="0.2">
      <c r="D79" s="33" t="s">
        <v>150</v>
      </c>
      <c r="E79" s="94">
        <v>60</v>
      </c>
      <c r="G79" s="95">
        <f>SUM(G9:G77)-G63-G75</f>
        <v>875</v>
      </c>
      <c r="H79" s="95" t="e">
        <f>+H9+#REF!+H59+H65+H67+H77+H70+H72</f>
        <v>#REF!</v>
      </c>
      <c r="I79" s="105"/>
      <c r="J79" s="96" t="e">
        <f>+J9+#REF!+J59+J65+J67+J70+J72+J77</f>
        <v>#REF!</v>
      </c>
      <c r="K79" s="105"/>
      <c r="L79" s="95" t="e">
        <f>+L9+#REF!+L59+L65+L67+L77+L70+L72</f>
        <v>#REF!</v>
      </c>
      <c r="N79" s="96" t="e">
        <f>+N9+#REF!+N59+N65+N67+N77+N70+N72</f>
        <v>#REF!</v>
      </c>
      <c r="P79" s="95">
        <f>+P33+P57+P63+P75+P77</f>
        <v>49.699999999999996</v>
      </c>
      <c r="R79" s="95">
        <f>+R33+R57+R63+R75+R77</f>
        <v>825.30000000000007</v>
      </c>
      <c r="T79" s="96">
        <f>T33+T57+T63+T75+T77</f>
        <v>206</v>
      </c>
    </row>
    <row r="80" spans="2:22" x14ac:dyDescent="0.2">
      <c r="H80" s="90"/>
      <c r="I80" s="8"/>
      <c r="J80" s="97"/>
      <c r="L80" s="90"/>
      <c r="N80" s="97"/>
      <c r="P80" s="87"/>
      <c r="R80" s="97"/>
      <c r="T80" s="97"/>
    </row>
    <row r="81" spans="2:22" hidden="1" x14ac:dyDescent="0.2">
      <c r="B81" t="s">
        <v>225</v>
      </c>
      <c r="H81" s="90"/>
      <c r="I81" s="8"/>
      <c r="J81" s="90"/>
      <c r="L81" s="90"/>
      <c r="N81" s="90"/>
      <c r="P81" s="87">
        <v>0</v>
      </c>
      <c r="R81" s="98">
        <f>G81-P81</f>
        <v>0</v>
      </c>
      <c r="T81" s="90">
        <v>0</v>
      </c>
    </row>
    <row r="82" spans="2:22" hidden="1" x14ac:dyDescent="0.2">
      <c r="H82" s="90"/>
      <c r="I82" s="8"/>
      <c r="J82" s="90"/>
      <c r="L82" s="90"/>
      <c r="N82" s="90"/>
      <c r="P82" s="87"/>
      <c r="R82" s="90"/>
      <c r="T82" s="90"/>
    </row>
    <row r="83" spans="2:22" x14ac:dyDescent="0.2">
      <c r="B83" t="s">
        <v>226</v>
      </c>
      <c r="H83" s="90"/>
      <c r="I83" s="8"/>
      <c r="J83" s="90"/>
      <c r="L83" s="90"/>
      <c r="N83" s="90"/>
      <c r="P83" s="103">
        <f>0.4+1+0.2+0.5</f>
        <v>2.0999999999999996</v>
      </c>
      <c r="R83" s="98">
        <f>G83-P83</f>
        <v>-2.0999999999999996</v>
      </c>
      <c r="T83" s="90">
        <f>12+2+6+3</f>
        <v>23</v>
      </c>
    </row>
    <row r="84" spans="2:22" x14ac:dyDescent="0.2">
      <c r="H84" s="90"/>
      <c r="I84" s="8"/>
      <c r="J84" s="90"/>
      <c r="L84" s="90"/>
      <c r="N84" s="90"/>
      <c r="P84" s="87"/>
      <c r="R84" s="98"/>
      <c r="T84" s="90"/>
    </row>
    <row r="85" spans="2:22" x14ac:dyDescent="0.2">
      <c r="B85" t="s">
        <v>116</v>
      </c>
      <c r="H85" s="90">
        <v>11.4</v>
      </c>
      <c r="I85" s="8"/>
      <c r="J85" s="115" t="s">
        <v>148</v>
      </c>
      <c r="L85" s="90">
        <v>9.5</v>
      </c>
      <c r="M85" t="s">
        <v>148</v>
      </c>
      <c r="N85" s="93"/>
      <c r="P85" s="87">
        <v>7</v>
      </c>
      <c r="R85" s="98">
        <f>G85-P85</f>
        <v>-7</v>
      </c>
      <c r="T85" s="90">
        <v>10</v>
      </c>
    </row>
    <row r="86" spans="2:22" x14ac:dyDescent="0.2">
      <c r="H86" s="90"/>
      <c r="I86" s="8"/>
      <c r="J86" s="90"/>
      <c r="L86" s="90"/>
      <c r="N86" s="90"/>
      <c r="P86" s="87"/>
      <c r="R86" s="98"/>
      <c r="T86" s="90"/>
    </row>
    <row r="87" spans="2:22" x14ac:dyDescent="0.2">
      <c r="B87" t="s">
        <v>292</v>
      </c>
      <c r="H87" s="90"/>
      <c r="I87" s="8"/>
      <c r="J87" s="90"/>
      <c r="L87" s="90"/>
      <c r="N87" s="90"/>
      <c r="P87" s="87">
        <v>7.4</v>
      </c>
      <c r="R87" s="98">
        <f>G87-P87</f>
        <v>-7.4</v>
      </c>
      <c r="T87" s="90">
        <v>33</v>
      </c>
    </row>
    <row r="88" spans="2:22" x14ac:dyDescent="0.2">
      <c r="H88" s="90"/>
      <c r="I88" s="8"/>
      <c r="J88" s="90"/>
      <c r="L88" s="90"/>
      <c r="N88" s="90"/>
      <c r="P88" s="87"/>
      <c r="R88" s="98"/>
      <c r="T88" s="90"/>
    </row>
    <row r="89" spans="2:22" x14ac:dyDescent="0.2">
      <c r="B89" t="s">
        <v>193</v>
      </c>
      <c r="H89" s="90"/>
      <c r="I89" s="8"/>
      <c r="J89" s="90"/>
      <c r="L89" s="90"/>
      <c r="N89" s="90"/>
      <c r="P89" s="87">
        <v>1</v>
      </c>
      <c r="R89" s="98">
        <f>G89-P89</f>
        <v>-1</v>
      </c>
      <c r="T89" s="90">
        <v>5</v>
      </c>
    </row>
    <row r="90" spans="2:22" x14ac:dyDescent="0.2">
      <c r="H90" s="90"/>
      <c r="I90" s="8"/>
      <c r="J90" s="90"/>
      <c r="L90" s="90"/>
      <c r="N90" s="90"/>
      <c r="P90" s="87"/>
      <c r="R90" s="98"/>
      <c r="T90" s="90"/>
    </row>
    <row r="91" spans="2:22" x14ac:dyDescent="0.2">
      <c r="B91" t="s">
        <v>175</v>
      </c>
      <c r="H91" s="90"/>
      <c r="I91" s="8"/>
      <c r="J91" s="90"/>
      <c r="L91" s="90"/>
      <c r="N91" s="90"/>
      <c r="P91" s="87">
        <v>1.3</v>
      </c>
      <c r="R91" s="98">
        <f>G91-P91</f>
        <v>-1.3</v>
      </c>
      <c r="T91" s="90">
        <v>5</v>
      </c>
    </row>
    <row r="92" spans="2:22" x14ac:dyDescent="0.2">
      <c r="H92" s="90"/>
      <c r="I92" s="8"/>
      <c r="J92" s="90"/>
      <c r="L92" s="90"/>
      <c r="N92" s="90"/>
      <c r="P92" s="87"/>
      <c r="R92" s="98"/>
      <c r="T92" s="90"/>
    </row>
    <row r="93" spans="2:22" x14ac:dyDescent="0.2">
      <c r="B93" t="s">
        <v>152</v>
      </c>
      <c r="H93" s="90"/>
      <c r="I93" s="8"/>
      <c r="J93" s="115" t="s">
        <v>148</v>
      </c>
      <c r="L93" s="90"/>
      <c r="M93" t="s">
        <v>148</v>
      </c>
      <c r="N93" s="90"/>
      <c r="P93" s="87"/>
      <c r="R93" s="98"/>
      <c r="T93" s="90"/>
    </row>
    <row r="94" spans="2:22" ht="12.75" customHeight="1" x14ac:dyDescent="0.2">
      <c r="C94" t="s">
        <v>275</v>
      </c>
      <c r="H94" s="90">
        <v>10.199999999999999</v>
      </c>
      <c r="I94" s="8"/>
      <c r="J94" s="112" t="s">
        <v>148</v>
      </c>
      <c r="L94" s="113">
        <v>7.6</v>
      </c>
      <c r="N94" s="87"/>
      <c r="P94" s="87">
        <v>4.8</v>
      </c>
      <c r="R94" s="98">
        <f t="shared" ref="R94:R102" si="0">G94-P94</f>
        <v>-4.8</v>
      </c>
      <c r="T94" s="90">
        <v>39</v>
      </c>
      <c r="U94">
        <v>5</v>
      </c>
      <c r="V94">
        <v>0.5</v>
      </c>
    </row>
    <row r="95" spans="2:22" x14ac:dyDescent="0.2">
      <c r="C95" t="s">
        <v>306</v>
      </c>
      <c r="H95" s="90"/>
      <c r="I95" s="8"/>
      <c r="J95" s="112"/>
      <c r="L95" s="113"/>
      <c r="N95" s="87"/>
      <c r="P95" s="87">
        <v>0.6</v>
      </c>
      <c r="R95" s="98">
        <f t="shared" si="0"/>
        <v>-0.6</v>
      </c>
      <c r="T95" s="90">
        <v>7</v>
      </c>
    </row>
    <row r="96" spans="2:22" x14ac:dyDescent="0.2">
      <c r="C96" t="s">
        <v>153</v>
      </c>
      <c r="H96" s="90">
        <v>2.7</v>
      </c>
      <c r="I96" s="8"/>
      <c r="J96" s="115" t="s">
        <v>148</v>
      </c>
      <c r="L96" s="90">
        <v>2.1</v>
      </c>
      <c r="M96" s="67"/>
      <c r="N96" s="87"/>
      <c r="O96" s="67"/>
      <c r="P96" s="87">
        <v>3.8</v>
      </c>
      <c r="R96" s="98">
        <f t="shared" si="0"/>
        <v>-3.8</v>
      </c>
      <c r="T96" s="90">
        <v>32</v>
      </c>
      <c r="U96">
        <v>4</v>
      </c>
      <c r="V96">
        <v>0.5</v>
      </c>
    </row>
    <row r="97" spans="2:23" x14ac:dyDescent="0.2">
      <c r="C97" t="s">
        <v>155</v>
      </c>
      <c r="H97" s="90"/>
      <c r="I97" s="8"/>
      <c r="J97" s="115"/>
      <c r="L97" s="90"/>
      <c r="M97" s="8"/>
      <c r="N97" s="87"/>
      <c r="O97" s="8"/>
      <c r="P97" s="87">
        <v>2.1</v>
      </c>
      <c r="R97" s="98">
        <f t="shared" si="0"/>
        <v>-2.1</v>
      </c>
      <c r="T97" s="90">
        <v>20</v>
      </c>
    </row>
    <row r="98" spans="2:23" x14ac:dyDescent="0.2">
      <c r="C98" t="s">
        <v>276</v>
      </c>
      <c r="H98" s="90">
        <v>8.6</v>
      </c>
      <c r="I98" s="8"/>
      <c r="J98" s="112" t="s">
        <v>148</v>
      </c>
      <c r="L98" s="113">
        <v>6</v>
      </c>
      <c r="N98" s="87"/>
      <c r="P98" s="87">
        <v>1.5</v>
      </c>
      <c r="R98" s="98">
        <f t="shared" si="0"/>
        <v>-1.5</v>
      </c>
      <c r="T98" s="90">
        <v>11</v>
      </c>
      <c r="U98">
        <v>4</v>
      </c>
      <c r="V98">
        <v>0.5</v>
      </c>
    </row>
    <row r="99" spans="2:23" x14ac:dyDescent="0.2">
      <c r="C99" t="s">
        <v>307</v>
      </c>
      <c r="H99" s="90">
        <v>5.9</v>
      </c>
      <c r="I99" s="8"/>
      <c r="J99" s="112" t="s">
        <v>148</v>
      </c>
      <c r="L99" s="113">
        <v>4</v>
      </c>
      <c r="N99" s="87"/>
      <c r="P99" s="87">
        <v>1.2</v>
      </c>
      <c r="R99" s="98">
        <f t="shared" si="0"/>
        <v>-1.2</v>
      </c>
      <c r="T99" s="90">
        <v>13</v>
      </c>
      <c r="U99">
        <v>4</v>
      </c>
      <c r="V99">
        <v>0.5</v>
      </c>
    </row>
    <row r="100" spans="2:23" x14ac:dyDescent="0.2">
      <c r="C100" t="s">
        <v>277</v>
      </c>
      <c r="H100" s="90">
        <v>2.7</v>
      </c>
      <c r="I100" s="8"/>
      <c r="J100" s="115" t="s">
        <v>148</v>
      </c>
      <c r="L100" s="90">
        <v>2.1</v>
      </c>
      <c r="N100" s="87"/>
      <c r="P100" s="87">
        <v>1.5</v>
      </c>
      <c r="R100" s="98">
        <f t="shared" si="0"/>
        <v>-1.5</v>
      </c>
      <c r="T100" s="90">
        <v>14</v>
      </c>
      <c r="U100">
        <v>4</v>
      </c>
      <c r="V100">
        <v>0.5</v>
      </c>
    </row>
    <row r="101" spans="2:23" x14ac:dyDescent="0.2">
      <c r="C101" t="s">
        <v>159</v>
      </c>
      <c r="H101" s="90"/>
      <c r="I101" s="8"/>
      <c r="J101" s="112"/>
      <c r="L101" s="113"/>
      <c r="N101" s="87"/>
      <c r="P101" s="87">
        <v>0.9</v>
      </c>
      <c r="R101" s="98">
        <f t="shared" si="0"/>
        <v>-0.9</v>
      </c>
      <c r="T101" s="90">
        <v>8</v>
      </c>
    </row>
    <row r="102" spans="2:23" x14ac:dyDescent="0.2">
      <c r="C102" t="s">
        <v>217</v>
      </c>
      <c r="H102" s="90">
        <v>3.1</v>
      </c>
      <c r="I102" s="8"/>
      <c r="J102" s="115" t="s">
        <v>148</v>
      </c>
      <c r="L102" s="90">
        <v>2.7</v>
      </c>
      <c r="N102" s="87"/>
      <c r="P102" s="87">
        <v>4</v>
      </c>
      <c r="R102" s="98">
        <f t="shared" si="0"/>
        <v>-4</v>
      </c>
      <c r="T102" s="90">
        <f>28+8</f>
        <v>36</v>
      </c>
      <c r="U102">
        <v>4</v>
      </c>
      <c r="V102">
        <v>0.5</v>
      </c>
    </row>
    <row r="103" spans="2:23" x14ac:dyDescent="0.2">
      <c r="C103" t="s">
        <v>218</v>
      </c>
      <c r="H103" s="90"/>
      <c r="I103" s="8"/>
      <c r="J103" s="115"/>
      <c r="L103" s="90"/>
      <c r="N103" s="87"/>
      <c r="P103" s="91">
        <v>0.7</v>
      </c>
      <c r="R103" s="94">
        <f>G103-P103</f>
        <v>-0.7</v>
      </c>
      <c r="T103" s="92">
        <v>4</v>
      </c>
      <c r="U103" s="8"/>
    </row>
    <row r="104" spans="2:23" hidden="1" x14ac:dyDescent="0.2">
      <c r="C104" t="s">
        <v>277</v>
      </c>
      <c r="H104" s="90">
        <v>2.7</v>
      </c>
      <c r="I104" s="8"/>
      <c r="J104" s="115" t="s">
        <v>148</v>
      </c>
      <c r="L104" s="90">
        <v>2.1</v>
      </c>
      <c r="N104" s="87"/>
      <c r="P104" s="87">
        <v>0</v>
      </c>
      <c r="R104" s="98">
        <f>G104-P104</f>
        <v>0</v>
      </c>
      <c r="T104" s="90">
        <v>0</v>
      </c>
      <c r="U104">
        <v>4</v>
      </c>
      <c r="V104">
        <v>0.5</v>
      </c>
    </row>
    <row r="105" spans="2:23" hidden="1" x14ac:dyDescent="0.2">
      <c r="C105" t="s">
        <v>159</v>
      </c>
      <c r="H105" s="90">
        <v>2.7</v>
      </c>
      <c r="I105" s="8"/>
      <c r="J105" s="115" t="s">
        <v>148</v>
      </c>
      <c r="L105" s="90">
        <v>2.5</v>
      </c>
      <c r="N105" s="87"/>
      <c r="P105" s="87">
        <v>0</v>
      </c>
      <c r="R105" s="98">
        <f>G105-P105</f>
        <v>0</v>
      </c>
      <c r="T105" s="90">
        <v>0</v>
      </c>
      <c r="U105">
        <v>5</v>
      </c>
      <c r="V105">
        <v>0.5</v>
      </c>
    </row>
    <row r="106" spans="2:23" ht="11.25" hidden="1" customHeight="1" x14ac:dyDescent="0.2">
      <c r="C106" t="s">
        <v>160</v>
      </c>
      <c r="H106" s="92">
        <v>3.3</v>
      </c>
      <c r="I106" s="8"/>
      <c r="J106" s="116" t="s">
        <v>148</v>
      </c>
      <c r="L106" s="92">
        <v>2.9</v>
      </c>
      <c r="N106" s="91"/>
      <c r="P106" s="87">
        <v>0</v>
      </c>
      <c r="R106" s="98">
        <f>G106-P106</f>
        <v>0</v>
      </c>
      <c r="T106" s="90">
        <v>0</v>
      </c>
      <c r="U106" s="121">
        <v>6</v>
      </c>
      <c r="V106">
        <v>0.05</v>
      </c>
    </row>
    <row r="107" spans="2:23" x14ac:dyDescent="0.2">
      <c r="H107" s="100">
        <f>SUM(H92:H104)</f>
        <v>35.9</v>
      </c>
      <c r="I107" s="117"/>
      <c r="J107" s="99">
        <v>452</v>
      </c>
      <c r="L107" s="100">
        <f>SUM(L92:L104)</f>
        <v>26.6</v>
      </c>
      <c r="N107" s="99"/>
      <c r="P107" s="100">
        <f>SUM(P92:P106)</f>
        <v>21.099999999999998</v>
      </c>
      <c r="R107" s="98">
        <f>SUM(R92:R106)</f>
        <v>-21.099999999999998</v>
      </c>
      <c r="T107" s="99">
        <f>SUM(T92:T106)</f>
        <v>184</v>
      </c>
      <c r="U107">
        <v>178</v>
      </c>
      <c r="V107">
        <f>SUM(V92:V104)</f>
        <v>3.5</v>
      </c>
      <c r="W107" t="s">
        <v>161</v>
      </c>
    </row>
    <row r="108" spans="2:23" x14ac:dyDescent="0.2">
      <c r="H108" s="90"/>
      <c r="I108" s="8"/>
      <c r="J108" s="90"/>
      <c r="L108" s="90"/>
      <c r="N108" s="90"/>
      <c r="P108" s="87"/>
      <c r="R108" s="90"/>
      <c r="T108" s="90"/>
    </row>
    <row r="109" spans="2:23" x14ac:dyDescent="0.2">
      <c r="B109" t="s">
        <v>179</v>
      </c>
      <c r="H109" s="90">
        <v>27.5</v>
      </c>
      <c r="I109" s="8"/>
      <c r="J109" s="93">
        <v>175</v>
      </c>
      <c r="L109" s="113">
        <v>29</v>
      </c>
      <c r="M109" t="s">
        <v>148</v>
      </c>
      <c r="N109" s="99"/>
      <c r="P109" s="87">
        <v>34.700000000000003</v>
      </c>
      <c r="R109" s="98">
        <f>G109-P109</f>
        <v>-34.700000000000003</v>
      </c>
      <c r="T109" s="90">
        <v>141</v>
      </c>
      <c r="U109" t="s">
        <v>148</v>
      </c>
      <c r="V109" t="s">
        <v>148</v>
      </c>
    </row>
    <row r="110" spans="2:23" x14ac:dyDescent="0.2">
      <c r="B110" t="s">
        <v>180</v>
      </c>
      <c r="H110" s="90">
        <v>48.9</v>
      </c>
      <c r="I110" s="8"/>
      <c r="J110" s="115" t="s">
        <v>148</v>
      </c>
      <c r="L110" s="113">
        <v>55</v>
      </c>
      <c r="N110" s="99"/>
      <c r="P110" s="87">
        <f>27.5+16.2</f>
        <v>43.7</v>
      </c>
      <c r="R110" s="98">
        <f>G110-P110</f>
        <v>-43.7</v>
      </c>
      <c r="T110" s="90">
        <v>59</v>
      </c>
    </row>
    <row r="111" spans="2:23" x14ac:dyDescent="0.2">
      <c r="P111" s="90"/>
      <c r="R111" s="90"/>
      <c r="T111" s="90"/>
    </row>
    <row r="112" spans="2:23" x14ac:dyDescent="0.2">
      <c r="B112" t="s">
        <v>138</v>
      </c>
      <c r="H112" s="90">
        <v>0.8</v>
      </c>
      <c r="I112" s="8"/>
      <c r="J112" s="115" t="s">
        <v>148</v>
      </c>
      <c r="L112" s="90">
        <v>5.2</v>
      </c>
      <c r="N112" s="99"/>
      <c r="P112" s="87">
        <v>8.3000000000000007</v>
      </c>
      <c r="R112" s="98">
        <f>G112-P112</f>
        <v>-8.3000000000000007</v>
      </c>
      <c r="T112" s="90">
        <v>39</v>
      </c>
    </row>
    <row r="113" spans="2:24" x14ac:dyDescent="0.2">
      <c r="P113" s="90"/>
      <c r="R113" s="90"/>
      <c r="T113" s="90"/>
    </row>
    <row r="114" spans="2:24" x14ac:dyDescent="0.2">
      <c r="B114" t="s">
        <v>163</v>
      </c>
      <c r="H114" s="90">
        <v>2.8</v>
      </c>
      <c r="I114" s="8"/>
      <c r="J114" s="115">
        <v>0</v>
      </c>
      <c r="L114" s="90">
        <v>3.5</v>
      </c>
      <c r="M114" t="s">
        <v>148</v>
      </c>
      <c r="N114" s="99">
        <v>96</v>
      </c>
      <c r="P114" s="87">
        <v>3.7</v>
      </c>
      <c r="R114" s="98">
        <f>G114-P114</f>
        <v>-3.7</v>
      </c>
      <c r="T114" s="90">
        <v>33</v>
      </c>
    </row>
    <row r="115" spans="2:24" x14ac:dyDescent="0.2">
      <c r="P115" s="90"/>
      <c r="R115" s="90"/>
      <c r="T115" s="90"/>
    </row>
    <row r="116" spans="2:24" x14ac:dyDescent="0.2">
      <c r="B116" t="s">
        <v>121</v>
      </c>
      <c r="H116" s="90">
        <v>11.4</v>
      </c>
      <c r="I116" s="8"/>
      <c r="J116" s="115" t="s">
        <v>148</v>
      </c>
      <c r="L116" s="113">
        <v>7.3</v>
      </c>
      <c r="N116" s="101"/>
      <c r="P116" s="87">
        <v>2.9</v>
      </c>
      <c r="R116" s="98">
        <f>G116-P116</f>
        <v>-2.9</v>
      </c>
      <c r="T116" s="90">
        <v>15</v>
      </c>
    </row>
    <row r="117" spans="2:24" x14ac:dyDescent="0.2">
      <c r="H117" s="90"/>
      <c r="I117" s="8"/>
      <c r="J117" s="90"/>
      <c r="L117" s="90"/>
      <c r="N117" s="90"/>
      <c r="P117" s="87"/>
      <c r="R117" s="90"/>
      <c r="T117" s="90"/>
    </row>
    <row r="118" spans="2:24" x14ac:dyDescent="0.2">
      <c r="B118" t="s">
        <v>176</v>
      </c>
      <c r="H118" s="90">
        <v>1.2</v>
      </c>
      <c r="I118" s="8"/>
      <c r="J118" s="115">
        <v>0</v>
      </c>
      <c r="L118" s="90">
        <v>0.7</v>
      </c>
      <c r="M118" t="s">
        <v>148</v>
      </c>
      <c r="N118" s="90">
        <v>26</v>
      </c>
      <c r="P118" s="87">
        <v>2.4</v>
      </c>
      <c r="R118" s="98">
        <f>G118-P118</f>
        <v>-2.4</v>
      </c>
      <c r="T118" s="90">
        <v>8</v>
      </c>
    </row>
    <row r="119" spans="2:24" x14ac:dyDescent="0.2">
      <c r="H119" s="90"/>
      <c r="I119" s="8"/>
      <c r="J119" s="115"/>
      <c r="L119" s="90"/>
      <c r="N119" s="90"/>
      <c r="P119" s="87"/>
      <c r="R119" s="98"/>
      <c r="T119" s="90"/>
    </row>
    <row r="120" spans="2:24" x14ac:dyDescent="0.2">
      <c r="B120" t="s">
        <v>290</v>
      </c>
      <c r="H120" s="90"/>
      <c r="I120" s="8"/>
      <c r="J120" s="115"/>
      <c r="L120" s="90"/>
      <c r="N120" s="90"/>
      <c r="P120" s="87">
        <v>0.7</v>
      </c>
      <c r="R120" s="98">
        <f>G120-P120</f>
        <v>-0.7</v>
      </c>
      <c r="T120" s="90">
        <v>3</v>
      </c>
    </row>
    <row r="121" spans="2:24" x14ac:dyDescent="0.2">
      <c r="H121" s="90"/>
      <c r="I121" s="8"/>
      <c r="J121" s="90"/>
      <c r="L121" s="90"/>
      <c r="N121" s="90"/>
      <c r="P121" s="87"/>
      <c r="R121" s="98"/>
      <c r="T121" s="90"/>
    </row>
    <row r="122" spans="2:24" hidden="1" x14ac:dyDescent="0.2">
      <c r="B122" t="s">
        <v>176</v>
      </c>
      <c r="H122" s="90">
        <v>1.1000000000000001</v>
      </c>
      <c r="I122" s="8"/>
      <c r="J122" s="115">
        <v>0</v>
      </c>
      <c r="L122" s="90">
        <v>0.7</v>
      </c>
      <c r="N122" s="90">
        <v>27</v>
      </c>
      <c r="P122" s="87">
        <v>0</v>
      </c>
      <c r="R122" s="98">
        <f>G122-P122</f>
        <v>0</v>
      </c>
      <c r="T122" s="90">
        <v>0</v>
      </c>
    </row>
    <row r="123" spans="2:24" hidden="1" x14ac:dyDescent="0.2">
      <c r="H123" s="90"/>
      <c r="I123" s="8"/>
      <c r="J123" s="90" t="s">
        <v>148</v>
      </c>
      <c r="L123" s="90"/>
      <c r="N123" s="90" t="s">
        <v>148</v>
      </c>
      <c r="P123" s="87"/>
      <c r="R123" s="90"/>
      <c r="T123" s="90" t="s">
        <v>148</v>
      </c>
    </row>
    <row r="124" spans="2:24" x14ac:dyDescent="0.2">
      <c r="B124" t="s">
        <v>151</v>
      </c>
      <c r="H124" s="113">
        <v>14</v>
      </c>
      <c r="I124" s="114"/>
      <c r="J124" s="93">
        <v>128</v>
      </c>
      <c r="L124" s="90">
        <v>7.9</v>
      </c>
      <c r="M124" t="s">
        <v>148</v>
      </c>
      <c r="N124" s="90">
        <v>122</v>
      </c>
      <c r="P124" s="87">
        <v>7.1</v>
      </c>
      <c r="R124" s="98">
        <f>G124-P124</f>
        <v>-7.1</v>
      </c>
      <c r="T124" s="90">
        <v>45</v>
      </c>
      <c r="U124" t="s">
        <v>148</v>
      </c>
      <c r="V124" t="s">
        <v>148</v>
      </c>
      <c r="W124" t="s">
        <v>148</v>
      </c>
      <c r="X124" t="s">
        <v>148</v>
      </c>
    </row>
    <row r="125" spans="2:24" x14ac:dyDescent="0.2">
      <c r="H125" s="90"/>
      <c r="I125" s="8"/>
      <c r="J125" s="90"/>
      <c r="L125" s="90"/>
      <c r="N125" s="90"/>
      <c r="P125" s="87"/>
      <c r="R125" s="98"/>
      <c r="T125" s="90"/>
    </row>
    <row r="126" spans="2:24" x14ac:dyDescent="0.2">
      <c r="B126" t="s">
        <v>106</v>
      </c>
      <c r="E126" t="s">
        <v>148</v>
      </c>
      <c r="H126" s="90">
        <v>5.7</v>
      </c>
      <c r="I126" s="8"/>
      <c r="J126" s="93">
        <v>30</v>
      </c>
      <c r="L126" s="90">
        <v>2.5</v>
      </c>
      <c r="M126" t="s">
        <v>148</v>
      </c>
      <c r="N126" s="90">
        <f>28+7</f>
        <v>35</v>
      </c>
      <c r="P126" s="87">
        <v>1.4</v>
      </c>
      <c r="R126" s="98">
        <f>G126-P126</f>
        <v>-1.4</v>
      </c>
      <c r="T126" s="90">
        <f>6</f>
        <v>6</v>
      </c>
    </row>
    <row r="127" spans="2:24" x14ac:dyDescent="0.2">
      <c r="H127" s="90"/>
      <c r="I127" s="8"/>
      <c r="J127" s="93"/>
      <c r="L127" s="90"/>
      <c r="N127" s="90"/>
      <c r="P127" s="87"/>
      <c r="R127" s="98"/>
      <c r="T127" s="90"/>
    </row>
    <row r="128" spans="2:24" x14ac:dyDescent="0.2">
      <c r="B128" t="s">
        <v>289</v>
      </c>
      <c r="H128" s="90"/>
      <c r="I128" s="8"/>
      <c r="J128" s="93"/>
      <c r="L128" s="90"/>
      <c r="N128" s="90"/>
      <c r="P128" s="87">
        <v>1.1000000000000001</v>
      </c>
      <c r="R128" s="98">
        <f>G128-P128</f>
        <v>-1.1000000000000001</v>
      </c>
      <c r="T128" s="90">
        <v>5</v>
      </c>
    </row>
    <row r="129" spans="2:22" x14ac:dyDescent="0.2">
      <c r="H129" s="90"/>
      <c r="I129" s="8"/>
      <c r="J129" s="90"/>
      <c r="L129" s="90"/>
      <c r="N129" s="90"/>
      <c r="P129" s="90"/>
      <c r="R129" s="90"/>
      <c r="T129" s="90"/>
    </row>
    <row r="130" spans="2:22" x14ac:dyDescent="0.2">
      <c r="B130" t="s">
        <v>162</v>
      </c>
      <c r="H130" s="90">
        <v>10.7</v>
      </c>
      <c r="I130" s="8"/>
      <c r="J130" s="93">
        <v>39</v>
      </c>
      <c r="L130" s="90">
        <v>4.0999999999999996</v>
      </c>
      <c r="M130" t="s">
        <v>148</v>
      </c>
      <c r="N130" s="99">
        <v>105</v>
      </c>
      <c r="P130" s="87">
        <v>2.2999999999999998</v>
      </c>
      <c r="R130" s="98">
        <f>G130-P130</f>
        <v>-2.2999999999999998</v>
      </c>
      <c r="T130" s="90">
        <v>14</v>
      </c>
    </row>
    <row r="131" spans="2:22" hidden="1" x14ac:dyDescent="0.2">
      <c r="B131" t="s">
        <v>181</v>
      </c>
      <c r="H131" s="90">
        <v>1.1000000000000001</v>
      </c>
      <c r="I131" s="8"/>
      <c r="J131" s="115" t="s">
        <v>148</v>
      </c>
      <c r="L131" s="90">
        <v>7.7</v>
      </c>
      <c r="N131" s="99"/>
      <c r="P131" s="87">
        <v>0</v>
      </c>
      <c r="R131" s="98">
        <f>G131-P131</f>
        <v>0</v>
      </c>
      <c r="T131" s="90">
        <v>0</v>
      </c>
    </row>
    <row r="132" spans="2:22" x14ac:dyDescent="0.2">
      <c r="P132" s="90"/>
      <c r="R132" s="90"/>
      <c r="T132" s="90"/>
    </row>
    <row r="133" spans="2:22" x14ac:dyDescent="0.2">
      <c r="B133" t="s">
        <v>128</v>
      </c>
      <c r="H133" s="90">
        <v>39.299999999999997</v>
      </c>
      <c r="I133" s="8"/>
      <c r="J133" s="93">
        <v>90</v>
      </c>
      <c r="L133" s="90">
        <v>10.1</v>
      </c>
      <c r="M133" t="s">
        <v>148</v>
      </c>
      <c r="N133" s="99">
        <v>116</v>
      </c>
      <c r="P133" s="87">
        <v>9.6</v>
      </c>
      <c r="R133" s="98">
        <f>G133-P133</f>
        <v>-9.6</v>
      </c>
      <c r="T133" s="90">
        <v>22</v>
      </c>
      <c r="U133" t="s">
        <v>148</v>
      </c>
      <c r="V133" t="s">
        <v>148</v>
      </c>
    </row>
    <row r="134" spans="2:22" x14ac:dyDescent="0.2">
      <c r="H134" s="90"/>
      <c r="I134" s="8"/>
      <c r="J134" s="99"/>
      <c r="L134" s="90"/>
      <c r="N134" s="99"/>
      <c r="P134" s="87"/>
      <c r="R134" s="98"/>
      <c r="T134" s="99"/>
      <c r="V134" t="s">
        <v>148</v>
      </c>
    </row>
    <row r="135" spans="2:22" x14ac:dyDescent="0.2">
      <c r="B135" t="s">
        <v>164</v>
      </c>
      <c r="H135" s="90"/>
      <c r="I135" s="8"/>
      <c r="J135" s="99"/>
      <c r="L135" s="90"/>
      <c r="M135" t="s">
        <v>148</v>
      </c>
      <c r="N135" s="99"/>
      <c r="P135" s="87"/>
      <c r="R135" s="98"/>
      <c r="T135" s="99"/>
    </row>
    <row r="136" spans="2:22" x14ac:dyDescent="0.2">
      <c r="C136" t="s">
        <v>183</v>
      </c>
      <c r="H136" s="113">
        <f>15.3+0.7</f>
        <v>16</v>
      </c>
      <c r="I136" s="8"/>
      <c r="J136" s="99"/>
      <c r="L136" s="113">
        <v>6</v>
      </c>
      <c r="N136" s="99"/>
      <c r="P136" s="87">
        <v>5</v>
      </c>
      <c r="R136" s="98">
        <f>G136-P136</f>
        <v>-5</v>
      </c>
      <c r="T136" s="99"/>
    </row>
    <row r="137" spans="2:22" x14ac:dyDescent="0.2">
      <c r="C137" t="s">
        <v>184</v>
      </c>
      <c r="H137" s="113">
        <v>1</v>
      </c>
      <c r="I137" s="114"/>
      <c r="J137" s="99"/>
      <c r="L137" s="90">
        <v>0.8</v>
      </c>
      <c r="N137" s="99"/>
      <c r="P137" s="87">
        <v>0.5</v>
      </c>
      <c r="R137" s="98">
        <f>G137-P137</f>
        <v>-0.5</v>
      </c>
      <c r="T137" s="99"/>
    </row>
    <row r="138" spans="2:22" x14ac:dyDescent="0.2">
      <c r="C138" t="s">
        <v>161</v>
      </c>
      <c r="H138" s="113">
        <v>1</v>
      </c>
      <c r="I138" s="114"/>
      <c r="J138" s="99"/>
      <c r="L138" s="113">
        <v>0.1</v>
      </c>
      <c r="N138" s="99"/>
      <c r="P138" s="87">
        <v>1</v>
      </c>
      <c r="R138" s="98">
        <f>G138-P138</f>
        <v>-1</v>
      </c>
      <c r="T138" s="99"/>
    </row>
    <row r="139" spans="2:22" x14ac:dyDescent="0.2">
      <c r="C139" t="s">
        <v>68</v>
      </c>
      <c r="H139" s="90">
        <v>0.4</v>
      </c>
      <c r="I139" s="8"/>
      <c r="J139" s="99"/>
      <c r="L139" s="90">
        <v>0.1</v>
      </c>
      <c r="N139" s="99"/>
      <c r="P139" s="87">
        <v>0.6</v>
      </c>
      <c r="R139" s="98">
        <f>G139-P139</f>
        <v>-0.6</v>
      </c>
      <c r="T139" s="99"/>
    </row>
    <row r="140" spans="2:22" x14ac:dyDescent="0.2">
      <c r="H140" s="90"/>
      <c r="I140" s="8"/>
      <c r="J140" s="99"/>
      <c r="L140" s="90"/>
      <c r="N140" s="99"/>
      <c r="P140" s="87"/>
      <c r="R140" s="98"/>
      <c r="T140" s="99"/>
    </row>
    <row r="141" spans="2:22" hidden="1" x14ac:dyDescent="0.2">
      <c r="B141" t="s">
        <v>204</v>
      </c>
      <c r="H141" s="90">
        <f>7.3-0.4</f>
        <v>6.8999999999999995</v>
      </c>
      <c r="I141" s="8"/>
      <c r="J141" s="99"/>
      <c r="L141" s="90">
        <v>37.4</v>
      </c>
      <c r="N141" s="99"/>
      <c r="P141" s="87">
        <v>0</v>
      </c>
      <c r="R141" s="98"/>
      <c r="T141" s="99"/>
    </row>
    <row r="142" spans="2:22" hidden="1" x14ac:dyDescent="0.2">
      <c r="H142" s="90"/>
      <c r="I142" s="8"/>
      <c r="J142" s="99"/>
      <c r="L142" s="90"/>
      <c r="N142" s="99"/>
      <c r="P142" s="87"/>
      <c r="R142" s="98"/>
      <c r="T142" s="99"/>
    </row>
    <row r="143" spans="2:22" hidden="1" x14ac:dyDescent="0.2">
      <c r="B143" t="s">
        <v>15</v>
      </c>
      <c r="H143" s="101">
        <v>0</v>
      </c>
      <c r="I143" s="8"/>
      <c r="J143" s="99"/>
      <c r="L143" s="90">
        <v>20.9</v>
      </c>
      <c r="N143" s="99"/>
      <c r="P143" s="87"/>
      <c r="R143" s="98"/>
      <c r="T143" s="99"/>
    </row>
    <row r="144" spans="2:22" hidden="1" x14ac:dyDescent="0.2">
      <c r="H144" s="90"/>
      <c r="I144" s="8"/>
      <c r="J144" s="99"/>
      <c r="L144" s="90"/>
      <c r="N144" s="99"/>
      <c r="P144" s="87"/>
      <c r="R144" s="98"/>
      <c r="T144" s="99"/>
    </row>
    <row r="145" spans="2:21" hidden="1" x14ac:dyDescent="0.2">
      <c r="B145" t="s">
        <v>185</v>
      </c>
      <c r="H145" s="90">
        <v>0.1</v>
      </c>
      <c r="I145" s="8"/>
      <c r="J145" s="99">
        <v>0</v>
      </c>
      <c r="L145" s="113">
        <v>13.6</v>
      </c>
      <c r="N145" s="99">
        <f>29+29+10+37+24</f>
        <v>129</v>
      </c>
      <c r="P145" s="87">
        <v>0</v>
      </c>
      <c r="R145" s="98">
        <f>G145-P145</f>
        <v>0</v>
      </c>
      <c r="T145" s="99">
        <v>0</v>
      </c>
    </row>
    <row r="146" spans="2:21" hidden="1" x14ac:dyDescent="0.2">
      <c r="H146" s="90"/>
      <c r="I146" s="8"/>
      <c r="J146" s="99"/>
      <c r="L146" s="90"/>
      <c r="N146" s="99"/>
      <c r="P146" s="87"/>
      <c r="R146" s="98"/>
      <c r="T146" s="99"/>
    </row>
    <row r="147" spans="2:21" x14ac:dyDescent="0.2">
      <c r="H147" s="90"/>
      <c r="I147" s="8"/>
      <c r="J147" s="99"/>
      <c r="L147" s="90"/>
      <c r="N147" s="99"/>
      <c r="P147" s="87"/>
      <c r="R147" s="98"/>
      <c r="T147" s="99"/>
    </row>
    <row r="148" spans="2:21" x14ac:dyDescent="0.2">
      <c r="B148" t="s">
        <v>186</v>
      </c>
      <c r="H148" s="90"/>
      <c r="I148" s="8"/>
      <c r="J148" s="99"/>
      <c r="L148" s="87"/>
      <c r="N148" s="99"/>
      <c r="P148" s="87">
        <f>9+2.4+2</f>
        <v>13.4</v>
      </c>
      <c r="R148" s="98">
        <f>G148-P148</f>
        <v>-13.4</v>
      </c>
      <c r="T148" s="99"/>
      <c r="U148" t="s">
        <v>205</v>
      </c>
    </row>
    <row r="149" spans="2:21" x14ac:dyDescent="0.2">
      <c r="H149" s="90"/>
      <c r="I149" s="8"/>
      <c r="J149" s="99"/>
      <c r="L149" s="90"/>
      <c r="N149" s="99"/>
      <c r="P149" s="87"/>
      <c r="R149" s="98"/>
      <c r="T149" s="99"/>
      <c r="U149" t="s">
        <v>206</v>
      </c>
    </row>
    <row r="150" spans="2:21" x14ac:dyDescent="0.2">
      <c r="B150" t="s">
        <v>165</v>
      </c>
      <c r="H150" s="90">
        <v>130.6</v>
      </c>
      <c r="I150" s="8"/>
      <c r="J150" s="90"/>
      <c r="L150" s="87">
        <v>61.2</v>
      </c>
      <c r="N150" s="90"/>
      <c r="P150" s="87">
        <v>0</v>
      </c>
      <c r="R150" s="101">
        <v>0</v>
      </c>
      <c r="T150" s="90"/>
    </row>
    <row r="151" spans="2:21" x14ac:dyDescent="0.2">
      <c r="H151" s="90"/>
      <c r="I151" s="8"/>
      <c r="J151" s="92"/>
      <c r="L151" s="90"/>
      <c r="N151" s="92"/>
      <c r="P151" s="87"/>
      <c r="Q151" s="8"/>
      <c r="R151" s="98"/>
      <c r="T151" s="92"/>
    </row>
    <row r="152" spans="2:21" x14ac:dyDescent="0.2">
      <c r="D152" s="33" t="s">
        <v>166</v>
      </c>
      <c r="H152" s="118" t="e">
        <f>+H124+H126+H85+H116+H118+H122+#REF!+H130+H109+H110+H131+H112+H114+H133+H136+H137+H138+H139+H145+H148+H141+H150</f>
        <v>#REF!</v>
      </c>
      <c r="I152" s="104"/>
      <c r="J152" s="119" t="e">
        <f>+J124+J126+#REF!+J130+J109+J133</f>
        <v>#REF!</v>
      </c>
      <c r="L152" s="118" t="e">
        <f>+L124+L126+L85+L116+L118+L122+#REF!+L130+L109+L110+L131+L112+L114+L133+L136+L137+L138+L139+L145+L148+L141+L150+L143</f>
        <v>#REF!</v>
      </c>
      <c r="N152" s="119" t="e">
        <f>+N124+N126+N85+N116+N118+N122+#REF!+N130+N109+N110+N131+N112+N114+N133+N136+N137+N138+N139+N145+N148+N141+N150</f>
        <v>#REF!</v>
      </c>
      <c r="P152" s="118">
        <f>P81+P83+P124+P126+P85+P116+P118+P122+P107+P130+P109+P110+P131+P112+P114+P133+P136+P137+P138+P139+P145+P148+P141+P150+P128+P120+P91+P89+P87</f>
        <v>178.29999999999998</v>
      </c>
      <c r="Q152" s="103" t="s">
        <v>148</v>
      </c>
      <c r="R152" s="118">
        <f>R81+R83+R124+R126+R85+R116+R118+R122+R107+R130+R109+R110+R131+R112+R114+R133+R136+R137+R138+R139+R145+R148+R141+R150+R128+R120+R91+R89+R87</f>
        <v>-178.29999999999998</v>
      </c>
      <c r="T152" s="119">
        <f>T81+T83+T124+T126+T85+T116+T118+T122+T107+T130+T109+T110+T131+T112+T114+T133+T136+T137+T138+T139+T1+T87+T89+T91+T10545+T148+T141+T150+T120+T128</f>
        <v>650</v>
      </c>
    </row>
    <row r="153" spans="2:21" x14ac:dyDescent="0.2">
      <c r="E153" s="104"/>
      <c r="F153" s="8"/>
      <c r="G153" s="104"/>
      <c r="H153" s="87"/>
      <c r="I153" s="104"/>
      <c r="J153" s="102"/>
      <c r="K153" s="104"/>
      <c r="L153" s="87"/>
      <c r="N153" s="102"/>
      <c r="P153" s="102"/>
      <c r="R153" s="102"/>
      <c r="T153" s="102"/>
    </row>
    <row r="154" spans="2:21" x14ac:dyDescent="0.2">
      <c r="E154" s="104"/>
      <c r="F154" s="8"/>
      <c r="G154" s="104"/>
      <c r="H154" s="87"/>
      <c r="I154" s="104"/>
      <c r="J154" s="87"/>
      <c r="K154" s="104"/>
      <c r="L154" s="87"/>
      <c r="N154" s="87"/>
      <c r="P154" s="87"/>
      <c r="R154" s="87"/>
      <c r="T154" s="87"/>
    </row>
    <row r="155" spans="2:21" x14ac:dyDescent="0.2">
      <c r="D155" s="33" t="s">
        <v>207</v>
      </c>
      <c r="E155" s="105"/>
      <c r="F155" s="8"/>
      <c r="G155" s="95">
        <f>G79</f>
        <v>875</v>
      </c>
      <c r="H155" s="106" t="e">
        <f>H152+H79</f>
        <v>#REF!</v>
      </c>
      <c r="I155" s="117"/>
      <c r="J155" s="107" t="e">
        <f>J152+J79</f>
        <v>#REF!</v>
      </c>
      <c r="K155" s="105"/>
      <c r="L155" s="106" t="e">
        <f>L152+L79</f>
        <v>#REF!</v>
      </c>
      <c r="N155" s="107" t="e">
        <f>N152+N79</f>
        <v>#REF!</v>
      </c>
      <c r="P155" s="106">
        <f>P152+P79</f>
        <v>227.99999999999997</v>
      </c>
      <c r="R155" s="106">
        <f>G155-P155</f>
        <v>647</v>
      </c>
      <c r="T155" s="107">
        <f>T152+T79</f>
        <v>856</v>
      </c>
    </row>
    <row r="156" spans="2:21" x14ac:dyDescent="0.2">
      <c r="F156" s="8"/>
      <c r="G156" s="104"/>
      <c r="H156" s="104"/>
      <c r="I156" s="104"/>
      <c r="J156" s="104"/>
      <c r="K156" s="104"/>
      <c r="L156" s="104"/>
      <c r="P156" s="104"/>
      <c r="R156" s="104"/>
      <c r="T156" s="104"/>
    </row>
    <row r="157" spans="2:21" x14ac:dyDescent="0.2">
      <c r="B157" t="s">
        <v>210</v>
      </c>
      <c r="G157" s="8"/>
      <c r="H157" s="8"/>
      <c r="I157" s="8"/>
      <c r="J157" s="8"/>
      <c r="K157" s="8"/>
      <c r="L157" s="8"/>
      <c r="P157" s="8"/>
      <c r="Q157" s="8"/>
      <c r="R157" s="8"/>
      <c r="S157" s="8"/>
      <c r="T157" s="8"/>
    </row>
    <row r="158" spans="2:21" x14ac:dyDescent="0.2">
      <c r="B158" t="s">
        <v>211</v>
      </c>
      <c r="G158" s="8"/>
      <c r="H158" s="8"/>
      <c r="I158" s="8"/>
      <c r="J158" s="8"/>
      <c r="K158" s="8"/>
      <c r="L158" s="8"/>
    </row>
    <row r="159" spans="2:21" x14ac:dyDescent="0.2">
      <c r="B159" t="s">
        <v>212</v>
      </c>
      <c r="G159" s="8"/>
      <c r="H159" s="8"/>
      <c r="I159" s="8"/>
      <c r="J159" s="8"/>
      <c r="K159" s="8"/>
      <c r="L159" s="8"/>
    </row>
    <row r="160" spans="2:21" x14ac:dyDescent="0.2">
      <c r="B160" t="s">
        <v>213</v>
      </c>
      <c r="G160" s="8"/>
      <c r="H160" s="8"/>
      <c r="I160" s="8"/>
      <c r="J160" s="8"/>
      <c r="K160" s="8"/>
      <c r="L160" s="8"/>
    </row>
    <row r="161" spans="2:2" x14ac:dyDescent="0.2">
      <c r="B161" t="s">
        <v>274</v>
      </c>
    </row>
    <row r="162" spans="2:2" x14ac:dyDescent="0.2">
      <c r="B162" t="s">
        <v>278</v>
      </c>
    </row>
  </sheetData>
  <mergeCells count="1">
    <mergeCell ref="A3:T3"/>
  </mergeCells>
  <phoneticPr fontId="0" type="noConversion"/>
  <pageMargins left="0.52" right="0.46" top="0.5" bottom="0.63" header="0.38" footer="0.5"/>
  <pageSetup scale="4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R39"/>
  <sheetViews>
    <sheetView zoomScaleNormal="100" workbookViewId="0">
      <selection activeCell="M8" sqref="M8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22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4" max="14" width="21" customWidth="1"/>
    <col min="15" max="15" width="19" customWidth="1"/>
    <col min="16" max="16" width="28.42578125" bestFit="1" customWidth="1"/>
    <col min="17" max="17" width="10.7109375" customWidth="1"/>
  </cols>
  <sheetData>
    <row r="1" spans="1:44" ht="18" x14ac:dyDescent="0.2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2" t="s">
        <v>270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'[11]Central Trading'!C8+'[11]Central Origination'!C8+[11]Derivatives!C8+'[11]East Trading'!C8+'[11]East Origination'!C8+'[11]Financial Gas'!C8+[11]Structuring!C8+'[11]Texas Trading'!C8+'[11]Texas Origination'!C8+'[11]West Trading'!C8+'[11]West Origination'!C8+[11]Fundamentals!C8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128304</v>
      </c>
      <c r="Q8" s="15"/>
    </row>
    <row r="9" spans="1:44" hidden="1" x14ac:dyDescent="0.2">
      <c r="A9" s="13"/>
      <c r="B9" s="14" t="s">
        <v>11</v>
      </c>
      <c r="C9" s="15">
        <f>'[11]Central Trading'!C9+'[11]Central Origination'!C9+[11]Derivatives!C9+'[11]East Trading'!C9+'[11]East Origination'!C9+'[11]Financial Gas'!C9+[11]Structuring!C9+'[11]Texas Trading'!C9+'[11]Texas Origination'!C9+'[11]West Trading'!C9+'[11]West Origination'!C9+[11]Fundamentals!C9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'[11]Central Trading'!C10+'[11]Central Origination'!C10+[11]Derivatives!C10+'[11]East Trading'!C10+'[11]East Origination'!C10+'[11]Financial Gas'!C10+[11]Structuring!C10+'[11]Texas Trading'!C10+'[11]Texas Origination'!C10+'[11]West Trading'!C10+'[11]West Origination'!C10+[11]Fundamentals!C10</f>
        <v>3095252.76</v>
      </c>
      <c r="D10" s="15"/>
      <c r="E10" s="15">
        <f>('[11]Central Trading'!E9+'[11]Central Origination'!E10+[11]Derivatives!E10+'[11]East Trading'!E10+'[11]East Origination'!E10+'[11]Financial Gas'!E10+[11]Structuring!E10+'[11]Texas Trading'!E10+'[11]Texas Origination'!E10+'[11]West Trading'!E10+'[11]West Origination'!E10+[11]Fundamentals!E10)-4000000</f>
        <v>82420.999999999534</v>
      </c>
      <c r="G10" s="45">
        <f t="shared" si="0"/>
        <v>3.7797619139155266E-3</v>
      </c>
      <c r="H10" s="15">
        <f>L21+L22</f>
        <v>89100</v>
      </c>
      <c r="I10" s="42"/>
      <c r="J10" s="17"/>
      <c r="K10" s="17"/>
      <c r="L10" s="43"/>
      <c r="Q10" s="15"/>
    </row>
    <row r="11" spans="1:44" x14ac:dyDescent="0.2">
      <c r="A11" s="13" t="s">
        <v>13</v>
      </c>
      <c r="B11" s="14" t="s">
        <v>14</v>
      </c>
      <c r="C11" s="15">
        <f>'[11]Central Trading'!C11+'[11]Central Origination'!C11+[11]Derivatives!C11+'[11]East Trading'!C11+'[11]East Origination'!C11+'[11]Financial Gas'!C11+[11]Structuring!C11+'[11]Texas Trading'!C11+'[11]Texas Origination'!C11+'[11]West Trading'!C11+'[11]West Origination'!C11+[11]Fundamentals!C11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+H10*0.2+6384</f>
        <v>24204</v>
      </c>
      <c r="I11" s="42" t="s">
        <v>15</v>
      </c>
      <c r="J11" s="17">
        <f>(E12+E13+E14+E15+E16+E17+E18+E19+E20+E21+E22)/E29</f>
        <v>48270.181250000009</v>
      </c>
      <c r="K11" s="17">
        <f>K28</f>
        <v>1</v>
      </c>
      <c r="L11" s="43">
        <f>J11*K11</f>
        <v>48270.181250000009</v>
      </c>
      <c r="N11" s="123"/>
      <c r="O11" s="123"/>
      <c r="P11" s="123"/>
      <c r="Q11" s="15"/>
    </row>
    <row r="12" spans="1:44" x14ac:dyDescent="0.2">
      <c r="A12" s="13" t="s">
        <v>16</v>
      </c>
      <c r="B12" s="14" t="s">
        <v>17</v>
      </c>
      <c r="C12" s="15">
        <f>'[11]Central Trading'!C12+'[11]Central Origination'!C12+[11]Derivatives!C12+'[11]East Trading'!C12+'[11]East Origination'!C12+'[11]Financial Gas'!C12+[11]Structuring!C12+'[11]Texas Trading'!C12+'[11]Texas Origination'!C12+'[11]West Trading'!C12+'[11]West Origination'!C12+[11]Fundamentals!C12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>(E12/$E$29)*$K$11</f>
        <v>6162.4737499999974</v>
      </c>
      <c r="I12" s="42"/>
      <c r="J12" s="17"/>
      <c r="K12" s="17"/>
      <c r="L12" s="43"/>
      <c r="N12" s="123"/>
      <c r="O12" s="123"/>
      <c r="P12" s="123"/>
      <c r="Q12" s="15"/>
    </row>
    <row r="13" spans="1:44" ht="13.5" thickBot="1" x14ac:dyDescent="0.25">
      <c r="A13" s="13" t="s">
        <v>18</v>
      </c>
      <c r="B13" s="14" t="s">
        <v>19</v>
      </c>
      <c r="C13" s="15">
        <f>'[11]Central Trading'!C13+'[11]Central Origination'!C13+[11]Derivatives!C13+'[11]East Trading'!C13+'[11]East Origination'!C13+'[11]Financial Gas'!C13+[11]Structuring!C13+'[11]Texas Trading'!C13+'[11]Texas Origination'!C13+'[11]West Trading'!C13+'[11]West Origination'!C13+[11]Fundamentals!C13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15000</v>
      </c>
      <c r="I13" s="46" t="s">
        <v>20</v>
      </c>
      <c r="J13" s="47"/>
      <c r="K13" s="47"/>
      <c r="L13" s="48">
        <f>L8+L11</f>
        <v>176574.18125000002</v>
      </c>
      <c r="N13" s="123"/>
      <c r="O13" s="123"/>
      <c r="P13" s="123"/>
      <c r="Q13" s="15"/>
    </row>
    <row r="14" spans="1:44" x14ac:dyDescent="0.2">
      <c r="A14" s="13" t="s">
        <v>21</v>
      </c>
      <c r="B14" s="14" t="s">
        <v>22</v>
      </c>
      <c r="C14" s="15">
        <f>'[11]Central Trading'!C14+'[11]Central Origination'!C14+[11]Derivatives!C14+'[11]East Trading'!C14+'[11]East Origination'!C14+'[11]Financial Gas'!C14+[11]Structuring!C14+'[11]Texas Trading'!C14+'[11]Texas Origination'!C14+'[11]West Trading'!C14+'[11]West Origination'!C14+[11]Fundamentals!C14-C32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ref="H14:H21" si="1">(E14/$E$29)*$K$11</f>
        <v>2.0000000001649215E-3</v>
      </c>
      <c r="N14" s="123"/>
      <c r="O14" s="123"/>
      <c r="P14" s="123"/>
      <c r="Q14" s="15"/>
    </row>
    <row r="15" spans="1:44" x14ac:dyDescent="0.2">
      <c r="A15" s="13" t="s">
        <v>23</v>
      </c>
      <c r="B15" s="14" t="s">
        <v>24</v>
      </c>
      <c r="C15" s="15">
        <f>'[11]Central Trading'!C15+'[11]Central Origination'!C15+[11]Derivatives!C15+'[11]East Trading'!C15+'[11]East Origination'!C15+'[11]Financial Gas'!C15+[11]Structuring!C15+'[11]Texas Trading'!C15+'[11]Texas Origination'!C15+'[11]West Trading'!C15+'[11]West Origination'!C15+[11]Fundamentals!C15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871.35833333333323</v>
      </c>
      <c r="N15" s="123"/>
      <c r="O15" s="123"/>
      <c r="P15" s="123"/>
      <c r="Q15" s="15"/>
    </row>
    <row r="16" spans="1:44" x14ac:dyDescent="0.2">
      <c r="A16" s="13" t="s">
        <v>25</v>
      </c>
      <c r="B16" s="14" t="s">
        <v>26</v>
      </c>
      <c r="C16" s="15">
        <f>'[11]Central Trading'!C16+'[11]Central Origination'!C16+[11]Derivatives!C16+'[11]East Trading'!C16+'[11]East Origination'!C16+'[11]Financial Gas'!C16+[11]Structuring!C16+'[11]Texas Trading'!C16+'[11]Texas Origination'!C16+'[11]West Trading'!C16+'[11]West Origination'!C16+[11]Fundamentals!C16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N16" s="123"/>
      <c r="O16" s="123"/>
      <c r="P16" s="123"/>
      <c r="Q16" s="15"/>
    </row>
    <row r="17" spans="1:17" x14ac:dyDescent="0.2">
      <c r="A17" s="13" t="s">
        <v>28</v>
      </c>
      <c r="B17" s="14" t="s">
        <v>29</v>
      </c>
      <c r="C17" s="15">
        <f>'[11]Central Trading'!C17+'[11]Central Origination'!C17+[11]Derivatives!C17+'[11]East Trading'!C17+'[11]East Origination'!C17+'[11]Financial Gas'!C17+[11]Structuring!C17+'[11]Texas Trading'!C17+'[11]Texas Origination'!C17+'[11]West Trading'!C17+'[11]West Origination'!C17+[11]Fundamentals!C17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49.166666666666664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N17" s="123"/>
      <c r="O17" s="123"/>
      <c r="P17" s="123"/>
      <c r="Q17" s="15"/>
    </row>
    <row r="18" spans="1:17" x14ac:dyDescent="0.2">
      <c r="A18" s="13" t="s">
        <v>31</v>
      </c>
      <c r="B18" s="14" t="s">
        <v>32</v>
      </c>
      <c r="C18" s="15">
        <f>'[11]Central Trading'!C18+'[11]Central Origination'!C18+[11]Derivatives!C18+'[11]East Trading'!C18+'[11]East Origination'!C18+'[11]Financial Gas'!C18+[11]Structuring!C18+'[11]Texas Trading'!C18+'[11]Texas Origination'!C18+'[11]West Trading'!C18+'[11]West Origination'!C18+[11]Fundamentals!C18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892.9576666666668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N18" s="123"/>
      <c r="O18" s="123"/>
      <c r="P18" s="123"/>
      <c r="Q18" s="15"/>
    </row>
    <row r="19" spans="1:17" x14ac:dyDescent="0.2">
      <c r="A19" s="13" t="s">
        <v>34</v>
      </c>
      <c r="B19" s="14" t="s">
        <v>35</v>
      </c>
      <c r="C19" s="15">
        <f>'[11]Central Trading'!C19+'[11]Central Origination'!C19+[11]Derivatives!C19+'[11]East Trading'!C19+'[11]East Origination'!C19+'[11]Financial Gas'!C19+[11]Structuring!C19+'[11]Texas Trading'!C19+'[11]Texas Origination'!C19+'[11]West Trading'!C19+'[11]West Origination'!C19+[11]Fundamentals!C19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910.08600000000001</v>
      </c>
      <c r="I19" s="25" t="s">
        <v>36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37</v>
      </c>
      <c r="B20" s="14" t="s">
        <v>38</v>
      </c>
      <c r="C20" s="15">
        <f>'[11]Central Trading'!C20+'[11]Central Origination'!C20+[11]Derivatives!C20+'[11]East Trading'!C20+'[11]East Origination'!C20+'[11]Financial Gas'!C20+[11]Structuring!C20+'[11]Texas Trading'!C20+'[11]Texas Origination'!C20+'[11]West Trading'!C20+'[11]West Origination'!C20+[11]Fundamentals!C20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0.13333333333333333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40</v>
      </c>
      <c r="B21" s="14" t="s">
        <v>41</v>
      </c>
      <c r="C21" s="15">
        <f>'[11]Central Trading'!C21+'[11]Central Origination'!C21+[11]Derivatives!C21+'[11]East Trading'!C21+'[11]East Origination'!C21+'[11]Financial Gas'!C21+[11]Structuring!C21+'[11]Texas Trading'!C21+'[11]Texas Origination'!C21+'[11]West Trading'!C21+'[11]West Origination'!C21+[11]Fundamentals!C21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1131.574249999999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'[11]Central Trading'!C22+'[11]Central Origination'!C22+[11]Derivatives!C22+'[11]East Trading'!C22+'[11]East Origination'!C22+'[11]Financial Gas'!C22+[11]Structuring!C22+'[11]Texas Trading'!C22+'[11]Texas Origination'!C22+'[11]West Trading'!C22+'[11]West Origination'!C22+[11]Fundamentals!C22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1</v>
      </c>
      <c r="L22" s="25">
        <f t="shared" si="2"/>
        <v>89100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138321.75200000001</v>
      </c>
      <c r="I23" s="25" t="s">
        <v>48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x14ac:dyDescent="0.2">
      <c r="B25" s="27" t="s">
        <v>50</v>
      </c>
      <c r="C25" s="15"/>
      <c r="E25" s="31">
        <f>'[11]Central Trading'!E25+'[11]Central Origination'!E25+[11]Derivatives!E25+'[11]East Trading'!E25+'[11]East Origination'!E25+'[11]Financial Gas'!E25+[11]Structuring!E25+'[11]Texas Trading'!E25+'[11]Texas Origination'!E25+'[11]West Trading'!E25+'[11]West Origination'!E25+[11]Fundamentals!E25</f>
        <v>108</v>
      </c>
      <c r="H25" s="31">
        <f>+K16+K17+K18+K19+K20+K23+K24+K25+K26+K27</f>
        <v>0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x14ac:dyDescent="0.2">
      <c r="B27" s="27" t="s">
        <v>67</v>
      </c>
      <c r="C27" s="15"/>
      <c r="E27" s="31">
        <f>'[11]Central Trading'!E27+'[11]Central Origination'!E27+[11]Derivatives!E27+'[11]East Trading'!E27+'[11]East Origination'!E27+'[11]Financial Gas'!E27+[11]Structuring!E27+'[11]Texas Trading'!E27+'[11]Texas Origination'!E27+'[11]West Trading'!E27+'[11]West Origination'!E27+[11]Fundamentals!E27</f>
        <v>52</v>
      </c>
      <c r="H27" s="31">
        <f>+K21+K22</f>
        <v>1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1</v>
      </c>
      <c r="L28" s="25">
        <f>SUM(L16:L27)*1.2</f>
        <v>106920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1</v>
      </c>
      <c r="L29" s="52">
        <v>0.2</v>
      </c>
      <c r="P29" s="8"/>
      <c r="Q29" s="32"/>
    </row>
    <row r="30" spans="1:17" hidden="1" x14ac:dyDescent="0.2">
      <c r="L30" s="25">
        <f>L28*1.2</f>
        <v>128304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</v>
      </c>
      <c r="L34" s="37">
        <f>+J34*K34</f>
        <v>48270.181250000009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AR39"/>
  <sheetViews>
    <sheetView zoomScaleNormal="100" workbookViewId="0">
      <selection activeCell="M4" sqref="M4:M5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42578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4" max="14" width="16.85546875" customWidth="1"/>
    <col min="15" max="15" width="15.85546875" customWidth="1"/>
    <col min="16" max="16" width="14" customWidth="1"/>
    <col min="17" max="17" width="10.7109375" customWidth="1"/>
  </cols>
  <sheetData>
    <row r="1" spans="1:44" ht="18" x14ac:dyDescent="0.2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2" t="s">
        <v>245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'[11]Central Trading'!C8+'[11]Central Origination'!C8+[11]Derivatives!C8+'[11]East Trading'!C8+'[11]East Origination'!C8+'[11]Financial Gas'!C8+[11]Structuring!C8+'[11]Texas Trading'!C8+'[11]Texas Origination'!C8+'[11]West Trading'!C8+'[11]West Origination'!C8+[11]Fundamentals!C8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1037520</v>
      </c>
      <c r="I8" s="42" t="s">
        <v>10</v>
      </c>
      <c r="J8" s="17">
        <v>0</v>
      </c>
      <c r="K8" s="17"/>
      <c r="L8" s="43">
        <f>L30</f>
        <v>1351944</v>
      </c>
      <c r="Q8" s="15"/>
    </row>
    <row r="9" spans="1:44" hidden="1" x14ac:dyDescent="0.2">
      <c r="A9" s="13"/>
      <c r="B9" s="14" t="s">
        <v>11</v>
      </c>
      <c r="C9" s="15">
        <f>'[11]Central Trading'!C9+'[11]Central Origination'!C9+[11]Derivatives!C9+'[11]East Trading'!C9+'[11]East Origination'!C9+'[11]Financial Gas'!C9+[11]Structuring!C9+'[11]Texas Trading'!C9+'[11]Texas Origination'!C9+'[11]West Trading'!C9+'[11]West Origination'!C9+[11]Fundamentals!C9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'[11]Central Trading'!C10+'[11]Central Origination'!C10+[11]Derivatives!C10+'[11]East Trading'!C10+'[11]East Origination'!C10+'[11]Financial Gas'!C10+[11]Structuring!C10+'[11]Texas Trading'!C10+'[11]Texas Origination'!C10+'[11]West Trading'!C10+'[11]West Origination'!C10+[11]Fundamentals!C10</f>
        <v>3095252.76</v>
      </c>
      <c r="D10" s="15"/>
      <c r="E10" s="15">
        <f>('[11]Central Trading'!E9+'[11]Central Origination'!E10+[11]Derivatives!E10+'[11]East Trading'!E10+'[11]East Origination'!E10+'[11]Financial Gas'!E10+[11]Structuring!E10+'[11]Texas Trading'!E10+'[11]Texas Origination'!E10+'[11]West Trading'!E10+'[11]West Origination'!E10+[11]Fundamentals!E10)-4000000</f>
        <v>82420.999999999534</v>
      </c>
      <c r="G10" s="45">
        <f t="shared" si="0"/>
        <v>3.7797619139155266E-3</v>
      </c>
      <c r="H10" s="15">
        <f>L21+L22</f>
        <v>89100</v>
      </c>
      <c r="I10" s="42"/>
      <c r="J10" s="17"/>
      <c r="K10" s="17"/>
      <c r="L10" s="43"/>
      <c r="Q10" s="15"/>
    </row>
    <row r="11" spans="1:44" x14ac:dyDescent="0.2">
      <c r="A11" s="13" t="s">
        <v>13</v>
      </c>
      <c r="B11" s="14" t="s">
        <v>14</v>
      </c>
      <c r="C11" s="15">
        <f>'[11]Central Trading'!C11+'[11]Central Origination'!C11+[11]Derivatives!C11+'[11]East Trading'!C11+'[11]East Origination'!C11+'[11]Financial Gas'!C11+[11]Structuring!C11+'[11]Texas Trading'!C11+'[11]Texas Origination'!C11+'[11]West Trading'!C11+'[11]West Origination'!C11+[11]Fundamentals!C11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225324</v>
      </c>
      <c r="I11" s="42" t="s">
        <v>15</v>
      </c>
      <c r="J11" s="17">
        <f>(E12+E13+E14+E15+E16+E17+E18+E19+E20+E21+E22)/E29</f>
        <v>48270.181250000009</v>
      </c>
      <c r="K11" s="17">
        <f>K28</f>
        <v>7</v>
      </c>
      <c r="L11" s="43">
        <f>J11*K11</f>
        <v>337891.26875000005</v>
      </c>
      <c r="N11" s="123"/>
      <c r="O11" s="123"/>
      <c r="P11" s="123"/>
      <c r="Q11" s="15"/>
    </row>
    <row r="12" spans="1:44" x14ac:dyDescent="0.2">
      <c r="A12" s="13" t="s">
        <v>16</v>
      </c>
      <c r="B12" s="14" t="s">
        <v>17</v>
      </c>
      <c r="C12" s="15">
        <f>'[11]Central Trading'!C12+'[11]Central Origination'!C12+[11]Derivatives!C12+'[11]East Trading'!C12+'[11]East Origination'!C12+'[11]Financial Gas'!C12+[11]Structuring!C12+'[11]Texas Trading'!C12+'[11]Texas Origination'!C12+'[11]West Trading'!C12+'[11]West Origination'!C12+[11]Fundamentals!C12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43137.316249999982</v>
      </c>
      <c r="I12" s="42"/>
      <c r="J12" s="17"/>
      <c r="K12" s="17"/>
      <c r="L12" s="43"/>
      <c r="N12" s="123"/>
      <c r="O12" s="123"/>
      <c r="P12" s="123"/>
      <c r="Q12" s="15"/>
    </row>
    <row r="13" spans="1:44" ht="13.5" thickBot="1" x14ac:dyDescent="0.25">
      <c r="A13" s="13" t="s">
        <v>18</v>
      </c>
      <c r="B13" s="14" t="s">
        <v>19</v>
      </c>
      <c r="C13" s="15">
        <f>'[11]Central Trading'!C13+'[11]Central Origination'!C13+[11]Derivatives!C13+'[11]East Trading'!C13+'[11]East Origination'!C13+'[11]Financial Gas'!C13+[11]Structuring!C13+'[11]Texas Trading'!C13+'[11]Texas Origination'!C13+'[11]West Trading'!C13+'[11]West Origination'!C13+[11]Fundamentals!C13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38394.698416666673</v>
      </c>
      <c r="I13" s="46" t="s">
        <v>20</v>
      </c>
      <c r="J13" s="47"/>
      <c r="K13" s="47"/>
      <c r="L13" s="48">
        <f>L8+L11</f>
        <v>1689835.26875</v>
      </c>
      <c r="N13" s="123"/>
      <c r="O13" s="123"/>
      <c r="P13" s="123"/>
      <c r="Q13" s="15"/>
    </row>
    <row r="14" spans="1:44" x14ac:dyDescent="0.2">
      <c r="A14" s="13" t="s">
        <v>21</v>
      </c>
      <c r="B14" s="14" t="s">
        <v>22</v>
      </c>
      <c r="C14" s="15">
        <f>'[11]Central Trading'!C14+'[11]Central Origination'!C14+[11]Derivatives!C14+'[11]East Trading'!C14+'[11]East Origination'!C14+'[11]Financial Gas'!C14+[11]Structuring!C14+'[11]Texas Trading'!C14+'[11]Texas Origination'!C14+'[11]West Trading'!C14+'[11]West Origination'!C14+[11]Fundamentals!C14-C32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1.400000000115445E-2</v>
      </c>
      <c r="N14" s="123"/>
      <c r="O14" s="123"/>
      <c r="P14" s="123"/>
      <c r="Q14" s="15"/>
    </row>
    <row r="15" spans="1:44" x14ac:dyDescent="0.2">
      <c r="A15" s="13" t="s">
        <v>23</v>
      </c>
      <c r="B15" s="14" t="s">
        <v>24</v>
      </c>
      <c r="C15" s="15">
        <f>'[11]Central Trading'!C15+'[11]Central Origination'!C15+[11]Derivatives!C15+'[11]East Trading'!C15+'[11]East Origination'!C15+'[11]Financial Gas'!C15+[11]Structuring!C15+'[11]Texas Trading'!C15+'[11]Texas Origination'!C15+'[11]West Trading'!C15+'[11]West Origination'!C15+[11]Fundamentals!C15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6099.5083333333323</v>
      </c>
      <c r="N15" s="123"/>
      <c r="O15" s="123"/>
      <c r="P15" s="123"/>
      <c r="Q15" s="15"/>
    </row>
    <row r="16" spans="1:44" x14ac:dyDescent="0.2">
      <c r="A16" s="13" t="s">
        <v>25</v>
      </c>
      <c r="B16" s="14" t="s">
        <v>26</v>
      </c>
      <c r="C16" s="15">
        <f>'[11]Central Trading'!C16+'[11]Central Origination'!C16+[11]Derivatives!C16+'[11]East Trading'!C16+'[11]East Origination'!C16+'[11]Financial Gas'!C16+[11]Structuring!C16+'[11]Texas Trading'!C16+'[11]Texas Origination'!C16+'[11]West Trading'!C16+'[11]West Origination'!C16+[11]Fundamentals!C16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N16" s="123"/>
      <c r="O16" s="123"/>
      <c r="P16" s="123"/>
      <c r="Q16" s="15"/>
    </row>
    <row r="17" spans="1:17" x14ac:dyDescent="0.2">
      <c r="A17" s="13" t="s">
        <v>28</v>
      </c>
      <c r="B17" s="14" t="s">
        <v>29</v>
      </c>
      <c r="C17" s="15">
        <f>'[11]Central Trading'!C17+'[11]Central Origination'!C17+[11]Derivatives!C17+'[11]East Trading'!C17+'[11]East Origination'!C17+'[11]Financial Gas'!C17+[11]Structuring!C17+'[11]Texas Trading'!C17+'[11]Texas Origination'!C17+'[11]West Trading'!C17+'[11]West Origination'!C17+[11]Fundamentals!C17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344.16666666666663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N17" s="124"/>
      <c r="O17" s="124"/>
      <c r="P17" s="123"/>
      <c r="Q17" s="15"/>
    </row>
    <row r="18" spans="1:17" x14ac:dyDescent="0.2">
      <c r="A18" s="13" t="s">
        <v>31</v>
      </c>
      <c r="B18" s="14" t="s">
        <v>32</v>
      </c>
      <c r="C18" s="15">
        <f>'[11]Central Trading'!C18+'[11]Central Origination'!C18+[11]Derivatives!C18+'[11]East Trading'!C18+'[11]East Origination'!C18+'[11]Financial Gas'!C18+[11]Structuring!C18+'[11]Texas Trading'!C18+'[11]Texas Origination'!C18+'[11]West Trading'!C18+'[11]West Origination'!C18+[11]Fundamentals!C18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6250.7036666666672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34</v>
      </c>
      <c r="B19" s="14" t="s">
        <v>35</v>
      </c>
      <c r="C19" s="15">
        <f>'[11]Central Trading'!C19+'[11]Central Origination'!C19+[11]Derivatives!C19+'[11]East Trading'!C19+'[11]East Origination'!C19+'[11]Financial Gas'!C19+[11]Structuring!C19+'[11]Texas Trading'!C19+'[11]Texas Origination'!C19+'[11]West Trading'!C19+'[11]West Origination'!C19+[11]Fundamentals!C19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6370.6019999999999</v>
      </c>
      <c r="I19" s="25" t="s">
        <v>36</v>
      </c>
      <c r="J19" s="25">
        <v>57750</v>
      </c>
      <c r="K19" s="25">
        <v>1</v>
      </c>
      <c r="L19" s="25">
        <f t="shared" si="2"/>
        <v>57750</v>
      </c>
      <c r="Q19" s="15"/>
    </row>
    <row r="20" spans="1:17" x14ac:dyDescent="0.2">
      <c r="A20" s="13" t="s">
        <v>37</v>
      </c>
      <c r="B20" s="14" t="s">
        <v>38</v>
      </c>
      <c r="C20" s="15">
        <f>'[11]Central Trading'!C20+'[11]Central Origination'!C20+[11]Derivatives!C20+'[11]East Trading'!C20+'[11]East Origination'!C20+'[11]Financial Gas'!C20+[11]Structuring!C20+'[11]Texas Trading'!C20+'[11]Texas Origination'!C20+'[11]West Trading'!C20+'[11]West Origination'!C20+[11]Fundamentals!C20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0.93333333333333335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40</v>
      </c>
      <c r="B21" s="14" t="s">
        <v>41</v>
      </c>
      <c r="C21" s="15">
        <f>'[11]Central Trading'!C21+'[11]Central Origination'!C21+[11]Derivatives!C21+'[11]East Trading'!C21+'[11]East Origination'!C21+'[11]Financial Gas'!C21+[11]Structuring!C21+'[11]Texas Trading'!C21+'[11]Texas Origination'!C21+'[11]West Trading'!C21+'[11]West Origination'!C21+[11]Fundamentals!C21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7921.0197499999931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'[11]Central Trading'!C22+'[11]Central Origination'!C22+[11]Derivatives!C22+'[11]East Trading'!C22+'[11]East Origination'!C22+'[11]Financial Gas'!C22+[11]Structuring!C22+'[11]Texas Trading'!C22+'[11]Texas Origination'!C22+'[11]West Trading'!C22+'[11]West Origination'!C22+[11]Fundamentals!C22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1</v>
      </c>
      <c r="L22" s="25">
        <f t="shared" si="2"/>
        <v>89100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1460462.9624166666</v>
      </c>
      <c r="I23" s="25" t="s">
        <v>48</v>
      </c>
      <c r="J23" s="25">
        <v>110000</v>
      </c>
      <c r="K23" s="25">
        <v>1</v>
      </c>
      <c r="L23" s="25">
        <f t="shared" si="2"/>
        <v>110000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v>2</v>
      </c>
      <c r="L24" s="25">
        <f t="shared" si="2"/>
        <v>286000</v>
      </c>
      <c r="P24" s="8"/>
      <c r="Q24" s="8"/>
    </row>
    <row r="25" spans="1:17" x14ac:dyDescent="0.2">
      <c r="B25" s="27" t="s">
        <v>50</v>
      </c>
      <c r="C25" s="15"/>
      <c r="E25" s="31">
        <f>'[11]Central Trading'!E25+'[11]Central Origination'!E25+[11]Derivatives!E25+'[11]East Trading'!E25+'[11]East Origination'!E25+'[11]Financial Gas'!E25+[11]Structuring!E25+'[11]Texas Trading'!E25+'[11]Texas Origination'!E25+'[11]West Trading'!E25+'[11]West Origination'!E25+[11]Fundamentals!E25</f>
        <v>108</v>
      </c>
      <c r="H25" s="31">
        <f>+K16+K17+K18+K19+K20+K23+K24+K25+K26+K27</f>
        <v>6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2"/>
        <v>396000</v>
      </c>
      <c r="P26" s="8"/>
      <c r="Q26" s="32"/>
    </row>
    <row r="27" spans="1:17" x14ac:dyDescent="0.2">
      <c r="B27" s="27" t="s">
        <v>67</v>
      </c>
      <c r="C27" s="15"/>
      <c r="E27" s="31">
        <f>'[11]Central Trading'!E27+'[11]Central Origination'!E27+[11]Derivatives!E27+'[11]East Trading'!E27+'[11]East Origination'!E27+'[11]Financial Gas'!E27+[11]Structuring!E27+'[11]Texas Trading'!E27+'[11]Texas Origination'!E27+'[11]West Trading'!E27+'[11]West Origination'!E27+[11]Fundamentals!E27</f>
        <v>52</v>
      </c>
      <c r="H27" s="31">
        <f>+K21+K22</f>
        <v>1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7</v>
      </c>
      <c r="L28" s="25">
        <f>SUM(L16:L27)*1.2</f>
        <v>1126620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7</v>
      </c>
      <c r="L29" s="52">
        <v>0.2</v>
      </c>
      <c r="P29" s="8"/>
      <c r="Q29" s="32"/>
    </row>
    <row r="30" spans="1:17" hidden="1" x14ac:dyDescent="0.2">
      <c r="L30" s="25">
        <f>L28*1.2</f>
        <v>1351944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7</v>
      </c>
      <c r="L34" s="37">
        <f>+J34*K34</f>
        <v>337891.26875000005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scale="9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S34"/>
  <sheetViews>
    <sheetView topLeftCell="A6"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36" width="9.140625" hidden="1" customWidth="1"/>
  </cols>
  <sheetData>
    <row r="1" spans="1:45" ht="18" x14ac:dyDescent="0.2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2" t="s">
        <v>87</v>
      </c>
      <c r="C2" s="142"/>
      <c r="D2" s="142"/>
      <c r="E2" s="142"/>
      <c r="F2" s="142"/>
      <c r="G2" s="142"/>
      <c r="H2" s="14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43" t="s">
        <v>0</v>
      </c>
      <c r="C3" s="143"/>
      <c r="D3" s="143"/>
      <c r="E3" s="143"/>
      <c r="F3" s="143"/>
      <c r="G3" s="143"/>
      <c r="H3" s="14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x14ac:dyDescent="0.2">
      <c r="A8" s="13" t="s">
        <v>9</v>
      </c>
      <c r="B8" s="14" t="s">
        <v>10</v>
      </c>
      <c r="C8" s="15">
        <f>'[10]Ercot Trading'!C8+'[10]Ercot Origination'!C8+'[10]Southeast Trading'!C8+'[10]Southeast Origination'!C8+'[10]Midwest Trading'!C8+'[10]Midwest Origination'!C8+'[10]Northeast Trading'!C8+'[10]Northeast Origination'!C8+'[10]Management Book'!C8+[10]Structuring_Fund!C8+[10]Services!C8+[10]Options!C8</f>
        <v>6640774.8000000017</v>
      </c>
      <c r="E8" s="15">
        <f>(C8/9)*12</f>
        <v>8854366.4000000022</v>
      </c>
      <c r="F8" s="15" t="e">
        <f>#REF!+#REF!+#REF!+#REF!</f>
        <v>#REF!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9273600</v>
      </c>
      <c r="O8" s="15" t="e">
        <f>+F8/$F$29*$O$29</f>
        <v>#REF!</v>
      </c>
    </row>
    <row r="9" spans="1:45" hidden="1" x14ac:dyDescent="0.2">
      <c r="A9" s="13"/>
      <c r="B9" s="14" t="s">
        <v>11</v>
      </c>
      <c r="C9" s="15">
        <f>'[10]Ercot Trading'!C9+'[10]Ercot Origination'!C9+'[10]Southeast Trading'!C9+'[10]Southeast Origination'!C9+'[10]Midwest Trading'!C9+'[10]Midwest Origination'!C9+'[10]Northeast Trading'!C9+'[10]Northeast Origination'!C9+'[10]Management Book'!C9+[10]Structuring_Fund!C9+[10]Services!C9+[10]Options!C9</f>
        <v>1460000</v>
      </c>
      <c r="E9" s="15">
        <f>C9</f>
        <v>1460000</v>
      </c>
      <c r="F9" s="15" t="e">
        <f>#REF!+#REF!+#REF!+#REF!</f>
        <v>#REF!</v>
      </c>
      <c r="H9" s="16">
        <f t="shared" si="0"/>
        <v>7.1688649731631054E-2</v>
      </c>
      <c r="J9" s="7"/>
      <c r="K9" s="8"/>
      <c r="L9" s="8"/>
      <c r="M9" s="9"/>
      <c r="O9" s="15" t="e">
        <f t="shared" ref="O9:O22" si="1">+F9/$F$29*$O$29</f>
        <v>#REF!</v>
      </c>
    </row>
    <row r="10" spans="1:45" x14ac:dyDescent="0.2">
      <c r="A10" s="13"/>
      <c r="B10" s="14" t="s">
        <v>12</v>
      </c>
      <c r="C10" s="15">
        <f>'[10]Ercot Trading'!C10+'[10]Ercot Origination'!C10+'[10]Southeast Trading'!C10+'[10]Southeast Origination'!C10+'[10]Midwest Trading'!C10+'[10]Midwest Origination'!C10+'[10]Northeast Trading'!C10+'[10]Northeast Origination'!C10+'[10]Management Book'!C10+[10]Structuring_Fund!C10+[10]Services!C10+[10]Options!C10</f>
        <v>2652510</v>
      </c>
      <c r="E10" s="15">
        <f>(C10/9)*12</f>
        <v>3536680</v>
      </c>
      <c r="F10" s="15" t="e">
        <f>#REF!+#REF!+#REF!+#REF!</f>
        <v>#REF!</v>
      </c>
      <c r="H10" s="16">
        <f t="shared" si="0"/>
        <v>0.17365740666634583</v>
      </c>
      <c r="J10" s="7"/>
      <c r="K10" s="8"/>
      <c r="L10" s="8"/>
      <c r="M10" s="9"/>
      <c r="O10" s="15" t="e">
        <f t="shared" si="1"/>
        <v>#REF!</v>
      </c>
    </row>
    <row r="11" spans="1:45" x14ac:dyDescent="0.2">
      <c r="A11" s="13" t="s">
        <v>13</v>
      </c>
      <c r="B11" s="14" t="s">
        <v>14</v>
      </c>
      <c r="C11" s="15">
        <f>'[10]Ercot Trading'!C11+'[10]Ercot Origination'!C11+'[10]Southeast Trading'!C11+'[10]Southeast Origination'!C11+'[10]Midwest Trading'!C11+'[10]Midwest Origination'!C11+'[10]Northeast Trading'!C11+'[10]Northeast Origination'!C11+'[10]Management Book'!C11+[10]Structuring_Fund!C11+[10]Services!C11+[10]Options!C11</f>
        <v>1536343.4600000002</v>
      </c>
      <c r="E11" s="15">
        <f>(C11/9)*12</f>
        <v>2048457.9466666668</v>
      </c>
      <c r="F11" s="15" t="e">
        <f>#REF!+#REF!+#REF!+#REF!</f>
        <v>#REF!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64</v>
      </c>
      <c r="M11" s="18">
        <f>K11*L11</f>
        <v>2027275.6416453896</v>
      </c>
      <c r="O11" s="15" t="e">
        <f t="shared" si="1"/>
        <v>#REF!</v>
      </c>
    </row>
    <row r="12" spans="1:45" x14ac:dyDescent="0.2">
      <c r="A12" s="13" t="s">
        <v>16</v>
      </c>
      <c r="B12" s="14" t="s">
        <v>17</v>
      </c>
      <c r="C12" s="15">
        <f>'[10]Ercot Trading'!C12+'[10]Ercot Origination'!C12+'[10]Southeast Trading'!C12+'[10]Southeast Origination'!C12+'[10]Midwest Trading'!C12+'[10]Midwest Origination'!C12+'[10]Northeast Trading'!C12+'[10]Northeast Origination'!C12+'[10]Management Book'!C12+[10]Structuring_Fund!C12+[10]Services!C12+[10]Options!C12</f>
        <v>556457.20000000007</v>
      </c>
      <c r="E12" s="20">
        <f t="shared" ref="E12:E22" si="2">(C12/9)*12*1.2</f>
        <v>890331.52</v>
      </c>
      <c r="F12" s="15" t="e">
        <f>#REF!+#REF!+#REF!+#REF!</f>
        <v>#REF!</v>
      </c>
      <c r="H12" s="16">
        <f t="shared" si="0"/>
        <v>4.3716893481034705E-2</v>
      </c>
      <c r="J12" s="7"/>
      <c r="K12" s="8"/>
      <c r="L12" s="8"/>
      <c r="M12" s="9"/>
      <c r="O12" s="15" t="e">
        <f t="shared" si="1"/>
        <v>#REF!</v>
      </c>
    </row>
    <row r="13" spans="1:45" ht="13.5" thickBot="1" x14ac:dyDescent="0.25">
      <c r="A13" s="13" t="s">
        <v>18</v>
      </c>
      <c r="B13" s="14" t="s">
        <v>19</v>
      </c>
      <c r="C13" s="15">
        <f>'[10]Ercot Trading'!C13+'[10]Ercot Origination'!C13+'[10]Southeast Trading'!C13+'[10]Southeast Origination'!C13+'[10]Midwest Trading'!C13+'[10]Midwest Origination'!C13+'[10]Northeast Trading'!C13+'[10]Northeast Origination'!C13+'[10]Management Book'!C13+[10]Structuring_Fund!C13+[10]Services!C13+[10]Options!C13</f>
        <v>1014365.41</v>
      </c>
      <c r="E13" s="20">
        <f t="shared" si="2"/>
        <v>1622984.656</v>
      </c>
      <c r="F13" s="15" t="e">
        <f>#REF!+#REF!+#REF!+#REF!</f>
        <v>#REF!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11300875.641645391</v>
      </c>
      <c r="O13" s="15" t="e">
        <f t="shared" si="1"/>
        <v>#REF!</v>
      </c>
    </row>
    <row r="14" spans="1:45" x14ac:dyDescent="0.2">
      <c r="A14" s="13" t="s">
        <v>21</v>
      </c>
      <c r="B14" s="14" t="s">
        <v>22</v>
      </c>
      <c r="C14" s="15">
        <f>'[10]Ercot Trading'!C14+'[10]Ercot Origination'!C14+'[10]Southeast Trading'!C14+'[10]Southeast Origination'!C14+'[10]Midwest Trading'!C14+'[10]Midwest Origination'!C14+'[10]Northeast Trading'!C14+'[10]Northeast Origination'!C14+'[10]Management Book'!C14+[10]Structuring_Fund!C14+[10]Services!C14+[10]Options!C14-C32</f>
        <v>0.38000000012107193</v>
      </c>
      <c r="E14" s="20">
        <f t="shared" si="2"/>
        <v>0.60800000019371503</v>
      </c>
      <c r="F14" s="15" t="e">
        <f>#REF!+#REF!+#REF!+#REF!</f>
        <v>#REF!</v>
      </c>
      <c r="H14" s="16">
        <f t="shared" si="0"/>
        <v>2.9853903459396468E-8</v>
      </c>
      <c r="N14" s="49"/>
      <c r="O14" s="15" t="e">
        <f t="shared" si="1"/>
        <v>#REF!</v>
      </c>
    </row>
    <row r="15" spans="1:45" x14ac:dyDescent="0.2">
      <c r="A15" s="13" t="s">
        <v>23</v>
      </c>
      <c r="B15" s="14" t="s">
        <v>24</v>
      </c>
      <c r="C15" s="15">
        <f>'[10]Ercot Trading'!C15+'[10]Ercot Origination'!C15+'[10]Southeast Trading'!C15+'[10]Southeast Origination'!C15+'[10]Midwest Trading'!C15+'[10]Midwest Origination'!C15+'[10]Northeast Trading'!C15+'[10]Northeast Origination'!C15+'[10]Management Book'!C15+[10]Structuring_Fund!C15+[10]Services!C15+[10]Options!C15</f>
        <v>93227.13</v>
      </c>
      <c r="E15" s="20">
        <f t="shared" si="2"/>
        <v>149163.408</v>
      </c>
      <c r="F15" s="15" t="e">
        <f>#REF!+#REF!+#REF!+#REF!</f>
        <v>#REF!</v>
      </c>
      <c r="H15" s="16">
        <f t="shared" si="0"/>
        <v>7.3241940471838168E-3</v>
      </c>
      <c r="K15" s="25"/>
      <c r="O15" s="15" t="e">
        <f t="shared" si="1"/>
        <v>#REF!</v>
      </c>
    </row>
    <row r="16" spans="1:45" x14ac:dyDescent="0.2">
      <c r="A16" s="13" t="s">
        <v>25</v>
      </c>
      <c r="B16" s="14" t="s">
        <v>26</v>
      </c>
      <c r="C16" s="15">
        <f>'[10]Ercot Trading'!C16+'[10]Ercot Origination'!C16+'[10]Southeast Trading'!C16+'[10]Southeast Origination'!C16+'[10]Midwest Trading'!C16+'[10]Midwest Origination'!C16+'[10]Northeast Trading'!C16+'[10]Northeast Origination'!C16+'[10]Management Book'!C16+[10]Structuring_Fund!C16+[10]Services!C16+[10]Options!C16</f>
        <v>0</v>
      </c>
      <c r="E16" s="20">
        <f t="shared" si="2"/>
        <v>0</v>
      </c>
      <c r="F16" s="15" t="e">
        <f>#REF!+#REF!+#REF!+#REF!</f>
        <v>#REF!</v>
      </c>
      <c r="H16" s="16">
        <f t="shared" si="0"/>
        <v>0</v>
      </c>
      <c r="J16" t="s">
        <v>27</v>
      </c>
      <c r="K16" s="25">
        <v>33600</v>
      </c>
      <c r="L16">
        <v>2</v>
      </c>
      <c r="M16" s="25">
        <f t="shared" ref="M16:M27" si="3">K16*L16</f>
        <v>67200</v>
      </c>
      <c r="O16" s="15" t="e">
        <f t="shared" si="1"/>
        <v>#REF!</v>
      </c>
    </row>
    <row r="17" spans="1:15" x14ac:dyDescent="0.2">
      <c r="A17" s="13" t="s">
        <v>28</v>
      </c>
      <c r="B17" s="14" t="s">
        <v>29</v>
      </c>
      <c r="C17" s="15">
        <f>'[10]Ercot Trading'!C17+'[10]Ercot Origination'!C17+'[10]Southeast Trading'!C17+'[10]Southeast Origination'!C17+'[10]Midwest Trading'!C17+'[10]Midwest Origination'!C17+'[10]Northeast Trading'!C17+'[10]Northeast Origination'!C17+'[10]Management Book'!C17+[10]Structuring_Fund!C17+[10]Services!C17+[10]Options!C17</f>
        <v>5300</v>
      </c>
      <c r="E17" s="20">
        <f t="shared" si="2"/>
        <v>8480</v>
      </c>
      <c r="F17" s="15" t="e">
        <f>#REF!+#REF!+#REF!+#REF!</f>
        <v>#REF!</v>
      </c>
      <c r="H17" s="16">
        <f t="shared" si="0"/>
        <v>4.1638339022207621E-4</v>
      </c>
      <c r="J17" t="s">
        <v>30</v>
      </c>
      <c r="K17" s="25">
        <v>52800</v>
      </c>
      <c r="L17">
        <v>2</v>
      </c>
      <c r="M17" s="25">
        <f t="shared" si="3"/>
        <v>105600</v>
      </c>
      <c r="O17" s="15" t="e">
        <f t="shared" si="1"/>
        <v>#REF!</v>
      </c>
    </row>
    <row r="18" spans="1:15" x14ac:dyDescent="0.2">
      <c r="A18" s="13" t="s">
        <v>31</v>
      </c>
      <c r="B18" s="14" t="s">
        <v>32</v>
      </c>
      <c r="C18" s="15">
        <f>'[10]Ercot Trading'!C18+'[10]Ercot Origination'!C18+'[10]Southeast Trading'!C18+'[10]Southeast Origination'!C18+'[10]Midwest Trading'!C18+'[10]Midwest Origination'!C18+'[10]Northeast Trading'!C18+'[10]Northeast Origination'!C18+'[10]Management Book'!C18+[10]Structuring_Fund!C18+[10]Services!C18+[10]Options!C18</f>
        <v>287.28999999999655</v>
      </c>
      <c r="E18" s="20">
        <f t="shared" si="2"/>
        <v>459.66399999999447</v>
      </c>
      <c r="F18" s="15" t="e">
        <f>#REF!+#REF!+#REF!+#REF!</f>
        <v>#REF!</v>
      </c>
      <c r="H18" s="16">
        <f t="shared" si="0"/>
        <v>2.2570336637150724E-5</v>
      </c>
      <c r="J18" t="s">
        <v>33</v>
      </c>
      <c r="K18" s="25">
        <v>54000</v>
      </c>
      <c r="L18">
        <f>1</f>
        <v>1</v>
      </c>
      <c r="M18" s="25">
        <f t="shared" si="3"/>
        <v>54000</v>
      </c>
      <c r="O18" s="15" t="e">
        <f t="shared" si="1"/>
        <v>#REF!</v>
      </c>
    </row>
    <row r="19" spans="1:15" x14ac:dyDescent="0.2">
      <c r="A19" s="13" t="s">
        <v>34</v>
      </c>
      <c r="B19" s="14" t="s">
        <v>35</v>
      </c>
      <c r="C19" s="15">
        <f>'[10]Ercot Trading'!C19+'[10]Ercot Origination'!C19+'[10]Southeast Trading'!C19+'[10]Southeast Origination'!C19+'[10]Midwest Trading'!C19+'[10]Midwest Origination'!C19+'[10]Northeast Trading'!C19+'[10]Northeast Origination'!C19+'[10]Management Book'!C19+[10]Structuring_Fund!C19+[10]Services!C19+[10]Options!C19</f>
        <v>487149.2</v>
      </c>
      <c r="E19" s="20">
        <f t="shared" si="2"/>
        <v>779438.72000000009</v>
      </c>
      <c r="F19" s="15" t="e">
        <f>#REF!+#REF!+#REF!+#REF!</f>
        <v>#REF!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3"/>
        <v>0</v>
      </c>
      <c r="O19" s="15" t="e">
        <f t="shared" si="1"/>
        <v>#REF!</v>
      </c>
    </row>
    <row r="20" spans="1:15" x14ac:dyDescent="0.2">
      <c r="A20" s="13" t="s">
        <v>37</v>
      </c>
      <c r="B20" s="14" t="s">
        <v>38</v>
      </c>
      <c r="C20" s="15">
        <f>'[10]Ercot Trading'!C20+'[10]Ercot Origination'!C20+'[10]Southeast Trading'!C20+'[10]Southeast Origination'!C20+'[10]Midwest Trading'!C20+'[10]Midwest Origination'!C20+'[10]Northeast Trading'!C20+'[10]Northeast Origination'!C20+'[10]Management Book'!C20+[10]Structuring_Fund!C20+[10]Services!C20+[10]Options!C20</f>
        <v>78.180000000000007</v>
      </c>
      <c r="E20" s="20">
        <f t="shared" si="2"/>
        <v>125.08800000000001</v>
      </c>
      <c r="F20" s="15" t="e">
        <f>#REF!+#REF!+#REF!+#REF!</f>
        <v>#REF!</v>
      </c>
      <c r="H20" s="16">
        <f t="shared" si="0"/>
        <v>6.1420478202947023E-6</v>
      </c>
      <c r="J20" t="s">
        <v>39</v>
      </c>
      <c r="K20" s="25">
        <v>78000</v>
      </c>
      <c r="L20">
        <f>6</f>
        <v>6</v>
      </c>
      <c r="M20" s="25">
        <f t="shared" si="3"/>
        <v>468000</v>
      </c>
      <c r="O20" s="15" t="e">
        <f t="shared" si="1"/>
        <v>#REF!</v>
      </c>
    </row>
    <row r="21" spans="1:15" x14ac:dyDescent="0.2">
      <c r="A21" s="13" t="s">
        <v>40</v>
      </c>
      <c r="B21" s="14" t="s">
        <v>41</v>
      </c>
      <c r="C21" s="15">
        <f>'[10]Ercot Trading'!C21+'[10]Ercot Origination'!C21+'[10]Southeast Trading'!C21+'[10]Southeast Origination'!C21+'[10]Midwest Trading'!C21+'[10]Midwest Origination'!C21+'[10]Northeast Trading'!C21+'[10]Northeast Origination'!C21+'[10]Management Book'!C21+[10]Structuring_Fund!C21+[10]Services!C21+[10]Options!C21</f>
        <v>633408.5</v>
      </c>
      <c r="E21" s="20">
        <f t="shared" si="2"/>
        <v>1013453.5999999999</v>
      </c>
      <c r="F21" s="15" t="e">
        <f>#REF!+#REF!+#REF!+#REF!</f>
        <v>#REF!</v>
      </c>
      <c r="H21" s="16">
        <f t="shared" si="0"/>
        <v>4.9762411061411306E-2</v>
      </c>
      <c r="J21" t="s">
        <v>42</v>
      </c>
      <c r="K21" s="25">
        <v>66000</v>
      </c>
      <c r="L21">
        <f>6</f>
        <v>6</v>
      </c>
      <c r="M21" s="25">
        <f t="shared" si="3"/>
        <v>396000</v>
      </c>
      <c r="O21" s="15" t="e">
        <f t="shared" si="1"/>
        <v>#REF!</v>
      </c>
    </row>
    <row r="22" spans="1:15" x14ac:dyDescent="0.2">
      <c r="A22" s="13" t="s">
        <v>43</v>
      </c>
      <c r="B22" s="14" t="s">
        <v>44</v>
      </c>
      <c r="C22" s="15">
        <f>'[10]Ercot Trading'!C22+'[10]Ercot Origination'!C22+'[10]Southeast Trading'!C22+'[10]Southeast Origination'!C22+'[10]Midwest Trading'!C22+'[10]Midwest Origination'!C22+'[10]Northeast Trading'!C22+'[10]Northeast Origination'!C22+'[10]Management Book'!C22+[10]Structuring_Fund!C22+[10]Services!C22+[10]Options!C22</f>
        <v>1190.24</v>
      </c>
      <c r="E22" s="20">
        <f t="shared" si="2"/>
        <v>1904.384</v>
      </c>
      <c r="F22" s="15" t="e">
        <f>#REF!+#REF!+#REF!+#REF!</f>
        <v>#REF!</v>
      </c>
      <c r="H22" s="16">
        <f t="shared" si="0"/>
        <v>9.350871063734415E-5</v>
      </c>
      <c r="J22" t="s">
        <v>45</v>
      </c>
      <c r="K22" s="25">
        <v>97200</v>
      </c>
      <c r="L22">
        <f>10+1</f>
        <v>11</v>
      </c>
      <c r="M22" s="25">
        <f t="shared" si="3"/>
        <v>1069200</v>
      </c>
      <c r="O22" s="15" t="e">
        <f t="shared" si="1"/>
        <v>#REF!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 t="e">
        <f>SUM(F8:F22)</f>
        <v>#REF!</v>
      </c>
      <c r="H23" s="30">
        <f>SUM(H8:H22)</f>
        <v>1</v>
      </c>
      <c r="J23" t="s">
        <v>48</v>
      </c>
      <c r="K23" s="25">
        <v>120000</v>
      </c>
      <c r="L23">
        <f>11+4</f>
        <v>15</v>
      </c>
      <c r="M23" s="25">
        <f t="shared" si="3"/>
        <v>1800000</v>
      </c>
      <c r="O23" s="58" t="e">
        <f>SUM(O8:O22)</f>
        <v>#REF!</v>
      </c>
    </row>
    <row r="24" spans="1:15" x14ac:dyDescent="0.2">
      <c r="J24" t="s">
        <v>49</v>
      </c>
      <c r="K24" s="25">
        <v>156000</v>
      </c>
      <c r="L24">
        <f>2+4+7</f>
        <v>13</v>
      </c>
      <c r="M24" s="25">
        <f t="shared" si="3"/>
        <v>2028000</v>
      </c>
    </row>
    <row r="25" spans="1:15" x14ac:dyDescent="0.2">
      <c r="B25" s="27" t="s">
        <v>50</v>
      </c>
      <c r="C25" s="15"/>
      <c r="E25" s="31">
        <f>'[10]Ercot Trading'!E25+'[10]Ercot Origination'!E25+'[10]Southeast Trading'!E25+'[10]Southeast Origination'!E25+'[10]Midwest Trading'!E25+'[10]Midwest Origination'!E25+'[10]Northeast Trading'!E25+'[10]Northeast Origination'!E25+'[10]Management Book'!E25+[10]Structuring_Fund!E25+[10]Services!E25+[10]Options!E25</f>
        <v>91</v>
      </c>
      <c r="F25" s="15" t="e">
        <f>#REF!+#REF!+#REF!+#REF!</f>
        <v>#REF!</v>
      </c>
      <c r="J25" t="s">
        <v>51</v>
      </c>
      <c r="K25" s="25">
        <v>180000</v>
      </c>
      <c r="L25">
        <f>1</f>
        <v>1</v>
      </c>
      <c r="M25" s="25">
        <f t="shared" si="3"/>
        <v>180000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52</v>
      </c>
      <c r="K26" s="25">
        <v>216000</v>
      </c>
      <c r="L26">
        <f>4+1</f>
        <v>5</v>
      </c>
      <c r="M26" s="25">
        <f t="shared" si="3"/>
        <v>1080000</v>
      </c>
      <c r="O26" s="15"/>
    </row>
    <row r="27" spans="1:15" x14ac:dyDescent="0.2">
      <c r="B27" s="27" t="s">
        <v>53</v>
      </c>
      <c r="C27" s="15"/>
      <c r="E27" s="31">
        <f>'[10]Ercot Trading'!E27+'[10]Ercot Origination'!E27+'[10]Southeast Trading'!E27+'[10]Southeast Origination'!E27+'[10]Midwest Trading'!E27+'[10]Midwest Origination'!E27+'[10]Northeast Trading'!E27+'[10]Northeast Origination'!E27+'[10]Management Book'!E27+[10]Structuring_Fund!E27+[10]Services!E27+[10]Options!E27</f>
        <v>50</v>
      </c>
      <c r="F27" s="15" t="e">
        <f>#REF!+#REF!+#REF!+#REF!</f>
        <v>#REF!</v>
      </c>
      <c r="J27" t="s">
        <v>54</v>
      </c>
      <c r="K27" s="25">
        <v>240000</v>
      </c>
      <c r="L27">
        <v>2</v>
      </c>
      <c r="M27" s="25">
        <f t="shared" si="3"/>
        <v>480000</v>
      </c>
      <c r="O27" s="31">
        <f>SUM(U21:U22)</f>
        <v>0</v>
      </c>
    </row>
    <row r="28" spans="1:15" x14ac:dyDescent="0.2">
      <c r="B28" s="27"/>
      <c r="L28">
        <f>SUM(L16:L27)</f>
        <v>64</v>
      </c>
      <c r="M28" s="25">
        <f>SUM(M16:M27)</f>
        <v>7728000</v>
      </c>
    </row>
    <row r="29" spans="1:15" x14ac:dyDescent="0.2">
      <c r="B29" s="27" t="s">
        <v>55</v>
      </c>
      <c r="E29" s="59">
        <f>SUM(E25:E27)</f>
        <v>141</v>
      </c>
      <c r="F29" s="31" t="e">
        <f>SUM(F25:F27)</f>
        <v>#REF!</v>
      </c>
      <c r="H29" s="25"/>
      <c r="O29" s="31">
        <v>1</v>
      </c>
    </row>
    <row r="31" spans="1:15" x14ac:dyDescent="0.2">
      <c r="I31" s="33" t="s">
        <v>56</v>
      </c>
      <c r="J31" s="25"/>
      <c r="K31" s="25"/>
      <c r="L31" s="25"/>
    </row>
    <row r="32" spans="1:15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64</v>
      </c>
      <c r="M34" s="37">
        <f>+K34*L34</f>
        <v>2027275.6416453896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R39"/>
  <sheetViews>
    <sheetView zoomScaleNormal="100" workbookViewId="0">
      <selection activeCell="P155" sqref="P155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710937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85546875" customWidth="1"/>
    <col min="14" max="14" width="16.85546875" customWidth="1"/>
    <col min="15" max="15" width="17.7109375" customWidth="1"/>
    <col min="16" max="16" width="10.28515625" customWidth="1"/>
    <col min="17" max="17" width="10.7109375" customWidth="1"/>
  </cols>
  <sheetData>
    <row r="1" spans="1:44" ht="18" x14ac:dyDescent="0.2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2" t="s">
        <v>252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'[11]Central Trading'!C8+'[11]Central Origination'!C8+[11]Derivatives!C8+'[11]East Trading'!C8+'[11]East Origination'!C8+'[11]Financial Gas'!C8+[11]Structuring!C8+'[11]Texas Trading'!C8+'[11]Texas Origination'!C8+'[11]West Trading'!C8+'[11]West Origination'!C8+[11]Fundamentals!C8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707124</v>
      </c>
      <c r="I8" s="42" t="s">
        <v>10</v>
      </c>
      <c r="J8" s="17">
        <v>0</v>
      </c>
      <c r="K8" s="17"/>
      <c r="L8" s="43">
        <f>L30</f>
        <v>985248</v>
      </c>
      <c r="M8" s="49"/>
      <c r="Q8" s="15"/>
    </row>
    <row r="9" spans="1:44" hidden="1" x14ac:dyDescent="0.2">
      <c r="A9" s="13"/>
      <c r="B9" s="14" t="s">
        <v>11</v>
      </c>
      <c r="C9" s="15">
        <f>'[11]Central Trading'!C9+'[11]Central Origination'!C9+[11]Derivatives!C9+'[11]East Trading'!C9+'[11]East Origination'!C9+'[11]Financial Gas'!C9+[11]Structuring!C9+'[11]Texas Trading'!C9+'[11]Texas Origination'!C9+'[11]West Trading'!C9+'[11]West Origination'!C9+[11]Fundamentals!C9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'[11]Central Trading'!C10+'[11]Central Origination'!C10+[11]Derivatives!C10+'[11]East Trading'!C10+'[11]East Origination'!C10+'[11]Financial Gas'!C10+[11]Structuring!C10+'[11]Texas Trading'!C10+'[11]Texas Origination'!C10+'[11]West Trading'!C10+'[11]West Origination'!C10+[11]Fundamentals!C10</f>
        <v>3095252.76</v>
      </c>
      <c r="D10" s="15"/>
      <c r="E10" s="15">
        <f>('[11]Central Trading'!E9+'[11]Central Origination'!E10+[11]Derivatives!E10+'[11]East Trading'!E10+'[11]East Origination'!E10+'[11]Financial Gas'!E10+[11]Structuring!E10+'[11]Texas Trading'!E10+'[11]Texas Origination'!E10+'[11]West Trading'!E10+'[11]West Origination'!E10+[11]Fundamentals!E10)-4000000</f>
        <v>82420.999999999534</v>
      </c>
      <c r="G10" s="45">
        <f t="shared" si="0"/>
        <v>3.7797619139155266E-3</v>
      </c>
      <c r="H10" s="15">
        <v>196020</v>
      </c>
      <c r="I10" s="42"/>
      <c r="J10" s="17"/>
      <c r="K10" s="17"/>
      <c r="L10" s="43"/>
      <c r="M10" s="49"/>
      <c r="N10" s="123"/>
      <c r="O10" s="123"/>
      <c r="P10" s="123"/>
      <c r="Q10" s="15"/>
    </row>
    <row r="11" spans="1:44" x14ac:dyDescent="0.2">
      <c r="A11" s="13" t="s">
        <v>13</v>
      </c>
      <c r="B11" s="14" t="s">
        <v>14</v>
      </c>
      <c r="C11" s="15">
        <f>'[11]Central Trading'!C11+'[11]Central Origination'!C11+[11]Derivatives!C11+'[11]East Trading'!C11+'[11]East Origination'!C11+'[11]Financial Gas'!C11+[11]Structuring!C11+'[11]Texas Trading'!C11+'[11]Texas Origination'!C11+'[11]West Trading'!C11+'[11]West Origination'!C11+[11]Fundamentals!C11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v>180628.8</v>
      </c>
      <c r="I11" s="42" t="s">
        <v>15</v>
      </c>
      <c r="J11" s="17">
        <f>(E12+E13+E14+E15+E16+E17+E18+E19+E20+E21+E22)/E29</f>
        <v>48270.181250000009</v>
      </c>
      <c r="K11" s="17">
        <f>K28</f>
        <v>5</v>
      </c>
      <c r="L11" s="43">
        <f>J11*K11</f>
        <v>241350.90625000006</v>
      </c>
      <c r="M11" s="49"/>
      <c r="N11" s="123"/>
      <c r="O11" s="123"/>
      <c r="P11" s="123"/>
      <c r="Q11" s="15"/>
    </row>
    <row r="12" spans="1:44" x14ac:dyDescent="0.2">
      <c r="A12" s="13" t="s">
        <v>16</v>
      </c>
      <c r="B12" s="14" t="s">
        <v>17</v>
      </c>
      <c r="C12" s="15">
        <f>'[11]Central Trading'!C12+'[11]Central Origination'!C12+[11]Derivatives!C12+'[11]East Trading'!C12+'[11]East Origination'!C12+'[11]Financial Gas'!C12+[11]Structuring!C12+'[11]Texas Trading'!C12+'[11]Texas Origination'!C12+'[11]West Trading'!C12+'[11]West Origination'!C12+[11]Fundamentals!C12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38500</v>
      </c>
      <c r="I12" s="42"/>
      <c r="J12" s="17"/>
      <c r="K12" s="17"/>
      <c r="L12" s="43"/>
      <c r="M12" s="49">
        <v>1.2</v>
      </c>
      <c r="N12" s="123"/>
      <c r="O12" s="123"/>
      <c r="P12" s="123"/>
      <c r="Q12" s="15"/>
    </row>
    <row r="13" spans="1:44" ht="13.5" thickBot="1" x14ac:dyDescent="0.25">
      <c r="A13" s="13" t="s">
        <v>18</v>
      </c>
      <c r="B13" s="14" t="s">
        <v>19</v>
      </c>
      <c r="C13" s="15">
        <f>'[11]Central Trading'!C13+'[11]Central Origination'!C13+[11]Derivatives!C13+'[11]East Trading'!C13+'[11]East Origination'!C13+'[11]Financial Gas'!C13+[11]Structuring!C13+'[11]Texas Trading'!C13+'[11]Texas Origination'!C13+'[11]West Trading'!C13+'[11]West Origination'!C13+[11]Fundamentals!C13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38500</v>
      </c>
      <c r="I13" s="46" t="s">
        <v>20</v>
      </c>
      <c r="J13" s="47"/>
      <c r="K13" s="47"/>
      <c r="L13" s="48">
        <f>L8+L11</f>
        <v>1226598.90625</v>
      </c>
      <c r="M13" s="49">
        <v>1.1000000000000001</v>
      </c>
      <c r="N13" s="123"/>
      <c r="O13" s="123"/>
      <c r="P13" s="123"/>
      <c r="Q13" s="15"/>
    </row>
    <row r="14" spans="1:44" x14ac:dyDescent="0.2">
      <c r="A14" s="13" t="s">
        <v>21</v>
      </c>
      <c r="B14" s="14" t="s">
        <v>22</v>
      </c>
      <c r="C14" s="15">
        <f>'[11]Central Trading'!C14+'[11]Central Origination'!C14+[11]Derivatives!C14+'[11]East Trading'!C14+'[11]East Origination'!C14+'[11]Financial Gas'!C14+[11]Structuring!C14+'[11]Texas Trading'!C14+'[11]Texas Origination'!C14+'[11]West Trading'!C14+'[11]West Origination'!C14+[11]Fundamentals!C14-C32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5500</v>
      </c>
      <c r="M14" s="49"/>
      <c r="N14" s="123"/>
      <c r="O14" s="123"/>
      <c r="P14" s="123"/>
      <c r="Q14" s="15"/>
    </row>
    <row r="15" spans="1:44" x14ac:dyDescent="0.2">
      <c r="A15" s="13" t="s">
        <v>23</v>
      </c>
      <c r="B15" s="14" t="s">
        <v>24</v>
      </c>
      <c r="C15" s="15">
        <f>'[11]Central Trading'!C15+'[11]Central Origination'!C15+[11]Derivatives!C15+'[11]East Trading'!C15+'[11]East Origination'!C15+'[11]Financial Gas'!C15+[11]Structuring!C15+'[11]Texas Trading'!C15+'[11]Texas Origination'!C15+'[11]West Trading'!C15+'[11]West Origination'!C15+[11]Fundamentals!C15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22000</v>
      </c>
      <c r="M15" s="49"/>
      <c r="Q15" s="15"/>
    </row>
    <row r="16" spans="1:44" x14ac:dyDescent="0.2">
      <c r="A16" s="13" t="s">
        <v>25</v>
      </c>
      <c r="B16" s="14" t="s">
        <v>26</v>
      </c>
      <c r="C16" s="15">
        <f>'[11]Central Trading'!C16+'[11]Central Origination'!C16+[11]Derivatives!C16+'[11]East Trading'!C16+'[11]East Origination'!C16+'[11]Financial Gas'!C16+[11]Structuring!C16+'[11]Texas Trading'!C16+'[11]Texas Origination'!C16+'[11]West Trading'!C16+'[11]West Origination'!C16+[11]Fundamentals!C16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M16" s="49"/>
      <c r="Q16" s="15"/>
    </row>
    <row r="17" spans="1:17" x14ac:dyDescent="0.2">
      <c r="A17" s="13" t="s">
        <v>28</v>
      </c>
      <c r="B17" s="14" t="s">
        <v>29</v>
      </c>
      <c r="C17" s="15">
        <f>'[11]Central Trading'!C17+'[11]Central Origination'!C17+[11]Derivatives!C17+'[11]East Trading'!C17+'[11]East Origination'!C17+'[11]Financial Gas'!C17+[11]Structuring!C17+'[11]Texas Trading'!C17+'[11]Texas Origination'!C17+'[11]West Trading'!C17+'[11]West Origination'!C17+[11]Fundamentals!C17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270.41666666666669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M17" s="49"/>
      <c r="Q17" s="15"/>
    </row>
    <row r="18" spans="1:17" x14ac:dyDescent="0.2">
      <c r="A18" s="13" t="s">
        <v>31</v>
      </c>
      <c r="B18" s="14" t="s">
        <v>32</v>
      </c>
      <c r="C18" s="15">
        <f>'[11]Central Trading'!C18+'[11]Central Origination'!C18+[11]Derivatives!C18+'[11]East Trading'!C18+'[11]East Origination'!C18+'[11]Financial Gas'!C18+[11]Structuring!C18+'[11]Texas Trading'!C18+'[11]Texas Origination'!C18+'[11]West Trading'!C18+'[11]West Origination'!C18+[11]Fundamentals!C18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-0.23283333333274639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M18" s="49"/>
      <c r="Q18" s="15"/>
    </row>
    <row r="19" spans="1:17" x14ac:dyDescent="0.2">
      <c r="A19" s="13" t="s">
        <v>34</v>
      </c>
      <c r="B19" s="14" t="s">
        <v>35</v>
      </c>
      <c r="C19" s="15">
        <f>'[11]Central Trading'!C19+'[11]Central Origination'!C19+[11]Derivatives!C19+'[11]East Trading'!C19+'[11]East Origination'!C19+'[11]Financial Gas'!C19+[11]Structuring!C19+'[11]Texas Trading'!C19+'[11]Texas Origination'!C19+'[11]West Trading'!C19+'[11]West Origination'!C19+[11]Fundamentals!C19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5005.4730000000009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M19" s="49"/>
      <c r="Q19" s="15"/>
    </row>
    <row r="20" spans="1:17" x14ac:dyDescent="0.2">
      <c r="A20" s="13" t="s">
        <v>37</v>
      </c>
      <c r="B20" s="14" t="s">
        <v>38</v>
      </c>
      <c r="C20" s="15">
        <f>'[11]Central Trading'!C20+'[11]Central Origination'!C20+[11]Derivatives!C20+'[11]East Trading'!C20+'[11]East Origination'!C20+'[11]Financial Gas'!C20+[11]Structuring!C20+'[11]Texas Trading'!C20+'[11]Texas Origination'!C20+'[11]West Trading'!C20+'[11]West Origination'!C20+[11]Fundamentals!C20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0.7333333333333335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M20" s="49"/>
      <c r="Q20" s="15"/>
    </row>
    <row r="21" spans="1:17" x14ac:dyDescent="0.2">
      <c r="A21" s="13" t="s">
        <v>40</v>
      </c>
      <c r="B21" s="14" t="s">
        <v>41</v>
      </c>
      <c r="C21" s="15">
        <f>'[11]Central Trading'!C21+'[11]Central Origination'!C21+[11]Derivatives!C21+'[11]East Trading'!C21+'[11]East Origination'!C21+'[11]Financial Gas'!C21+[11]Structuring!C21+'[11]Texas Trading'!C21+'[11]Texas Origination'!C21+'[11]West Trading'!C21+'[11]West Origination'!C21+[11]Fundamentals!C21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6600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M21" s="49"/>
      <c r="P21" s="8"/>
      <c r="Q21" s="32"/>
    </row>
    <row r="22" spans="1:17" x14ac:dyDescent="0.2">
      <c r="A22" s="13" t="s">
        <v>43</v>
      </c>
      <c r="B22" s="14" t="s">
        <v>44</v>
      </c>
      <c r="C22" s="15">
        <f>'[11]Central Trading'!C22+'[11]Central Origination'!C22+[11]Derivatives!C22+'[11]East Trading'!C22+'[11]East Origination'!C22+'[11]Financial Gas'!C22+[11]Structuring!C22+'[11]Texas Trading'!C22+'[11]Texas Origination'!C22+'[11]West Trading'!C22+'[11]West Origination'!C22+[11]Fundamentals!C22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2</v>
      </c>
      <c r="L22" s="25">
        <f t="shared" si="1"/>
        <v>178200</v>
      </c>
      <c r="M22" s="49"/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1200149.1901666669</v>
      </c>
      <c r="I23" s="25" t="s">
        <v>48</v>
      </c>
      <c r="J23" s="25">
        <v>110000</v>
      </c>
      <c r="K23" s="25">
        <v>1</v>
      </c>
      <c r="L23" s="25">
        <f t="shared" si="1"/>
        <v>110000</v>
      </c>
      <c r="M23" s="29"/>
      <c r="P23" s="8"/>
      <c r="Q23" s="29"/>
    </row>
    <row r="24" spans="1:17" x14ac:dyDescent="0.2">
      <c r="I24" s="25" t="s">
        <v>49</v>
      </c>
      <c r="J24" s="25">
        <v>143000</v>
      </c>
      <c r="K24" s="25">
        <v>0</v>
      </c>
      <c r="L24" s="25">
        <f t="shared" si="1"/>
        <v>0</v>
      </c>
      <c r="P24" s="8"/>
      <c r="Q24" s="8"/>
    </row>
    <row r="25" spans="1:17" x14ac:dyDescent="0.2">
      <c r="B25" s="27" t="s">
        <v>50</v>
      </c>
      <c r="C25" s="15"/>
      <c r="E25" s="31">
        <f>'[11]Central Trading'!E25+'[11]Central Origination'!E25+[11]Derivatives!E25+'[11]East Trading'!E25+'[11]East Origination'!E25+'[11]Financial Gas'!E25+[11]Structuring!E25+'[11]Texas Trading'!E25+'[11]Texas Origination'!E25+'[11]West Trading'!E25+'[11]West Origination'!E25+[11]Fundamentals!E25</f>
        <v>108</v>
      </c>
      <c r="H25" s="31">
        <f>+K16+K17+K18+K19+K20+K23+K24+K25+K26+K27</f>
        <v>3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1"/>
        <v>396000</v>
      </c>
      <c r="P26" s="8"/>
      <c r="Q26" s="32"/>
    </row>
    <row r="27" spans="1:17" x14ac:dyDescent="0.2">
      <c r="B27" s="27" t="s">
        <v>67</v>
      </c>
      <c r="C27" s="15"/>
      <c r="E27" s="31">
        <f>'[11]Central Trading'!E27+'[11]Central Origination'!E27+[11]Derivatives!E27+'[11]East Trading'!E27+'[11]East Origination'!E27+'[11]Financial Gas'!E27+[11]Structuring!E27+'[11]Texas Trading'!E27+'[11]Texas Origination'!E27+'[11]West Trading'!E27+'[11]West Origination'!E27+[11]Fundamentals!E27</f>
        <v>52</v>
      </c>
      <c r="H27" s="31">
        <f>+K21+K22</f>
        <v>2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">
      <c r="K28" s="25">
        <f>SUM(K16:K27)</f>
        <v>5</v>
      </c>
      <c r="L28" s="25">
        <f>SUM(L16:L27)*1.2</f>
        <v>821040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5</v>
      </c>
      <c r="L29" s="52">
        <v>0.2</v>
      </c>
      <c r="P29" s="8"/>
      <c r="Q29" s="32"/>
    </row>
    <row r="30" spans="1:17" hidden="1" x14ac:dyDescent="0.2">
      <c r="L30" s="25">
        <f>L28*1.2</f>
        <v>985248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5</v>
      </c>
      <c r="L34" s="37">
        <f>+J34*K34</f>
        <v>241350.90625000006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AP39"/>
  <sheetViews>
    <sheetView zoomScale="80" zoomScaleNormal="100" workbookViewId="0">
      <selection activeCell="P155" sqref="P155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5" max="15" width="10.7109375" customWidth="1"/>
  </cols>
  <sheetData>
    <row r="1" spans="1:42" ht="18" x14ac:dyDescent="0.25">
      <c r="B1" s="142" t="str">
        <f>'[13]Team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18" x14ac:dyDescent="0.25">
      <c r="B2" s="142" t="s">
        <v>266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18.75" thickBot="1" x14ac:dyDescent="0.3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x14ac:dyDescent="0.2">
      <c r="I4" s="39"/>
      <c r="J4" s="40"/>
      <c r="K4" s="40"/>
      <c r="L4" s="41"/>
    </row>
    <row r="5" spans="1:42" x14ac:dyDescent="0.2">
      <c r="I5" s="42"/>
      <c r="J5" s="17" t="s">
        <v>1</v>
      </c>
      <c r="K5" s="17" t="s">
        <v>2</v>
      </c>
      <c r="L5" s="43" t="s">
        <v>3</v>
      </c>
    </row>
    <row r="6" spans="1:42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O6" s="44"/>
    </row>
    <row r="7" spans="1:42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O7" s="12"/>
    </row>
    <row r="8" spans="1:42" x14ac:dyDescent="0.2">
      <c r="A8" s="13" t="s">
        <v>9</v>
      </c>
      <c r="B8" s="14" t="s">
        <v>10</v>
      </c>
      <c r="C8" s="15">
        <f>'[14]Central Trading'!C8+'[14]Central Origination'!C8+[14]Derivatives!C8+'[14]East Trading'!C8+'[14]East Origination'!C8+'[14]Financial Gas'!C8+[14]Structuring!C8+'[14]Texas Trading'!C8+'[14]Texas Origination'!C8+'[14]West Trading'!C8+'[14]West Origination'!C8+[14]Fundamentals!C8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1127500</v>
      </c>
      <c r="I8" s="42" t="s">
        <v>10</v>
      </c>
      <c r="J8" s="17">
        <v>0</v>
      </c>
      <c r="K8" s="17"/>
      <c r="L8" s="43">
        <f>L30</f>
        <v>1512720</v>
      </c>
      <c r="O8" s="15"/>
    </row>
    <row r="9" spans="1:42" hidden="1" x14ac:dyDescent="0.2">
      <c r="A9" s="13"/>
      <c r="B9" s="14" t="s">
        <v>11</v>
      </c>
      <c r="C9" s="15">
        <f>'[14]Central Trading'!C9+'[14]Central Origination'!C9+[14]Derivatives!C9+'[14]East Trading'!C9+'[14]East Origination'!C9+'[14]Financial Gas'!C9+[14]Structuring!C9+'[14]Texas Trading'!C9+'[14]Texas Origination'!C9+'[14]West Trading'!C9+'[14]West Origination'!C9+[14]Fundamentals!C9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O9" s="15"/>
    </row>
    <row r="10" spans="1:42" x14ac:dyDescent="0.2">
      <c r="A10" s="13"/>
      <c r="B10" s="14" t="s">
        <v>65</v>
      </c>
      <c r="C10" s="15">
        <f>'[14]Central Trading'!C10+'[14]Central Origination'!C10+[14]Derivatives!C10+'[14]East Trading'!C10+'[14]East Origination'!C10+'[14]Financial Gas'!C10+[14]Structuring!C10+'[14]Texas Trading'!C10+'[14]Texas Origination'!C10+'[14]West Trading'!C10+'[14]West Origination'!C10+[14]Fundamentals!C10</f>
        <v>3095252.76</v>
      </c>
      <c r="D10" s="15"/>
      <c r="E10" s="15">
        <f>('[14]Central Trading'!E9+'[14]Central Origination'!E10+[14]Derivatives!E10+'[14]East Trading'!E10+'[14]East Origination'!E10+'[14]Financial Gas'!E10+[14]Structuring!E10+'[14]Texas Trading'!E10+'[14]Texas Origination'!E10+'[14]West Trading'!E10+'[14]West Origination'!E10+[14]Fundamentals!E10)-4000000</f>
        <v>82420.999999999534</v>
      </c>
      <c r="G10" s="45">
        <f t="shared" si="0"/>
        <v>3.7797619139155266E-3</v>
      </c>
      <c r="H10" s="15">
        <v>82500</v>
      </c>
      <c r="I10" s="42"/>
      <c r="J10" s="17"/>
      <c r="K10" s="17"/>
      <c r="L10" s="43"/>
      <c r="O10" s="15"/>
    </row>
    <row r="11" spans="1:42" x14ac:dyDescent="0.2">
      <c r="A11" s="13" t="s">
        <v>13</v>
      </c>
      <c r="B11" s="14" t="s">
        <v>14</v>
      </c>
      <c r="C11" s="15">
        <f>'[14]Central Trading'!C11+'[14]Central Origination'!C11+[14]Derivatives!C11+'[14]East Trading'!C11+'[14]East Origination'!C11+'[14]Financial Gas'!C11+[14]Structuring!C11+'[14]Texas Trading'!C11+'[14]Texas Origination'!C11+'[14]West Trading'!C11+'[14]West Origination'!C11+[14]Fundamentals!C11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v>242000</v>
      </c>
      <c r="I11" s="42" t="s">
        <v>15</v>
      </c>
      <c r="J11" s="17">
        <f>(E12+E13+E14+E15+E16+E17+E18+E19+E20+E21+E22)/E29</f>
        <v>48270.181250000009</v>
      </c>
      <c r="K11" s="17">
        <f>K28</f>
        <v>8</v>
      </c>
      <c r="L11" s="43">
        <f>J11*K11</f>
        <v>386161.45000000007</v>
      </c>
      <c r="O11" s="15"/>
    </row>
    <row r="12" spans="1:42" x14ac:dyDescent="0.2">
      <c r="A12" s="13" t="s">
        <v>16</v>
      </c>
      <c r="B12" s="14" t="s">
        <v>17</v>
      </c>
      <c r="C12" s="15">
        <f>'[14]Central Trading'!C12+'[14]Central Origination'!C12+[14]Derivatives!C12+'[14]East Trading'!C12+'[14]East Origination'!C12+'[14]Financial Gas'!C12+[14]Structuring!C12+'[14]Texas Trading'!C12+'[14]Texas Origination'!C12+'[14]West Trading'!C12+'[14]West Origination'!C12+[14]Fundamentals!C12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27500</v>
      </c>
      <c r="I12" s="42"/>
      <c r="J12" s="17"/>
      <c r="K12" s="17"/>
      <c r="L12" s="43"/>
      <c r="O12" s="15"/>
    </row>
    <row r="13" spans="1:42" ht="13.5" thickBot="1" x14ac:dyDescent="0.25">
      <c r="A13" s="13" t="s">
        <v>18</v>
      </c>
      <c r="B13" s="14" t="s">
        <v>19</v>
      </c>
      <c r="C13" s="15">
        <f>'[14]Central Trading'!C13+'[14]Central Origination'!C13+[14]Derivatives!C13+'[14]East Trading'!C13+'[14]East Origination'!C13+'[14]Financial Gas'!C13+[14]Structuring!C13+'[14]Texas Trading'!C13+'[14]Texas Origination'!C13+'[14]West Trading'!C13+'[14]West Origination'!C13+[14]Fundamentals!C13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27500</v>
      </c>
      <c r="I13" s="46" t="s">
        <v>20</v>
      </c>
      <c r="J13" s="47"/>
      <c r="K13" s="47"/>
      <c r="L13" s="48">
        <f>L8+L11</f>
        <v>1898881.4500000002</v>
      </c>
      <c r="O13" s="15"/>
    </row>
    <row r="14" spans="1:42" x14ac:dyDescent="0.2">
      <c r="A14" s="13" t="s">
        <v>21</v>
      </c>
      <c r="B14" s="14" t="s">
        <v>22</v>
      </c>
      <c r="C14" s="15">
        <f>'[14]Central Trading'!C14+'[14]Central Origination'!C14+[14]Derivatives!C14+'[14]East Trading'!C14+'[14]East Origination'!C14+'[14]Financial Gas'!C14+[14]Structuring!C14+'[14]Texas Trading'!C14+'[14]Texas Origination'!C14+'[14]West Trading'!C14+'[14]West Origination'!C14+[14]Fundamentals!C14-C32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O14" s="15"/>
    </row>
    <row r="15" spans="1:42" x14ac:dyDescent="0.2">
      <c r="A15" s="13" t="s">
        <v>23</v>
      </c>
      <c r="B15" s="14" t="s">
        <v>24</v>
      </c>
      <c r="C15" s="15">
        <f>'[14]Central Trading'!C15+'[14]Central Origination'!C15+[14]Derivatives!C15+'[14]East Trading'!C15+'[14]East Origination'!C15+'[14]Financial Gas'!C15+[14]Structuring!C15+'[14]Texas Trading'!C15+'[14]Texas Origination'!C15+'[14]West Trading'!C15+'[14]West Origination'!C15+[14]Fundamentals!C15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22000</v>
      </c>
      <c r="O15" s="15"/>
    </row>
    <row r="16" spans="1:42" x14ac:dyDescent="0.2">
      <c r="A16" s="13" t="s">
        <v>25</v>
      </c>
      <c r="B16" s="14" t="s">
        <v>26</v>
      </c>
      <c r="C16" s="15">
        <f>'[14]Central Trading'!C16+'[14]Central Origination'!C16+[14]Derivatives!C16+'[14]East Trading'!C16+'[14]East Origination'!C16+'[14]Financial Gas'!C16+[14]Structuring!C16+'[14]Texas Trading'!C16+'[14]Texas Origination'!C16+'[14]West Trading'!C16+'[14]West Origination'!C16+[14]Fundamentals!C16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O16" s="15"/>
    </row>
    <row r="17" spans="1:15" x14ac:dyDescent="0.2">
      <c r="A17" s="13" t="s">
        <v>28</v>
      </c>
      <c r="B17" s="14" t="s">
        <v>29</v>
      </c>
      <c r="C17" s="15">
        <f>'[14]Central Trading'!C17+'[14]Central Origination'!C17+[14]Derivatives!C17+'[14]East Trading'!C17+'[14]East Origination'!C17+'[14]Financial Gas'!C17+[14]Structuring!C17+'[14]Texas Trading'!C17+'[14]Texas Origination'!C17+'[14]West Trading'!C17+'[14]West Origination'!C17+[14]Fundamentals!C17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550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O17" s="15"/>
    </row>
    <row r="18" spans="1:15" x14ac:dyDescent="0.2">
      <c r="A18" s="13" t="s">
        <v>31</v>
      </c>
      <c r="B18" s="14" t="s">
        <v>32</v>
      </c>
      <c r="C18" s="15">
        <f>'[14]Central Trading'!C18+'[14]Central Origination'!C18+[14]Derivatives!C18+'[14]East Trading'!C18+'[14]East Origination'!C18+'[14]Financial Gas'!C18+[14]Structuring!C18+'[14]Texas Trading'!C18+'[14]Texas Origination'!C18+'[14]West Trading'!C18+'[14]West Origination'!C18+[14]Fundamentals!C18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O18" s="15"/>
    </row>
    <row r="19" spans="1:15" x14ac:dyDescent="0.2">
      <c r="A19" s="13" t="s">
        <v>34</v>
      </c>
      <c r="B19" s="14" t="s">
        <v>35</v>
      </c>
      <c r="C19" s="15">
        <f>'[14]Central Trading'!C19+'[14]Central Origination'!C19+[14]Derivatives!C19+'[14]East Trading'!C19+'[14]East Origination'!C19+'[14]Financial Gas'!C19+[14]Structuring!C19+'[14]Texas Trading'!C19+'[14]Texas Origination'!C19+'[14]West Trading'!C19+'[14]West Origination'!C19+[14]Fundamentals!C19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110000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O19" s="15"/>
    </row>
    <row r="20" spans="1:15" x14ac:dyDescent="0.2">
      <c r="A20" s="13" t="s">
        <v>37</v>
      </c>
      <c r="B20" s="14" t="s">
        <v>38</v>
      </c>
      <c r="C20" s="15">
        <f>'[14]Central Trading'!C20+'[14]Central Origination'!C20+[14]Derivatives!C20+'[14]East Trading'!C20+'[14]East Origination'!C20+'[14]Financial Gas'!C20+[14]Structuring!C20+'[14]Texas Trading'!C20+'[14]Texas Origination'!C20+'[14]West Trading'!C20+'[14]West Origination'!C20+[14]Fundamentals!C20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1.1000000000000001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O20" s="15"/>
    </row>
    <row r="21" spans="1:15" x14ac:dyDescent="0.2">
      <c r="A21" s="13" t="s">
        <v>40</v>
      </c>
      <c r="B21" s="14" t="s">
        <v>41</v>
      </c>
      <c r="C21" s="15">
        <f>'[14]Central Trading'!C21+'[14]Central Origination'!C21+[14]Derivatives!C21+'[14]East Trading'!C21+'[14]East Origination'!C21+'[14]Financial Gas'!C21+[14]Structuring!C21+'[14]Texas Trading'!C21+'[14]Texas Origination'!C21+'[14]West Trading'!C21+'[14]West Origination'!C21+[14]Fundamentals!C21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27500</v>
      </c>
      <c r="I21" s="25" t="s">
        <v>42</v>
      </c>
      <c r="J21" s="25">
        <v>60500</v>
      </c>
      <c r="K21" s="25">
        <v>1</v>
      </c>
      <c r="L21" s="25">
        <f t="shared" si="1"/>
        <v>60500</v>
      </c>
      <c r="O21" s="32"/>
    </row>
    <row r="22" spans="1:15" x14ac:dyDescent="0.2">
      <c r="A22" s="13" t="s">
        <v>43</v>
      </c>
      <c r="B22" s="14" t="s">
        <v>44</v>
      </c>
      <c r="C22" s="15">
        <f>'[14]Central Trading'!C22+'[14]Central Origination'!C22+[14]Derivatives!C22+'[14]East Trading'!C22+'[14]East Origination'!C22+'[14]Financial Gas'!C22+[14]Structuring!C22+'[14]Texas Trading'!C22+'[14]Texas Origination'!C22+'[14]West Trading'!C22+'[14]West Origination'!C22+[14]Fundamentals!C22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3928820.5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O22" s="32"/>
    </row>
    <row r="23" spans="1:15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5595871.5999999996</v>
      </c>
      <c r="I23" s="25" t="s">
        <v>48</v>
      </c>
      <c r="J23" s="25">
        <v>110000</v>
      </c>
      <c r="K23" s="25">
        <v>2</v>
      </c>
      <c r="L23" s="25">
        <f t="shared" si="1"/>
        <v>220000</v>
      </c>
      <c r="O23" s="29"/>
    </row>
    <row r="24" spans="1:15" x14ac:dyDescent="0.2">
      <c r="I24" s="25" t="s">
        <v>49</v>
      </c>
      <c r="J24" s="25">
        <v>143000</v>
      </c>
      <c r="K24" s="25">
        <v>4</v>
      </c>
      <c r="L24" s="25">
        <f t="shared" si="1"/>
        <v>572000</v>
      </c>
      <c r="O24" s="8"/>
    </row>
    <row r="25" spans="1:15" x14ac:dyDescent="0.2">
      <c r="B25" s="27" t="s">
        <v>50</v>
      </c>
      <c r="C25" s="15"/>
      <c r="E25" s="31">
        <f>'[14]Central Trading'!E25+'[14]Central Origination'!E25+[14]Derivatives!E25+'[14]East Trading'!E25+'[14]East Origination'!E25+'[14]Financial Gas'!E25+[14]Structuring!E25+'[14]Texas Trading'!E25+'[14]Texas Origination'!E25+'[14]West Trading'!E25+'[14]West Origination'!E25+[14]Fundamentals!E25</f>
        <v>108</v>
      </c>
      <c r="H25" s="31">
        <f>+K16+K17+K18+K19+K20+K23+K24+K25+K26+K27</f>
        <v>7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O25" s="32"/>
    </row>
    <row r="26" spans="1:15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O26" s="32"/>
    </row>
    <row r="27" spans="1:15" x14ac:dyDescent="0.2">
      <c r="B27" s="27" t="s">
        <v>67</v>
      </c>
      <c r="C27" s="15"/>
      <c r="E27" s="31">
        <f>'[14]Central Trading'!E27+'[14]Central Origination'!E27+[14]Derivatives!E27+'[14]East Trading'!E27+'[14]East Origination'!E27+'[14]Financial Gas'!E27+[14]Structuring!E27+'[14]Texas Trading'!E27+'[14]Texas Origination'!E27+'[14]West Trading'!E27+'[14]West Origination'!E27+[14]Fundamentals!E27</f>
        <v>52</v>
      </c>
      <c r="H27" s="31">
        <f>+K21+K22</f>
        <v>1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O27" s="32"/>
    </row>
    <row r="28" spans="1:15" x14ac:dyDescent="0.2">
      <c r="K28" s="25">
        <f>SUM(K16:K27)</f>
        <v>8</v>
      </c>
      <c r="L28" s="25">
        <f>SUM(L16:L27)*1.2</f>
        <v>1260600</v>
      </c>
      <c r="O28" s="8"/>
    </row>
    <row r="29" spans="1:15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8</v>
      </c>
      <c r="L29" s="52">
        <v>0.2</v>
      </c>
      <c r="O29" s="32"/>
    </row>
    <row r="30" spans="1:15" hidden="1" x14ac:dyDescent="0.2">
      <c r="L30" s="25">
        <f>L28*1.2</f>
        <v>1512720</v>
      </c>
      <c r="O30" s="8"/>
    </row>
    <row r="31" spans="1:15" hidden="1" x14ac:dyDescent="0.2">
      <c r="H31" s="33" t="s">
        <v>56</v>
      </c>
      <c r="L31"/>
      <c r="O31" s="8"/>
    </row>
    <row r="32" spans="1:15" hidden="1" x14ac:dyDescent="0.2">
      <c r="B32" s="14" t="s">
        <v>22</v>
      </c>
      <c r="C32" s="15">
        <v>254512</v>
      </c>
      <c r="L32"/>
      <c r="O32" s="8"/>
    </row>
    <row r="33" spans="8:15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O33" s="8"/>
    </row>
    <row r="34" spans="8:15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8</v>
      </c>
      <c r="L34" s="37">
        <f>+J34*K34</f>
        <v>386161.45000000007</v>
      </c>
      <c r="O34" s="8"/>
    </row>
    <row r="35" spans="8:15" hidden="1" x14ac:dyDescent="0.2">
      <c r="O35" s="8"/>
    </row>
    <row r="36" spans="8:15" hidden="1" x14ac:dyDescent="0.2">
      <c r="O36" s="8"/>
    </row>
    <row r="37" spans="8:15" hidden="1" x14ac:dyDescent="0.2">
      <c r="O37" s="8"/>
    </row>
    <row r="38" spans="8:15" hidden="1" x14ac:dyDescent="0.2">
      <c r="O38" s="8"/>
    </row>
    <row r="39" spans="8:15" x14ac:dyDescent="0.2">
      <c r="O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AR39"/>
  <sheetViews>
    <sheetView zoomScaleNormal="100" workbookViewId="0">
      <selection activeCell="P155" sqref="P155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4" max="14" width="21" customWidth="1"/>
    <col min="15" max="15" width="19" customWidth="1"/>
    <col min="16" max="16" width="28.42578125" bestFit="1" customWidth="1"/>
    <col min="17" max="17" width="10.7109375" customWidth="1"/>
  </cols>
  <sheetData>
    <row r="1" spans="1:44" ht="18" x14ac:dyDescent="0.2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2" t="s">
        <v>244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'[11]Central Trading'!C8+'[11]Central Origination'!C8+[11]Derivatives!C8+'[11]East Trading'!C8+'[11]East Origination'!C8+'[11]Financial Gas'!C8+[11]Structuring!C8+'[11]Texas Trading'!C8+'[11]Texas Origination'!C8+'[11]West Trading'!C8+'[11]West Origination'!C8+[11]Fundamentals!C8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(((L28-H10)*1.2)/1.2)*1.1</f>
        <v>1178661</v>
      </c>
      <c r="I8" s="42" t="s">
        <v>10</v>
      </c>
      <c r="J8" s="17">
        <v>0</v>
      </c>
      <c r="K8" s="17"/>
      <c r="L8" s="43">
        <f>L30</f>
        <v>1403424</v>
      </c>
      <c r="Q8" s="15"/>
    </row>
    <row r="9" spans="1:44" hidden="1" x14ac:dyDescent="0.2">
      <c r="A9" s="13"/>
      <c r="B9" s="14" t="s">
        <v>11</v>
      </c>
      <c r="C9" s="15">
        <f>'[11]Central Trading'!C9+'[11]Central Origination'!C9+[11]Derivatives!C9+'[11]East Trading'!C9+'[11]East Origination'!C9+'[11]Financial Gas'!C9+[11]Structuring!C9+'[11]Texas Trading'!C9+'[11]Texas Origination'!C9+'[11]West Trading'!C9+'[11]West Origination'!C9+[11]Fundamentals!C9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'[11]Central Trading'!C10+'[11]Central Origination'!C10+[11]Derivatives!C10+'[11]East Trading'!C10+'[11]East Origination'!C10+'[11]Financial Gas'!C10+[11]Structuring!C10+'[11]Texas Trading'!C10+'[11]Texas Origination'!C10+'[11]West Trading'!C10+'[11]West Origination'!C10+[11]Fundamentals!C10</f>
        <v>3095252.76</v>
      </c>
      <c r="D10" s="15"/>
      <c r="E10" s="15">
        <f>('[11]Central Trading'!E9+'[11]Central Origination'!E10+[11]Derivatives!E10+'[11]East Trading'!E10+'[11]East Origination'!E10+'[11]Financial Gas'!E10+[11]Structuring!E10+'[11]Texas Trading'!E10+'[11]Texas Origination'!E10+'[11]West Trading'!E10+'[11]West Origination'!E10+[11]Fundamentals!E10)-4000000</f>
        <v>82420.999999999534</v>
      </c>
      <c r="G10" s="45">
        <f t="shared" si="0"/>
        <v>3.7797619139155266E-3</v>
      </c>
      <c r="H10" s="15">
        <f>(((L21+L22)*1.2)/1.2)*1.1</f>
        <v>98010.000000000015</v>
      </c>
      <c r="I10" s="42"/>
      <c r="J10" s="17"/>
      <c r="K10" s="17"/>
      <c r="L10" s="43"/>
      <c r="Q10" s="15"/>
    </row>
    <row r="11" spans="1:44" x14ac:dyDescent="0.2">
      <c r="A11" s="13" t="s">
        <v>13</v>
      </c>
      <c r="B11" s="14" t="s">
        <v>14</v>
      </c>
      <c r="C11" s="15">
        <f>'[11]Central Trading'!C11+'[11]Central Origination'!C11+[11]Derivatives!C11+'[11]East Trading'!C11+'[11]East Origination'!C11+'[11]Financial Gas'!C11+[11]Structuring!C11+'[11]Texas Trading'!C11+'[11]Texas Origination'!C11+'[11]West Trading'!C11+'[11]West Origination'!C11+[11]Fundamentals!C11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(((L30-L28)*1.2)/1.2)*1.1</f>
        <v>257294.40000000002</v>
      </c>
      <c r="I11" s="42" t="s">
        <v>15</v>
      </c>
      <c r="J11" s="17">
        <f>(E12+E13+E14+E15+E16+E17+E18+E19+E20+E21+E22)/E29</f>
        <v>48270.181250000009</v>
      </c>
      <c r="K11" s="17">
        <f>K28</f>
        <v>8</v>
      </c>
      <c r="L11" s="43">
        <f>J11*K11</f>
        <v>386161.45000000007</v>
      </c>
      <c r="N11" s="123"/>
      <c r="O11" s="123"/>
      <c r="P11" s="123"/>
      <c r="Q11" s="15"/>
    </row>
    <row r="12" spans="1:44" x14ac:dyDescent="0.2">
      <c r="A12" s="13" t="s">
        <v>16</v>
      </c>
      <c r="B12" s="14" t="s">
        <v>17</v>
      </c>
      <c r="C12" s="15">
        <f>'[11]Central Trading'!C12+'[11]Central Origination'!C12+[11]Derivatives!C12+'[11]East Trading'!C12+'[11]East Origination'!C12+'[11]Financial Gas'!C12+[11]Structuring!C12+'[11]Texas Trading'!C12+'[11]Texas Origination'!C12+'[11]West Trading'!C12+'[11]West Origination'!C12+[11]Fundamentals!C12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>((((E12/$E$29)*$K$11)*1.2)/1.2)*1.1</f>
        <v>54229.768999999978</v>
      </c>
      <c r="I12" s="42"/>
      <c r="J12" s="17"/>
      <c r="K12" s="17"/>
      <c r="L12" s="43"/>
      <c r="N12" s="123"/>
      <c r="O12" s="123"/>
      <c r="P12" s="123"/>
      <c r="Q12" s="15"/>
    </row>
    <row r="13" spans="1:44" ht="13.5" thickBot="1" x14ac:dyDescent="0.25">
      <c r="A13" s="13" t="s">
        <v>18</v>
      </c>
      <c r="B13" s="14" t="s">
        <v>19</v>
      </c>
      <c r="C13" s="15">
        <f>'[11]Central Trading'!C13+'[11]Central Origination'!C13+[11]Derivatives!C13+'[11]East Trading'!C13+'[11]East Origination'!C13+'[11]Financial Gas'!C13+[11]Structuring!C13+'[11]Texas Trading'!C13+'[11]Texas Origination'!C13+'[11]West Trading'!C13+'[11]West Origination'!C13+[11]Fundamentals!C13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16500</v>
      </c>
      <c r="I13" s="46" t="s">
        <v>20</v>
      </c>
      <c r="J13" s="47"/>
      <c r="K13" s="47"/>
      <c r="L13" s="48">
        <f>L8+L11</f>
        <v>1789585.4500000002</v>
      </c>
      <c r="N13" s="123"/>
      <c r="O13" s="123"/>
      <c r="P13" s="123"/>
      <c r="Q13" s="15"/>
    </row>
    <row r="14" spans="1:44" x14ac:dyDescent="0.2">
      <c r="A14" s="13" t="s">
        <v>21</v>
      </c>
      <c r="B14" s="14" t="s">
        <v>22</v>
      </c>
      <c r="C14" s="15">
        <f>'[11]Central Trading'!C14+'[11]Central Origination'!C14+[11]Derivatives!C14+'[11]East Trading'!C14+'[11]East Origination'!C14+'[11]Financial Gas'!C14+[11]Structuring!C14+'[11]Texas Trading'!C14+'[11]Texas Origination'!C14+'[11]West Trading'!C14+'[11]West Origination'!C14+[11]Fundamentals!C14-C32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ref="H14:H21" si="1">((((E14/$E$29)*$K$11)*1.2)/1.2)*1.1</f>
        <v>1.7600000001451312E-2</v>
      </c>
      <c r="N14" s="123"/>
      <c r="O14" s="123"/>
      <c r="P14" s="123"/>
      <c r="Q14" s="15"/>
    </row>
    <row r="15" spans="1:44" x14ac:dyDescent="0.2">
      <c r="A15" s="13" t="s">
        <v>23</v>
      </c>
      <c r="B15" s="14" t="s">
        <v>24</v>
      </c>
      <c r="C15" s="15">
        <f>'[11]Central Trading'!C15+'[11]Central Origination'!C15+[11]Derivatives!C15+'[11]East Trading'!C15+'[11]East Origination'!C15+'[11]Financial Gas'!C15+[11]Structuring!C15+'[11]Texas Trading'!C15+'[11]Texas Origination'!C15+'[11]West Trading'!C15+'[11]West Origination'!C15+[11]Fundamentals!C15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7667.9533333333329</v>
      </c>
      <c r="N15" s="123"/>
      <c r="O15" s="123"/>
      <c r="P15" s="123"/>
      <c r="Q15" s="15"/>
    </row>
    <row r="16" spans="1:44" x14ac:dyDescent="0.2">
      <c r="A16" s="13" t="s">
        <v>25</v>
      </c>
      <c r="B16" s="14" t="s">
        <v>26</v>
      </c>
      <c r="C16" s="15">
        <f>'[11]Central Trading'!C16+'[11]Central Origination'!C16+[11]Derivatives!C16+'[11]East Trading'!C16+'[11]East Origination'!C16+'[11]Financial Gas'!C16+[11]Structuring!C16+'[11]Texas Trading'!C16+'[11]Texas Origination'!C16+'[11]West Trading'!C16+'[11]West Origination'!C16+[11]Fundamentals!C16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N16" s="123"/>
      <c r="O16" s="123"/>
      <c r="P16" s="123"/>
      <c r="Q16" s="15"/>
    </row>
    <row r="17" spans="1:17" x14ac:dyDescent="0.2">
      <c r="A17" s="13" t="s">
        <v>28</v>
      </c>
      <c r="B17" s="14" t="s">
        <v>29</v>
      </c>
      <c r="C17" s="15">
        <f>'[11]Central Trading'!C17+'[11]Central Origination'!C17+[11]Derivatives!C17+'[11]East Trading'!C17+'[11]East Origination'!C17+'[11]Financial Gas'!C17+[11]Structuring!C17+'[11]Texas Trading'!C17+'[11]Texas Origination'!C17+'[11]West Trading'!C17+'[11]West Origination'!C17+[11]Fundamentals!C17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432.66666666666669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N17" s="123"/>
      <c r="O17" s="123"/>
      <c r="P17" s="123"/>
      <c r="Q17" s="15"/>
    </row>
    <row r="18" spans="1:17" x14ac:dyDescent="0.2">
      <c r="A18" s="13" t="s">
        <v>31</v>
      </c>
      <c r="B18" s="14" t="s">
        <v>32</v>
      </c>
      <c r="C18" s="15">
        <f>'[11]Central Trading'!C18+'[11]Central Origination'!C18+[11]Derivatives!C18+'[11]East Trading'!C18+'[11]East Origination'!C18+'[11]Financial Gas'!C18+[11]Structuring!C18+'[11]Texas Trading'!C18+'[11]Texas Origination'!C18+'[11]West Trading'!C18+'[11]West Origination'!C18+[11]Fundamentals!C18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7858.0274666666683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N18" s="123"/>
      <c r="O18" s="123"/>
      <c r="P18" s="123"/>
      <c r="Q18" s="15"/>
    </row>
    <row r="19" spans="1:17" x14ac:dyDescent="0.2">
      <c r="A19" s="13" t="s">
        <v>34</v>
      </c>
      <c r="B19" s="14" t="s">
        <v>35</v>
      </c>
      <c r="C19" s="15">
        <f>'[11]Central Trading'!C19+'[11]Central Origination'!C19+[11]Derivatives!C19+'[11]East Trading'!C19+'[11]East Origination'!C19+'[11]Financial Gas'!C19+[11]Structuring!C19+'[11]Texas Trading'!C19+'[11]Texas Origination'!C19+'[11]West Trading'!C19+'[11]West Origination'!C19+[11]Fundamentals!C19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8008.756800000001</v>
      </c>
      <c r="I19" s="25" t="s">
        <v>36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37</v>
      </c>
      <c r="B20" s="14" t="s">
        <v>38</v>
      </c>
      <c r="C20" s="15">
        <f>'[11]Central Trading'!C20+'[11]Central Origination'!C20+[11]Derivatives!C20+'[11]East Trading'!C20+'[11]East Origination'!C20+'[11]Financial Gas'!C20+[11]Structuring!C20+'[11]Texas Trading'!C20+'[11]Texas Origination'!C20+'[11]West Trading'!C20+'[11]West Origination'!C20+[11]Fundamentals!C20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1.1733333333333333</v>
      </c>
      <c r="I20" s="25" t="s">
        <v>39</v>
      </c>
      <c r="J20" s="25">
        <v>71500</v>
      </c>
      <c r="K20" s="25">
        <v>1</v>
      </c>
      <c r="L20" s="25">
        <f t="shared" si="2"/>
        <v>71500</v>
      </c>
      <c r="Q20" s="15"/>
    </row>
    <row r="21" spans="1:17" x14ac:dyDescent="0.2">
      <c r="A21" s="13" t="s">
        <v>40</v>
      </c>
      <c r="B21" s="14" t="s">
        <v>41</v>
      </c>
      <c r="C21" s="15">
        <f>'[11]Central Trading'!C21+'[11]Central Origination'!C21+[11]Derivatives!C21+'[11]East Trading'!C21+'[11]East Origination'!C21+'[11]Financial Gas'!C21+[11]Structuring!C21+'[11]Texas Trading'!C21+'[11]Texas Origination'!C21+'[11]West Trading'!C21+'[11]West Origination'!C21+[11]Fundamentals!C21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9957.8533999999927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'[11]Central Trading'!C22+'[11]Central Origination'!C22+[11]Derivatives!C22+'[11]East Trading'!C22+'[11]East Origination'!C22+'[11]Financial Gas'!C22+[11]Structuring!C22+'[11]Texas Trading'!C22+'[11]Texas Origination'!C22+'[11]West Trading'!C22+'[11]West Origination'!C22+[11]Fundamentals!C22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1</v>
      </c>
      <c r="L22" s="25">
        <f t="shared" si="2"/>
        <v>89100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1638621.6176</v>
      </c>
      <c r="I23" s="25" t="s">
        <v>48</v>
      </c>
      <c r="J23" s="25">
        <v>110000</v>
      </c>
      <c r="K23" s="25">
        <v>3</v>
      </c>
      <c r="L23" s="25">
        <f t="shared" si="2"/>
        <v>330000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v>2</v>
      </c>
      <c r="L24" s="25">
        <f t="shared" si="2"/>
        <v>286000</v>
      </c>
      <c r="P24" s="8"/>
      <c r="Q24" s="8"/>
    </row>
    <row r="25" spans="1:17" x14ac:dyDescent="0.2">
      <c r="B25" s="27" t="s">
        <v>50</v>
      </c>
      <c r="C25" s="15"/>
      <c r="E25" s="31">
        <f>'[11]Central Trading'!E25+'[11]Central Origination'!E25+[11]Derivatives!E25+'[11]East Trading'!E25+'[11]East Origination'!E25+'[11]Financial Gas'!E25+[11]Structuring!E25+'[11]Texas Trading'!E25+'[11]Texas Origination'!E25+'[11]West Trading'!E25+'[11]West Origination'!E25+[11]Fundamentals!E25</f>
        <v>108</v>
      </c>
      <c r="H25" s="31">
        <f>+K16+K17+K18+K19+K20+K23+K24+K25+K26+K27</f>
        <v>7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2"/>
        <v>198000</v>
      </c>
      <c r="P26" s="8"/>
      <c r="Q26" s="32"/>
    </row>
    <row r="27" spans="1:17" x14ac:dyDescent="0.2">
      <c r="B27" s="27" t="s">
        <v>67</v>
      </c>
      <c r="C27" s="15"/>
      <c r="E27" s="31">
        <f>'[11]Central Trading'!E27+'[11]Central Origination'!E27+[11]Derivatives!E27+'[11]East Trading'!E27+'[11]East Origination'!E27+'[11]Financial Gas'!E27+[11]Structuring!E27+'[11]Texas Trading'!E27+'[11]Texas Origination'!E27+'[11]West Trading'!E27+'[11]West Origination'!E27+[11]Fundamentals!E27</f>
        <v>52</v>
      </c>
      <c r="H27" s="31">
        <f>+K21+K22</f>
        <v>1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8</v>
      </c>
      <c r="L28" s="25">
        <f>SUM(L16:L27)*1.2</f>
        <v>1169520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8</v>
      </c>
      <c r="L29" s="52">
        <v>0.2</v>
      </c>
      <c r="P29" s="8"/>
      <c r="Q29" s="32"/>
    </row>
    <row r="30" spans="1:17" hidden="1" x14ac:dyDescent="0.2">
      <c r="L30" s="25">
        <f>L28*1.2</f>
        <v>1403424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8</v>
      </c>
      <c r="L34" s="37">
        <f>+J34*K34</f>
        <v>386161.45000000007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AR39"/>
  <sheetViews>
    <sheetView zoomScaleNormal="100" workbookViewId="0">
      <selection activeCell="P155" sqref="P155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42" t="str">
        <f>'[13]Team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2" t="s">
        <v>293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  <c r="N5" s="125" t="s">
        <v>248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N6" s="44" t="s">
        <v>63</v>
      </c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N7" s="12" t="s">
        <v>7</v>
      </c>
      <c r="Q7" s="12"/>
    </row>
    <row r="8" spans="1:44" x14ac:dyDescent="0.2">
      <c r="A8" s="13" t="s">
        <v>9</v>
      </c>
      <c r="B8" s="14" t="s">
        <v>10</v>
      </c>
      <c r="C8" s="15">
        <f>'[14]Central Trading'!C8+'[14]Central Origination'!C8+[14]Derivatives!C8+'[14]East Trading'!C8+'[14]East Origination'!C8+'[14]Financial Gas'!C8+[14]Structuring!C8+'[14]Texas Trading'!C8+'[14]Texas Origination'!C8+'[14]West Trading'!C8+'[14]West Origination'!C8+[14]Fundamentals!C8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785086.5</v>
      </c>
      <c r="I8" s="42" t="s">
        <v>10</v>
      </c>
      <c r="J8" s="17">
        <v>0</v>
      </c>
      <c r="K8" s="17"/>
      <c r="L8" s="43">
        <f>L30</f>
        <v>1507968</v>
      </c>
      <c r="N8" s="15">
        <f>H8/2*1.5+75670+10715</f>
        <v>675199.875</v>
      </c>
      <c r="Q8" s="15"/>
    </row>
    <row r="9" spans="1:44" hidden="1" x14ac:dyDescent="0.2">
      <c r="A9" s="13"/>
      <c r="B9" s="14" t="s">
        <v>11</v>
      </c>
      <c r="C9" s="15">
        <f>'[14]Central Trading'!C9+'[14]Central Origination'!C9+[14]Derivatives!C9+'[14]East Trading'!C9+'[14]East Origination'!C9+'[14]Financial Gas'!C9+[14]Structuring!C9+'[14]Texas Trading'!C9+'[14]Texas Origination'!C9+'[14]West Trading'!C9+'[14]West Origination'!C9+[14]Fundamentals!C9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N9" s="15"/>
      <c r="Q9" s="15"/>
    </row>
    <row r="10" spans="1:44" x14ac:dyDescent="0.2">
      <c r="A10" s="13"/>
      <c r="B10" s="14" t="s">
        <v>65</v>
      </c>
      <c r="C10" s="15">
        <f>'[14]Central Trading'!C10+'[14]Central Origination'!C10+[14]Derivatives!C10+'[14]East Trading'!C10+'[14]East Origination'!C10+'[14]Financial Gas'!C10+[14]Structuring!C10+'[14]Texas Trading'!C10+'[14]Texas Origination'!C10+'[14]West Trading'!C10+'[14]West Origination'!C10+[14]Fundamentals!C10</f>
        <v>3095252.76</v>
      </c>
      <c r="D10" s="15"/>
      <c r="E10" s="15">
        <f>('[14]Central Trading'!E9+'[14]Central Origination'!E10+[14]Derivatives!E10+'[14]East Trading'!E10+'[14]East Origination'!E10+'[14]Financial Gas'!E10+[14]Structuring!E10+'[14]Texas Trading'!E10+'[14]Texas Origination'!E10+'[14]West Trading'!E10+'[14]West Origination'!E10+[14]Fundamentals!E10)-4000000</f>
        <v>82420.999999999534</v>
      </c>
      <c r="G10" s="45">
        <f t="shared" si="0"/>
        <v>3.7797619139155266E-3</v>
      </c>
      <c r="H10" s="15">
        <v>462220</v>
      </c>
      <c r="I10" s="42"/>
      <c r="J10" s="17"/>
      <c r="K10" s="17"/>
      <c r="L10" s="43"/>
      <c r="N10" s="15">
        <v>420200</v>
      </c>
      <c r="Q10" s="15"/>
    </row>
    <row r="11" spans="1:44" x14ac:dyDescent="0.2">
      <c r="A11" s="13" t="s">
        <v>13</v>
      </c>
      <c r="B11" s="14" t="s">
        <v>14</v>
      </c>
      <c r="C11" s="15">
        <f>'[14]Central Trading'!C11+'[14]Central Origination'!C11+[14]Derivatives!C11+'[14]East Trading'!C11+'[14]East Origination'!C11+'[14]Financial Gas'!C11+[14]Structuring!C11+'[14]Texas Trading'!C11+'[14]Texas Origination'!C11+'[14]West Trading'!C11+'[14]West Origination'!C11+[14]Fundamentals!C11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v>234836.8</v>
      </c>
      <c r="I11" s="42" t="s">
        <v>15</v>
      </c>
      <c r="J11" s="17">
        <f>(E12+E13+E14+E15+E16+E17+E18+E19+E20+E21+E22)/E29</f>
        <v>48270.181250000009</v>
      </c>
      <c r="K11" s="17">
        <f>K28</f>
        <v>10</v>
      </c>
      <c r="L11" s="43">
        <f>J11*K11</f>
        <v>482701.81250000012</v>
      </c>
      <c r="N11" s="15">
        <f>H11/2*1.5+24992</f>
        <v>201119.59999999998</v>
      </c>
      <c r="Q11" s="15"/>
    </row>
    <row r="12" spans="1:44" x14ac:dyDescent="0.2">
      <c r="A12" s="13" t="s">
        <v>16</v>
      </c>
      <c r="B12" s="14" t="s">
        <v>17</v>
      </c>
      <c r="C12" s="15">
        <f>'[14]Central Trading'!C12+'[14]Central Origination'!C12+[14]Derivatives!C12+'[14]East Trading'!C12+'[14]East Origination'!C12+'[14]Financial Gas'!C12+[14]Structuring!C12+'[14]Texas Trading'!C12+'[14]Texas Origination'!C12+'[14]West Trading'!C12+'[14]West Origination'!C12+[14]Fundamentals!C12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82500</v>
      </c>
      <c r="I12" s="42"/>
      <c r="J12" s="17"/>
      <c r="K12" s="17"/>
      <c r="L12" s="43"/>
      <c r="N12" s="15">
        <v>75000</v>
      </c>
      <c r="Q12" s="15"/>
    </row>
    <row r="13" spans="1:44" ht="13.5" thickBot="1" x14ac:dyDescent="0.25">
      <c r="A13" s="13" t="s">
        <v>18</v>
      </c>
      <c r="B13" s="14" t="s">
        <v>19</v>
      </c>
      <c r="C13" s="15">
        <f>'[14]Central Trading'!C13+'[14]Central Origination'!C13+[14]Derivatives!C13+'[14]East Trading'!C13+'[14]East Origination'!C13+'[14]Financial Gas'!C13+[14]Structuring!C13+'[14]Texas Trading'!C13+'[14]Texas Origination'!C13+'[14]West Trading'!C13+'[14]West Origination'!C13+[14]Fundamentals!C13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82500</v>
      </c>
      <c r="I13" s="46" t="s">
        <v>20</v>
      </c>
      <c r="J13" s="47"/>
      <c r="K13" s="47"/>
      <c r="L13" s="48">
        <f>L8+L11</f>
        <v>1990669.8125</v>
      </c>
      <c r="N13" s="15">
        <v>75000</v>
      </c>
      <c r="P13" s="49"/>
      <c r="Q13" s="15"/>
    </row>
    <row r="14" spans="1:44" x14ac:dyDescent="0.2">
      <c r="A14" s="13" t="s">
        <v>21</v>
      </c>
      <c r="B14" s="14" t="s">
        <v>22</v>
      </c>
      <c r="C14" s="15">
        <f>'[14]Central Trading'!C14+'[14]Central Origination'!C14+[14]Derivatives!C14+'[14]East Trading'!C14+'[14]East Origination'!C14+'[14]Financial Gas'!C14+[14]Structuring!C14+'[14]Texas Trading'!C14+'[14]Texas Origination'!C14+'[14]West Trading'!C14+'[14]West Origination'!C14+[14]Fundamentals!C14-C32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N14" s="15">
        <v>0</v>
      </c>
      <c r="Q14" s="15"/>
    </row>
    <row r="15" spans="1:44" x14ac:dyDescent="0.2">
      <c r="A15" s="13" t="s">
        <v>23</v>
      </c>
      <c r="B15" s="14" t="s">
        <v>24</v>
      </c>
      <c r="C15" s="15">
        <f>'[14]Central Trading'!C15+'[14]Central Origination'!C15+[14]Derivatives!C15+'[14]East Trading'!C15+'[14]East Origination'!C15+'[14]Financial Gas'!C15+[14]Structuring!C15+'[14]Texas Trading'!C15+'[14]Texas Origination'!C15+'[14]West Trading'!C15+'[14]West Origination'!C15+[14]Fundamentals!C15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55000</v>
      </c>
      <c r="N15" s="15">
        <v>50000</v>
      </c>
      <c r="Q15" s="15"/>
    </row>
    <row r="16" spans="1:44" x14ac:dyDescent="0.2">
      <c r="A16" s="13" t="s">
        <v>25</v>
      </c>
      <c r="B16" s="14" t="s">
        <v>26</v>
      </c>
      <c r="C16" s="15">
        <f>'[14]Central Trading'!C16+'[14]Central Origination'!C16+[14]Derivatives!C16+'[14]East Trading'!C16+'[14]East Origination'!C16+'[14]Financial Gas'!C16+[14]Structuring!C16+'[14]Texas Trading'!C16+'[14]Texas Origination'!C16+'[14]West Trading'!C16+'[14]West Origination'!C16+[14]Fundamentals!C16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N16" s="15">
        <v>0</v>
      </c>
      <c r="Q16" s="15"/>
    </row>
    <row r="17" spans="1:17" x14ac:dyDescent="0.2">
      <c r="A17" s="13" t="s">
        <v>28</v>
      </c>
      <c r="B17" s="14" t="s">
        <v>29</v>
      </c>
      <c r="C17" s="15">
        <f>'[14]Central Trading'!C17+'[14]Central Origination'!C17+[14]Derivatives!C17+'[14]East Trading'!C17+'[14]East Origination'!C17+'[14]Financial Gas'!C17+[14]Structuring!C17+'[14]Texas Trading'!C17+'[14]Texas Origination'!C17+'[14]West Trading'!C17+'[14]West Origination'!C17+[14]Fundamentals!C17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649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N17" s="15">
        <v>590</v>
      </c>
      <c r="Q17" s="15"/>
    </row>
    <row r="18" spans="1:17" x14ac:dyDescent="0.2">
      <c r="A18" s="13" t="s">
        <v>31</v>
      </c>
      <c r="B18" s="14" t="s">
        <v>32</v>
      </c>
      <c r="C18" s="15">
        <f>'[14]Central Trading'!C18+'[14]Central Origination'!C18+[14]Derivatives!C18+'[14]East Trading'!C18+'[14]East Origination'!C18+'[14]Financial Gas'!C18+[14]Structuring!C18+'[14]Texas Trading'!C18+'[14]Texas Origination'!C18+'[14]West Trading'!C18+'[14]West Origination'!C18+[14]Fundamentals!C18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N18" s="15">
        <v>0</v>
      </c>
      <c r="Q18" s="15"/>
    </row>
    <row r="19" spans="1:17" x14ac:dyDescent="0.2">
      <c r="A19" s="13" t="s">
        <v>34</v>
      </c>
      <c r="B19" s="14" t="s">
        <v>35</v>
      </c>
      <c r="C19" s="15">
        <f>'[14]Central Trading'!C19+'[14]Central Origination'!C19+[14]Derivatives!C19+'[14]East Trading'!C19+'[14]East Origination'!C19+'[14]Financial Gas'!C19+[14]Structuring!C19+'[14]Texas Trading'!C19+'[14]Texas Origination'!C19+'[14]West Trading'!C19+'[14]West Origination'!C19+[14]Fundamentals!C19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110000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N19" s="15">
        <v>100000</v>
      </c>
      <c r="Q19" s="15"/>
    </row>
    <row r="20" spans="1:17" x14ac:dyDescent="0.2">
      <c r="A20" s="13" t="s">
        <v>37</v>
      </c>
      <c r="B20" s="14" t="s">
        <v>38</v>
      </c>
      <c r="C20" s="15">
        <f>'[14]Central Trading'!C20+'[14]Central Origination'!C20+[14]Derivatives!C20+'[14]East Trading'!C20+'[14]East Origination'!C20+'[14]Financial Gas'!C20+[14]Structuring!C20+'[14]Texas Trading'!C20+'[14]Texas Origination'!C20+'[14]West Trading'!C20+'[14]West Origination'!C20+[14]Fundamentals!C20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2.2000000000000002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N20" s="15">
        <v>2</v>
      </c>
      <c r="Q20" s="15"/>
    </row>
    <row r="21" spans="1:17" x14ac:dyDescent="0.2">
      <c r="A21" s="13" t="s">
        <v>40</v>
      </c>
      <c r="B21" s="14" t="s">
        <v>41</v>
      </c>
      <c r="C21" s="15">
        <f>'[14]Central Trading'!C21+'[14]Central Origination'!C21+[14]Derivatives!C21+'[14]East Trading'!C21+'[14]East Origination'!C21+'[14]Financial Gas'!C21+[14]Structuring!C21+'[14]Texas Trading'!C21+'[14]Texas Origination'!C21+'[14]West Trading'!C21+'[14]West Origination'!C21+[14]Fundamentals!C21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16500</v>
      </c>
      <c r="I21" s="25" t="s">
        <v>42</v>
      </c>
      <c r="J21" s="25">
        <v>60500</v>
      </c>
      <c r="K21" s="25">
        <v>4</v>
      </c>
      <c r="L21" s="25">
        <f t="shared" si="1"/>
        <v>242000</v>
      </c>
      <c r="N21" s="15">
        <v>15000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'[14]Central Trading'!C22+'[14]Central Origination'!C22+[14]Derivatives!C22+'[14]East Trading'!C22+'[14]East Origination'!C22+'[14]Financial Gas'!C22+[14]Structuring!C22+'[14]Texas Trading'!C22+'[14]Texas Origination'!C22+'[14]West Trading'!C22+'[14]West Origination'!C22+[14]Fundamentals!C22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2</v>
      </c>
      <c r="L22" s="25">
        <f t="shared" si="1"/>
        <v>178200</v>
      </c>
      <c r="N22" s="15">
        <v>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1829294.5</v>
      </c>
      <c r="I23" s="25" t="s">
        <v>48</v>
      </c>
      <c r="J23" s="25">
        <v>110000</v>
      </c>
      <c r="K23" s="25">
        <v>0</v>
      </c>
      <c r="L23" s="25">
        <f t="shared" si="1"/>
        <v>0</v>
      </c>
      <c r="N23" s="28">
        <f>SUM(N8:N22)</f>
        <v>1612111.4750000001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f>3</f>
        <v>3</v>
      </c>
      <c r="L24" s="25">
        <f t="shared" si="1"/>
        <v>429000</v>
      </c>
      <c r="P24" s="8"/>
      <c r="Q24" s="8"/>
    </row>
    <row r="25" spans="1:17" x14ac:dyDescent="0.2">
      <c r="B25" s="27" t="s">
        <v>50</v>
      </c>
      <c r="C25" s="15"/>
      <c r="E25" s="31">
        <f>'[14]Central Trading'!E25+'[14]Central Origination'!E25+[14]Derivatives!E25+'[14]East Trading'!E25+'[14]East Origination'!E25+'[14]Financial Gas'!E25+[14]Structuring!E25+'[14]Texas Trading'!E25+'[14]Texas Origination'!E25+'[14]West Trading'!E25+'[14]West Origination'!E25+[14]Fundamentals!E25</f>
        <v>108</v>
      </c>
      <c r="H25" s="31">
        <f>+K16+K17+K18+K19+K20+K23+K24+K25+K26+K27</f>
        <v>4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P26" s="8"/>
      <c r="Q26" s="32"/>
    </row>
    <row r="27" spans="1:17" x14ac:dyDescent="0.2">
      <c r="B27" s="27" t="s">
        <v>67</v>
      </c>
      <c r="C27" s="15"/>
      <c r="E27" s="31">
        <f>'[14]Central Trading'!E27+'[14]Central Origination'!E27+[14]Derivatives!E27+'[14]East Trading'!E27+'[14]East Origination'!E27+'[14]Financial Gas'!E27+[14]Structuring!E27+'[14]Texas Trading'!E27+'[14]Texas Origination'!E27+'[14]West Trading'!E27+'[14]West Origination'!E27+[14]Fundamentals!E27</f>
        <v>52</v>
      </c>
      <c r="H27" s="31">
        <f>+K21+K22</f>
        <v>6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">
      <c r="K28" s="25">
        <f>SUM(K16:K27)</f>
        <v>10</v>
      </c>
      <c r="L28" s="25">
        <f>SUM(L16:L27)*1.2</f>
        <v>1256640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10</v>
      </c>
      <c r="L29" s="52">
        <v>0.2</v>
      </c>
      <c r="P29" s="8"/>
      <c r="Q29" s="32"/>
    </row>
    <row r="30" spans="1:17" hidden="1" x14ac:dyDescent="0.2">
      <c r="L30" s="25">
        <f>L28*1.2</f>
        <v>1507968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10</v>
      </c>
      <c r="L34" s="37">
        <f>+J34*K34</f>
        <v>482701.81250000012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R39"/>
  <sheetViews>
    <sheetView zoomScaleNormal="100" workbookViewId="0">
      <selection activeCell="P155" sqref="P155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42578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4" max="14" width="16.85546875" customWidth="1"/>
    <col min="15" max="15" width="15.85546875" customWidth="1"/>
    <col min="16" max="16" width="14" customWidth="1"/>
    <col min="17" max="17" width="10.7109375" customWidth="1"/>
  </cols>
  <sheetData>
    <row r="1" spans="1:44" ht="18" x14ac:dyDescent="0.2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2" t="s">
        <v>287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'[11]Central Trading'!C8+'[11]Central Origination'!C8+[11]Derivatives!C8+'[11]East Trading'!C8+'[11]East Origination'!C8+'[11]Financial Gas'!C8+[11]Structuring!C8+'[11]Texas Trading'!C8+'[11]Texas Origination'!C8+'[11]West Trading'!C8+'[11]West Origination'!C8+[11]Fundamentals!C8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(((L28-H10)*1.2)/1.2)*1.1</f>
        <v>1131471</v>
      </c>
      <c r="I8" s="42" t="s">
        <v>10</v>
      </c>
      <c r="J8" s="17">
        <v>0</v>
      </c>
      <c r="K8" s="17"/>
      <c r="L8" s="43">
        <f>L30</f>
        <v>1351944</v>
      </c>
      <c r="Q8" s="15"/>
    </row>
    <row r="9" spans="1:44" hidden="1" x14ac:dyDescent="0.2">
      <c r="A9" s="13"/>
      <c r="B9" s="14" t="s">
        <v>11</v>
      </c>
      <c r="C9" s="15">
        <f>'[11]Central Trading'!C9+'[11]Central Origination'!C9+[11]Derivatives!C9+'[11]East Trading'!C9+'[11]East Origination'!C9+'[11]Financial Gas'!C9+[11]Structuring!C9+'[11]Texas Trading'!C9+'[11]Texas Origination'!C9+'[11]West Trading'!C9+'[11]West Origination'!C9+[11]Fundamentals!C9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'[11]Central Trading'!C10+'[11]Central Origination'!C10+[11]Derivatives!C10+'[11]East Trading'!C10+'[11]East Origination'!C10+'[11]Financial Gas'!C10+[11]Structuring!C10+'[11]Texas Trading'!C10+'[11]Texas Origination'!C10+'[11]West Trading'!C10+'[11]West Origination'!C10+[11]Fundamentals!C10</f>
        <v>3095252.76</v>
      </c>
      <c r="D10" s="15"/>
      <c r="E10" s="15">
        <f>('[11]Central Trading'!E9+'[11]Central Origination'!E10+[11]Derivatives!E10+'[11]East Trading'!E10+'[11]East Origination'!E10+'[11]Financial Gas'!E10+[11]Structuring!E10+'[11]Texas Trading'!E10+'[11]Texas Origination'!E10+'[11]West Trading'!E10+'[11]West Origination'!E10+[11]Fundamentals!E10)-4000000</f>
        <v>82420.999999999534</v>
      </c>
      <c r="G10" s="45">
        <f t="shared" si="0"/>
        <v>3.7797619139155266E-3</v>
      </c>
      <c r="H10" s="15">
        <f>(((L21+L22)*1.2)/1.2)*1.1</f>
        <v>98010.000000000015</v>
      </c>
      <c r="I10" s="42"/>
      <c r="J10" s="17"/>
      <c r="K10" s="17"/>
      <c r="L10" s="43"/>
      <c r="Q10" s="15"/>
    </row>
    <row r="11" spans="1:44" x14ac:dyDescent="0.2">
      <c r="A11" s="13" t="s">
        <v>13</v>
      </c>
      <c r="B11" s="14" t="s">
        <v>14</v>
      </c>
      <c r="C11" s="15">
        <f>'[11]Central Trading'!C11+'[11]Central Origination'!C11+[11]Derivatives!C11+'[11]East Trading'!C11+'[11]East Origination'!C11+'[11]Financial Gas'!C11+[11]Structuring!C11+'[11]Texas Trading'!C11+'[11]Texas Origination'!C11+'[11]West Trading'!C11+'[11]West Origination'!C11+[11]Fundamentals!C11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(((L30-L28)*1.2)/1.2)*1.1</f>
        <v>247856.40000000002</v>
      </c>
      <c r="I11" s="42" t="s">
        <v>15</v>
      </c>
      <c r="J11" s="17">
        <f>(E12+E13+E14+E15+E16+E17+E18+E19+E20+E21+E22)/E29</f>
        <v>48270.181250000009</v>
      </c>
      <c r="K11" s="17">
        <f>K28</f>
        <v>7</v>
      </c>
      <c r="L11" s="43">
        <f>J11*K11</f>
        <v>337891.26875000005</v>
      </c>
      <c r="N11" s="123"/>
      <c r="O11" s="123"/>
      <c r="P11" s="123"/>
      <c r="Q11" s="15"/>
    </row>
    <row r="12" spans="1:44" x14ac:dyDescent="0.2">
      <c r="A12" s="13" t="s">
        <v>16</v>
      </c>
      <c r="B12" s="14" t="s">
        <v>17</v>
      </c>
      <c r="C12" s="15">
        <f>'[11]Central Trading'!C12+'[11]Central Origination'!C12+[11]Derivatives!C12+'[11]East Trading'!C12+'[11]East Origination'!C12+'[11]Financial Gas'!C12+[11]Structuring!C12+'[11]Texas Trading'!C12+'[11]Texas Origination'!C12+'[11]West Trading'!C12+'[11]West Origination'!C12+[11]Fundamentals!C12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((((E12/$E$29)*$K$11)*1.2)/1.2)*1.1</f>
        <v>47451.047874999982</v>
      </c>
      <c r="I12" s="42"/>
      <c r="J12" s="17"/>
      <c r="K12" s="17"/>
      <c r="L12" s="43"/>
      <c r="N12" s="123"/>
      <c r="O12" s="123"/>
      <c r="P12" s="123"/>
      <c r="Q12" s="15"/>
    </row>
    <row r="13" spans="1:44" ht="13.5" thickBot="1" x14ac:dyDescent="0.25">
      <c r="A13" s="13" t="s">
        <v>18</v>
      </c>
      <c r="B13" s="14" t="s">
        <v>19</v>
      </c>
      <c r="C13" s="15">
        <f>'[11]Central Trading'!C13+'[11]Central Origination'!C13+[11]Derivatives!C13+'[11]East Trading'!C13+'[11]East Origination'!C13+'[11]Financial Gas'!C13+[11]Structuring!C13+'[11]Texas Trading'!C13+'[11]Texas Origination'!C13+'[11]West Trading'!C13+'[11]West Origination'!C13+[11]Fundamentals!C13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42234.168258333346</v>
      </c>
      <c r="I13" s="46" t="s">
        <v>20</v>
      </c>
      <c r="J13" s="47"/>
      <c r="K13" s="47"/>
      <c r="L13" s="48">
        <f>L8+L11</f>
        <v>1689835.26875</v>
      </c>
      <c r="N13" s="123"/>
      <c r="O13" s="123"/>
      <c r="P13" s="123"/>
      <c r="Q13" s="15"/>
    </row>
    <row r="14" spans="1:44" x14ac:dyDescent="0.2">
      <c r="A14" s="13" t="s">
        <v>21</v>
      </c>
      <c r="B14" s="14" t="s">
        <v>22</v>
      </c>
      <c r="C14" s="15">
        <f>'[11]Central Trading'!C14+'[11]Central Origination'!C14+[11]Derivatives!C14+'[11]East Trading'!C14+'[11]East Origination'!C14+'[11]Financial Gas'!C14+[11]Structuring!C14+'[11]Texas Trading'!C14+'[11]Texas Origination'!C14+'[11]West Trading'!C14+'[11]West Origination'!C14+[11]Fundamentals!C14-C32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1.5400000001269896E-2</v>
      </c>
      <c r="N14" s="123"/>
      <c r="O14" s="123"/>
      <c r="P14" s="123"/>
      <c r="Q14" s="15"/>
    </row>
    <row r="15" spans="1:44" x14ac:dyDescent="0.2">
      <c r="A15" s="13" t="s">
        <v>23</v>
      </c>
      <c r="B15" s="14" t="s">
        <v>24</v>
      </c>
      <c r="C15" s="15">
        <f>'[11]Central Trading'!C15+'[11]Central Origination'!C15+[11]Derivatives!C15+'[11]East Trading'!C15+'[11]East Origination'!C15+'[11]Financial Gas'!C15+[11]Structuring!C15+'[11]Texas Trading'!C15+'[11]Texas Origination'!C15+'[11]West Trading'!C15+'[11]West Origination'!C15+[11]Fundamentals!C15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6709.4591666666656</v>
      </c>
      <c r="N15" s="123"/>
      <c r="O15" s="123"/>
      <c r="P15" s="123"/>
      <c r="Q15" s="15"/>
    </row>
    <row r="16" spans="1:44" x14ac:dyDescent="0.2">
      <c r="A16" s="13" t="s">
        <v>25</v>
      </c>
      <c r="B16" s="14" t="s">
        <v>26</v>
      </c>
      <c r="C16" s="15">
        <f>'[11]Central Trading'!C16+'[11]Central Origination'!C16+[11]Derivatives!C16+'[11]East Trading'!C16+'[11]East Origination'!C16+'[11]Financial Gas'!C16+[11]Structuring!C16+'[11]Texas Trading'!C16+'[11]Texas Origination'!C16+'[11]West Trading'!C16+'[11]West Origination'!C16+[11]Fundamentals!C16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N16" s="123"/>
      <c r="O16" s="123"/>
      <c r="P16" s="123"/>
      <c r="Q16" s="15"/>
    </row>
    <row r="17" spans="1:17" x14ac:dyDescent="0.2">
      <c r="A17" s="13" t="s">
        <v>28</v>
      </c>
      <c r="B17" s="14" t="s">
        <v>29</v>
      </c>
      <c r="C17" s="15">
        <f>'[11]Central Trading'!C17+'[11]Central Origination'!C17+[11]Derivatives!C17+'[11]East Trading'!C17+'[11]East Origination'!C17+'[11]Financial Gas'!C17+[11]Structuring!C17+'[11]Texas Trading'!C17+'[11]Texas Origination'!C17+'[11]West Trading'!C17+'[11]West Origination'!C17+[11]Fundamentals!C17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378.58333333333331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N17" s="124"/>
      <c r="O17" s="124"/>
      <c r="P17" s="123"/>
      <c r="Q17" s="15"/>
    </row>
    <row r="18" spans="1:17" x14ac:dyDescent="0.2">
      <c r="A18" s="13" t="s">
        <v>31</v>
      </c>
      <c r="B18" s="14" t="s">
        <v>32</v>
      </c>
      <c r="C18" s="15">
        <f>'[11]Central Trading'!C18+'[11]Central Origination'!C18+[11]Derivatives!C18+'[11]East Trading'!C18+'[11]East Origination'!C18+'[11]Financial Gas'!C18+[11]Structuring!C18+'[11]Texas Trading'!C18+'[11]Texas Origination'!C18+'[11]West Trading'!C18+'[11]West Origination'!C18+[11]Fundamentals!C18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6875.774033333335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34</v>
      </c>
      <c r="B19" s="14" t="s">
        <v>35</v>
      </c>
      <c r="C19" s="15">
        <f>'[11]Central Trading'!C19+'[11]Central Origination'!C19+[11]Derivatives!C19+'[11]East Trading'!C19+'[11]East Origination'!C19+'[11]Financial Gas'!C19+[11]Structuring!C19+'[11]Texas Trading'!C19+'[11]Texas Origination'!C19+'[11]West Trading'!C19+'[11]West Origination'!C19+[11]Fundamentals!C19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7007.6622000000007</v>
      </c>
      <c r="I19" s="25" t="s">
        <v>36</v>
      </c>
      <c r="J19" s="25">
        <v>57750</v>
      </c>
      <c r="K19" s="25">
        <v>1</v>
      </c>
      <c r="L19" s="25">
        <f t="shared" si="2"/>
        <v>57750</v>
      </c>
      <c r="Q19" s="15"/>
    </row>
    <row r="20" spans="1:17" x14ac:dyDescent="0.2">
      <c r="A20" s="13" t="s">
        <v>37</v>
      </c>
      <c r="B20" s="14" t="s">
        <v>38</v>
      </c>
      <c r="C20" s="15">
        <f>'[11]Central Trading'!C20+'[11]Central Origination'!C20+[11]Derivatives!C20+'[11]East Trading'!C20+'[11]East Origination'!C20+'[11]Financial Gas'!C20+[11]Structuring!C20+'[11]Texas Trading'!C20+'[11]Texas Origination'!C20+'[11]West Trading'!C20+'[11]West Origination'!C20+[11]Fundamentals!C20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1.0266666666666666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40</v>
      </c>
      <c r="B21" s="14" t="s">
        <v>41</v>
      </c>
      <c r="C21" s="15">
        <f>'[11]Central Trading'!C21+'[11]Central Origination'!C21+[11]Derivatives!C21+'[11]East Trading'!C21+'[11]East Origination'!C21+'[11]Financial Gas'!C21+[11]Structuring!C21+'[11]Texas Trading'!C21+'[11]Texas Origination'!C21+'[11]West Trading'!C21+'[11]West Origination'!C21+[11]Fundamentals!C21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8713.1217249999936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'[11]Central Trading'!C22+'[11]Central Origination'!C22+[11]Derivatives!C22+'[11]East Trading'!C22+'[11]East Origination'!C22+'[11]Financial Gas'!C22+[11]Structuring!C22+'[11]Texas Trading'!C22+'[11]Texas Origination'!C22+'[11]West Trading'!C22+'[11]West Origination'!C22+[11]Fundamentals!C22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1</v>
      </c>
      <c r="L22" s="25">
        <f t="shared" si="2"/>
        <v>89100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1596708.258658333</v>
      </c>
      <c r="I23" s="25" t="s">
        <v>48</v>
      </c>
      <c r="J23" s="25">
        <v>110000</v>
      </c>
      <c r="K23" s="25">
        <v>1</v>
      </c>
      <c r="L23" s="25">
        <f t="shared" si="2"/>
        <v>110000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v>2</v>
      </c>
      <c r="L24" s="25">
        <f t="shared" si="2"/>
        <v>286000</v>
      </c>
      <c r="P24" s="8"/>
      <c r="Q24" s="8"/>
    </row>
    <row r="25" spans="1:17" x14ac:dyDescent="0.2">
      <c r="B25" s="27" t="s">
        <v>50</v>
      </c>
      <c r="C25" s="15"/>
      <c r="E25" s="31">
        <f>'[11]Central Trading'!E25+'[11]Central Origination'!E25+[11]Derivatives!E25+'[11]East Trading'!E25+'[11]East Origination'!E25+'[11]Financial Gas'!E25+[11]Structuring!E25+'[11]Texas Trading'!E25+'[11]Texas Origination'!E25+'[11]West Trading'!E25+'[11]West Origination'!E25+[11]Fundamentals!E25</f>
        <v>108</v>
      </c>
      <c r="H25" s="31">
        <f>+K16+K17+K18+K19+K20+K23+K24+K25+K26+K27</f>
        <v>6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2"/>
        <v>396000</v>
      </c>
      <c r="P26" s="8"/>
      <c r="Q26" s="32"/>
    </row>
    <row r="27" spans="1:17" x14ac:dyDescent="0.2">
      <c r="B27" s="27" t="s">
        <v>67</v>
      </c>
      <c r="C27" s="15"/>
      <c r="E27" s="31">
        <f>'[11]Central Trading'!E27+'[11]Central Origination'!E27+[11]Derivatives!E27+'[11]East Trading'!E27+'[11]East Origination'!E27+'[11]Financial Gas'!E27+[11]Structuring!E27+'[11]Texas Trading'!E27+'[11]Texas Origination'!E27+'[11]West Trading'!E27+'[11]West Origination'!E27+[11]Fundamentals!E27</f>
        <v>52</v>
      </c>
      <c r="H27" s="31">
        <f>+K21+K22</f>
        <v>1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7</v>
      </c>
      <c r="L28" s="25">
        <f>SUM(L16:L27)*1.2</f>
        <v>1126620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7</v>
      </c>
      <c r="L29" s="52">
        <v>0.2</v>
      </c>
      <c r="P29" s="8"/>
      <c r="Q29" s="32"/>
    </row>
    <row r="30" spans="1:17" hidden="1" x14ac:dyDescent="0.2">
      <c r="L30" s="25">
        <f>L28*1.2</f>
        <v>1351944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7</v>
      </c>
      <c r="L34" s="37">
        <f>+J34*K34</f>
        <v>337891.26875000005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scale="95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R39"/>
  <sheetViews>
    <sheetView zoomScaleNormal="100" workbookViewId="0">
      <selection activeCell="P155" sqref="P155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4" max="14" width="14" customWidth="1"/>
    <col min="16" max="16" width="10.28515625" customWidth="1"/>
    <col min="17" max="17" width="10.7109375" customWidth="1"/>
  </cols>
  <sheetData>
    <row r="1" spans="1:44" ht="18" x14ac:dyDescent="0.2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2" t="s">
        <v>294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'[11]Central Trading'!C8+'[11]Central Origination'!C8+[11]Derivatives!C8+'[11]East Trading'!C8+'[11]East Origination'!C8+'[11]Financial Gas'!C8+[11]Structuring!C8+'[11]Texas Trading'!C8+'[11]Texas Origination'!C8+'[11]West Trading'!C8+'[11]West Origination'!C8+[11]Fundamentals!C8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630459.5</v>
      </c>
      <c r="I8" s="42" t="s">
        <v>10</v>
      </c>
      <c r="J8" s="17">
        <v>0</v>
      </c>
      <c r="K8" s="17"/>
      <c r="L8" s="43">
        <f>L30</f>
        <v>839520</v>
      </c>
      <c r="Q8" s="15"/>
    </row>
    <row r="9" spans="1:44" hidden="1" x14ac:dyDescent="0.2">
      <c r="A9" s="13"/>
      <c r="B9" s="14" t="s">
        <v>11</v>
      </c>
      <c r="C9" s="15">
        <f>'[11]Central Trading'!C9+'[11]Central Origination'!C9+[11]Derivatives!C9+'[11]East Trading'!C9+'[11]East Origination'!C9+'[11]Financial Gas'!C9+[11]Structuring!C9+'[11]Texas Trading'!C9+'[11]Texas Origination'!C9+'[11]West Trading'!C9+'[11]West Origination'!C9+[11]Fundamentals!C9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'[11]Central Trading'!C10+'[11]Central Origination'!C10+[11]Derivatives!C10+'[11]East Trading'!C10+'[11]East Origination'!C10+'[11]Financial Gas'!C10+[11]Structuring!C10+'[11]Texas Trading'!C10+'[11]Texas Origination'!C10+'[11]West Trading'!C10+'[11]West Origination'!C10+[11]Fundamentals!C10</f>
        <v>3095252.76</v>
      </c>
      <c r="D10" s="15"/>
      <c r="E10" s="15">
        <f>('[11]Central Trading'!E9+'[11]Central Origination'!E10+[11]Derivatives!E10+'[11]East Trading'!E10+'[11]East Origination'!E10+'[11]Financial Gas'!E10+[11]Structuring!E10+'[11]Texas Trading'!E10+'[11]Texas Origination'!E10+'[11]West Trading'!E10+'[11]West Origination'!E10+[11]Fundamentals!E10)-4000000</f>
        <v>82420.999999999534</v>
      </c>
      <c r="G10" s="45">
        <f t="shared" si="0"/>
        <v>3.7797619139155266E-3</v>
      </c>
      <c r="H10" s="15">
        <f>(((L21+L22)*1.2)/1.2)*1.1</f>
        <v>0</v>
      </c>
      <c r="I10" s="42"/>
      <c r="J10" s="17"/>
      <c r="K10" s="17"/>
      <c r="L10" s="43"/>
      <c r="Q10" s="15"/>
    </row>
    <row r="11" spans="1:44" x14ac:dyDescent="0.2">
      <c r="A11" s="13" t="s">
        <v>13</v>
      </c>
      <c r="B11" s="14" t="s">
        <v>14</v>
      </c>
      <c r="C11" s="15">
        <f>'[11]Central Trading'!C11+'[11]Central Origination'!C11+[11]Derivatives!C11+'[11]East Trading'!C11+'[11]East Origination'!C11+'[11]Financial Gas'!C11+[11]Structuring!C11+'[11]Texas Trading'!C11+'[11]Texas Origination'!C11+'[11]West Trading'!C11+'[11]West Origination'!C11+[11]Fundamentals!C11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v>100652.2</v>
      </c>
      <c r="I11" s="42" t="s">
        <v>15</v>
      </c>
      <c r="J11" s="17">
        <f>(E12+E13+E14+E15+E16+E17+E18+E19+E20+E21+E22)/E29</f>
        <v>48270.181250000009</v>
      </c>
      <c r="K11" s="17">
        <f>K28</f>
        <v>4</v>
      </c>
      <c r="L11" s="43">
        <f>J11*K11</f>
        <v>193080.72500000003</v>
      </c>
      <c r="Q11" s="15"/>
    </row>
    <row r="12" spans="1:44" x14ac:dyDescent="0.2">
      <c r="A12" s="13" t="s">
        <v>16</v>
      </c>
      <c r="B12" s="14" t="s">
        <v>17</v>
      </c>
      <c r="C12" s="15">
        <f>'[11]Central Trading'!C12+'[11]Central Origination'!C12+[11]Derivatives!C12+'[11]East Trading'!C12+'[11]East Origination'!C12+'[11]Financial Gas'!C12+[11]Structuring!C12+'[11]Texas Trading'!C12+'[11]Texas Origination'!C12+'[11]West Trading'!C12+'[11]West Origination'!C12+[11]Fundamentals!C12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74611.899999999994</v>
      </c>
      <c r="I12" s="42"/>
      <c r="J12" s="17"/>
      <c r="K12" s="17"/>
      <c r="L12" s="43"/>
      <c r="Q12" s="15"/>
    </row>
    <row r="13" spans="1:44" ht="13.5" thickBot="1" x14ac:dyDescent="0.25">
      <c r="A13" s="13" t="s">
        <v>18</v>
      </c>
      <c r="B13" s="14" t="s">
        <v>19</v>
      </c>
      <c r="C13" s="15">
        <f>'[11]Central Trading'!C13+'[11]Central Origination'!C13+[11]Derivatives!C13+'[11]East Trading'!C13+'[11]East Origination'!C13+'[11]Financial Gas'!C13+[11]Structuring!C13+'[11]Texas Trading'!C13+'[11]Texas Origination'!C13+'[11]West Trading'!C13+'[11]West Origination'!C13+[11]Fundamentals!C13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427428.1</v>
      </c>
      <c r="I13" s="46" t="s">
        <v>20</v>
      </c>
      <c r="J13" s="47"/>
      <c r="K13" s="47"/>
      <c r="L13" s="48">
        <f>L8+L11</f>
        <v>1032600.7250000001</v>
      </c>
      <c r="N13" s="25">
        <v>1.1000000000000001</v>
      </c>
      <c r="P13" s="49"/>
      <c r="Q13" s="15"/>
    </row>
    <row r="14" spans="1:44" x14ac:dyDescent="0.2">
      <c r="A14" s="13" t="s">
        <v>21</v>
      </c>
      <c r="B14" s="14" t="s">
        <v>22</v>
      </c>
      <c r="C14" s="15">
        <f>'[11]Central Trading'!C14+'[11]Central Origination'!C14+[11]Derivatives!C14+'[11]East Trading'!C14+'[11]East Origination'!C14+'[11]Financial Gas'!C14+[11]Structuring!C14+'[11]Texas Trading'!C14+'[11]Texas Origination'!C14+'[11]West Trading'!C14+'[11]West Origination'!C14+[11]Fundamentals!C14-C32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44000</v>
      </c>
      <c r="Q14" s="15"/>
    </row>
    <row r="15" spans="1:44" x14ac:dyDescent="0.2">
      <c r="A15" s="13" t="s">
        <v>23</v>
      </c>
      <c r="B15" s="14" t="s">
        <v>24</v>
      </c>
      <c r="C15" s="15">
        <f>'[11]Central Trading'!C15+'[11]Central Origination'!C15+[11]Derivatives!C15+'[11]East Trading'!C15+'[11]East Origination'!C15+'[11]Financial Gas'!C15+[11]Structuring!C15+'[11]Texas Trading'!C15+'[11]Texas Origination'!C15+'[11]West Trading'!C15+'[11]West Origination'!C15+[11]Fundamentals!C15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120811.9</v>
      </c>
      <c r="Q15" s="15"/>
    </row>
    <row r="16" spans="1:44" x14ac:dyDescent="0.2">
      <c r="A16" s="13" t="s">
        <v>25</v>
      </c>
      <c r="B16" s="14" t="s">
        <v>26</v>
      </c>
      <c r="C16" s="15">
        <f>'[11]Central Trading'!C16+'[11]Central Origination'!C16+[11]Derivatives!C16+'[11]East Trading'!C16+'[11]East Origination'!C16+'[11]Financial Gas'!C16+[11]Structuring!C16+'[11]Texas Trading'!C16+'[11]Texas Origination'!C16+'[11]West Trading'!C16+'[11]West Origination'!C16+[11]Fundamentals!C16</f>
        <v>0</v>
      </c>
      <c r="E16" s="20">
        <f>(C16/9)*12</f>
        <v>0</v>
      </c>
      <c r="G16" s="45">
        <f t="shared" si="0"/>
        <v>0</v>
      </c>
      <c r="H16" s="21">
        <v>9428.1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Q16" s="15"/>
    </row>
    <row r="17" spans="1:17" x14ac:dyDescent="0.2">
      <c r="A17" s="13" t="s">
        <v>28</v>
      </c>
      <c r="B17" s="14" t="s">
        <v>29</v>
      </c>
      <c r="C17" s="15">
        <f>'[11]Central Trading'!C17+'[11]Central Origination'!C17+[11]Derivatives!C17+'[11]East Trading'!C17+'[11]East Origination'!C17+'[11]Financial Gas'!C17+[11]Structuring!C17+'[11]Texas Trading'!C17+'[11]Texas Origination'!C17+'[11]West Trading'!C17+'[11]West Origination'!C17+[11]Fundamentals!C17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0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Q17" s="15"/>
    </row>
    <row r="18" spans="1:17" x14ac:dyDescent="0.2">
      <c r="A18" s="13" t="s">
        <v>31</v>
      </c>
      <c r="B18" s="14" t="s">
        <v>32</v>
      </c>
      <c r="C18" s="15">
        <f>'[11]Central Trading'!C18+'[11]Central Origination'!C18+[11]Derivatives!C18+'[11]East Trading'!C18+'[11]East Origination'!C18+'[11]Financial Gas'!C18+[11]Structuring!C18+'[11]Texas Trading'!C18+'[11]Texas Origination'!C18+'[11]West Trading'!C18+'[11]West Origination'!C18+[11]Fundamentals!C18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Q18" s="15"/>
    </row>
    <row r="19" spans="1:17" x14ac:dyDescent="0.2">
      <c r="A19" s="13" t="s">
        <v>34</v>
      </c>
      <c r="B19" s="14" t="s">
        <v>35</v>
      </c>
      <c r="C19" s="15">
        <f>'[11]Central Trading'!C19+'[11]Central Origination'!C19+[11]Derivatives!C19+'[11]East Trading'!C19+'[11]East Origination'!C19+'[11]Financial Gas'!C19+[11]Structuring!C19+'[11]Texas Trading'!C19+'[11]Texas Origination'!C19+'[11]West Trading'!C19+'[11]West Origination'!C19+[11]Fundamentals!C19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50285.4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Q19" s="15"/>
    </row>
    <row r="20" spans="1:17" x14ac:dyDescent="0.2">
      <c r="A20" s="13" t="s">
        <v>37</v>
      </c>
      <c r="B20" s="14" t="s">
        <v>38</v>
      </c>
      <c r="C20" s="15">
        <f>'[11]Central Trading'!C20+'[11]Central Origination'!C20+[11]Derivatives!C20+'[11]East Trading'!C20+'[11]East Origination'!C20+'[11]Financial Gas'!C20+[11]Structuring!C20+'[11]Texas Trading'!C20+'[11]Texas Origination'!C20+'[11]West Trading'!C20+'[11]West Origination'!C20+[11]Fundamentals!C20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Q20" s="15"/>
    </row>
    <row r="21" spans="1:17" x14ac:dyDescent="0.2">
      <c r="A21" s="13" t="s">
        <v>40</v>
      </c>
      <c r="B21" s="14" t="s">
        <v>41</v>
      </c>
      <c r="C21" s="15">
        <f>'[11]Central Trading'!C21+'[11]Central Origination'!C21+[11]Derivatives!C21+'[11]East Trading'!C21+'[11]East Origination'!C21+'[11]Financial Gas'!C21+[11]Structuring!C21+'[11]Texas Trading'!C21+'[11]Texas Origination'!C21+'[11]West Trading'!C21+'[11]West Origination'!C21+[11]Fundamentals!C21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12571.9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'[11]Central Trading'!C22+'[11]Central Origination'!C22+[11]Derivatives!C22+'[11]East Trading'!C22+'[11]East Origination'!C22+'[11]Financial Gas'!C22+[11]Structuring!C22+'[11]Texas Trading'!C22+'[11]Texas Origination'!C22+'[11]West Trading'!C22+'[11]West Origination'!C22+[11]Fundamentals!C22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1470248.9999999998</v>
      </c>
      <c r="I23" s="25" t="s">
        <v>48</v>
      </c>
      <c r="J23" s="25">
        <v>110000</v>
      </c>
      <c r="K23" s="25">
        <v>2</v>
      </c>
      <c r="L23" s="25">
        <f t="shared" si="1"/>
        <v>220000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v>1</v>
      </c>
      <c r="L24" s="25">
        <f t="shared" si="1"/>
        <v>143000</v>
      </c>
      <c r="P24" s="8"/>
      <c r="Q24" s="8"/>
    </row>
    <row r="25" spans="1:17" x14ac:dyDescent="0.2">
      <c r="B25" s="27" t="s">
        <v>50</v>
      </c>
      <c r="C25" s="15"/>
      <c r="E25" s="31">
        <f>'[11]Central Trading'!E25+'[11]Central Origination'!E25+[11]Derivatives!E25+'[11]East Trading'!E25+'[11]East Origination'!E25+'[11]Financial Gas'!E25+[11]Structuring!E25+'[11]Texas Trading'!E25+'[11]Texas Origination'!E25+'[11]West Trading'!E25+'[11]West Origination'!E25+[11]Fundamentals!E25</f>
        <v>108</v>
      </c>
      <c r="H25" s="31">
        <f>+K16+K17+K18+K19+K20+K23+K24+K25+K26+K27</f>
        <v>4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1"/>
        <v>0</v>
      </c>
      <c r="P26" s="8"/>
      <c r="Q26" s="32"/>
    </row>
    <row r="27" spans="1:17" x14ac:dyDescent="0.2">
      <c r="B27" s="27" t="s">
        <v>67</v>
      </c>
      <c r="C27" s="15"/>
      <c r="E27" s="31">
        <f>'[11]Central Trading'!E27+'[11]Central Origination'!E27+[11]Derivatives!E27+'[11]East Trading'!E27+'[11]East Origination'!E27+'[11]Financial Gas'!E27+[11]Structuring!E27+'[11]Texas Trading'!E27+'[11]Texas Origination'!E27+'[11]West Trading'!E27+'[11]West Origination'!E27+[11]Fundamentals!E27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1</v>
      </c>
      <c r="L27" s="25">
        <f t="shared" si="1"/>
        <v>220000</v>
      </c>
      <c r="P27" s="8"/>
      <c r="Q27" s="32"/>
    </row>
    <row r="28" spans="1:17" x14ac:dyDescent="0.2">
      <c r="K28" s="25">
        <f>SUM(K16:K27)</f>
        <v>4</v>
      </c>
      <c r="L28" s="25">
        <f>SUM(L16:L27)*1.2</f>
        <v>699600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4</v>
      </c>
      <c r="L29" s="52">
        <v>0.2</v>
      </c>
      <c r="P29" s="8"/>
      <c r="Q29" s="32"/>
    </row>
    <row r="30" spans="1:17" hidden="1" x14ac:dyDescent="0.2">
      <c r="L30" s="25">
        <f>L28*1.2</f>
        <v>839520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4</v>
      </c>
      <c r="L34" s="37">
        <f>+J34*K34</f>
        <v>193080.72500000003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O39"/>
  <sheetViews>
    <sheetView topLeftCell="A7" zoomScaleNormal="100" workbookViewId="0">
      <selection activeCell="P155" sqref="P155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4" max="14" width="10.7109375" customWidth="1"/>
  </cols>
  <sheetData>
    <row r="1" spans="1:41" ht="18" x14ac:dyDescent="0.25">
      <c r="B1" s="142" t="str">
        <f>'[13]Team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25">
      <c r="B2" s="142" t="s">
        <v>265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.75" thickBot="1" x14ac:dyDescent="0.3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2">
      <c r="I4" s="39"/>
      <c r="J4" s="40"/>
      <c r="K4" s="40"/>
      <c r="L4" s="41"/>
    </row>
    <row r="5" spans="1:41" x14ac:dyDescent="0.2">
      <c r="I5" s="42"/>
      <c r="J5" s="17" t="s">
        <v>1</v>
      </c>
      <c r="K5" s="17" t="s">
        <v>2</v>
      </c>
      <c r="L5" s="43" t="s">
        <v>3</v>
      </c>
    </row>
    <row r="6" spans="1:41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N6" s="44"/>
    </row>
    <row r="7" spans="1:41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N7" s="12"/>
    </row>
    <row r="8" spans="1:41" x14ac:dyDescent="0.2">
      <c r="A8" s="13" t="s">
        <v>9</v>
      </c>
      <c r="B8" s="14" t="s">
        <v>10</v>
      </c>
      <c r="C8" s="15">
        <f>'[14]Central Trading'!C8+'[14]Central Origination'!C8+[14]Derivatives!C8+'[14]East Trading'!C8+'[14]East Origination'!C8+'[14]Financial Gas'!C8+[14]Structuring!C8+'[14]Texas Trading'!C8+'[14]Texas Origination'!C8+'[14]West Trading'!C8+'[14]West Origination'!C8+[14]Fundamentals!C8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624360</v>
      </c>
      <c r="I8" s="42" t="s">
        <v>10</v>
      </c>
      <c r="J8" s="17">
        <v>0</v>
      </c>
      <c r="K8" s="17"/>
      <c r="L8" s="43">
        <f>L30</f>
        <v>855360</v>
      </c>
      <c r="N8" s="15"/>
    </row>
    <row r="9" spans="1:41" hidden="1" x14ac:dyDescent="0.2">
      <c r="A9" s="13"/>
      <c r="B9" s="14" t="s">
        <v>11</v>
      </c>
      <c r="C9" s="15">
        <f>'[14]Central Trading'!C9+'[14]Central Origination'!C9+[14]Derivatives!C9+'[14]East Trading'!C9+'[14]East Origination'!C9+'[14]Financial Gas'!C9+[14]Structuring!C9+'[14]Texas Trading'!C9+'[14]Texas Origination'!C9+'[14]West Trading'!C9+'[14]West Origination'!C9+[14]Fundamentals!C9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N9" s="15"/>
    </row>
    <row r="10" spans="1:41" x14ac:dyDescent="0.2">
      <c r="A10" s="13"/>
      <c r="B10" s="14" t="s">
        <v>65</v>
      </c>
      <c r="C10" s="15">
        <f>'[14]Central Trading'!C10+'[14]Central Origination'!C10+[14]Derivatives!C10+'[14]East Trading'!C10+'[14]East Origination'!C10+'[14]Financial Gas'!C10+[14]Structuring!C10+'[14]Texas Trading'!C10+'[14]Texas Origination'!C10+'[14]West Trading'!C10+'[14]West Origination'!C10+[14]Fundamentals!C10</f>
        <v>3095252.76</v>
      </c>
      <c r="D10" s="15"/>
      <c r="E10" s="15">
        <f>('[14]Central Trading'!E9+'[14]Central Origination'!E10+[14]Derivatives!E10+'[14]East Trading'!E10+'[14]East Origination'!E10+'[14]Financial Gas'!E10+[14]Structuring!E10+'[14]Texas Trading'!E10+'[14]Texas Origination'!E10+'[14]West Trading'!E10+'[14]West Origination'!E10+[14]Fundamentals!E10)-4000000</f>
        <v>82420.999999999534</v>
      </c>
      <c r="G10" s="45">
        <f t="shared" si="0"/>
        <v>3.7797619139155266E-3</v>
      </c>
      <c r="H10" s="15">
        <v>0</v>
      </c>
      <c r="I10" s="42"/>
      <c r="J10" s="17"/>
      <c r="K10" s="17"/>
      <c r="L10" s="43"/>
      <c r="N10" s="15"/>
    </row>
    <row r="11" spans="1:41" x14ac:dyDescent="0.2">
      <c r="A11" s="13" t="s">
        <v>13</v>
      </c>
      <c r="B11" s="14" t="s">
        <v>14</v>
      </c>
      <c r="C11" s="15">
        <f>'[14]Central Trading'!C11+'[14]Central Origination'!C11+[14]Derivatives!C11+'[14]East Trading'!C11+'[14]East Origination'!C11+'[14]Financial Gas'!C11+[14]Structuring!C11+'[14]Texas Trading'!C11+'[14]Texas Origination'!C11+'[14]West Trading'!C11+'[14]West Origination'!C11+[14]Fundamentals!C11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v>128612</v>
      </c>
      <c r="I11" s="42" t="s">
        <v>15</v>
      </c>
      <c r="J11" s="17">
        <f>(E12+E13+E14+E15+E16+E17+E18+E19+E20+E21+E22)/E29</f>
        <v>48270.181250000009</v>
      </c>
      <c r="K11" s="17">
        <f>K28</f>
        <v>4</v>
      </c>
      <c r="L11" s="43">
        <f>J11*K11</f>
        <v>193080.72500000003</v>
      </c>
      <c r="N11" s="15"/>
    </row>
    <row r="12" spans="1:41" x14ac:dyDescent="0.2">
      <c r="A12" s="13" t="s">
        <v>16</v>
      </c>
      <c r="B12" s="14" t="s">
        <v>17</v>
      </c>
      <c r="C12" s="15">
        <f>'[14]Central Trading'!C12+'[14]Central Origination'!C12+[14]Derivatives!C12+'[14]East Trading'!C12+'[14]East Origination'!C12+'[14]Financial Gas'!C12+[14]Structuring!C12+'[14]Texas Trading'!C12+'[14]Texas Origination'!C12+'[14]West Trading'!C12+'[14]West Origination'!C12+[14]Fundamentals!C12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33000</v>
      </c>
      <c r="I12" s="42"/>
      <c r="J12" s="17"/>
      <c r="K12" s="17"/>
      <c r="L12" s="43"/>
      <c r="N12" s="15"/>
    </row>
    <row r="13" spans="1:41" ht="13.5" thickBot="1" x14ac:dyDescent="0.25">
      <c r="A13" s="13" t="s">
        <v>18</v>
      </c>
      <c r="B13" s="14" t="s">
        <v>19</v>
      </c>
      <c r="C13" s="15">
        <f>'[14]Central Trading'!C13+'[14]Central Origination'!C13+[14]Derivatives!C13+'[14]East Trading'!C13+'[14]East Origination'!C13+'[14]Financial Gas'!C13+[14]Structuring!C13+'[14]Texas Trading'!C13+'[14]Texas Origination'!C13+'[14]West Trading'!C13+'[14]West Origination'!C13+[14]Fundamentals!C13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247500</v>
      </c>
      <c r="I13" s="46" t="s">
        <v>20</v>
      </c>
      <c r="J13" s="47"/>
      <c r="K13" s="47"/>
      <c r="L13" s="48">
        <f>L8+L11</f>
        <v>1048440.7250000001</v>
      </c>
      <c r="N13" s="15"/>
    </row>
    <row r="14" spans="1:41" x14ac:dyDescent="0.2">
      <c r="A14" s="13" t="s">
        <v>21</v>
      </c>
      <c r="B14" s="14" t="s">
        <v>22</v>
      </c>
      <c r="C14" s="15">
        <f>'[14]Central Trading'!C14+'[14]Central Origination'!C14+[14]Derivatives!C14+'[14]East Trading'!C14+'[14]East Origination'!C14+'[14]Financial Gas'!C14+[14]Structuring!C14+'[14]Texas Trading'!C14+'[14]Texas Origination'!C14+'[14]West Trading'!C14+'[14]West Origination'!C14+[14]Fundamentals!C14-C32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N14" s="15"/>
    </row>
    <row r="15" spans="1:41" x14ac:dyDescent="0.2">
      <c r="A15" s="13" t="s">
        <v>23</v>
      </c>
      <c r="B15" s="14" t="s">
        <v>24</v>
      </c>
      <c r="C15" s="15">
        <f>'[14]Central Trading'!C15+'[14]Central Origination'!C15+[14]Derivatives!C15+'[14]East Trading'!C15+'[14]East Origination'!C15+'[14]Financial Gas'!C15+[14]Structuring!C15+'[14]Texas Trading'!C15+'[14]Texas Origination'!C15+'[14]West Trading'!C15+'[14]West Origination'!C15+[14]Fundamentals!C15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22000</v>
      </c>
      <c r="N15" s="15"/>
    </row>
    <row r="16" spans="1:41" x14ac:dyDescent="0.2">
      <c r="A16" s="13" t="s">
        <v>25</v>
      </c>
      <c r="B16" s="14" t="s">
        <v>26</v>
      </c>
      <c r="C16" s="15">
        <f>'[14]Central Trading'!C16+'[14]Central Origination'!C16+[14]Derivatives!C16+'[14]East Trading'!C16+'[14]East Origination'!C16+'[14]Financial Gas'!C16+[14]Structuring!C16+'[14]Texas Trading'!C16+'[14]Texas Origination'!C16+'[14]West Trading'!C16+'[14]West Origination'!C16+[14]Fundamentals!C16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N16" s="15"/>
    </row>
    <row r="17" spans="1:14" x14ac:dyDescent="0.2">
      <c r="A17" s="13" t="s">
        <v>28</v>
      </c>
      <c r="B17" s="14" t="s">
        <v>29</v>
      </c>
      <c r="C17" s="15">
        <f>'[14]Central Trading'!C17+'[14]Central Origination'!C17+[14]Derivatives!C17+'[14]East Trading'!C17+'[14]East Origination'!C17+'[14]Financial Gas'!C17+[14]Structuring!C17+'[14]Texas Trading'!C17+'[14]Texas Origination'!C17+'[14]West Trading'!C17+'[14]West Origination'!C17+[14]Fundamentals!C17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5500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N17" s="15"/>
    </row>
    <row r="18" spans="1:14" x14ac:dyDescent="0.2">
      <c r="A18" s="13" t="s">
        <v>31</v>
      </c>
      <c r="B18" s="14" t="s">
        <v>32</v>
      </c>
      <c r="C18" s="15">
        <f>'[14]Central Trading'!C18+'[14]Central Origination'!C18+[14]Derivatives!C18+'[14]East Trading'!C18+'[14]East Origination'!C18+'[14]Financial Gas'!C18+[14]Structuring!C18+'[14]Texas Trading'!C18+'[14]Texas Origination'!C18+'[14]West Trading'!C18+'[14]West Origination'!C18+[14]Fundamentals!C18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N18" s="15"/>
    </row>
    <row r="19" spans="1:14" x14ac:dyDescent="0.2">
      <c r="A19" s="13" t="s">
        <v>34</v>
      </c>
      <c r="B19" s="14" t="s">
        <v>35</v>
      </c>
      <c r="C19" s="15">
        <f>'[14]Central Trading'!C19+'[14]Central Origination'!C19+[14]Derivatives!C19+'[14]East Trading'!C19+'[14]East Origination'!C19+'[14]Financial Gas'!C19+[14]Structuring!C19+'[14]Texas Trading'!C19+'[14]Texas Origination'!C19+'[14]West Trading'!C19+'[14]West Origination'!C19+[14]Fundamentals!C19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22000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N19" s="15"/>
    </row>
    <row r="20" spans="1:14" x14ac:dyDescent="0.2">
      <c r="A20" s="13" t="s">
        <v>37</v>
      </c>
      <c r="B20" s="14" t="s">
        <v>38</v>
      </c>
      <c r="C20" s="15">
        <f>'[14]Central Trading'!C20+'[14]Central Origination'!C20+[14]Derivatives!C20+'[14]East Trading'!C20+'[14]East Origination'!C20+'[14]Financial Gas'!C20+[14]Structuring!C20+'[14]Texas Trading'!C20+'[14]Texas Origination'!C20+'[14]West Trading'!C20+'[14]West Origination'!C20+[14]Fundamentals!C20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N20" s="15"/>
    </row>
    <row r="21" spans="1:14" x14ac:dyDescent="0.2">
      <c r="A21" s="13" t="s">
        <v>40</v>
      </c>
      <c r="B21" s="14" t="s">
        <v>41</v>
      </c>
      <c r="C21" s="15">
        <f>'[14]Central Trading'!C21+'[14]Central Origination'!C21+[14]Derivatives!C21+'[14]East Trading'!C21+'[14]East Origination'!C21+'[14]Financial Gas'!C21+[14]Structuring!C21+'[14]Texas Trading'!C21+'[14]Texas Origination'!C21+'[14]West Trading'!C21+'[14]West Origination'!C21+[14]Fundamentals!C21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6217.2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N21" s="32"/>
    </row>
    <row r="22" spans="1:14" x14ac:dyDescent="0.2">
      <c r="A22" s="13" t="s">
        <v>43</v>
      </c>
      <c r="B22" s="14" t="s">
        <v>44</v>
      </c>
      <c r="C22" s="15">
        <f>'[14]Central Trading'!C22+'[14]Central Origination'!C22+[14]Derivatives!C22+'[14]East Trading'!C22+'[14]East Origination'!C22+'[14]Financial Gas'!C22+[14]Structuring!C22+'[14]Texas Trading'!C22+'[14]Texas Origination'!C22+'[14]West Trading'!C22+'[14]West Origination'!C22+[14]Fundamentals!C22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N22" s="32"/>
    </row>
    <row r="23" spans="1:14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1089189.2</v>
      </c>
      <c r="I23" s="25" t="s">
        <v>48</v>
      </c>
      <c r="J23" s="25">
        <v>110000</v>
      </c>
      <c r="K23" s="25">
        <v>1</v>
      </c>
      <c r="L23" s="25">
        <f t="shared" si="1"/>
        <v>110000</v>
      </c>
      <c r="N23" s="29"/>
    </row>
    <row r="24" spans="1:14" x14ac:dyDescent="0.2">
      <c r="I24" s="25" t="s">
        <v>49</v>
      </c>
      <c r="J24" s="25">
        <v>143000</v>
      </c>
      <c r="K24" s="25">
        <f>1+1</f>
        <v>2</v>
      </c>
      <c r="L24" s="25">
        <f t="shared" si="1"/>
        <v>286000</v>
      </c>
      <c r="N24" s="8"/>
    </row>
    <row r="25" spans="1:14" x14ac:dyDescent="0.2">
      <c r="B25" s="27" t="s">
        <v>50</v>
      </c>
      <c r="C25" s="15"/>
      <c r="E25" s="31">
        <f>'[14]Central Trading'!E25+'[14]Central Origination'!E25+[14]Derivatives!E25+'[14]East Trading'!E25+'[14]East Origination'!E25+'[14]Financial Gas'!E25+[14]Structuring!E25+'[14]Texas Trading'!E25+'[14]Texas Origination'!E25+'[14]West Trading'!E25+'[14]West Origination'!E25+[14]Fundamentals!E25</f>
        <v>108</v>
      </c>
      <c r="H25" s="31">
        <f>+K16+K17+K18+K19+K20+K23+K24+K25+K26+K27</f>
        <v>4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N25" s="32"/>
    </row>
    <row r="26" spans="1:14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N26" s="32"/>
    </row>
    <row r="27" spans="1:14" x14ac:dyDescent="0.2">
      <c r="B27" s="27" t="s">
        <v>67</v>
      </c>
      <c r="C27" s="15"/>
      <c r="E27" s="31">
        <f>'[14]Central Trading'!E27+'[14]Central Origination'!E27+[14]Derivatives!E27+'[14]East Trading'!E27+'[14]East Origination'!E27+'[14]Financial Gas'!E27+[14]Structuring!E27+'[14]Texas Trading'!E27+'[14]Texas Origination'!E27+'[14]West Trading'!E27+'[14]West Origination'!E27+[14]Fundamentals!E27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N27" s="32"/>
    </row>
    <row r="28" spans="1:14" x14ac:dyDescent="0.2">
      <c r="K28" s="25">
        <f>SUM(K16:K27)</f>
        <v>4</v>
      </c>
      <c r="L28" s="25">
        <f>SUM(L16:L27)*1.2</f>
        <v>712800</v>
      </c>
      <c r="N28" s="8"/>
    </row>
    <row r="29" spans="1:14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4</v>
      </c>
      <c r="L29" s="52">
        <v>0.2</v>
      </c>
      <c r="N29" s="32"/>
    </row>
    <row r="30" spans="1:14" hidden="1" x14ac:dyDescent="0.2">
      <c r="L30" s="25">
        <f>L28*1.2</f>
        <v>855360</v>
      </c>
      <c r="N30" s="8"/>
    </row>
    <row r="31" spans="1:14" hidden="1" x14ac:dyDescent="0.2">
      <c r="H31" s="33" t="s">
        <v>56</v>
      </c>
      <c r="L31"/>
      <c r="N31" s="8"/>
    </row>
    <row r="32" spans="1:14" hidden="1" x14ac:dyDescent="0.2">
      <c r="B32" s="14" t="s">
        <v>22</v>
      </c>
      <c r="C32" s="15">
        <v>254512</v>
      </c>
      <c r="L32"/>
      <c r="N32" s="8"/>
    </row>
    <row r="33" spans="8:14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N33" s="8"/>
    </row>
    <row r="34" spans="8:14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4</v>
      </c>
      <c r="L34" s="37">
        <f>+J34*K34</f>
        <v>193080.72500000003</v>
      </c>
      <c r="N34" s="8"/>
    </row>
    <row r="35" spans="8:14" hidden="1" x14ac:dyDescent="0.2">
      <c r="N35" s="8"/>
    </row>
    <row r="36" spans="8:14" hidden="1" x14ac:dyDescent="0.2">
      <c r="N36" s="8"/>
    </row>
    <row r="37" spans="8:14" hidden="1" x14ac:dyDescent="0.2">
      <c r="N37" s="8"/>
    </row>
    <row r="38" spans="8:14" hidden="1" x14ac:dyDescent="0.2">
      <c r="N38" s="8"/>
    </row>
    <row r="39" spans="8:14" x14ac:dyDescent="0.2">
      <c r="N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X88"/>
  <sheetViews>
    <sheetView zoomScaleNormal="100" workbookViewId="0">
      <selection activeCell="Q30" sqref="Q30"/>
    </sheetView>
  </sheetViews>
  <sheetFormatPr defaultRowHeight="12.75" x14ac:dyDescent="0.2"/>
  <cols>
    <col min="4" max="4" width="29.28515625" customWidth="1"/>
    <col min="5" max="5" width="18.5703125" customWidth="1"/>
    <col min="6" max="6" width="2.7109375" customWidth="1"/>
    <col min="7" max="7" width="18.5703125" customWidth="1"/>
    <col min="8" max="8" width="15.5703125" hidden="1" customWidth="1"/>
    <col min="9" max="9" width="2.5703125" hidden="1" customWidth="1"/>
    <col min="10" max="10" width="10.7109375" hidden="1" customWidth="1"/>
    <col min="11" max="11" width="2.85546875" hidden="1" customWidth="1"/>
    <col min="12" max="12" width="15.5703125" hidden="1" customWidth="1"/>
    <col min="13" max="13" width="2.7109375" hidden="1" customWidth="1"/>
    <col min="14" max="14" width="10.7109375" hidden="1" customWidth="1"/>
    <col min="15" max="15" width="2.7109375" customWidth="1"/>
    <col min="16" max="16" width="15.5703125" bestFit="1" customWidth="1"/>
    <col min="17" max="17" width="2.7109375" customWidth="1"/>
    <col min="18" max="18" width="10" customWidth="1"/>
    <col min="19" max="19" width="2.7109375" customWidth="1"/>
    <col min="20" max="20" width="10.7109375" bestFit="1" customWidth="1"/>
    <col min="21" max="21" width="49.42578125" bestFit="1" customWidth="1"/>
  </cols>
  <sheetData>
    <row r="1" spans="1:22" x14ac:dyDescent="0.2">
      <c r="A1" s="83" t="s">
        <v>143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2" x14ac:dyDescent="0.2">
      <c r="A2" s="83" t="s">
        <v>209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2" ht="13.5" thickBot="1" x14ac:dyDescent="0.25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2" ht="13.5" thickBot="1" x14ac:dyDescent="0.25">
      <c r="A4" s="60"/>
      <c r="H4" s="84" t="s">
        <v>198</v>
      </c>
      <c r="I4" s="110"/>
      <c r="J4" s="84">
        <v>2000</v>
      </c>
      <c r="L4" s="84" t="s">
        <v>199</v>
      </c>
      <c r="N4" s="84">
        <v>2001</v>
      </c>
      <c r="P4" s="84" t="s">
        <v>0</v>
      </c>
      <c r="T4" s="84" t="s">
        <v>0</v>
      </c>
    </row>
    <row r="5" spans="1:22" ht="13.5" thickBot="1" x14ac:dyDescent="0.25">
      <c r="E5" s="84" t="s">
        <v>144</v>
      </c>
      <c r="G5" s="120" t="s">
        <v>145</v>
      </c>
      <c r="H5" s="111" t="s">
        <v>146</v>
      </c>
      <c r="I5" s="110"/>
      <c r="J5" s="111" t="s">
        <v>50</v>
      </c>
      <c r="K5" s="110"/>
      <c r="L5" s="111" t="s">
        <v>146</v>
      </c>
      <c r="M5" s="2"/>
      <c r="N5" s="111" t="s">
        <v>50</v>
      </c>
      <c r="O5" s="2"/>
      <c r="P5" s="111" t="s">
        <v>146</v>
      </c>
      <c r="R5" s="84" t="s">
        <v>147</v>
      </c>
      <c r="T5" s="111" t="s">
        <v>50</v>
      </c>
    </row>
    <row r="6" spans="1:22" x14ac:dyDescent="0.2">
      <c r="E6" s="85"/>
      <c r="G6" s="85"/>
      <c r="H6" s="86"/>
      <c r="I6" s="109"/>
      <c r="J6" s="86"/>
      <c r="K6" s="109"/>
      <c r="L6" s="86"/>
      <c r="M6" s="2"/>
      <c r="N6" s="86"/>
      <c r="O6" s="2"/>
      <c r="P6" s="86"/>
      <c r="R6" s="85"/>
      <c r="T6" s="86"/>
    </row>
    <row r="7" spans="1:22" x14ac:dyDescent="0.2">
      <c r="E7" s="86"/>
      <c r="G7" s="86"/>
      <c r="H7" s="86"/>
      <c r="I7" s="109"/>
      <c r="J7" s="86"/>
      <c r="K7" s="109"/>
      <c r="L7" s="86"/>
      <c r="M7" s="2"/>
      <c r="N7" s="86"/>
      <c r="O7" s="2"/>
      <c r="P7" s="86"/>
      <c r="R7" s="86"/>
      <c r="T7" s="86"/>
    </row>
    <row r="8" spans="1:22" x14ac:dyDescent="0.2">
      <c r="B8" t="s">
        <v>208</v>
      </c>
      <c r="E8" s="87">
        <v>0</v>
      </c>
      <c r="F8" s="88"/>
      <c r="G8" s="87">
        <v>425</v>
      </c>
      <c r="H8" s="87">
        <f>67.7-0.7+4.6</f>
        <v>71.599999999999994</v>
      </c>
      <c r="I8" s="104"/>
      <c r="J8" s="112">
        <f>151+12</f>
        <v>163</v>
      </c>
      <c r="K8" s="104"/>
      <c r="L8" s="87">
        <f>29.1+5+4.1</f>
        <v>38.200000000000003</v>
      </c>
      <c r="M8" s="89" t="s">
        <v>148</v>
      </c>
      <c r="N8" s="90">
        <f>164-37+16</f>
        <v>143</v>
      </c>
      <c r="O8" s="89"/>
      <c r="P8" s="87">
        <v>20.6</v>
      </c>
      <c r="Q8" s="88"/>
      <c r="R8" s="87">
        <f>G8-P8</f>
        <v>404.4</v>
      </c>
      <c r="T8" s="90">
        <v>90</v>
      </c>
    </row>
    <row r="9" spans="1:22" x14ac:dyDescent="0.2">
      <c r="E9" s="87"/>
      <c r="F9" s="88"/>
      <c r="G9" s="87"/>
      <c r="H9" s="87"/>
      <c r="I9" s="104"/>
      <c r="J9" s="101"/>
      <c r="K9" s="104"/>
      <c r="L9" s="103" t="s">
        <v>148</v>
      </c>
      <c r="M9" s="88"/>
      <c r="N9" s="90"/>
      <c r="O9" s="88"/>
      <c r="P9" s="87"/>
      <c r="Q9" s="88"/>
      <c r="R9" s="87"/>
      <c r="T9" s="90"/>
    </row>
    <row r="10" spans="1:22" x14ac:dyDescent="0.2">
      <c r="B10" t="s">
        <v>177</v>
      </c>
      <c r="E10" s="87">
        <v>0</v>
      </c>
      <c r="F10" s="88"/>
      <c r="G10" s="87">
        <v>250</v>
      </c>
      <c r="H10" s="87">
        <v>29.9</v>
      </c>
      <c r="I10" s="104"/>
      <c r="J10" s="93">
        <v>147</v>
      </c>
      <c r="K10" s="104"/>
      <c r="L10" s="87">
        <f>32.8+6.4+0.5</f>
        <v>39.699999999999996</v>
      </c>
      <c r="M10" s="88"/>
      <c r="N10" s="90">
        <f>216-29</f>
        <v>187</v>
      </c>
      <c r="O10" s="88"/>
      <c r="P10" s="87">
        <v>10.6</v>
      </c>
      <c r="Q10" s="88"/>
      <c r="R10" s="87">
        <f>G10-P10</f>
        <v>239.4</v>
      </c>
      <c r="T10" s="90">
        <v>64</v>
      </c>
    </row>
    <row r="11" spans="1:22" x14ac:dyDescent="0.2">
      <c r="E11" s="87"/>
      <c r="F11" s="88"/>
      <c r="G11" s="87"/>
      <c r="H11" s="87"/>
      <c r="I11" s="104"/>
      <c r="J11" s="101"/>
      <c r="K11" s="104"/>
      <c r="L11" s="87"/>
      <c r="M11" s="88"/>
      <c r="N11" s="90"/>
      <c r="O11" s="88"/>
      <c r="P11" s="87"/>
      <c r="Q11" s="88"/>
      <c r="R11" s="87"/>
      <c r="T11" s="90"/>
    </row>
    <row r="12" spans="1:22" x14ac:dyDescent="0.2">
      <c r="B12" t="s">
        <v>149</v>
      </c>
      <c r="E12" s="87">
        <v>0</v>
      </c>
      <c r="F12" s="88"/>
      <c r="G12" s="87">
        <v>150</v>
      </c>
      <c r="H12" s="87">
        <v>18.100000000000001</v>
      </c>
      <c r="I12" s="104"/>
      <c r="J12" s="93">
        <v>67</v>
      </c>
      <c r="K12" s="104"/>
      <c r="L12" s="87">
        <f>27.3+6.5</f>
        <v>33.799999999999997</v>
      </c>
      <c r="M12" s="88"/>
      <c r="N12" s="90">
        <f>106-10</f>
        <v>96</v>
      </c>
      <c r="O12" s="88"/>
      <c r="P12" s="87">
        <v>7.9</v>
      </c>
      <c r="Q12" s="88"/>
      <c r="R12" s="87">
        <f>G12-P12</f>
        <v>142.1</v>
      </c>
      <c r="T12" s="90">
        <v>42</v>
      </c>
    </row>
    <row r="13" spans="1:22" x14ac:dyDescent="0.2">
      <c r="E13" s="87"/>
      <c r="F13" s="88"/>
      <c r="G13" s="87"/>
      <c r="H13" s="87"/>
      <c r="I13" s="104"/>
      <c r="J13" s="101"/>
      <c r="K13" s="104"/>
      <c r="L13" s="87"/>
      <c r="M13" s="88"/>
      <c r="N13" s="90"/>
      <c r="O13" s="88"/>
      <c r="P13" s="87"/>
      <c r="Q13" s="88"/>
      <c r="R13" s="87"/>
      <c r="T13" s="90"/>
    </row>
    <row r="14" spans="1:22" x14ac:dyDescent="0.2">
      <c r="B14" t="s">
        <v>178</v>
      </c>
      <c r="E14" s="87">
        <v>0</v>
      </c>
      <c r="F14" s="88"/>
      <c r="G14" s="87">
        <v>50</v>
      </c>
      <c r="H14" s="87">
        <v>8</v>
      </c>
      <c r="I14" s="104"/>
      <c r="J14" s="93">
        <v>47</v>
      </c>
      <c r="K14" s="104"/>
      <c r="L14" s="87">
        <v>9</v>
      </c>
      <c r="M14" s="88"/>
      <c r="N14" s="90">
        <v>49</v>
      </c>
      <c r="O14" s="88"/>
      <c r="P14" s="87">
        <v>4.8</v>
      </c>
      <c r="Q14" s="88"/>
      <c r="R14" s="87">
        <f>G14-P14</f>
        <v>45.2</v>
      </c>
      <c r="T14" s="90">
        <v>27</v>
      </c>
      <c r="V14" s="8"/>
    </row>
    <row r="15" spans="1:22" hidden="1" x14ac:dyDescent="0.2">
      <c r="E15" s="87"/>
      <c r="F15" s="88"/>
      <c r="G15" s="87"/>
      <c r="H15" s="87"/>
      <c r="I15" s="104"/>
      <c r="J15" s="101"/>
      <c r="K15" s="104"/>
      <c r="L15" s="87"/>
      <c r="M15" s="88"/>
      <c r="N15" s="90"/>
      <c r="O15" s="88"/>
      <c r="P15" s="87"/>
      <c r="Q15" s="88"/>
      <c r="R15" s="87"/>
      <c r="T15" s="90"/>
      <c r="V15" s="8"/>
    </row>
    <row r="16" spans="1:22" hidden="1" x14ac:dyDescent="0.2">
      <c r="B16" t="s">
        <v>68</v>
      </c>
      <c r="E16" s="87"/>
      <c r="F16" s="88"/>
      <c r="G16" s="87">
        <v>0</v>
      </c>
      <c r="H16" s="87">
        <v>0</v>
      </c>
      <c r="I16" s="104"/>
      <c r="J16" s="93">
        <v>0</v>
      </c>
      <c r="K16" s="104"/>
      <c r="L16" s="87">
        <v>0</v>
      </c>
      <c r="M16" s="88"/>
      <c r="N16" s="90">
        <v>0</v>
      </c>
      <c r="O16" s="88"/>
      <c r="P16" s="87">
        <v>0</v>
      </c>
      <c r="Q16" s="88"/>
      <c r="R16" s="87">
        <f>G16-P16</f>
        <v>0</v>
      </c>
      <c r="T16" s="90">
        <v>0</v>
      </c>
      <c r="V16" s="8"/>
    </row>
    <row r="17" spans="2:24" x14ac:dyDescent="0.2">
      <c r="E17" s="87"/>
      <c r="F17" s="88"/>
      <c r="G17" s="87"/>
      <c r="H17" s="87"/>
      <c r="I17" s="104"/>
      <c r="J17" s="101"/>
      <c r="K17" s="104"/>
      <c r="L17" s="87"/>
      <c r="M17" s="88"/>
      <c r="N17" s="90"/>
      <c r="O17" s="88"/>
      <c r="P17" s="87"/>
      <c r="Q17" s="88"/>
      <c r="R17" s="87"/>
      <c r="T17" s="90"/>
      <c r="V17" s="8"/>
    </row>
    <row r="18" spans="2:24" hidden="1" x14ac:dyDescent="0.2">
      <c r="B18" t="s">
        <v>200</v>
      </c>
      <c r="E18" s="87"/>
      <c r="F18" s="88"/>
      <c r="G18" s="87"/>
      <c r="H18" s="87">
        <v>162</v>
      </c>
      <c r="I18" s="104"/>
      <c r="J18" s="93">
        <v>151</v>
      </c>
      <c r="K18" s="104"/>
      <c r="L18" s="87">
        <v>140</v>
      </c>
      <c r="M18" s="88"/>
      <c r="N18" s="112">
        <f>25+17</f>
        <v>42</v>
      </c>
      <c r="O18" s="88"/>
      <c r="P18" s="87">
        <v>0</v>
      </c>
      <c r="Q18" s="88"/>
      <c r="R18" s="87"/>
      <c r="T18" s="101">
        <v>0</v>
      </c>
      <c r="V18" s="8"/>
    </row>
    <row r="19" spans="2:24" hidden="1" x14ac:dyDescent="0.2">
      <c r="E19" s="87"/>
      <c r="F19" s="88"/>
      <c r="G19" s="87"/>
      <c r="H19" s="87"/>
      <c r="I19" s="104"/>
      <c r="J19" s="101" t="s">
        <v>148</v>
      </c>
      <c r="K19" s="104"/>
      <c r="L19" s="87"/>
      <c r="M19" s="88"/>
      <c r="N19" s="90" t="s">
        <v>148</v>
      </c>
      <c r="O19" s="88"/>
      <c r="P19" s="87"/>
      <c r="Q19" s="88"/>
      <c r="R19" s="87"/>
      <c r="T19" s="90" t="s">
        <v>148</v>
      </c>
      <c r="V19" s="8"/>
    </row>
    <row r="20" spans="2:24" hidden="1" x14ac:dyDescent="0.2">
      <c r="B20" t="s">
        <v>201</v>
      </c>
      <c r="E20" s="87"/>
      <c r="F20" s="88"/>
      <c r="G20" s="87"/>
      <c r="H20" s="87">
        <v>31</v>
      </c>
      <c r="I20" s="104"/>
      <c r="J20" s="93">
        <v>107</v>
      </c>
      <c r="K20" s="104"/>
      <c r="L20" s="87">
        <v>7</v>
      </c>
      <c r="M20" s="88"/>
      <c r="N20" s="93">
        <v>36</v>
      </c>
      <c r="O20" s="88"/>
      <c r="P20" s="87">
        <v>0</v>
      </c>
      <c r="Q20" s="88"/>
      <c r="R20" s="87"/>
      <c r="T20" s="101">
        <v>0</v>
      </c>
      <c r="V20" s="8"/>
    </row>
    <row r="21" spans="2:24" hidden="1" x14ac:dyDescent="0.2">
      <c r="E21" s="87"/>
      <c r="F21" s="88"/>
      <c r="G21" s="87"/>
      <c r="H21" s="87"/>
      <c r="I21" s="104"/>
      <c r="J21" s="101"/>
      <c r="K21" s="104"/>
      <c r="L21" s="87"/>
      <c r="M21" s="88"/>
      <c r="N21" s="90"/>
      <c r="O21" s="88"/>
      <c r="P21" s="87"/>
      <c r="Q21" s="88"/>
      <c r="R21" s="87"/>
      <c r="T21" s="90"/>
      <c r="V21" s="8"/>
    </row>
    <row r="22" spans="2:24" x14ac:dyDescent="0.2">
      <c r="B22" t="s">
        <v>202</v>
      </c>
      <c r="E22" s="90"/>
      <c r="G22" s="90"/>
      <c r="H22" s="90">
        <v>34.299999999999997</v>
      </c>
      <c r="I22" s="8"/>
      <c r="J22" s="93">
        <v>65</v>
      </c>
      <c r="K22" s="8"/>
      <c r="L22" s="90">
        <v>257.10000000000002</v>
      </c>
      <c r="N22" s="90">
        <v>5</v>
      </c>
      <c r="P22" s="87">
        <v>2.1</v>
      </c>
      <c r="R22" s="87">
        <f>G22-P22</f>
        <v>-2.1</v>
      </c>
      <c r="T22" s="90">
        <v>6</v>
      </c>
    </row>
    <row r="23" spans="2:24" x14ac:dyDescent="0.2">
      <c r="E23" s="92"/>
      <c r="G23" s="92"/>
      <c r="H23" s="90"/>
      <c r="I23" s="8"/>
      <c r="J23" s="92"/>
      <c r="K23" s="8"/>
      <c r="L23" s="90"/>
      <c r="N23" s="92"/>
      <c r="P23" s="91"/>
      <c r="R23" s="92"/>
      <c r="T23" s="92"/>
    </row>
    <row r="24" spans="2:24" x14ac:dyDescent="0.2">
      <c r="D24" s="33" t="s">
        <v>150</v>
      </c>
      <c r="E24" s="94">
        <v>60</v>
      </c>
      <c r="G24" s="95">
        <f>G14+G12+G10+G8</f>
        <v>875</v>
      </c>
      <c r="H24" s="95">
        <f>+H8+H10+H12+H14+H16+H22+H18+H20</f>
        <v>354.9</v>
      </c>
      <c r="I24" s="105"/>
      <c r="J24" s="96">
        <f>+J8+J10+J12+J14+J16+J18+J20+J22</f>
        <v>747</v>
      </c>
      <c r="K24" s="105"/>
      <c r="L24" s="95">
        <f>+L8+L10+L12+L14+L16+L22+L18+L20</f>
        <v>524.79999999999995</v>
      </c>
      <c r="N24" s="96">
        <f>+N8+N10+N12+N14+N16+N22+N18+N20</f>
        <v>558</v>
      </c>
      <c r="P24" s="95">
        <f>+P8+P10+P12+P14+P16+P22+P18+P20</f>
        <v>46</v>
      </c>
      <c r="R24" s="87">
        <f>G24-P24</f>
        <v>829</v>
      </c>
      <c r="T24" s="96">
        <f>+T8+T10+T12+T14+T16+T22+T18+T20</f>
        <v>229</v>
      </c>
    </row>
    <row r="25" spans="2:24" x14ac:dyDescent="0.2">
      <c r="H25" s="90"/>
      <c r="I25" s="8"/>
      <c r="J25" s="97"/>
      <c r="L25" s="90"/>
      <c r="N25" s="97"/>
      <c r="P25" s="87"/>
      <c r="R25" s="97"/>
      <c r="T25" s="97"/>
    </row>
    <row r="26" spans="2:24" x14ac:dyDescent="0.2">
      <c r="B26" t="s">
        <v>151</v>
      </c>
      <c r="H26" s="113">
        <v>14</v>
      </c>
      <c r="I26" s="114"/>
      <c r="J26" s="93">
        <v>128</v>
      </c>
      <c r="L26" s="90">
        <v>7.9</v>
      </c>
      <c r="M26" t="s">
        <v>148</v>
      </c>
      <c r="N26" s="90">
        <v>122</v>
      </c>
      <c r="P26" s="87">
        <v>6.8</v>
      </c>
      <c r="R26" s="98">
        <f>G26-P26</f>
        <v>-6.8</v>
      </c>
      <c r="T26" s="90">
        <v>45</v>
      </c>
      <c r="U26" t="s">
        <v>148</v>
      </c>
      <c r="V26" t="s">
        <v>148</v>
      </c>
      <c r="W26" t="s">
        <v>148</v>
      </c>
      <c r="X26" t="s">
        <v>148</v>
      </c>
    </row>
    <row r="27" spans="2:24" x14ac:dyDescent="0.2">
      <c r="H27" s="90"/>
      <c r="I27" s="8"/>
      <c r="J27" s="90"/>
      <c r="L27" s="90"/>
      <c r="N27" s="90"/>
      <c r="P27" s="87"/>
      <c r="R27" s="98"/>
      <c r="T27" s="90"/>
    </row>
    <row r="28" spans="2:24" x14ac:dyDescent="0.2">
      <c r="B28" t="s">
        <v>203</v>
      </c>
      <c r="E28" t="s">
        <v>148</v>
      </c>
      <c r="H28" s="90">
        <v>5.7</v>
      </c>
      <c r="I28" s="8"/>
      <c r="J28" s="93">
        <v>30</v>
      </c>
      <c r="L28" s="90">
        <v>2.5</v>
      </c>
      <c r="M28" t="s">
        <v>148</v>
      </c>
      <c r="N28" s="90">
        <f>28+7</f>
        <v>35</v>
      </c>
      <c r="P28" s="87">
        <f>1.1+1</f>
        <v>2.1</v>
      </c>
      <c r="R28" s="98">
        <f>G28-P28</f>
        <v>-2.1</v>
      </c>
      <c r="T28" s="90">
        <f>6+4</f>
        <v>10</v>
      </c>
    </row>
    <row r="29" spans="2:24" x14ac:dyDescent="0.2">
      <c r="H29" s="90"/>
      <c r="I29" s="8"/>
      <c r="J29" s="90"/>
      <c r="L29" s="90" t="s">
        <v>148</v>
      </c>
      <c r="N29" s="90"/>
      <c r="P29" s="87"/>
      <c r="R29" s="98"/>
      <c r="T29" s="90"/>
    </row>
    <row r="30" spans="2:24" x14ac:dyDescent="0.2">
      <c r="B30" t="s">
        <v>116</v>
      </c>
      <c r="H30" s="90">
        <v>11.4</v>
      </c>
      <c r="I30" s="8"/>
      <c r="J30" s="115" t="s">
        <v>148</v>
      </c>
      <c r="L30" s="90">
        <v>9.5</v>
      </c>
      <c r="M30" t="s">
        <v>148</v>
      </c>
      <c r="N30" s="93"/>
      <c r="P30" s="87">
        <v>2.2000000000000002</v>
      </c>
      <c r="R30" s="98">
        <f>G30-P30</f>
        <v>-2.2000000000000002</v>
      </c>
      <c r="T30" s="90">
        <v>10</v>
      </c>
    </row>
    <row r="31" spans="2:24" x14ac:dyDescent="0.2">
      <c r="H31" s="90"/>
      <c r="I31" s="8"/>
      <c r="J31" s="90"/>
      <c r="L31" s="90"/>
      <c r="M31" t="s">
        <v>148</v>
      </c>
      <c r="N31" s="90"/>
      <c r="P31" s="87"/>
      <c r="R31" s="90"/>
      <c r="T31" s="90"/>
    </row>
    <row r="32" spans="2:24" x14ac:dyDescent="0.2">
      <c r="B32" t="s">
        <v>121</v>
      </c>
      <c r="H32" s="90">
        <v>11.4</v>
      </c>
      <c r="I32" s="8"/>
      <c r="J32" s="115" t="s">
        <v>148</v>
      </c>
      <c r="L32" s="113">
        <v>7.3</v>
      </c>
      <c r="N32" s="101"/>
      <c r="P32" s="87">
        <v>2.2999999999999998</v>
      </c>
      <c r="R32" s="98">
        <f>G32-P32</f>
        <v>-2.2999999999999998</v>
      </c>
      <c r="T32" s="90">
        <v>15</v>
      </c>
    </row>
    <row r="33" spans="2:22" x14ac:dyDescent="0.2">
      <c r="H33" s="90"/>
      <c r="I33" s="8"/>
      <c r="J33" s="90"/>
      <c r="L33" s="90"/>
      <c r="N33" s="90"/>
      <c r="P33" s="87"/>
      <c r="R33" s="90"/>
      <c r="T33" s="90"/>
    </row>
    <row r="34" spans="2:22" x14ac:dyDescent="0.2">
      <c r="B34" t="s">
        <v>216</v>
      </c>
      <c r="H34" s="90">
        <v>1.2</v>
      </c>
      <c r="I34" s="8"/>
      <c r="J34" s="115">
        <v>0</v>
      </c>
      <c r="L34" s="90">
        <v>0.7</v>
      </c>
      <c r="M34" t="s">
        <v>148</v>
      </c>
      <c r="N34" s="90">
        <v>26</v>
      </c>
      <c r="P34" s="87">
        <v>2.2000000000000002</v>
      </c>
      <c r="R34" s="98">
        <f>G34-P34</f>
        <v>-2.2000000000000002</v>
      </c>
      <c r="T34" s="90">
        <v>11</v>
      </c>
    </row>
    <row r="35" spans="2:22" x14ac:dyDescent="0.2">
      <c r="H35" s="90"/>
      <c r="I35" s="8"/>
      <c r="J35" s="90"/>
      <c r="L35" s="90"/>
      <c r="N35" s="90"/>
      <c r="P35" s="87"/>
      <c r="R35" s="98"/>
      <c r="T35" s="90"/>
    </row>
    <row r="36" spans="2:22" hidden="1" x14ac:dyDescent="0.2">
      <c r="B36" t="s">
        <v>176</v>
      </c>
      <c r="H36" s="90">
        <v>1.1000000000000001</v>
      </c>
      <c r="I36" s="8"/>
      <c r="J36" s="115">
        <v>0</v>
      </c>
      <c r="L36" s="90">
        <v>0.7</v>
      </c>
      <c r="N36" s="90">
        <v>27</v>
      </c>
      <c r="P36" s="87">
        <v>0</v>
      </c>
      <c r="R36" s="98">
        <f>G36-P36</f>
        <v>0</v>
      </c>
      <c r="T36" s="90">
        <v>0</v>
      </c>
    </row>
    <row r="37" spans="2:22" hidden="1" x14ac:dyDescent="0.2">
      <c r="H37" s="90"/>
      <c r="I37" s="8"/>
      <c r="J37" s="90" t="s">
        <v>148</v>
      </c>
      <c r="L37" s="90"/>
      <c r="N37" s="90" t="s">
        <v>148</v>
      </c>
      <c r="P37" s="87"/>
      <c r="R37" s="90"/>
      <c r="T37" s="90" t="s">
        <v>148</v>
      </c>
    </row>
    <row r="38" spans="2:22" x14ac:dyDescent="0.2">
      <c r="B38" t="s">
        <v>152</v>
      </c>
      <c r="H38" s="90"/>
      <c r="I38" s="8"/>
      <c r="J38" s="115" t="s">
        <v>148</v>
      </c>
      <c r="L38" s="90"/>
      <c r="M38" t="s">
        <v>148</v>
      </c>
      <c r="N38" s="90"/>
      <c r="P38" s="87"/>
      <c r="R38" s="98"/>
      <c r="T38" s="90"/>
    </row>
    <row r="39" spans="2:22" x14ac:dyDescent="0.2">
      <c r="C39" t="s">
        <v>153</v>
      </c>
      <c r="H39" s="90">
        <v>10.199999999999999</v>
      </c>
      <c r="I39" s="8"/>
      <c r="J39" s="112" t="s">
        <v>148</v>
      </c>
      <c r="L39" s="113">
        <v>7.6</v>
      </c>
      <c r="N39" s="87"/>
      <c r="P39" s="87">
        <f>(T39/$T$49)*$P$49</f>
        <v>5.3565217391304349</v>
      </c>
      <c r="R39" s="98">
        <f t="shared" ref="R39:R47" si="0">G39-P39</f>
        <v>-5.3565217391304349</v>
      </c>
      <c r="T39" s="90">
        <v>32</v>
      </c>
      <c r="U39">
        <v>5</v>
      </c>
      <c r="V39">
        <v>0.5</v>
      </c>
    </row>
    <row r="40" spans="2:22" x14ac:dyDescent="0.2">
      <c r="C40" t="s">
        <v>154</v>
      </c>
      <c r="H40" s="90">
        <v>8.6</v>
      </c>
      <c r="I40" s="8"/>
      <c r="J40" s="112" t="s">
        <v>148</v>
      </c>
      <c r="L40" s="113">
        <v>6</v>
      </c>
      <c r="N40" s="87"/>
      <c r="P40" s="87">
        <f t="shared" ref="P40:P47" si="1">(T40/$T$49)*$P$49</f>
        <v>6.5282608695652176</v>
      </c>
      <c r="R40" s="98">
        <f t="shared" si="0"/>
        <v>-6.5282608695652176</v>
      </c>
      <c r="T40" s="90">
        <v>39</v>
      </c>
      <c r="U40">
        <v>4</v>
      </c>
      <c r="V40">
        <v>0.5</v>
      </c>
    </row>
    <row r="41" spans="2:22" x14ac:dyDescent="0.2">
      <c r="C41" t="s">
        <v>155</v>
      </c>
      <c r="H41" s="90">
        <v>5.9</v>
      </c>
      <c r="I41" s="8"/>
      <c r="J41" s="112" t="s">
        <v>148</v>
      </c>
      <c r="L41" s="113">
        <v>4</v>
      </c>
      <c r="N41" s="87"/>
      <c r="P41" s="87">
        <f t="shared" si="1"/>
        <v>4.8543478260869568</v>
      </c>
      <c r="R41" s="98">
        <f t="shared" si="0"/>
        <v>-4.8543478260869568</v>
      </c>
      <c r="T41" s="90">
        <f>21+8</f>
        <v>29</v>
      </c>
      <c r="U41">
        <v>4</v>
      </c>
      <c r="V41">
        <v>0.5</v>
      </c>
    </row>
    <row r="42" spans="2:22" x14ac:dyDescent="0.2">
      <c r="C42" t="s">
        <v>156</v>
      </c>
      <c r="H42" s="90">
        <v>3.1</v>
      </c>
      <c r="I42" s="8"/>
      <c r="J42" s="115" t="s">
        <v>148</v>
      </c>
      <c r="L42" s="90">
        <v>2.7</v>
      </c>
      <c r="N42" s="87"/>
      <c r="P42" s="87">
        <f t="shared" si="1"/>
        <v>1.0043478260869565</v>
      </c>
      <c r="R42" s="98">
        <f t="shared" si="0"/>
        <v>-1.0043478260869565</v>
      </c>
      <c r="T42" s="90">
        <v>6</v>
      </c>
      <c r="U42">
        <v>4</v>
      </c>
      <c r="V42">
        <v>0.5</v>
      </c>
    </row>
    <row r="43" spans="2:22" x14ac:dyDescent="0.2">
      <c r="C43" t="s">
        <v>157</v>
      </c>
      <c r="H43" s="90">
        <v>2.7</v>
      </c>
      <c r="I43" s="8"/>
      <c r="J43" s="115" t="s">
        <v>148</v>
      </c>
      <c r="L43" s="90">
        <v>2.1</v>
      </c>
      <c r="M43" s="67"/>
      <c r="N43" s="87"/>
      <c r="O43" s="67"/>
      <c r="P43" s="87">
        <f t="shared" si="1"/>
        <v>2.3434782608695652</v>
      </c>
      <c r="R43" s="98">
        <f t="shared" si="0"/>
        <v>-2.3434782608695652</v>
      </c>
      <c r="T43" s="90">
        <v>14</v>
      </c>
      <c r="U43">
        <v>4</v>
      </c>
      <c r="V43">
        <v>0.5</v>
      </c>
    </row>
    <row r="44" spans="2:22" x14ac:dyDescent="0.2">
      <c r="C44" t="s">
        <v>158</v>
      </c>
      <c r="H44" s="90">
        <v>2.7</v>
      </c>
      <c r="I44" s="8"/>
      <c r="J44" s="115" t="s">
        <v>148</v>
      </c>
      <c r="L44" s="90">
        <v>2.1</v>
      </c>
      <c r="N44" s="87"/>
      <c r="P44" s="87">
        <f t="shared" si="1"/>
        <v>1.8413043478260871</v>
      </c>
      <c r="R44" s="98">
        <f t="shared" si="0"/>
        <v>-1.8413043478260871</v>
      </c>
      <c r="T44" s="90">
        <v>11</v>
      </c>
      <c r="U44">
        <v>4</v>
      </c>
      <c r="V44">
        <v>0.5</v>
      </c>
    </row>
    <row r="45" spans="2:22" x14ac:dyDescent="0.2">
      <c r="C45" t="s">
        <v>159</v>
      </c>
      <c r="H45" s="90">
        <v>2.7</v>
      </c>
      <c r="I45" s="8"/>
      <c r="J45" s="115" t="s">
        <v>148</v>
      </c>
      <c r="L45" s="90">
        <v>2.5</v>
      </c>
      <c r="N45" s="87"/>
      <c r="P45" s="87">
        <f t="shared" si="1"/>
        <v>1.3391304347826087</v>
      </c>
      <c r="R45" s="98">
        <f t="shared" si="0"/>
        <v>-1.3391304347826087</v>
      </c>
      <c r="T45" s="90">
        <v>8</v>
      </c>
      <c r="U45">
        <v>5</v>
      </c>
      <c r="V45">
        <v>0.5</v>
      </c>
    </row>
    <row r="46" spans="2:22" x14ac:dyDescent="0.2">
      <c r="C46" t="s">
        <v>160</v>
      </c>
      <c r="H46" s="92">
        <v>3.3</v>
      </c>
      <c r="I46" s="8"/>
      <c r="J46" s="116" t="s">
        <v>148</v>
      </c>
      <c r="L46" s="92">
        <v>2.9</v>
      </c>
      <c r="N46" s="91"/>
      <c r="P46" s="87">
        <f t="shared" si="1"/>
        <v>2.3434782608695652</v>
      </c>
      <c r="R46" s="98">
        <f t="shared" si="0"/>
        <v>-2.3434782608695652</v>
      </c>
      <c r="T46" s="90">
        <v>14</v>
      </c>
      <c r="U46" s="121">
        <v>6</v>
      </c>
      <c r="V46">
        <v>0.05</v>
      </c>
    </row>
    <row r="47" spans="2:22" x14ac:dyDescent="0.2">
      <c r="C47" t="s">
        <v>217</v>
      </c>
      <c r="H47" s="90"/>
      <c r="I47" s="8"/>
      <c r="J47" s="115"/>
      <c r="L47" s="90"/>
      <c r="N47" s="87"/>
      <c r="P47" s="87">
        <f t="shared" si="1"/>
        <v>4.8543478260869568</v>
      </c>
      <c r="R47" s="98">
        <f t="shared" si="0"/>
        <v>-4.8543478260869568</v>
      </c>
      <c r="T47" s="90">
        <v>29</v>
      </c>
      <c r="U47" s="8"/>
    </row>
    <row r="48" spans="2:22" x14ac:dyDescent="0.2">
      <c r="C48" t="s">
        <v>218</v>
      </c>
      <c r="H48" s="90"/>
      <c r="I48" s="8"/>
      <c r="J48" s="115"/>
      <c r="L48" s="90"/>
      <c r="N48" s="87"/>
      <c r="P48" s="91">
        <f>(T48/$T$49)*$P$49+0.1</f>
        <v>0.43478260869565222</v>
      </c>
      <c r="R48" s="94">
        <f>G48-P48+0.06</f>
        <v>-0.37478260869565222</v>
      </c>
      <c r="T48" s="92">
        <v>2</v>
      </c>
      <c r="U48" s="8"/>
    </row>
    <row r="49" spans="2:23" x14ac:dyDescent="0.2">
      <c r="H49" s="100">
        <f>SUM(H39:H46)</f>
        <v>39.199999999999996</v>
      </c>
      <c r="I49" s="117"/>
      <c r="J49" s="99">
        <v>452</v>
      </c>
      <c r="L49" s="100">
        <f>SUM(L39:L46)</f>
        <v>29.900000000000002</v>
      </c>
      <c r="N49" s="99"/>
      <c r="P49" s="100">
        <v>30.8</v>
      </c>
      <c r="R49" s="98">
        <f>SUM(R39:R48)</f>
        <v>-30.840000000000003</v>
      </c>
      <c r="T49" s="99">
        <f>SUM(T39:T48)</f>
        <v>184</v>
      </c>
      <c r="U49">
        <v>178</v>
      </c>
      <c r="V49">
        <f>SUM(V39:V46)</f>
        <v>3.55</v>
      </c>
      <c r="W49" t="s">
        <v>161</v>
      </c>
    </row>
    <row r="50" spans="2:23" x14ac:dyDescent="0.2">
      <c r="H50" s="90"/>
      <c r="I50" s="8"/>
      <c r="J50" s="90"/>
      <c r="L50" s="90"/>
      <c r="N50" s="90"/>
      <c r="P50" s="90"/>
      <c r="R50" s="90"/>
      <c r="T50" s="90"/>
    </row>
    <row r="51" spans="2:23" x14ac:dyDescent="0.2">
      <c r="B51" t="s">
        <v>162</v>
      </c>
      <c r="H51" s="90">
        <v>10.7</v>
      </c>
      <c r="I51" s="8"/>
      <c r="J51" s="93">
        <v>39</v>
      </c>
      <c r="L51" s="90">
        <v>4.0999999999999996</v>
      </c>
      <c r="M51" t="s">
        <v>148</v>
      </c>
      <c r="N51" s="99">
        <v>105</v>
      </c>
      <c r="P51" s="87">
        <v>1.6</v>
      </c>
      <c r="R51" s="98">
        <f>G51-P51</f>
        <v>-1.6</v>
      </c>
      <c r="T51" s="99">
        <v>14</v>
      </c>
    </row>
    <row r="52" spans="2:23" x14ac:dyDescent="0.2">
      <c r="H52" s="90"/>
      <c r="I52" s="8"/>
      <c r="J52" s="90"/>
      <c r="L52" s="90"/>
      <c r="N52" s="90"/>
      <c r="P52" s="90"/>
      <c r="R52" s="90"/>
      <c r="T52" s="90"/>
    </row>
    <row r="53" spans="2:23" x14ac:dyDescent="0.2">
      <c r="B53" t="s">
        <v>179</v>
      </c>
      <c r="H53" s="90">
        <v>27.5</v>
      </c>
      <c r="I53" s="8"/>
      <c r="J53" s="93">
        <v>175</v>
      </c>
      <c r="L53" s="113">
        <v>29</v>
      </c>
      <c r="M53" t="s">
        <v>148</v>
      </c>
      <c r="N53" s="99"/>
      <c r="P53" s="87">
        <v>36</v>
      </c>
      <c r="R53" s="98">
        <f>G53-P53</f>
        <v>-36</v>
      </c>
      <c r="T53" s="99">
        <v>140</v>
      </c>
      <c r="U53" t="s">
        <v>148</v>
      </c>
      <c r="V53" t="s">
        <v>148</v>
      </c>
    </row>
    <row r="54" spans="2:23" x14ac:dyDescent="0.2">
      <c r="B54" t="s">
        <v>180</v>
      </c>
      <c r="H54" s="90">
        <v>48.9</v>
      </c>
      <c r="I54" s="8"/>
      <c r="J54" s="115" t="s">
        <v>148</v>
      </c>
      <c r="L54" s="113">
        <v>55</v>
      </c>
      <c r="N54" s="99"/>
      <c r="P54" s="87">
        <v>50.1</v>
      </c>
      <c r="R54" s="98">
        <f>G54-P54</f>
        <v>-50.1</v>
      </c>
      <c r="T54" s="99">
        <v>59</v>
      </c>
    </row>
    <row r="55" spans="2:23" hidden="1" x14ac:dyDescent="0.2">
      <c r="B55" t="s">
        <v>181</v>
      </c>
      <c r="H55" s="90">
        <v>1.1000000000000001</v>
      </c>
      <c r="I55" s="8"/>
      <c r="J55" s="115" t="s">
        <v>148</v>
      </c>
      <c r="L55" s="90">
        <v>7.7</v>
      </c>
      <c r="N55" s="99"/>
      <c r="P55" s="87">
        <v>0</v>
      </c>
      <c r="R55" s="98">
        <f>G55-P55</f>
        <v>0</v>
      </c>
      <c r="T55" s="99">
        <v>0</v>
      </c>
    </row>
    <row r="56" spans="2:23" x14ac:dyDescent="0.2">
      <c r="B56" t="s">
        <v>182</v>
      </c>
      <c r="H56" s="90">
        <v>0.8</v>
      </c>
      <c r="I56" s="8"/>
      <c r="J56" s="115" t="s">
        <v>148</v>
      </c>
      <c r="L56" s="90">
        <v>5.2</v>
      </c>
      <c r="N56" s="99"/>
      <c r="P56" s="87">
        <v>5.9</v>
      </c>
      <c r="R56" s="98">
        <f>G56-P56</f>
        <v>-5.9</v>
      </c>
      <c r="T56" s="99">
        <v>39</v>
      </c>
    </row>
    <row r="57" spans="2:23" x14ac:dyDescent="0.2">
      <c r="H57" s="90"/>
      <c r="I57" s="8"/>
      <c r="J57" s="99"/>
      <c r="L57" s="90"/>
      <c r="N57" s="99"/>
      <c r="P57" s="87"/>
      <c r="R57" s="98"/>
      <c r="T57" s="99"/>
    </row>
    <row r="58" spans="2:23" x14ac:dyDescent="0.2">
      <c r="H58" s="90"/>
      <c r="I58" s="8"/>
      <c r="J58" s="90"/>
      <c r="L58" s="90"/>
      <c r="N58" s="90"/>
      <c r="P58" s="93"/>
      <c r="R58" s="90"/>
      <c r="T58" s="90"/>
    </row>
    <row r="59" spans="2:23" x14ac:dyDescent="0.2">
      <c r="B59" t="s">
        <v>163</v>
      </c>
      <c r="H59" s="90">
        <v>2.8</v>
      </c>
      <c r="I59" s="8"/>
      <c r="J59" s="115">
        <v>0</v>
      </c>
      <c r="L59" s="90">
        <v>3.5</v>
      </c>
      <c r="M59" t="s">
        <v>148</v>
      </c>
      <c r="N59" s="99">
        <v>96</v>
      </c>
      <c r="P59" s="87">
        <v>4.8</v>
      </c>
      <c r="R59" s="98">
        <f>G59-P59</f>
        <v>-4.8</v>
      </c>
      <c r="T59" s="99">
        <v>33</v>
      </c>
    </row>
    <row r="60" spans="2:23" x14ac:dyDescent="0.2">
      <c r="H60" s="90"/>
      <c r="I60" s="8"/>
      <c r="J60" s="90"/>
      <c r="L60" s="90"/>
      <c r="N60" s="90"/>
      <c r="P60" s="93"/>
      <c r="R60" s="90"/>
      <c r="T60" s="90"/>
    </row>
    <row r="61" spans="2:23" x14ac:dyDescent="0.2">
      <c r="B61" t="s">
        <v>128</v>
      </c>
      <c r="H61" s="90">
        <v>39.299999999999997</v>
      </c>
      <c r="I61" s="8"/>
      <c r="J61" s="93">
        <v>90</v>
      </c>
      <c r="L61" s="90">
        <v>10.1</v>
      </c>
      <c r="M61" t="s">
        <v>148</v>
      </c>
      <c r="N61" s="99">
        <v>116</v>
      </c>
      <c r="P61" s="87">
        <v>9.5</v>
      </c>
      <c r="R61" s="98">
        <f>G61-P61</f>
        <v>-9.5</v>
      </c>
      <c r="T61" s="99">
        <v>21</v>
      </c>
      <c r="U61" t="s">
        <v>148</v>
      </c>
      <c r="V61" t="s">
        <v>148</v>
      </c>
    </row>
    <row r="62" spans="2:23" x14ac:dyDescent="0.2">
      <c r="H62" s="90"/>
      <c r="I62" s="8"/>
      <c r="J62" s="99"/>
      <c r="L62" s="90"/>
      <c r="N62" s="99"/>
      <c r="P62" s="87"/>
      <c r="R62" s="98"/>
      <c r="T62" s="99"/>
      <c r="V62" t="s">
        <v>148</v>
      </c>
    </row>
    <row r="63" spans="2:23" x14ac:dyDescent="0.2">
      <c r="B63" t="s">
        <v>164</v>
      </c>
      <c r="H63" s="90"/>
      <c r="I63" s="8"/>
      <c r="J63" s="99"/>
      <c r="L63" s="90"/>
      <c r="M63" t="s">
        <v>148</v>
      </c>
      <c r="N63" s="99"/>
      <c r="P63" s="87"/>
      <c r="R63" s="98"/>
      <c r="T63" s="99"/>
    </row>
    <row r="64" spans="2:23" x14ac:dyDescent="0.2">
      <c r="C64" t="s">
        <v>183</v>
      </c>
      <c r="H64" s="113">
        <f>15.3+0.7</f>
        <v>16</v>
      </c>
      <c r="I64" s="8"/>
      <c r="J64" s="99"/>
      <c r="L64" s="113">
        <v>6</v>
      </c>
      <c r="N64" s="99"/>
      <c r="P64" s="87">
        <v>5</v>
      </c>
      <c r="R64" s="98">
        <f>G64-P64</f>
        <v>-5</v>
      </c>
      <c r="T64" s="99"/>
    </row>
    <row r="65" spans="2:21" x14ac:dyDescent="0.2">
      <c r="C65" t="s">
        <v>184</v>
      </c>
      <c r="H65" s="113">
        <v>1</v>
      </c>
      <c r="I65" s="114"/>
      <c r="J65" s="99"/>
      <c r="L65" s="90">
        <v>0.8</v>
      </c>
      <c r="N65" s="99"/>
      <c r="P65" s="87">
        <v>1</v>
      </c>
      <c r="R65" s="98">
        <f>G65-P65</f>
        <v>-1</v>
      </c>
      <c r="T65" s="99"/>
    </row>
    <row r="66" spans="2:21" x14ac:dyDescent="0.2">
      <c r="C66" t="s">
        <v>161</v>
      </c>
      <c r="H66" s="113">
        <v>1</v>
      </c>
      <c r="I66" s="114"/>
      <c r="J66" s="99"/>
      <c r="L66" s="113">
        <v>0.1</v>
      </c>
      <c r="N66" s="99"/>
      <c r="P66" s="87">
        <v>1</v>
      </c>
      <c r="R66" s="98">
        <f>G66-P66</f>
        <v>-1</v>
      </c>
      <c r="T66" s="99"/>
    </row>
    <row r="67" spans="2:21" x14ac:dyDescent="0.2">
      <c r="C67" t="s">
        <v>68</v>
      </c>
      <c r="H67" s="90">
        <v>0.4</v>
      </c>
      <c r="I67" s="8"/>
      <c r="J67" s="99"/>
      <c r="L67" s="90">
        <v>0.1</v>
      </c>
      <c r="N67" s="99"/>
      <c r="P67" s="87">
        <v>0.6</v>
      </c>
      <c r="R67" s="98">
        <f>G67-P67</f>
        <v>-0.6</v>
      </c>
      <c r="T67" s="99"/>
    </row>
    <row r="68" spans="2:21" x14ac:dyDescent="0.2">
      <c r="H68" s="90"/>
      <c r="I68" s="8"/>
      <c r="J68" s="99"/>
      <c r="L68" s="90"/>
      <c r="N68" s="99"/>
      <c r="P68" s="87"/>
      <c r="R68" s="98"/>
      <c r="T68" s="99"/>
    </row>
    <row r="69" spans="2:21" hidden="1" x14ac:dyDescent="0.2">
      <c r="B69" t="s">
        <v>204</v>
      </c>
      <c r="H69" s="90">
        <f>7.3-0.4</f>
        <v>6.8999999999999995</v>
      </c>
      <c r="I69" s="8"/>
      <c r="J69" s="99"/>
      <c r="L69" s="90">
        <v>37.4</v>
      </c>
      <c r="N69" s="99"/>
      <c r="P69" s="87">
        <v>0</v>
      </c>
      <c r="R69" s="98"/>
      <c r="T69" s="99"/>
    </row>
    <row r="70" spans="2:21" hidden="1" x14ac:dyDescent="0.2">
      <c r="H70" s="90"/>
      <c r="I70" s="8"/>
      <c r="J70" s="99"/>
      <c r="L70" s="90"/>
      <c r="N70" s="99"/>
      <c r="P70" s="87"/>
      <c r="R70" s="98"/>
      <c r="T70" s="99"/>
    </row>
    <row r="71" spans="2:21" hidden="1" x14ac:dyDescent="0.2">
      <c r="B71" t="s">
        <v>15</v>
      </c>
      <c r="H71" s="101">
        <v>0</v>
      </c>
      <c r="I71" s="8"/>
      <c r="J71" s="99"/>
      <c r="L71" s="90">
        <v>20.9</v>
      </c>
      <c r="N71" s="99"/>
      <c r="P71" s="87"/>
      <c r="R71" s="98"/>
      <c r="T71" s="99"/>
    </row>
    <row r="72" spans="2:21" hidden="1" x14ac:dyDescent="0.2">
      <c r="H72" s="90"/>
      <c r="I72" s="8"/>
      <c r="J72" s="99"/>
      <c r="L72" s="90"/>
      <c r="N72" s="99"/>
      <c r="P72" s="87"/>
      <c r="R72" s="98"/>
      <c r="T72" s="99"/>
    </row>
    <row r="73" spans="2:21" x14ac:dyDescent="0.2">
      <c r="B73" t="s">
        <v>185</v>
      </c>
      <c r="H73" s="90">
        <v>0.1</v>
      </c>
      <c r="I73" s="8"/>
      <c r="J73" s="99">
        <v>0</v>
      </c>
      <c r="L73" s="113">
        <v>13.6</v>
      </c>
      <c r="N73" s="99">
        <f>29+29+10+37+24</f>
        <v>129</v>
      </c>
      <c r="P73" s="87">
        <f>4.3+1.1+1</f>
        <v>6.4</v>
      </c>
      <c r="R73" s="98">
        <f>G73-P73</f>
        <v>-6.4</v>
      </c>
      <c r="T73" s="99">
        <f>29+6+5</f>
        <v>40</v>
      </c>
    </row>
    <row r="74" spans="2:21" x14ac:dyDescent="0.2">
      <c r="H74" s="90"/>
      <c r="I74" s="8"/>
      <c r="J74" s="99"/>
      <c r="L74" s="90"/>
      <c r="N74" s="99"/>
      <c r="P74" s="87"/>
      <c r="R74" s="98"/>
      <c r="T74" s="99"/>
    </row>
    <row r="75" spans="2:21" x14ac:dyDescent="0.2">
      <c r="H75" s="90"/>
      <c r="I75" s="8"/>
      <c r="J75" s="99"/>
      <c r="L75" s="90"/>
      <c r="N75" s="99"/>
      <c r="P75" s="87"/>
      <c r="R75" s="98"/>
      <c r="T75" s="99"/>
    </row>
    <row r="76" spans="2:21" x14ac:dyDescent="0.2">
      <c r="B76" t="s">
        <v>186</v>
      </c>
      <c r="H76" s="90"/>
      <c r="I76" s="8"/>
      <c r="J76" s="99"/>
      <c r="L76" s="87"/>
      <c r="N76" s="99"/>
      <c r="P76" s="87">
        <f>9+2.4+2</f>
        <v>13.4</v>
      </c>
      <c r="R76" s="98">
        <f>G76-P76</f>
        <v>-13.4</v>
      </c>
      <c r="T76" s="99"/>
      <c r="U76" t="s">
        <v>205</v>
      </c>
    </row>
    <row r="77" spans="2:21" x14ac:dyDescent="0.2">
      <c r="H77" s="90"/>
      <c r="I77" s="8"/>
      <c r="J77" s="99"/>
      <c r="L77" s="90"/>
      <c r="N77" s="99"/>
      <c r="P77" s="87"/>
      <c r="R77" s="98"/>
      <c r="T77" s="99"/>
      <c r="U77" t="s">
        <v>206</v>
      </c>
    </row>
    <row r="78" spans="2:21" x14ac:dyDescent="0.2">
      <c r="B78" t="s">
        <v>165</v>
      </c>
      <c r="H78" s="90">
        <v>130.6</v>
      </c>
      <c r="I78" s="8"/>
      <c r="J78" s="90"/>
      <c r="L78" s="87">
        <v>61.2</v>
      </c>
      <c r="N78" s="90"/>
      <c r="P78" s="87">
        <v>0</v>
      </c>
      <c r="R78" s="101">
        <v>0</v>
      </c>
      <c r="T78" s="90"/>
    </row>
    <row r="79" spans="2:21" x14ac:dyDescent="0.2">
      <c r="H79" s="90"/>
      <c r="I79" s="8"/>
      <c r="J79" s="92"/>
      <c r="L79" s="90"/>
      <c r="N79" s="92"/>
      <c r="P79" s="87"/>
      <c r="Q79" s="8"/>
      <c r="R79" s="98"/>
      <c r="T79" s="92"/>
    </row>
    <row r="80" spans="2:21" x14ac:dyDescent="0.2">
      <c r="D80" s="33" t="s">
        <v>166</v>
      </c>
      <c r="H80" s="118">
        <f>+H26+H28+H30+H32+H34+H36+H49+H51+H53+H54+H55+H56+H59+H61+H64+H65+H66+H67+H73+H76+H69+H78</f>
        <v>371.1</v>
      </c>
      <c r="I80" s="104"/>
      <c r="J80" s="119">
        <f>+J26+J28+J49+J51+J53+J61</f>
        <v>914</v>
      </c>
      <c r="L80" s="118">
        <f>+L26+L28+L30+L32+L34+L36+L49+L51+L53+L54+L55+L56+L59+L61+L64+L65+L66+L67+L73+L76+L69+L78+L71</f>
        <v>313.19999999999993</v>
      </c>
      <c r="N80" s="119">
        <f>+N26+N28+N30+N32+N34+N36+N49+N51+N53+N54+N55+N56+N59+N61+N64+N65+N66+N67+N73+N76+N69+N78</f>
        <v>656</v>
      </c>
      <c r="P80" s="118">
        <f>+P26+P28+P30+P32+P34+P36+P49+P51+P53+P54+P55+P56+P59+P61+P64+P65+P66+P67+P73+P76+P69+P78</f>
        <v>181.70000000000002</v>
      </c>
      <c r="Q80" s="103" t="s">
        <v>148</v>
      </c>
      <c r="R80" s="102">
        <f>+R26+R28+R30+R32+R34+R36+R49+R51+R53+R54+R55+R56+R59+R61+R64+R65+R66+R67+R73+R76</f>
        <v>-181.74000000000004</v>
      </c>
      <c r="T80" s="119">
        <f>+T26+T28+T30+T32+T34+T36+T49+T51+T53+T54+T55+T56+T59+T61+T64+T65+T66+T67+T73+T76+T69+T78</f>
        <v>621</v>
      </c>
    </row>
    <row r="81" spans="2:20" x14ac:dyDescent="0.2">
      <c r="E81" s="104"/>
      <c r="F81" s="8"/>
      <c r="G81" s="104"/>
      <c r="H81" s="87"/>
      <c r="I81" s="104"/>
      <c r="J81" s="102"/>
      <c r="K81" s="104"/>
      <c r="L81" s="87"/>
      <c r="N81" s="102"/>
      <c r="P81" s="102"/>
      <c r="R81" s="102"/>
      <c r="T81" s="102"/>
    </row>
    <row r="82" spans="2:20" x14ac:dyDescent="0.2">
      <c r="E82" s="104"/>
      <c r="F82" s="8"/>
      <c r="G82" s="104"/>
      <c r="H82" s="87"/>
      <c r="I82" s="104"/>
      <c r="J82" s="87"/>
      <c r="K82" s="104"/>
      <c r="L82" s="87"/>
      <c r="N82" s="87"/>
      <c r="P82" s="87"/>
      <c r="R82" s="87"/>
      <c r="T82" s="87"/>
    </row>
    <row r="83" spans="2:20" x14ac:dyDescent="0.2">
      <c r="D83" s="33" t="s">
        <v>207</v>
      </c>
      <c r="E83" s="105"/>
      <c r="F83" s="8"/>
      <c r="G83" s="95">
        <f>G24</f>
        <v>875</v>
      </c>
      <c r="H83" s="106">
        <f>H80+H24</f>
        <v>726</v>
      </c>
      <c r="I83" s="117"/>
      <c r="J83" s="107">
        <f>J80+J24</f>
        <v>1661</v>
      </c>
      <c r="K83" s="105"/>
      <c r="L83" s="106">
        <f>L80+L24</f>
        <v>837.99999999999989</v>
      </c>
      <c r="N83" s="107">
        <f>N80+N24</f>
        <v>1214</v>
      </c>
      <c r="P83" s="106">
        <f>P80+P24</f>
        <v>227.70000000000002</v>
      </c>
      <c r="R83" s="106">
        <f>G83-P83</f>
        <v>647.29999999999995</v>
      </c>
      <c r="T83" s="107">
        <f>T80+T24</f>
        <v>850</v>
      </c>
    </row>
    <row r="84" spans="2:20" x14ac:dyDescent="0.2">
      <c r="F84" s="8"/>
      <c r="G84" s="104"/>
      <c r="H84" s="104"/>
      <c r="I84" s="104"/>
      <c r="J84" s="104"/>
      <c r="K84" s="104"/>
      <c r="L84" s="104"/>
      <c r="P84" s="104"/>
      <c r="R84" s="104"/>
      <c r="T84" s="104"/>
    </row>
    <row r="85" spans="2:20" x14ac:dyDescent="0.2">
      <c r="B85" t="s">
        <v>210</v>
      </c>
      <c r="G85" s="8"/>
      <c r="H85" s="8"/>
      <c r="I85" s="8"/>
      <c r="J85" s="8"/>
      <c r="K85" s="8"/>
      <c r="L85" s="8"/>
      <c r="P85" s="8"/>
      <c r="Q85" s="8"/>
      <c r="R85" s="8"/>
      <c r="S85" s="8"/>
      <c r="T85" s="8"/>
    </row>
    <row r="86" spans="2:20" x14ac:dyDescent="0.2">
      <c r="B86" t="s">
        <v>211</v>
      </c>
      <c r="G86" s="8"/>
      <c r="H86" s="8"/>
      <c r="I86" s="8"/>
      <c r="J86" s="8"/>
      <c r="K86" s="8"/>
      <c r="L86" s="8"/>
    </row>
    <row r="87" spans="2:20" x14ac:dyDescent="0.2">
      <c r="B87" t="s">
        <v>212</v>
      </c>
      <c r="G87" s="8"/>
      <c r="H87" s="8"/>
      <c r="I87" s="8"/>
      <c r="J87" s="8"/>
      <c r="K87" s="8"/>
      <c r="L87" s="8"/>
    </row>
    <row r="88" spans="2:20" x14ac:dyDescent="0.2">
      <c r="B88" t="s">
        <v>213</v>
      </c>
      <c r="G88" s="8"/>
      <c r="H88" s="8"/>
      <c r="I88" s="8"/>
      <c r="J88" s="8"/>
      <c r="K88" s="8"/>
      <c r="L88" s="8"/>
    </row>
  </sheetData>
  <phoneticPr fontId="0" type="noConversion"/>
  <pageMargins left="0.52" right="0.46" top="1" bottom="1" header="0.5" footer="0.5"/>
  <pageSetup scale="68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AR39"/>
  <sheetViews>
    <sheetView zoomScaleNormal="100" workbookViewId="0">
      <selection activeCell="P155" sqref="P155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4" max="14" width="21.28515625" customWidth="1"/>
    <col min="15" max="15" width="16.85546875" customWidth="1"/>
    <col min="16" max="16" width="10.28515625" customWidth="1"/>
    <col min="17" max="17" width="10.7109375" customWidth="1"/>
  </cols>
  <sheetData>
    <row r="1" spans="1:44" ht="18" x14ac:dyDescent="0.2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2" t="s">
        <v>247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'[11]Central Trading'!C8+'[11]Central Origination'!C8+[11]Derivatives!C8+'[11]East Trading'!C8+'[11]East Origination'!C8+'[11]Financial Gas'!C8+[11]Structuring!C8+'[11]Texas Trading'!C8+'[11]Texas Origination'!C8+'[11]West Trading'!C8+'[11]West Origination'!C8+[11]Fundamentals!C8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(((L28-H10)*1.2)/1.2)*1.1</f>
        <v>1263240</v>
      </c>
      <c r="I8" s="42" t="s">
        <v>10</v>
      </c>
      <c r="J8" s="17">
        <v>0</v>
      </c>
      <c r="K8" s="17"/>
      <c r="L8" s="43">
        <f>L30</f>
        <v>1378080</v>
      </c>
      <c r="Q8" s="15"/>
    </row>
    <row r="9" spans="1:44" hidden="1" x14ac:dyDescent="0.2">
      <c r="A9" s="13"/>
      <c r="B9" s="14" t="s">
        <v>11</v>
      </c>
      <c r="C9" s="15">
        <f>'[11]Central Trading'!C9+'[11]Central Origination'!C9+[11]Derivatives!C9+'[11]East Trading'!C9+'[11]East Origination'!C9+'[11]Financial Gas'!C9+[11]Structuring!C9+'[11]Texas Trading'!C9+'[11]Texas Origination'!C9+'[11]West Trading'!C9+'[11]West Origination'!C9+[11]Fundamentals!C9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'[11]Central Trading'!C10+'[11]Central Origination'!C10+[11]Derivatives!C10+'[11]East Trading'!C10+'[11]East Origination'!C10+'[11]Financial Gas'!C10+[11]Structuring!C10+'[11]Texas Trading'!C10+'[11]Texas Origination'!C10+'[11]West Trading'!C10+'[11]West Origination'!C10+[11]Fundamentals!C10</f>
        <v>3095252.76</v>
      </c>
      <c r="D10" s="15"/>
      <c r="E10" s="15">
        <f>('[11]Central Trading'!E9+'[11]Central Origination'!E10+[11]Derivatives!E10+'[11]East Trading'!E10+'[11]East Origination'!E10+'[11]Financial Gas'!E10+[11]Structuring!E10+'[11]Texas Trading'!E10+'[11]Texas Origination'!E10+'[11]West Trading'!E10+'[11]West Origination'!E10+[11]Fundamentals!E10)-4000000</f>
        <v>82420.999999999534</v>
      </c>
      <c r="G10" s="45">
        <f t="shared" si="0"/>
        <v>3.7797619139155266E-3</v>
      </c>
      <c r="H10" s="15">
        <f>(((L21+L22)*1.2)/1.2)*1.1</f>
        <v>0</v>
      </c>
      <c r="I10" s="42"/>
      <c r="J10" s="17"/>
      <c r="K10" s="17"/>
      <c r="L10" s="43"/>
      <c r="Q10" s="15"/>
    </row>
    <row r="11" spans="1:44" x14ac:dyDescent="0.2">
      <c r="A11" s="13" t="s">
        <v>13</v>
      </c>
      <c r="B11" s="14" t="s">
        <v>14</v>
      </c>
      <c r="C11" s="15">
        <f>'[11]Central Trading'!C11+'[11]Central Origination'!C11+[11]Derivatives!C11+'[11]East Trading'!C11+'[11]East Origination'!C11+'[11]Financial Gas'!C11+[11]Structuring!C11+'[11]Texas Trading'!C11+'[11]Texas Origination'!C11+'[11]West Trading'!C11+'[11]West Origination'!C11+[11]Fundamentals!C11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(((L30-L28)*1.2)/1.2)*1.1</f>
        <v>252648.00000000003</v>
      </c>
      <c r="I11" s="42" t="s">
        <v>15</v>
      </c>
      <c r="J11" s="17">
        <f>(E12+E13+E14+E15+E16+E17+E18+E19+E20+E21+E22)/E29</f>
        <v>48270.181250000009</v>
      </c>
      <c r="K11" s="17">
        <f>K28</f>
        <v>7</v>
      </c>
      <c r="L11" s="43">
        <f>J11*K11</f>
        <v>337891.26875000005</v>
      </c>
      <c r="N11" s="123"/>
      <c r="O11" s="123"/>
      <c r="P11" s="123"/>
      <c r="Q11" s="15"/>
    </row>
    <row r="12" spans="1:44" x14ac:dyDescent="0.2">
      <c r="A12" s="13" t="s">
        <v>16</v>
      </c>
      <c r="B12" s="14" t="s">
        <v>17</v>
      </c>
      <c r="C12" s="15">
        <f>'[11]Central Trading'!C12+'[11]Central Origination'!C12+[11]Derivatives!C12+'[11]East Trading'!C12+'[11]East Origination'!C12+'[11]Financial Gas'!C12+[11]Structuring!C12+'[11]Texas Trading'!C12+'[11]Texas Origination'!C12+'[11]West Trading'!C12+'[11]West Origination'!C12+[11]Fundamentals!C12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>((((E12/$E$29)*$K$11)*1.2)/1.2)*1.1</f>
        <v>47451.047874999982</v>
      </c>
      <c r="I12" s="42"/>
      <c r="J12" s="17"/>
      <c r="K12" s="17"/>
      <c r="L12" s="43"/>
      <c r="N12" s="123"/>
      <c r="O12" s="123"/>
      <c r="P12" s="123"/>
      <c r="Q12" s="15"/>
    </row>
    <row r="13" spans="1:44" ht="13.5" thickBot="1" x14ac:dyDescent="0.25">
      <c r="A13" s="13" t="s">
        <v>18</v>
      </c>
      <c r="B13" s="14" t="s">
        <v>19</v>
      </c>
      <c r="C13" s="15">
        <f>'[11]Central Trading'!C13+'[11]Central Origination'!C13+[11]Derivatives!C13+'[11]East Trading'!C13+'[11]East Origination'!C13+'[11]Financial Gas'!C13+[11]Structuring!C13+'[11]Texas Trading'!C13+'[11]Texas Origination'!C13+'[11]West Trading'!C13+'[11]West Origination'!C13+[11]Fundamentals!C13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>(((+((3500*5)+(1500*2))*12)*1.2)/1.2)*1.1</f>
        <v>270600</v>
      </c>
      <c r="I13" s="46" t="s">
        <v>20</v>
      </c>
      <c r="J13" s="47"/>
      <c r="K13" s="47"/>
      <c r="L13" s="48">
        <f>L8+L11</f>
        <v>1715971.26875</v>
      </c>
      <c r="N13" s="123"/>
      <c r="O13" s="123"/>
      <c r="P13" s="123"/>
      <c r="Q13" s="15"/>
    </row>
    <row r="14" spans="1:44" x14ac:dyDescent="0.2">
      <c r="A14" s="13" t="s">
        <v>21</v>
      </c>
      <c r="B14" s="14" t="s">
        <v>22</v>
      </c>
      <c r="C14" s="15">
        <f>'[11]Central Trading'!C14+'[11]Central Origination'!C14+[11]Derivatives!C14+'[11]East Trading'!C14+'[11]East Origination'!C14+'[11]Financial Gas'!C14+[11]Structuring!C14+'[11]Texas Trading'!C14+'[11]Texas Origination'!C14+'[11]West Trading'!C14+'[11]West Origination'!C14+[11]Fundamentals!C14-C32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>((((E14/$E$29)*$K$11)*1.2)/1.2)*1.1</f>
        <v>1.5400000001269896E-2</v>
      </c>
      <c r="N14" s="123"/>
      <c r="O14" s="123"/>
      <c r="P14" s="123"/>
      <c r="Q14" s="15"/>
    </row>
    <row r="15" spans="1:44" x14ac:dyDescent="0.2">
      <c r="A15" s="13" t="s">
        <v>23</v>
      </c>
      <c r="B15" s="14" t="s">
        <v>24</v>
      </c>
      <c r="C15" s="15">
        <f>'[11]Central Trading'!C15+'[11]Central Origination'!C15+[11]Derivatives!C15+'[11]East Trading'!C15+'[11]East Origination'!C15+'[11]Financial Gas'!C15+[11]Structuring!C15+'[11]Texas Trading'!C15+'[11]Texas Origination'!C15+'[11]West Trading'!C15+'[11]West Origination'!C15+[11]Fundamentals!C15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>((((E15/$E$29)*$K$11)*1.2)/1.2)*1.1</f>
        <v>6709.4591666666656</v>
      </c>
      <c r="N15" s="123"/>
      <c r="O15" s="123"/>
      <c r="P15" s="123"/>
      <c r="Q15" s="15"/>
    </row>
    <row r="16" spans="1:44" x14ac:dyDescent="0.2">
      <c r="A16" s="13" t="s">
        <v>25</v>
      </c>
      <c r="B16" s="14" t="s">
        <v>26</v>
      </c>
      <c r="C16" s="15">
        <f>'[11]Central Trading'!C16+'[11]Central Origination'!C16+[11]Derivatives!C16+'[11]East Trading'!C16+'[11]East Origination'!C16+'[11]Financial Gas'!C16+[11]Structuring!C16+'[11]Texas Trading'!C16+'[11]Texas Origination'!C16+'[11]West Trading'!C16+'[11]West Origination'!C16+[11]Fundamentals!C16</f>
        <v>0</v>
      </c>
      <c r="E16" s="20">
        <f>(C16/9)*12</f>
        <v>0</v>
      </c>
      <c r="G16" s="45">
        <f t="shared" si="0"/>
        <v>0</v>
      </c>
      <c r="H16" s="21">
        <f>((((E16/$E$29)*$K$11)*1.2)/1.2)*1.1</f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N16" s="123"/>
      <c r="O16" s="123"/>
      <c r="P16" s="123"/>
      <c r="Q16" s="15"/>
    </row>
    <row r="17" spans="1:17" x14ac:dyDescent="0.2">
      <c r="A17" s="13" t="s">
        <v>28</v>
      </c>
      <c r="B17" s="14" t="s">
        <v>29</v>
      </c>
      <c r="C17" s="15">
        <f>'[11]Central Trading'!C17+'[11]Central Origination'!C17+[11]Derivatives!C17+'[11]East Trading'!C17+'[11]East Origination'!C17+'[11]Financial Gas'!C17+[11]Structuring!C17+'[11]Texas Trading'!C17+'[11]Texas Origination'!C17+'[11]West Trading'!C17+'[11]West Origination'!C17+[11]Fundamentals!C17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>((((E17/$E$29)*$K$11)*1.2)/1.2)*1.1</f>
        <v>378.58333333333331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N17" s="123"/>
      <c r="O17" s="123"/>
      <c r="P17" s="123"/>
      <c r="Q17" s="15"/>
    </row>
    <row r="18" spans="1:17" x14ac:dyDescent="0.2">
      <c r="A18" s="13" t="s">
        <v>31</v>
      </c>
      <c r="B18" s="14" t="s">
        <v>32</v>
      </c>
      <c r="C18" s="15">
        <f>'[11]Central Trading'!C18+'[11]Central Origination'!C18+[11]Derivatives!C18+'[11]East Trading'!C18+'[11]East Origination'!C18+'[11]Financial Gas'!C18+[11]Structuring!C18+'[11]Texas Trading'!C18+'[11]Texas Origination'!C18+'[11]West Trading'!C18+'[11]West Origination'!C18+[11]Fundamentals!C18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>((((E18/$E$29)*$K$11)*1.2)/1.2)*1.1</f>
        <v>6875.774033333335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Q18" s="15"/>
    </row>
    <row r="19" spans="1:17" x14ac:dyDescent="0.2">
      <c r="A19" s="13" t="s">
        <v>34</v>
      </c>
      <c r="B19" s="14" t="s">
        <v>35</v>
      </c>
      <c r="C19" s="15">
        <f>'[11]Central Trading'!C19+'[11]Central Origination'!C19+[11]Derivatives!C19+'[11]East Trading'!C19+'[11]East Origination'!C19+'[11]Financial Gas'!C19+[11]Structuring!C19+'[11]Texas Trading'!C19+'[11]Texas Origination'!C19+'[11]West Trading'!C19+'[11]West Origination'!C19+[11]Fundamentals!C19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16500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Q19" s="15"/>
    </row>
    <row r="20" spans="1:17" x14ac:dyDescent="0.2">
      <c r="A20" s="13" t="s">
        <v>37</v>
      </c>
      <c r="B20" s="14" t="s">
        <v>38</v>
      </c>
      <c r="C20" s="15">
        <f>'[11]Central Trading'!C20+'[11]Central Origination'!C20+[11]Derivatives!C20+'[11]East Trading'!C20+'[11]East Origination'!C20+'[11]Financial Gas'!C20+[11]Structuring!C20+'[11]Texas Trading'!C20+'[11]Texas Origination'!C20+'[11]West Trading'!C20+'[11]West Origination'!C20+[11]Fundamentals!C20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>((((E20/$E$29)*$K$11)*1.2)/1.2)*1.1</f>
        <v>1.0266666666666666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Q20" s="15"/>
    </row>
    <row r="21" spans="1:17" x14ac:dyDescent="0.2">
      <c r="A21" s="13" t="s">
        <v>40</v>
      </c>
      <c r="B21" s="14" t="s">
        <v>41</v>
      </c>
      <c r="C21" s="15">
        <f>'[11]Central Trading'!C21+'[11]Central Origination'!C21+[11]Derivatives!C21+'[11]East Trading'!C21+'[11]East Origination'!C21+'[11]Financial Gas'!C21+[11]Structuring!C21+'[11]Texas Trading'!C21+'[11]Texas Origination'!C21+'[11]West Trading'!C21+'[11]West Origination'!C21+[11]Fundamentals!C21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>((((E21/$E$29)*$K$11)*1.2)/1.2)*1.1</f>
        <v>8713.1217249999936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'[11]Central Trading'!C22+'[11]Central Origination'!C22+[11]Derivatives!C22+'[11]East Trading'!C22+'[11]East Origination'!C22+'[11]Financial Gas'!C22+[11]Structuring!C22+'[11]Texas Trading'!C22+'[11]Texas Origination'!C22+'[11]West Trading'!C22+'[11]West Origination'!C22+[11]Fundamentals!C22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1873117.0281999998</v>
      </c>
      <c r="I23" s="25" t="s">
        <v>48</v>
      </c>
      <c r="J23" s="25">
        <v>110000</v>
      </c>
      <c r="K23" s="25">
        <f>2+1</f>
        <v>3</v>
      </c>
      <c r="L23" s="25">
        <f t="shared" si="1"/>
        <v>330000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f>1+2</f>
        <v>3</v>
      </c>
      <c r="L24" s="25">
        <f t="shared" si="1"/>
        <v>429000</v>
      </c>
      <c r="P24" s="8"/>
      <c r="Q24" s="8"/>
    </row>
    <row r="25" spans="1:17" x14ac:dyDescent="0.2">
      <c r="B25" s="27" t="s">
        <v>50</v>
      </c>
      <c r="C25" s="15"/>
      <c r="E25" s="31">
        <f>'[11]Central Trading'!E25+'[11]Central Origination'!E25+[11]Derivatives!E25+'[11]East Trading'!E25+'[11]East Origination'!E25+'[11]Financial Gas'!E25+[11]Structuring!E25+'[11]Texas Trading'!E25+'[11]Texas Origination'!E25+'[11]West Trading'!E25+'[11]West Origination'!E25+[11]Fundamentals!E25</f>
        <v>108</v>
      </c>
      <c r="H25" s="31">
        <f>+K16+K17+K18+K19+K20+K23+K24+K25+K26+K27</f>
        <v>7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P26" s="8"/>
      <c r="Q26" s="32"/>
    </row>
    <row r="27" spans="1:17" x14ac:dyDescent="0.2">
      <c r="B27" s="27" t="s">
        <v>67</v>
      </c>
      <c r="C27" s="15"/>
      <c r="E27" s="31">
        <f>'[11]Central Trading'!E27+'[11]Central Origination'!E27+[11]Derivatives!E27+'[11]East Trading'!E27+'[11]East Origination'!E27+'[11]Financial Gas'!E27+[11]Structuring!E27+'[11]Texas Trading'!E27+'[11]Texas Origination'!E27+'[11]West Trading'!E27+'[11]West Origination'!E27+[11]Fundamentals!E27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">
      <c r="K28" s="25">
        <f>SUM(K16:K27)</f>
        <v>7</v>
      </c>
      <c r="L28" s="25">
        <f>SUM(L16:L27)*1.2</f>
        <v>1148400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7</v>
      </c>
      <c r="L29" s="52">
        <v>0.2</v>
      </c>
      <c r="P29" s="8"/>
      <c r="Q29" s="32"/>
    </row>
    <row r="30" spans="1:17" hidden="1" x14ac:dyDescent="0.2">
      <c r="L30" s="25">
        <f>L28*1.2</f>
        <v>1378080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7</v>
      </c>
      <c r="L34" s="37">
        <f>+J34*K34</f>
        <v>337891.26875000005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R39"/>
  <sheetViews>
    <sheetView zoomScaleNormal="100" workbookViewId="0">
      <selection activeCell="P155" sqref="P155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10.28515625" bestFit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42" t="str">
        <f>'[13]Team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2" t="s">
        <v>262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  <c r="N5" s="125" t="s">
        <v>248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N6" s="44" t="s">
        <v>63</v>
      </c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N7" s="12" t="s">
        <v>7</v>
      </c>
      <c r="Q7" s="12"/>
    </row>
    <row r="8" spans="1:44" x14ac:dyDescent="0.2">
      <c r="A8" s="13" t="s">
        <v>9</v>
      </c>
      <c r="B8" s="14" t="s">
        <v>10</v>
      </c>
      <c r="C8" s="15">
        <f>'[14]Central Trading'!C8+'[14]Central Origination'!C8+[14]Derivatives!C8+'[14]East Trading'!C8+'[14]East Origination'!C8+'[14]Financial Gas'!C8+[14]Structuring!C8+'[14]Texas Trading'!C8+'[14]Texas Origination'!C8+'[14]West Trading'!C8+'[14]West Origination'!C8+[14]Fundamentals!C8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996435</v>
      </c>
      <c r="I8" s="42" t="s">
        <v>10</v>
      </c>
      <c r="J8" s="17">
        <v>0</v>
      </c>
      <c r="K8" s="17"/>
      <c r="L8" s="43">
        <f>L30</f>
        <v>1449360</v>
      </c>
      <c r="M8" s="126"/>
      <c r="N8" s="15">
        <f>H8/2*1.5</f>
        <v>747326.25</v>
      </c>
      <c r="Q8" s="15"/>
    </row>
    <row r="9" spans="1:44" hidden="1" x14ac:dyDescent="0.2">
      <c r="A9" s="13"/>
      <c r="B9" s="14" t="s">
        <v>11</v>
      </c>
      <c r="C9" s="15">
        <f>'[14]Central Trading'!C9+'[14]Central Origination'!C9+[14]Derivatives!C9+'[14]East Trading'!C9+'[14]East Origination'!C9+'[14]Financial Gas'!C9+[14]Structuring!C9+'[14]Texas Trading'!C9+'[14]Texas Origination'!C9+'[14]West Trading'!C9+'[14]West Origination'!C9+[14]Fundamentals!C9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N9" s="15"/>
      <c r="Q9" s="15"/>
    </row>
    <row r="10" spans="1:44" x14ac:dyDescent="0.2">
      <c r="A10" s="13"/>
      <c r="B10" s="14" t="s">
        <v>65</v>
      </c>
      <c r="C10" s="15">
        <f>'[14]Central Trading'!C10+'[14]Central Origination'!C10+[14]Derivatives!C10+'[14]East Trading'!C10+'[14]East Origination'!C10+'[14]Financial Gas'!C10+[14]Structuring!C10+'[14]Texas Trading'!C10+'[14]Texas Origination'!C10+'[14]West Trading'!C10+'[14]West Origination'!C10+[14]Fundamentals!C10</f>
        <v>3095252.76</v>
      </c>
      <c r="D10" s="15"/>
      <c r="E10" s="15">
        <f>('[14]Central Trading'!E9+'[14]Central Origination'!E10+[14]Derivatives!E10+'[14]East Trading'!E10+'[14]East Origination'!E10+'[14]Financial Gas'!E10+[14]Structuring!E10+'[14]Texas Trading'!E10+'[14]Texas Origination'!E10+'[14]West Trading'!E10+'[14]West Origination'!E10+[14]Fundamentals!E10)-4000000</f>
        <v>82420.999999999534</v>
      </c>
      <c r="G10" s="45">
        <f t="shared" si="0"/>
        <v>3.7797619139155266E-3</v>
      </c>
      <c r="H10" s="15">
        <v>0</v>
      </c>
      <c r="I10" s="42"/>
      <c r="J10" s="17"/>
      <c r="K10" s="17"/>
      <c r="L10" s="43"/>
      <c r="N10" s="15">
        <v>0</v>
      </c>
      <c r="Q10" s="15"/>
    </row>
    <row r="11" spans="1:44" x14ac:dyDescent="0.2">
      <c r="A11" s="13" t="s">
        <v>13</v>
      </c>
      <c r="B11" s="14" t="s">
        <v>14</v>
      </c>
      <c r="C11" s="15">
        <f>'[14]Central Trading'!C11+'[14]Central Origination'!C11+[14]Derivatives!C11+'[14]East Trading'!C11+'[14]East Origination'!C11+'[14]Financial Gas'!C11+[14]Structuring!C11+'[14]Texas Trading'!C11+'[14]Texas Origination'!C11+'[14]West Trading'!C11+'[14]West Origination'!C11+[14]Fundamentals!C11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v>199287</v>
      </c>
      <c r="I11" s="42" t="s">
        <v>15</v>
      </c>
      <c r="J11" s="17">
        <f>(E12+E13+E14+E15+E16+E17+E18+E19+E20+E21+E22)/E29</f>
        <v>48270.181250000009</v>
      </c>
      <c r="K11" s="17">
        <f>K28</f>
        <v>7</v>
      </c>
      <c r="L11" s="43">
        <f>J11*K11</f>
        <v>337891.26875000005</v>
      </c>
      <c r="N11" s="15">
        <f>H11/2*1.5</f>
        <v>149465.25</v>
      </c>
      <c r="Q11" s="15"/>
    </row>
    <row r="12" spans="1:44" x14ac:dyDescent="0.2">
      <c r="A12" s="13" t="s">
        <v>16</v>
      </c>
      <c r="B12" s="14" t="s">
        <v>17</v>
      </c>
      <c r="C12" s="15">
        <f>'[14]Central Trading'!C12+'[14]Central Origination'!C12+[14]Derivatives!C12+'[14]East Trading'!C12+'[14]East Origination'!C12+'[14]Financial Gas'!C12+[14]Structuring!C12+'[14]Texas Trading'!C12+'[14]Texas Origination'!C12+'[14]West Trading'!C12+'[14]West Origination'!C12+[14]Fundamentals!C12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71500</v>
      </c>
      <c r="I12" s="42"/>
      <c r="J12" s="17"/>
      <c r="K12" s="17"/>
      <c r="L12" s="43"/>
      <c r="N12" s="15">
        <v>65000</v>
      </c>
      <c r="Q12" s="15"/>
    </row>
    <row r="13" spans="1:44" ht="13.5" thickBot="1" x14ac:dyDescent="0.25">
      <c r="A13" s="13" t="s">
        <v>18</v>
      </c>
      <c r="B13" s="14" t="s">
        <v>19</v>
      </c>
      <c r="C13" s="15">
        <f>'[14]Central Trading'!C13+'[14]Central Origination'!C13+[14]Derivatives!C13+'[14]East Trading'!C13+'[14]East Origination'!C13+'[14]Financial Gas'!C13+[14]Structuring!C13+'[14]Texas Trading'!C13+'[14]Texas Origination'!C13+'[14]West Trading'!C13+'[14]West Origination'!C13+[14]Fundamentals!C13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275000</v>
      </c>
      <c r="I13" s="46" t="s">
        <v>20</v>
      </c>
      <c r="J13" s="47"/>
      <c r="K13" s="47"/>
      <c r="L13" s="48">
        <f>L8+L11</f>
        <v>1787251.26875</v>
      </c>
      <c r="N13" s="15">
        <v>250000</v>
      </c>
      <c r="P13" s="49"/>
      <c r="Q13" s="15"/>
    </row>
    <row r="14" spans="1:44" x14ac:dyDescent="0.2">
      <c r="A14" s="13" t="s">
        <v>21</v>
      </c>
      <c r="B14" s="14" t="s">
        <v>22</v>
      </c>
      <c r="C14" s="15">
        <f>'[14]Central Trading'!C14+'[14]Central Origination'!C14+[14]Derivatives!C14+'[14]East Trading'!C14+'[14]East Origination'!C14+'[14]Financial Gas'!C14+[14]Structuring!C14+'[14]Texas Trading'!C14+'[14]Texas Origination'!C14+'[14]West Trading'!C14+'[14]West Origination'!C14+[14]Fundamentals!C14-C32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N14" s="15">
        <v>0</v>
      </c>
      <c r="Q14" s="15"/>
    </row>
    <row r="15" spans="1:44" x14ac:dyDescent="0.2">
      <c r="A15" s="13" t="s">
        <v>23</v>
      </c>
      <c r="B15" s="14" t="s">
        <v>24</v>
      </c>
      <c r="C15" s="15">
        <f>'[14]Central Trading'!C15+'[14]Central Origination'!C15+[14]Derivatives!C15+'[14]East Trading'!C15+'[14]East Origination'!C15+'[14]Financial Gas'!C15+[14]Structuring!C15+'[14]Texas Trading'!C15+'[14]Texas Origination'!C15+'[14]West Trading'!C15+'[14]West Origination'!C15+[14]Fundamentals!C15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17443.8</v>
      </c>
      <c r="N15" s="15">
        <f>20000-4142</f>
        <v>15858</v>
      </c>
      <c r="Q15" s="15"/>
    </row>
    <row r="16" spans="1:44" x14ac:dyDescent="0.2">
      <c r="A16" s="13" t="s">
        <v>25</v>
      </c>
      <c r="B16" s="14" t="s">
        <v>26</v>
      </c>
      <c r="C16" s="15">
        <f>'[14]Central Trading'!C16+'[14]Central Origination'!C16+[14]Derivatives!C16+'[14]East Trading'!C16+'[14]East Origination'!C16+'[14]Financial Gas'!C16+[14]Structuring!C16+'[14]Texas Trading'!C16+'[14]Texas Origination'!C16+'[14]West Trading'!C16+'[14]West Origination'!C16+[14]Fundamentals!C16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N16" s="15">
        <v>0</v>
      </c>
      <c r="Q16" s="15"/>
    </row>
    <row r="17" spans="1:17" x14ac:dyDescent="0.2">
      <c r="A17" s="13" t="s">
        <v>28</v>
      </c>
      <c r="B17" s="14" t="s">
        <v>29</v>
      </c>
      <c r="C17" s="15">
        <f>'[14]Central Trading'!C17+'[14]Central Origination'!C17+[14]Derivatives!C17+'[14]East Trading'!C17+'[14]East Origination'!C17+'[14]Financial Gas'!C17+[14]Structuring!C17+'[14]Texas Trading'!C17+'[14]Texas Origination'!C17+'[14]West Trading'!C17+'[14]West Origination'!C17+[14]Fundamentals!C17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0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N17" s="15">
        <v>0</v>
      </c>
      <c r="Q17" s="15"/>
    </row>
    <row r="18" spans="1:17" x14ac:dyDescent="0.2">
      <c r="A18" s="13" t="s">
        <v>31</v>
      </c>
      <c r="B18" s="14" t="s">
        <v>32</v>
      </c>
      <c r="C18" s="15">
        <f>'[14]Central Trading'!C18+'[14]Central Origination'!C18+[14]Derivatives!C18+'[14]East Trading'!C18+'[14]East Origination'!C18+'[14]Financial Gas'!C18+[14]Structuring!C18+'[14]Texas Trading'!C18+'[14]Texas Origination'!C18+'[14]West Trading'!C18+'[14]West Origination'!C18+[14]Fundamentals!C18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110000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N18" s="15">
        <v>100000</v>
      </c>
      <c r="Q18" s="15"/>
    </row>
    <row r="19" spans="1:17" x14ac:dyDescent="0.2">
      <c r="A19" s="13" t="s">
        <v>34</v>
      </c>
      <c r="B19" s="14" t="s">
        <v>35</v>
      </c>
      <c r="C19" s="15">
        <f>'[14]Central Trading'!C19+'[14]Central Origination'!C19+[14]Derivatives!C19+'[14]East Trading'!C19+'[14]East Origination'!C19+'[14]Financial Gas'!C19+[14]Structuring!C19+'[14]Texas Trading'!C19+'[14]Texas Origination'!C19+'[14]West Trading'!C19+'[14]West Origination'!C19+[14]Fundamentals!C19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33000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N19" s="15">
        <v>30000</v>
      </c>
      <c r="Q19" s="15"/>
    </row>
    <row r="20" spans="1:17" x14ac:dyDescent="0.2">
      <c r="A20" s="13" t="s">
        <v>37</v>
      </c>
      <c r="B20" s="14" t="s">
        <v>38</v>
      </c>
      <c r="C20" s="15">
        <f>'[14]Central Trading'!C20+'[14]Central Origination'!C20+[14]Derivatives!C20+'[14]East Trading'!C20+'[14]East Origination'!C20+'[14]Financial Gas'!C20+[14]Structuring!C20+'[14]Texas Trading'!C20+'[14]Texas Origination'!C20+'[14]West Trading'!C20+'[14]West Origination'!C20+[14]Fundamentals!C20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1.1000000000000001</v>
      </c>
      <c r="I20" s="25" t="s">
        <v>39</v>
      </c>
      <c r="J20" s="25">
        <v>71500</v>
      </c>
      <c r="K20" s="25">
        <v>1</v>
      </c>
      <c r="L20" s="25">
        <f t="shared" si="1"/>
        <v>71500</v>
      </c>
      <c r="N20" s="15">
        <v>1</v>
      </c>
      <c r="Q20" s="15"/>
    </row>
    <row r="21" spans="1:17" x14ac:dyDescent="0.2">
      <c r="A21" s="13" t="s">
        <v>40</v>
      </c>
      <c r="B21" s="14" t="s">
        <v>41</v>
      </c>
      <c r="C21" s="15">
        <f>'[14]Central Trading'!C21+'[14]Central Origination'!C21+[14]Derivatives!C21+'[14]East Trading'!C21+'[14]East Origination'!C21+'[14]Financial Gas'!C21+[14]Structuring!C21+'[14]Texas Trading'!C21+'[14]Texas Origination'!C21+'[14]West Trading'!C21+'[14]West Origination'!C21+[14]Fundamentals!C21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11000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N21" s="15">
        <v>10000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'[14]Central Trading'!C22+'[14]Central Origination'!C22+[14]Derivatives!C22+'[14]East Trading'!C22+'[14]East Origination'!C22+'[14]Financial Gas'!C22+[14]Structuring!C22+'[14]Texas Trading'!C22+'[14]Texas Origination'!C22+'[14]West Trading'!C22+'[14]West Origination'!C22+[14]Fundamentals!C22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N22" s="15">
        <v>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1713666.9000000001</v>
      </c>
      <c r="I23" s="25" t="s">
        <v>48</v>
      </c>
      <c r="J23" s="25">
        <v>110000</v>
      </c>
      <c r="K23" s="25">
        <v>1</v>
      </c>
      <c r="L23" s="25">
        <f t="shared" si="1"/>
        <v>110000</v>
      </c>
      <c r="N23" s="28">
        <f>SUM(N8:N22)</f>
        <v>1367650.5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f>1+1+1</f>
        <v>3</v>
      </c>
      <c r="L24" s="25">
        <f t="shared" si="1"/>
        <v>429000</v>
      </c>
      <c r="P24" s="8"/>
      <c r="Q24" s="8"/>
    </row>
    <row r="25" spans="1:17" x14ac:dyDescent="0.2">
      <c r="B25" s="27" t="s">
        <v>50</v>
      </c>
      <c r="C25" s="15"/>
      <c r="E25" s="31">
        <f>'[14]Central Trading'!E25+'[14]Central Origination'!E25+[14]Derivatives!E25+'[14]East Trading'!E25+'[14]East Origination'!E25+'[14]Financial Gas'!E25+[14]Structuring!E25+'[14]Texas Trading'!E25+'[14]Texas Origination'!E25+'[14]West Trading'!E25+'[14]West Origination'!E25+[14]Fundamentals!E25</f>
        <v>108</v>
      </c>
      <c r="H25" s="31">
        <f>+K16+K17+K18+K19+K20+K23+K24+K25+K26+K27</f>
        <v>7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f>1+1</f>
        <v>2</v>
      </c>
      <c r="L26" s="25">
        <f t="shared" si="1"/>
        <v>396000</v>
      </c>
      <c r="P26" s="8"/>
      <c r="Q26" s="32"/>
    </row>
    <row r="27" spans="1:17" x14ac:dyDescent="0.2">
      <c r="B27" s="27" t="s">
        <v>67</v>
      </c>
      <c r="C27" s="15"/>
      <c r="E27" s="31">
        <f>'[14]Central Trading'!E27+'[14]Central Origination'!E27+[14]Derivatives!E27+'[14]East Trading'!E27+'[14]East Origination'!E27+'[14]Financial Gas'!E27+[14]Structuring!E27+'[14]Texas Trading'!E27+'[14]Texas Origination'!E27+'[14]West Trading'!E27+'[14]West Origination'!E27+[14]Fundamentals!E27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">
      <c r="K28" s="25">
        <f>SUM(K16:K27)</f>
        <v>7</v>
      </c>
      <c r="L28" s="25">
        <f>SUM(L16:L27)*1.2</f>
        <v>1207800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7</v>
      </c>
      <c r="L29" s="52">
        <v>0.2</v>
      </c>
      <c r="P29" s="8"/>
      <c r="Q29" s="32"/>
    </row>
    <row r="30" spans="1:17" hidden="1" x14ac:dyDescent="0.2">
      <c r="L30" s="25">
        <f>L28*1.2</f>
        <v>1449360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7</v>
      </c>
      <c r="L34" s="37">
        <f>+J34*K34</f>
        <v>337891.26875000005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AQ50"/>
  <sheetViews>
    <sheetView zoomScaleNormal="100" workbookViewId="0">
      <selection activeCell="P155" sqref="P155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5" max="15" width="10.28515625" customWidth="1"/>
    <col min="16" max="16" width="10.7109375" customWidth="1"/>
  </cols>
  <sheetData>
    <row r="1" spans="1:43" ht="18" x14ac:dyDescent="0.25">
      <c r="B1" s="142" t="str">
        <f>'[13]Team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42" t="s">
        <v>288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I4" s="39"/>
      <c r="J4" s="40"/>
      <c r="K4" s="40"/>
      <c r="L4" s="41"/>
    </row>
    <row r="5" spans="1:43" x14ac:dyDescent="0.2">
      <c r="I5" s="42"/>
      <c r="J5" s="17" t="s">
        <v>1</v>
      </c>
      <c r="K5" s="17" t="s">
        <v>2</v>
      </c>
      <c r="L5" s="43" t="s">
        <v>3</v>
      </c>
    </row>
    <row r="6" spans="1:43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P6" s="44"/>
    </row>
    <row r="7" spans="1:43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P7" s="12"/>
    </row>
    <row r="8" spans="1:43" x14ac:dyDescent="0.2">
      <c r="A8" s="13" t="s">
        <v>9</v>
      </c>
      <c r="B8" s="14" t="s">
        <v>10</v>
      </c>
      <c r="C8" s="15">
        <f>'[14]Central Trading'!C8+'[14]Central Origination'!C8+[14]Derivatives!C8+'[14]East Trading'!C8+'[14]East Origination'!C8+'[14]Financial Gas'!C8+[14]Structuring!C8+'[14]Texas Trading'!C8+'[14]Texas Origination'!C8+'[14]West Trading'!C8+'[14]West Origination'!C8+[14]Fundamentals!C8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(((+[17]Mexico!H8+'[17]Derivatives &amp; Wellhead'!H8)*1.2)/1.2)*1.1</f>
        <v>1602656.0000000002</v>
      </c>
      <c r="I8" s="42" t="s">
        <v>10</v>
      </c>
      <c r="J8" s="17">
        <v>0</v>
      </c>
      <c r="K8" s="17"/>
      <c r="L8" s="43">
        <f>L30</f>
        <v>1956240</v>
      </c>
      <c r="P8" s="15"/>
    </row>
    <row r="9" spans="1:43" hidden="1" x14ac:dyDescent="0.2">
      <c r="A9" s="13"/>
      <c r="B9" s="14" t="s">
        <v>11</v>
      </c>
      <c r="C9" s="15">
        <f>'[14]Central Trading'!C9+'[14]Central Origination'!C9+[14]Derivatives!C9+'[14]East Trading'!C9+'[14]East Origination'!C9+'[14]Financial Gas'!C9+[14]Structuring!C9+'[14]Texas Trading'!C9+'[14]Texas Origination'!C9+'[14]West Trading'!C9+'[14]West Origination'!C9+[14]Fundamentals!C9</f>
        <v>1485250</v>
      </c>
      <c r="E9" s="15">
        <v>0</v>
      </c>
      <c r="G9" s="45">
        <f t="shared" si="0"/>
        <v>0</v>
      </c>
      <c r="H9" s="15">
        <f>(((+[17]Mexico!H9+'[17]Derivatives &amp; Wellhead'!H9)*1.2)/1.2)*1.1</f>
        <v>0</v>
      </c>
      <c r="I9" s="42"/>
      <c r="J9" s="17"/>
      <c r="K9" s="17"/>
      <c r="L9" s="43"/>
      <c r="P9" s="15"/>
    </row>
    <row r="10" spans="1:43" x14ac:dyDescent="0.2">
      <c r="A10" s="13"/>
      <c r="B10" s="14" t="s">
        <v>65</v>
      </c>
      <c r="C10" s="15">
        <f>'[14]Central Trading'!C10+'[14]Central Origination'!C10+[14]Derivatives!C10+'[14]East Trading'!C10+'[14]East Origination'!C10+'[14]Financial Gas'!C10+[14]Structuring!C10+'[14]Texas Trading'!C10+'[14]Texas Origination'!C10+'[14]West Trading'!C10+'[14]West Origination'!C10+[14]Fundamentals!C10</f>
        <v>3095252.76</v>
      </c>
      <c r="D10" s="15"/>
      <c r="E10" s="15">
        <f>('[14]Central Trading'!E9+'[14]Central Origination'!E10+[14]Derivatives!E10+'[14]East Trading'!E10+'[14]East Origination'!E10+'[14]Financial Gas'!E10+[14]Structuring!E10+'[14]Texas Trading'!E10+'[14]Texas Origination'!E10+'[14]West Trading'!E10+'[14]West Origination'!E10+[14]Fundamentals!E10)-4000000</f>
        <v>82420.999999999534</v>
      </c>
      <c r="G10" s="45">
        <f t="shared" si="0"/>
        <v>3.7797619139155266E-3</v>
      </c>
      <c r="H10" s="15">
        <f>(((+[17]Mexico!H10+'[17]Derivatives &amp; Wellhead'!H10)*1.2)/1.2)*1.1</f>
        <v>66550</v>
      </c>
      <c r="I10" s="42"/>
      <c r="J10" s="17"/>
      <c r="K10" s="17"/>
      <c r="L10" s="43"/>
      <c r="P10" s="15"/>
    </row>
    <row r="11" spans="1:43" x14ac:dyDescent="0.2">
      <c r="A11" s="13" t="s">
        <v>13</v>
      </c>
      <c r="B11" s="14" t="s">
        <v>14</v>
      </c>
      <c r="C11" s="15">
        <f>'[14]Central Trading'!C11+'[14]Central Origination'!C11+[14]Derivatives!C11+'[14]East Trading'!C11+'[14]East Origination'!C11+'[14]Financial Gas'!C11+[14]Structuring!C11+'[14]Texas Trading'!C11+'[14]Texas Origination'!C11+'[14]West Trading'!C11+'[14]West Origination'!C11+[14]Fundamentals!C11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(((+[17]Mexico!H11+'[17]Derivatives &amp; Wellhead'!H11)*1.2)/1.2)*1.1</f>
        <v>339284</v>
      </c>
      <c r="I11" s="42" t="s">
        <v>15</v>
      </c>
      <c r="J11" s="17">
        <f>(E12+E13+E14+E15+E16+E17+E18+E19+E20+E21+E22)/E29</f>
        <v>48270.181250000009</v>
      </c>
      <c r="K11" s="17">
        <f>K28</f>
        <v>10</v>
      </c>
      <c r="L11" s="43">
        <f>J11*K11</f>
        <v>482701.81250000012</v>
      </c>
      <c r="P11" s="15"/>
    </row>
    <row r="12" spans="1:43" x14ac:dyDescent="0.2">
      <c r="A12" s="13" t="s">
        <v>16</v>
      </c>
      <c r="B12" s="14" t="s">
        <v>17</v>
      </c>
      <c r="C12" s="15">
        <f>'[14]Central Trading'!C12+'[14]Central Origination'!C12+[14]Derivatives!C12+'[14]East Trading'!C12+'[14]East Origination'!C12+'[14]Financial Gas'!C12+[14]Structuring!C12+'[14]Texas Trading'!C12+'[14]Texas Origination'!C12+'[14]West Trading'!C12+'[14]West Origination'!C12+[14]Fundamentals!C12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(((+[17]Mexico!H12+'[17]Derivatives &amp; Wellhead'!H12)*1.2)/1.2)*1.1</f>
        <v>99000.000000000015</v>
      </c>
      <c r="I12" s="42"/>
      <c r="J12" s="17"/>
      <c r="K12" s="17"/>
      <c r="L12" s="43"/>
      <c r="P12" s="15"/>
    </row>
    <row r="13" spans="1:43" ht="13.5" thickBot="1" x14ac:dyDescent="0.25">
      <c r="A13" s="13" t="s">
        <v>18</v>
      </c>
      <c r="B13" s="14" t="s">
        <v>19</v>
      </c>
      <c r="C13" s="15">
        <f>'[14]Central Trading'!C13+'[14]Central Origination'!C13+[14]Derivatives!C13+'[14]East Trading'!C13+'[14]East Origination'!C13+'[14]Financial Gas'!C13+[14]Structuring!C13+'[14]Texas Trading'!C13+'[14]Texas Origination'!C13+'[14]West Trading'!C13+'[14]West Origination'!C13+[14]Fundamentals!C13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(((+[17]Mexico!H13+'[17]Derivatives &amp; Wellhead'!H13)*1.2)/1.2)*1.1</f>
        <v>330000</v>
      </c>
      <c r="I13" s="46" t="s">
        <v>20</v>
      </c>
      <c r="J13" s="47"/>
      <c r="K13" s="47"/>
      <c r="L13" s="48">
        <f>L8+L11</f>
        <v>2438941.8125</v>
      </c>
      <c r="O13" s="49"/>
      <c r="P13" s="15"/>
    </row>
    <row r="14" spans="1:43" x14ac:dyDescent="0.2">
      <c r="A14" s="13" t="s">
        <v>21</v>
      </c>
      <c r="B14" s="14" t="s">
        <v>22</v>
      </c>
      <c r="C14" s="15">
        <f>'[14]Central Trading'!C14+'[14]Central Origination'!C14+[14]Derivatives!C14+'[14]East Trading'!C14+'[14]East Origination'!C14+'[14]Financial Gas'!C14+[14]Structuring!C14+'[14]Texas Trading'!C14+'[14]Texas Origination'!C14+'[14]West Trading'!C14+'[14]West Origination'!C14+[14]Fundamentals!C14-C32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(((+[17]Mexico!H14+'[17]Derivatives &amp; Wellhead'!H14)*1.2)/1.2)*1.1</f>
        <v>0</v>
      </c>
      <c r="P14" s="15"/>
    </row>
    <row r="15" spans="1:43" x14ac:dyDescent="0.2">
      <c r="A15" s="13" t="s">
        <v>23</v>
      </c>
      <c r="B15" s="14" t="s">
        <v>24</v>
      </c>
      <c r="C15" s="15">
        <f>'[14]Central Trading'!C15+'[14]Central Origination'!C15+[14]Derivatives!C15+'[14]East Trading'!C15+'[14]East Origination'!C15+'[14]Financial Gas'!C15+[14]Structuring!C15+'[14]Texas Trading'!C15+'[14]Texas Origination'!C15+'[14]West Trading'!C15+'[14]West Origination'!C15+[14]Fundamentals!C15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(((+[17]Mexico!H15+'[17]Derivatives &amp; Wellhead'!H15)*1.2)/1.2)*1.1</f>
        <v>60500.000000000007</v>
      </c>
      <c r="P15" s="15"/>
    </row>
    <row r="16" spans="1:43" x14ac:dyDescent="0.2">
      <c r="A16" s="13" t="s">
        <v>25</v>
      </c>
      <c r="B16" s="14" t="s">
        <v>26</v>
      </c>
      <c r="C16" s="15">
        <f>'[14]Central Trading'!C16+'[14]Central Origination'!C16+[14]Derivatives!C16+'[14]East Trading'!C16+'[14]East Origination'!C16+'[14]Financial Gas'!C16+[14]Structuring!C16+'[14]Texas Trading'!C16+'[14]Texas Origination'!C16+'[14]West Trading'!C16+'[14]West Origination'!C16+[14]Fundamentals!C16</f>
        <v>0</v>
      </c>
      <c r="E16" s="20">
        <f>(C16/9)*12</f>
        <v>0</v>
      </c>
      <c r="G16" s="45">
        <f t="shared" si="0"/>
        <v>0</v>
      </c>
      <c r="H16" s="15">
        <f>(((+[17]Mexico!H16+'[17]Derivatives &amp; Wellhead'!H16)*1.2)/1.2)*1.1</f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P16" s="15"/>
    </row>
    <row r="17" spans="1:16" x14ac:dyDescent="0.2">
      <c r="A17" s="13" t="s">
        <v>28</v>
      </c>
      <c r="B17" s="14" t="s">
        <v>29</v>
      </c>
      <c r="C17" s="15">
        <f>'[14]Central Trading'!C17+'[14]Central Origination'!C17+[14]Derivatives!C17+'[14]East Trading'!C17+'[14]East Origination'!C17+'[14]Financial Gas'!C17+[14]Structuring!C17+'[14]Texas Trading'!C17+'[14]Texas Origination'!C17+'[14]West Trading'!C17+'[14]West Origination'!C17+[14]Fundamentals!C17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(((+[17]Mexico!H17+'[17]Derivatives &amp; Wellhead'!H17)*1.2)/1.2)*1.1</f>
        <v>756.80000000000007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P17" s="15"/>
    </row>
    <row r="18" spans="1:16" x14ac:dyDescent="0.2">
      <c r="A18" s="13" t="s">
        <v>31</v>
      </c>
      <c r="B18" s="14" t="s">
        <v>32</v>
      </c>
      <c r="C18" s="15">
        <f>'[14]Central Trading'!C18+'[14]Central Origination'!C18+[14]Derivatives!C18+'[14]East Trading'!C18+'[14]East Origination'!C18+'[14]Financial Gas'!C18+[14]Structuring!C18+'[14]Texas Trading'!C18+'[14]Texas Origination'!C18+'[14]West Trading'!C18+'[14]West Origination'!C18+[14]Fundamentals!C18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(((+[17]Mexico!H18+'[17]Derivatives &amp; Wellhead'!H18)*1.2)/1.2)*1.1</f>
        <v>110000.00000000001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P18" s="15"/>
    </row>
    <row r="19" spans="1:16" x14ac:dyDescent="0.2">
      <c r="A19" s="13" t="s">
        <v>34</v>
      </c>
      <c r="B19" s="14" t="s">
        <v>35</v>
      </c>
      <c r="C19" s="15">
        <f>'[14]Central Trading'!C19+'[14]Central Origination'!C19+[14]Derivatives!C19+'[14]East Trading'!C19+'[14]East Origination'!C19+'[14]Financial Gas'!C19+[14]Structuring!C19+'[14]Texas Trading'!C19+'[14]Texas Origination'!C19+'[14]West Trading'!C19+'[14]West Origination'!C19+[14]Fundamentals!C19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(((+[17]Mexico!H19+'[17]Derivatives &amp; Wellhead'!H19)*1.2)/1.2)*1.1</f>
        <v>126500.00000000001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P19" s="15"/>
    </row>
    <row r="20" spans="1:16" x14ac:dyDescent="0.2">
      <c r="A20" s="13" t="s">
        <v>37</v>
      </c>
      <c r="B20" s="14" t="s">
        <v>38</v>
      </c>
      <c r="C20" s="15">
        <f>'[14]Central Trading'!C20+'[14]Central Origination'!C20+[14]Derivatives!C20+'[14]East Trading'!C20+'[14]East Origination'!C20+'[14]Financial Gas'!C20+[14]Structuring!C20+'[14]Texas Trading'!C20+'[14]Texas Origination'!C20+'[14]West Trading'!C20+'[14]West Origination'!C20+[14]Fundamentals!C20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(((+[17]Mexico!H20+'[17]Derivatives &amp; Wellhead'!H20)*1.2)/1.2)*1.1</f>
        <v>4.4000000000000004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P20" s="15"/>
    </row>
    <row r="21" spans="1:16" x14ac:dyDescent="0.2">
      <c r="A21" s="13" t="s">
        <v>40</v>
      </c>
      <c r="B21" s="14" t="s">
        <v>41</v>
      </c>
      <c r="C21" s="15">
        <f>'[14]Central Trading'!C21+'[14]Central Origination'!C21+[14]Derivatives!C21+'[14]East Trading'!C21+'[14]East Origination'!C21+'[14]Financial Gas'!C21+[14]Structuring!C21+'[14]Texas Trading'!C21+'[14]Texas Origination'!C21+'[14]West Trading'!C21+'[14]West Origination'!C21+[14]Fundamentals!C21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(((+[17]Mexico!H21+'[17]Derivatives &amp; Wellhead'!H21)*1.2)/1.2)*1.1</f>
        <v>22000</v>
      </c>
      <c r="I21" s="25" t="s">
        <v>42</v>
      </c>
      <c r="J21" s="25">
        <v>60500</v>
      </c>
      <c r="K21" s="25">
        <v>1</v>
      </c>
      <c r="L21" s="25">
        <f t="shared" si="1"/>
        <v>60500</v>
      </c>
      <c r="O21" s="8"/>
      <c r="P21" s="32"/>
    </row>
    <row r="22" spans="1:16" x14ac:dyDescent="0.2">
      <c r="A22" s="13" t="s">
        <v>43</v>
      </c>
      <c r="B22" s="14" t="s">
        <v>44</v>
      </c>
      <c r="C22" s="15">
        <f>'[14]Central Trading'!C22+'[14]Central Origination'!C22+[14]Derivatives!C22+'[14]East Trading'!C22+'[14]East Origination'!C22+'[14]Financial Gas'!C22+[14]Structuring!C22+'[14]Texas Trading'!C22+'[14]Texas Origination'!C22+'[14]West Trading'!C22+'[14]West Origination'!C22+[14]Fundamentals!C22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(((+[17]Mexico!H22+'[17]Derivatives &amp; Wellhead'!H22)*1.2)/1.2)*1.1</f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O22" s="8"/>
      <c r="P22" s="32"/>
    </row>
    <row r="23" spans="1:16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2757251.2</v>
      </c>
      <c r="I23" s="25" t="s">
        <v>48</v>
      </c>
      <c r="J23" s="25">
        <v>110000</v>
      </c>
      <c r="K23" s="25">
        <f>2+1</f>
        <v>3</v>
      </c>
      <c r="L23" s="25">
        <f t="shared" si="1"/>
        <v>330000</v>
      </c>
      <c r="O23" s="8"/>
      <c r="P23" s="29"/>
    </row>
    <row r="24" spans="1:16" x14ac:dyDescent="0.2">
      <c r="I24" s="25" t="s">
        <v>49</v>
      </c>
      <c r="J24" s="25">
        <v>143000</v>
      </c>
      <c r="K24" s="25">
        <f>2+1+1</f>
        <v>4</v>
      </c>
      <c r="L24" s="25">
        <f t="shared" si="1"/>
        <v>572000</v>
      </c>
      <c r="O24" s="8"/>
      <c r="P24" s="8"/>
    </row>
    <row r="25" spans="1:16" x14ac:dyDescent="0.2">
      <c r="B25" s="27" t="s">
        <v>50</v>
      </c>
      <c r="C25" s="15"/>
      <c r="E25" s="31">
        <f>'[14]Central Trading'!E25+'[14]Central Origination'!E25+[14]Derivatives!E25+'[14]East Trading'!E25+'[14]East Origination'!E25+'[14]Financial Gas'!E25+[14]Structuring!E25+'[14]Texas Trading'!E25+'[14]Texas Origination'!E25+'[14]West Trading'!E25+'[14]West Origination'!E25+[14]Fundamentals!E25</f>
        <v>108</v>
      </c>
      <c r="H25" s="31">
        <f>+[17]Mexico!H25+'[17]Derivatives &amp; Wellhead'!H25</f>
        <v>11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O25" s="8"/>
      <c r="P25" s="32"/>
    </row>
    <row r="26" spans="1:16" x14ac:dyDescent="0.2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1"/>
        <v>396000</v>
      </c>
      <c r="O26" s="8"/>
      <c r="P26" s="32"/>
    </row>
    <row r="27" spans="1:16" x14ac:dyDescent="0.2">
      <c r="B27" s="27" t="s">
        <v>67</v>
      </c>
      <c r="C27" s="15"/>
      <c r="E27" s="31">
        <f>'[14]Central Trading'!E27+'[14]Central Origination'!E27+[14]Derivatives!E27+'[14]East Trading'!E27+'[14]East Origination'!E27+'[14]Financial Gas'!E27+[14]Structuring!E27+'[14]Texas Trading'!E27+'[14]Texas Origination'!E27+'[14]West Trading'!E27+'[14]West Origination'!E27+[14]Fundamentals!E27</f>
        <v>52</v>
      </c>
      <c r="H27" s="31">
        <f>+[17]Mexico!H27+'[17]Derivatives &amp; Wellhead'!H27</f>
        <v>1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O27" s="8"/>
      <c r="P27" s="32"/>
    </row>
    <row r="28" spans="1:16" x14ac:dyDescent="0.2">
      <c r="K28" s="25">
        <f>SUM(K16:K27)</f>
        <v>10</v>
      </c>
      <c r="L28" s="25">
        <f>SUM(L16:L27)*1.2</f>
        <v>1630200</v>
      </c>
      <c r="O28" s="8"/>
      <c r="P28" s="8"/>
    </row>
    <row r="29" spans="1:16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12</v>
      </c>
      <c r="L29" s="52">
        <v>0.2</v>
      </c>
      <c r="O29" s="8"/>
      <c r="P29" s="32"/>
    </row>
    <row r="30" spans="1:16" hidden="1" x14ac:dyDescent="0.2">
      <c r="L30" s="25">
        <f>L28*1.2</f>
        <v>1956240</v>
      </c>
      <c r="O30" s="8"/>
      <c r="P30" s="8"/>
    </row>
    <row r="31" spans="1:16" hidden="1" x14ac:dyDescent="0.2">
      <c r="H31" s="33" t="s">
        <v>56</v>
      </c>
      <c r="L31"/>
      <c r="O31" s="8"/>
      <c r="P31" s="8"/>
    </row>
    <row r="32" spans="1:16" hidden="1" x14ac:dyDescent="0.2">
      <c r="B32" s="14" t="s">
        <v>22</v>
      </c>
      <c r="C32" s="15">
        <v>254512</v>
      </c>
      <c r="L32"/>
      <c r="O32" s="8"/>
      <c r="P32" s="8"/>
    </row>
    <row r="33" spans="2:16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O33" s="8"/>
      <c r="P33" s="8"/>
    </row>
    <row r="34" spans="2:16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10</v>
      </c>
      <c r="L34" s="37">
        <f>+J34*K34</f>
        <v>482701.81250000012</v>
      </c>
      <c r="O34" s="8"/>
      <c r="P34" s="8"/>
    </row>
    <row r="35" spans="2:16" hidden="1" x14ac:dyDescent="0.2">
      <c r="O35" s="8"/>
      <c r="P35" s="8"/>
    </row>
    <row r="36" spans="2:16" hidden="1" x14ac:dyDescent="0.2">
      <c r="O36" s="8"/>
      <c r="P36" s="8"/>
    </row>
    <row r="37" spans="2:16" hidden="1" x14ac:dyDescent="0.2">
      <c r="O37" s="8"/>
      <c r="P37" s="8"/>
    </row>
    <row r="38" spans="2:16" hidden="1" x14ac:dyDescent="0.2">
      <c r="O38" s="8"/>
      <c r="P38" s="8"/>
    </row>
    <row r="39" spans="2:16" x14ac:dyDescent="0.2">
      <c r="O39" s="8"/>
      <c r="P39" s="8"/>
    </row>
    <row r="42" spans="2:16" x14ac:dyDescent="0.2">
      <c r="B42" s="123"/>
      <c r="C42" s="123"/>
      <c r="D42" s="123"/>
    </row>
    <row r="43" spans="2:16" x14ac:dyDescent="0.2">
      <c r="B43" s="123"/>
      <c r="C43" s="123"/>
      <c r="D43" s="123"/>
    </row>
    <row r="44" spans="2:16" x14ac:dyDescent="0.2">
      <c r="B44" s="123"/>
      <c r="C44" s="123"/>
      <c r="D44" s="123"/>
    </row>
    <row r="45" spans="2:16" x14ac:dyDescent="0.2">
      <c r="B45" s="123"/>
      <c r="C45" s="123"/>
      <c r="D45" s="123"/>
    </row>
    <row r="46" spans="2:16" x14ac:dyDescent="0.2">
      <c r="B46" s="123"/>
      <c r="C46" s="123"/>
      <c r="D46" s="123"/>
    </row>
    <row r="47" spans="2:16" x14ac:dyDescent="0.2">
      <c r="B47" s="123"/>
      <c r="C47" s="123"/>
      <c r="D47" s="123"/>
    </row>
    <row r="48" spans="2:16" x14ac:dyDescent="0.2">
      <c r="B48" s="123"/>
      <c r="C48" s="123"/>
      <c r="D48" s="123"/>
    </row>
    <row r="49" spans="2:4" x14ac:dyDescent="0.2">
      <c r="B49" s="123"/>
      <c r="C49" s="123"/>
      <c r="D49" s="123"/>
    </row>
    <row r="50" spans="2:4" x14ac:dyDescent="0.2">
      <c r="B50" s="124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AR39"/>
  <sheetViews>
    <sheetView topLeftCell="A4" zoomScaleNormal="100" workbookViewId="0">
      <selection activeCell="P155" sqref="P155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4" max="14" width="14" customWidth="1"/>
    <col min="15" max="15" width="13.85546875" customWidth="1"/>
    <col min="16" max="16" width="10.28515625" customWidth="1"/>
    <col min="17" max="17" width="10.7109375" customWidth="1"/>
  </cols>
  <sheetData>
    <row r="1" spans="1:44" ht="18" x14ac:dyDescent="0.2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2" t="s">
        <v>246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'[11]Central Trading'!C8+'[11]Central Origination'!C8+[11]Derivatives!C8+'[11]East Trading'!C8+'[11]East Origination'!C8+'[11]Financial Gas'!C8+[11]Structuring!C8+'[11]Texas Trading'!C8+'[11]Texas Origination'!C8+'[11]West Trading'!C8+'[11]West Origination'!C8+[11]Fundamentals!C8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(((L28-H10)*1.2)/1.2)*1.1</f>
        <v>343761</v>
      </c>
      <c r="I8" s="42" t="s">
        <v>10</v>
      </c>
      <c r="J8" s="17">
        <v>0</v>
      </c>
      <c r="K8" s="17"/>
      <c r="L8" s="43">
        <f>L30</f>
        <v>492624</v>
      </c>
      <c r="Q8" s="15"/>
    </row>
    <row r="9" spans="1:44" hidden="1" x14ac:dyDescent="0.2">
      <c r="A9" s="13"/>
      <c r="B9" s="14" t="s">
        <v>11</v>
      </c>
      <c r="C9" s="15">
        <f>'[11]Central Trading'!C9+'[11]Central Origination'!C9+[11]Derivatives!C9+'[11]East Trading'!C9+'[11]East Origination'!C9+'[11]Financial Gas'!C9+[11]Structuring!C9+'[11]Texas Trading'!C9+'[11]Texas Origination'!C9+'[11]West Trading'!C9+'[11]West Origination'!C9+[11]Fundamentals!C9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'[11]Central Trading'!C10+'[11]Central Origination'!C10+[11]Derivatives!C10+'[11]East Trading'!C10+'[11]East Origination'!C10+'[11]Financial Gas'!C10+[11]Structuring!C10+'[11]Texas Trading'!C10+'[11]Texas Origination'!C10+'[11]West Trading'!C10+'[11]West Origination'!C10+[11]Fundamentals!C10</f>
        <v>3095252.76</v>
      </c>
      <c r="D10" s="15"/>
      <c r="E10" s="15">
        <f>('[11]Central Trading'!E9+'[11]Central Origination'!E10+[11]Derivatives!E10+'[11]East Trading'!E10+'[11]East Origination'!E10+'[11]Financial Gas'!E10+[11]Structuring!E10+'[11]Texas Trading'!E10+'[11]Texas Origination'!E10+'[11]West Trading'!E10+'[11]West Origination'!E10+[11]Fundamentals!E10)-4000000</f>
        <v>82420.999999999534</v>
      </c>
      <c r="G10" s="45">
        <f t="shared" si="0"/>
        <v>3.7797619139155266E-3</v>
      </c>
      <c r="H10" s="15">
        <f>(((L21+L22)*1.2)/1.2)*1.1</f>
        <v>98010.000000000015</v>
      </c>
      <c r="I10" s="42"/>
      <c r="J10" s="17"/>
      <c r="K10" s="17"/>
      <c r="L10" s="43"/>
      <c r="Q10" s="15"/>
    </row>
    <row r="11" spans="1:44" x14ac:dyDescent="0.2">
      <c r="A11" s="13" t="s">
        <v>13</v>
      </c>
      <c r="B11" s="14" t="s">
        <v>14</v>
      </c>
      <c r="C11" s="15">
        <f>'[11]Central Trading'!C11+'[11]Central Origination'!C11+[11]Derivatives!C11+'[11]East Trading'!C11+'[11]East Origination'!C11+'[11]Financial Gas'!C11+[11]Structuring!C11+'[11]Texas Trading'!C11+'[11]Texas Origination'!C11+'[11]West Trading'!C11+'[11]West Origination'!C11+[11]Fundamentals!C11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(((L30-L28)*1.2)/1.2)*1.1</f>
        <v>90314.400000000009</v>
      </c>
      <c r="I11" s="42" t="s">
        <v>15</v>
      </c>
      <c r="J11" s="17">
        <f>(E12+E13+E14+E15+E16+E17+E18+E19+E20+E21+E22)/E29</f>
        <v>48270.181250000009</v>
      </c>
      <c r="K11" s="17">
        <f>K28</f>
        <v>3</v>
      </c>
      <c r="L11" s="43">
        <f>J11*K11</f>
        <v>144810.54375000001</v>
      </c>
      <c r="N11" s="123"/>
      <c r="O11" s="123"/>
      <c r="P11" s="123"/>
      <c r="Q11" s="123"/>
    </row>
    <row r="12" spans="1:44" x14ac:dyDescent="0.2">
      <c r="A12" s="13" t="s">
        <v>16</v>
      </c>
      <c r="B12" s="14" t="s">
        <v>17</v>
      </c>
      <c r="C12" s="15">
        <f>'[11]Central Trading'!C12+'[11]Central Origination'!C12+[11]Derivatives!C12+'[11]East Trading'!C12+'[11]East Origination'!C12+'[11]Financial Gas'!C12+[11]Structuring!C12+'[11]Texas Trading'!C12+'[11]Texas Origination'!C12+'[11]West Trading'!C12+'[11]West Origination'!C12+[11]Fundamentals!C12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((((E12/$E$29)*$K$11)*1.2)/1.2)*1.1</f>
        <v>20336.163374999993</v>
      </c>
      <c r="I12" s="42"/>
      <c r="J12" s="17"/>
      <c r="K12" s="17"/>
      <c r="L12" s="43"/>
      <c r="N12" s="123"/>
      <c r="O12" s="123"/>
      <c r="P12" s="123"/>
      <c r="Q12" s="123"/>
    </row>
    <row r="13" spans="1:44" ht="13.5" thickBot="1" x14ac:dyDescent="0.25">
      <c r="A13" s="13" t="s">
        <v>18</v>
      </c>
      <c r="B13" s="14" t="s">
        <v>19</v>
      </c>
      <c r="C13" s="15">
        <f>'[11]Central Trading'!C13+'[11]Central Origination'!C13+[11]Derivatives!C13+'[11]East Trading'!C13+'[11]East Origination'!C13+'[11]Financial Gas'!C13+[11]Structuring!C13+'[11]Texas Trading'!C13+'[11]Texas Origination'!C13+'[11]West Trading'!C13+'[11]West Origination'!C13+[11]Fundamentals!C13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18100.357825000003</v>
      </c>
      <c r="I13" s="46" t="s">
        <v>20</v>
      </c>
      <c r="J13" s="47"/>
      <c r="K13" s="47"/>
      <c r="L13" s="48">
        <f>L8+L11</f>
        <v>637434.54374999995</v>
      </c>
      <c r="N13" s="123"/>
      <c r="O13" s="123"/>
      <c r="P13" s="123"/>
      <c r="Q13" s="123"/>
    </row>
    <row r="14" spans="1:44" x14ac:dyDescent="0.2">
      <c r="A14" s="13" t="s">
        <v>21</v>
      </c>
      <c r="B14" s="14" t="s">
        <v>22</v>
      </c>
      <c r="C14" s="15">
        <f>'[11]Central Trading'!C14+'[11]Central Origination'!C14+[11]Derivatives!C14+'[11]East Trading'!C14+'[11]East Origination'!C14+'[11]Financial Gas'!C14+[11]Structuring!C14+'[11]Texas Trading'!C14+'[11]Texas Origination'!C14+'[11]West Trading'!C14+'[11]West Origination'!C14+[11]Fundamentals!C14-C32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6.6000000005442408E-3</v>
      </c>
      <c r="Q14" s="15"/>
    </row>
    <row r="15" spans="1:44" x14ac:dyDescent="0.2">
      <c r="A15" s="13" t="s">
        <v>23</v>
      </c>
      <c r="B15" s="14" t="s">
        <v>24</v>
      </c>
      <c r="C15" s="15">
        <f>'[11]Central Trading'!C15+'[11]Central Origination'!C15+[11]Derivatives!C15+'[11]East Trading'!C15+'[11]East Origination'!C15+'[11]Financial Gas'!C15+[11]Structuring!C15+'[11]Texas Trading'!C15+'[11]Texas Origination'!C15+'[11]West Trading'!C15+'[11]West Origination'!C15+[11]Fundamentals!C15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2875.4825000000001</v>
      </c>
      <c r="Q15" s="15"/>
    </row>
    <row r="16" spans="1:44" x14ac:dyDescent="0.2">
      <c r="A16" s="13" t="s">
        <v>25</v>
      </c>
      <c r="B16" s="14" t="s">
        <v>26</v>
      </c>
      <c r="C16" s="15">
        <f>'[11]Central Trading'!C16+'[11]Central Origination'!C16+[11]Derivatives!C16+'[11]East Trading'!C16+'[11]East Origination'!C16+'[11]Financial Gas'!C16+[11]Structuring!C16+'[11]Texas Trading'!C16+'[11]Texas Origination'!C16+'[11]West Trading'!C16+'[11]West Origination'!C16+[11]Fundamentals!C16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28</v>
      </c>
      <c r="B17" s="14" t="s">
        <v>29</v>
      </c>
      <c r="C17" s="15">
        <f>'[11]Central Trading'!C17+'[11]Central Origination'!C17+[11]Derivatives!C17+'[11]East Trading'!C17+'[11]East Origination'!C17+'[11]Financial Gas'!C17+[11]Structuring!C17+'[11]Texas Trading'!C17+'[11]Texas Origination'!C17+'[11]West Trading'!C17+'[11]West Origination'!C17+[11]Fundamentals!C17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162.25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Q17" s="15"/>
    </row>
    <row r="18" spans="1:17" x14ac:dyDescent="0.2">
      <c r="A18" s="13" t="s">
        <v>31</v>
      </c>
      <c r="B18" s="14" t="s">
        <v>32</v>
      </c>
      <c r="C18" s="15">
        <f>'[11]Central Trading'!C18+'[11]Central Origination'!C18+[11]Derivatives!C18+'[11]East Trading'!C18+'[11]East Origination'!C18+'[11]Financial Gas'!C18+[11]Structuring!C18+'[11]Texas Trading'!C18+'[11]Texas Origination'!C18+'[11]West Trading'!C18+'[11]West Origination'!C18+[11]Fundamentals!C18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2946.7603000000008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34</v>
      </c>
      <c r="B19" s="14" t="s">
        <v>35</v>
      </c>
      <c r="C19" s="15">
        <f>'[11]Central Trading'!C19+'[11]Central Origination'!C19+[11]Derivatives!C19+'[11]East Trading'!C19+'[11]East Origination'!C19+'[11]Financial Gas'!C19+[11]Structuring!C19+'[11]Texas Trading'!C19+'[11]Texas Origination'!C19+'[11]West Trading'!C19+'[11]West Origination'!C19+[11]Fundamentals!C19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3003.2838000000002</v>
      </c>
      <c r="I19" s="25" t="s">
        <v>36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37</v>
      </c>
      <c r="B20" s="14" t="s">
        <v>38</v>
      </c>
      <c r="C20" s="15">
        <f>'[11]Central Trading'!C20+'[11]Central Origination'!C20+[11]Derivatives!C20+'[11]East Trading'!C20+'[11]East Origination'!C20+'[11]Financial Gas'!C20+[11]Structuring!C20+'[11]Texas Trading'!C20+'[11]Texas Origination'!C20+'[11]West Trading'!C20+'[11]West Origination'!C20+[11]Fundamentals!C20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0.44000000000000006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40</v>
      </c>
      <c r="B21" s="14" t="s">
        <v>41</v>
      </c>
      <c r="C21" s="15">
        <f>'[11]Central Trading'!C21+'[11]Central Origination'!C21+[11]Derivatives!C21+'[11]East Trading'!C21+'[11]East Origination'!C21+'[11]Financial Gas'!C21+[11]Structuring!C21+'[11]Texas Trading'!C21+'[11]Texas Origination'!C21+'[11]West Trading'!C21+'[11]West Origination'!C21+[11]Fundamentals!C21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3734.1950249999973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'[11]Central Trading'!C22+'[11]Central Origination'!C22+[11]Derivatives!C22+'[11]East Trading'!C22+'[11]East Origination'!C22+'[11]Financial Gas'!C22+[11]Structuring!C22+'[11]Texas Trading'!C22+'[11]Texas Origination'!C22+'[11]West Trading'!C22+'[11]West Origination'!C22+[11]Fundamentals!C22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1</v>
      </c>
      <c r="L22" s="25">
        <f t="shared" si="2"/>
        <v>89100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583244.3394249999</v>
      </c>
      <c r="I23" s="25" t="s">
        <v>48</v>
      </c>
      <c r="J23" s="25">
        <v>110000</v>
      </c>
      <c r="K23" s="25">
        <v>1</v>
      </c>
      <c r="L23" s="25">
        <f t="shared" si="2"/>
        <v>110000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v>1</v>
      </c>
      <c r="L24" s="25">
        <f t="shared" si="2"/>
        <v>143000</v>
      </c>
      <c r="P24" s="8"/>
      <c r="Q24" s="8"/>
    </row>
    <row r="25" spans="1:17" x14ac:dyDescent="0.2">
      <c r="B25" s="27" t="s">
        <v>50</v>
      </c>
      <c r="C25" s="15"/>
      <c r="E25" s="31">
        <f>'[11]Central Trading'!E25+'[11]Central Origination'!E25+[11]Derivatives!E25+'[11]East Trading'!E25+'[11]East Origination'!E25+'[11]Financial Gas'!E25+[11]Structuring!E25+'[11]Texas Trading'!E25+'[11]Texas Origination'!E25+'[11]West Trading'!E25+'[11]West Origination'!E25+[11]Fundamentals!E25</f>
        <v>108</v>
      </c>
      <c r="H25" s="31">
        <f>+K16+K17+K18+K19+K20+K23+K24+K25+K26+K27</f>
        <v>2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x14ac:dyDescent="0.2">
      <c r="B27" s="27" t="s">
        <v>67</v>
      </c>
      <c r="C27" s="15"/>
      <c r="E27" s="31">
        <f>'[11]Central Trading'!E27+'[11]Central Origination'!E27+[11]Derivatives!E27+'[11]East Trading'!E27+'[11]East Origination'!E27+'[11]Financial Gas'!E27+[11]Structuring!E27+'[11]Texas Trading'!E27+'[11]Texas Origination'!E27+'[11]West Trading'!E27+'[11]West Origination'!E27+[11]Fundamentals!E27</f>
        <v>52</v>
      </c>
      <c r="H27" s="31">
        <f>+K21+K22</f>
        <v>1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3</v>
      </c>
      <c r="L28" s="25">
        <f>SUM(L16:L27)*1.2</f>
        <v>410520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3</v>
      </c>
      <c r="L29" s="52">
        <v>0.2</v>
      </c>
      <c r="P29" s="8"/>
      <c r="Q29" s="32"/>
    </row>
    <row r="30" spans="1:17" hidden="1" x14ac:dyDescent="0.2">
      <c r="L30" s="25">
        <f>L28*1.2</f>
        <v>492624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</v>
      </c>
      <c r="L34" s="37">
        <f>+J34*K34</f>
        <v>144810.54375000001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S34"/>
  <sheetViews>
    <sheetView workbookViewId="0">
      <selection activeCell="P155" sqref="P155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19" width="9.140625" hidden="1" customWidth="1"/>
  </cols>
  <sheetData>
    <row r="1" spans="1:45" ht="18" x14ac:dyDescent="0.2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2" t="s">
        <v>302</v>
      </c>
      <c r="C2" s="142"/>
      <c r="D2" s="142"/>
      <c r="E2" s="142"/>
      <c r="F2" s="142"/>
      <c r="G2" s="142"/>
      <c r="H2" s="14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43" t="s">
        <v>0</v>
      </c>
      <c r="C3" s="143"/>
      <c r="D3" s="143"/>
      <c r="E3" s="143"/>
      <c r="F3" s="143"/>
      <c r="G3" s="143"/>
      <c r="H3" s="14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x14ac:dyDescent="0.2">
      <c r="A8" s="13" t="s">
        <v>9</v>
      </c>
      <c r="B8" s="14" t="s">
        <v>10</v>
      </c>
      <c r="C8" s="15">
        <f>'[10]Ercot Trading'!C8+'[10]Ercot Origination'!C8+'[10]Southeast Trading'!C8+'[10]Southeast Origination'!C8+'[10]Midwest Trading'!C8+'[10]Midwest Origination'!C8+'[10]Northeast Trading'!C8+'[10]Northeast Origination'!C8+'[10]Management Book'!C8+[10]Structuring_Fund!C8+[10]Services!C8+[10]Options!C8</f>
        <v>6640774.8000000017</v>
      </c>
      <c r="E8" s="15">
        <f>(C8/9)*12</f>
        <v>8854366.4000000022</v>
      </c>
      <c r="F8" s="15">
        <f>(((M16+M17+M18+M19+M20+M23+M24+M26+M27+M25)*1.2)/1.2)*1.1</f>
        <v>842160.00000000012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918720</v>
      </c>
      <c r="O8" s="15">
        <f t="shared" ref="O8:O22" si="1">+F8/$F$29*$O$29</f>
        <v>168432.00000000003</v>
      </c>
    </row>
    <row r="9" spans="1:45" hidden="1" x14ac:dyDescent="0.2">
      <c r="A9" s="13"/>
      <c r="B9" s="14" t="s">
        <v>11</v>
      </c>
      <c r="C9" s="15">
        <f>'[10]Ercot Trading'!C9+'[10]Ercot Origination'!C9+'[10]Southeast Trading'!C9+'[10]Southeast Origination'!C9+'[10]Midwest Trading'!C9+'[10]Midwest Origination'!C9+'[10]Northeast Trading'!C9+'[10]Northeast Origination'!C9+'[10]Management Book'!C9+[10]Structuring_Fund!C9+[10]Services!C9+[10]Options!C9</f>
        <v>1460000</v>
      </c>
      <c r="E9" s="15">
        <f>C9</f>
        <v>1460000</v>
      </c>
      <c r="F9" s="15">
        <v>0</v>
      </c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12</v>
      </c>
      <c r="C10" s="15">
        <f>'[10]Ercot Trading'!C10+'[10]Ercot Origination'!C10+'[10]Southeast Trading'!C10+'[10]Southeast Origination'!C10+'[10]Midwest Trading'!C10+'[10]Midwest Origination'!C10+'[10]Northeast Trading'!C10+'[10]Northeast Origination'!C10+'[10]Management Book'!C10+[10]Structuring_Fund!C10+[10]Services!C10+[10]Options!C10</f>
        <v>2652510</v>
      </c>
      <c r="E10" s="15">
        <f>(C10/9)*12</f>
        <v>3536680</v>
      </c>
      <c r="F10" s="15">
        <f>(((M21+M22)*1.2)/1.2)*1.1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'[10]Ercot Trading'!C11+'[10]Ercot Origination'!C11+'[10]Southeast Trading'!C11+'[10]Southeast Origination'!C11+'[10]Midwest Trading'!C11+'[10]Midwest Origination'!C11+'[10]Northeast Trading'!C11+'[10]Northeast Origination'!C11+'[10]Management Book'!C11+[10]Structuring_Fund!C11+[10]Services!C11+[10]Options!C11</f>
        <v>1536343.4600000002</v>
      </c>
      <c r="E11" s="15">
        <f>(C11/9)*12</f>
        <v>2048457.9466666668</v>
      </c>
      <c r="F11" s="15">
        <f>(((M28*0.2)*1.2)/1.2)*1.1</f>
        <v>168432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5</v>
      </c>
      <c r="M11" s="18">
        <f>K11*L11</f>
        <v>158380.90950354608</v>
      </c>
      <c r="O11" s="15">
        <f t="shared" si="1"/>
        <v>33686.400000000001</v>
      </c>
    </row>
    <row r="12" spans="1:45" x14ac:dyDescent="0.2">
      <c r="A12" s="13" t="s">
        <v>16</v>
      </c>
      <c r="B12" s="14" t="s">
        <v>17</v>
      </c>
      <c r="C12" s="15">
        <f>'[10]Ercot Trading'!C12+'[10]Ercot Origination'!C12+'[10]Southeast Trading'!C12+'[10]Southeast Origination'!C12+'[10]Midwest Trading'!C12+'[10]Midwest Origination'!C12+'[10]Northeast Trading'!C12+'[10]Northeast Origination'!C12+'[10]Management Book'!C12+[10]Structuring_Fund!C12+[10]Services!C12+[10]Options!C12</f>
        <v>556457.20000000007</v>
      </c>
      <c r="E12" s="20">
        <f t="shared" ref="E12:E22" si="2">(C12/9)*12*1.2</f>
        <v>890331.52</v>
      </c>
      <c r="F12" s="21">
        <f>(((E12/$E$29*$L$11-8329.76)*1.2)/1.2)*1.1</f>
        <v>25566.507687943264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5113.3015375886525</v>
      </c>
    </row>
    <row r="13" spans="1:45" ht="13.5" thickBot="1" x14ac:dyDescent="0.25">
      <c r="A13" s="13" t="s">
        <v>18</v>
      </c>
      <c r="B13" s="14" t="s">
        <v>19</v>
      </c>
      <c r="C13" s="15">
        <f>'[10]Ercot Trading'!C13+'[10]Ercot Origination'!C13+'[10]Southeast Trading'!C13+'[10]Southeast Origination'!C13+'[10]Midwest Trading'!C13+'[10]Midwest Origination'!C13+'[10]Northeast Trading'!C13+'[10]Northeast Origination'!C13+'[10]Management Book'!C13+[10]Structuring_Fund!C13+[10]Services!C13+[10]Options!C13</f>
        <v>1014365.41</v>
      </c>
      <c r="E13" s="20">
        <f t="shared" si="2"/>
        <v>1622984.656</v>
      </c>
      <c r="F13" s="21">
        <f>(((E13/$E$29*$L$11-26933.92)*1.2)/1.2)*1.1</f>
        <v>33680.600113475179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1077100.9095035461</v>
      </c>
      <c r="O13" s="15">
        <f t="shared" si="1"/>
        <v>6736.1200226950359</v>
      </c>
    </row>
    <row r="14" spans="1:45" x14ac:dyDescent="0.2">
      <c r="A14" s="13" t="s">
        <v>21</v>
      </c>
      <c r="B14" s="14" t="s">
        <v>22</v>
      </c>
      <c r="C14" s="15">
        <f>'[10]Ercot Trading'!C14+'[10]Ercot Origination'!C14+'[10]Southeast Trading'!C14+'[10]Southeast Origination'!C14+'[10]Midwest Trading'!C14+'[10]Midwest Origination'!C14+'[10]Northeast Trading'!C14+'[10]Northeast Origination'!C14+'[10]Management Book'!C14+[10]Structuring_Fund!C14+[10]Services!C14+[10]Options!C14-C32</f>
        <v>0.38000000012107193</v>
      </c>
      <c r="E14" s="20">
        <f t="shared" si="2"/>
        <v>0.60800000019371503</v>
      </c>
      <c r="F14" s="21">
        <f>(((80000)*1.2)/1.2)*1.1</f>
        <v>88000</v>
      </c>
      <c r="H14" s="16">
        <f t="shared" si="0"/>
        <v>2.9853903459396468E-8</v>
      </c>
      <c r="N14" s="49"/>
      <c r="O14" s="15">
        <f t="shared" si="1"/>
        <v>17600</v>
      </c>
    </row>
    <row r="15" spans="1:45" x14ac:dyDescent="0.2">
      <c r="A15" s="13" t="s">
        <v>23</v>
      </c>
      <c r="B15" s="14" t="s">
        <v>24</v>
      </c>
      <c r="C15" s="15">
        <f>'[10]Ercot Trading'!C15+'[10]Ercot Origination'!C15+'[10]Southeast Trading'!C15+'[10]Southeast Origination'!C15+'[10]Midwest Trading'!C15+'[10]Midwest Origination'!C15+'[10]Northeast Trading'!C15+'[10]Northeast Origination'!C15+'[10]Management Book'!C15+[10]Structuring_Fund!C15+[10]Services!C15+[10]Options!C15</f>
        <v>93227.13</v>
      </c>
      <c r="E15" s="20">
        <f t="shared" si="2"/>
        <v>149163.408</v>
      </c>
      <c r="F15" s="21">
        <f>(((E15/$E$29*$L$11)*1.2)/1.2)*1.1</f>
        <v>5818.4308085106377</v>
      </c>
      <c r="H15" s="16">
        <f t="shared" si="0"/>
        <v>7.3241940471838168E-3</v>
      </c>
      <c r="K15" s="25"/>
      <c r="O15" s="15">
        <f t="shared" si="1"/>
        <v>1163.6861617021275</v>
      </c>
    </row>
    <row r="16" spans="1:45" x14ac:dyDescent="0.2">
      <c r="A16" s="13" t="s">
        <v>25</v>
      </c>
      <c r="B16" s="14" t="s">
        <v>26</v>
      </c>
      <c r="C16" s="15">
        <f>'[10]Ercot Trading'!C16+'[10]Ercot Origination'!C16+'[10]Southeast Trading'!C16+'[10]Southeast Origination'!C16+'[10]Midwest Trading'!C16+'[10]Midwest Origination'!C16+'[10]Northeast Trading'!C16+'[10]Northeast Origination'!C16+'[10]Management Book'!C16+[10]Structuring_Fund!C16+[10]Services!C16+[10]Options!C16</f>
        <v>0</v>
      </c>
      <c r="E16" s="20">
        <f t="shared" si="2"/>
        <v>0</v>
      </c>
      <c r="F16" s="21">
        <f>(((E16/$E$29*$L$11)*1.2)/1.2)*1.1</f>
        <v>0</v>
      </c>
      <c r="H16" s="16">
        <f t="shared" si="0"/>
        <v>0</v>
      </c>
      <c r="J16" t="s">
        <v>27</v>
      </c>
      <c r="K16" s="25">
        <v>33600</v>
      </c>
      <c r="L16">
        <v>1</v>
      </c>
      <c r="M16" s="25">
        <f t="shared" ref="M16:M27" si="3">K16*L16</f>
        <v>33600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'[10]Ercot Trading'!C17+'[10]Ercot Origination'!C17+'[10]Southeast Trading'!C17+'[10]Southeast Origination'!C17+'[10]Midwest Trading'!C17+'[10]Midwest Origination'!C17+'[10]Northeast Trading'!C17+'[10]Northeast Origination'!C17+'[10]Management Book'!C17+[10]Structuring_Fund!C17+[10]Services!C17+[10]Options!C17</f>
        <v>5300</v>
      </c>
      <c r="E17" s="20">
        <f t="shared" si="2"/>
        <v>8480</v>
      </c>
      <c r="F17" s="21">
        <f>(((E17/$E$29*$L$11)*1.2)/1.2)*1.1</f>
        <v>330.78014184397165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3"/>
        <v>0</v>
      </c>
      <c r="O17" s="15">
        <f t="shared" si="1"/>
        <v>66.156028368794324</v>
      </c>
    </row>
    <row r="18" spans="1:15" x14ac:dyDescent="0.2">
      <c r="A18" s="13" t="s">
        <v>31</v>
      </c>
      <c r="B18" s="14" t="s">
        <v>32</v>
      </c>
      <c r="C18" s="15">
        <f>'[10]Ercot Trading'!C18+'[10]Ercot Origination'!C18+'[10]Southeast Trading'!C18+'[10]Southeast Origination'!C18+'[10]Midwest Trading'!C18+'[10]Midwest Origination'!C18+'[10]Northeast Trading'!C18+'[10]Northeast Origination'!C18+'[10]Management Book'!C18+[10]Structuring_Fund!C18+[10]Services!C18+[10]Options!C18</f>
        <v>287.28999999999655</v>
      </c>
      <c r="E18" s="20">
        <f t="shared" si="2"/>
        <v>459.66399999999447</v>
      </c>
      <c r="F18" s="21">
        <f>(((E18/$E$29*$L$11)*1.2)/1.2)*1.1</f>
        <v>17.930156028368579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3"/>
        <v>0</v>
      </c>
      <c r="O18" s="15">
        <f t="shared" si="1"/>
        <v>3.5860312056737156</v>
      </c>
    </row>
    <row r="19" spans="1:15" x14ac:dyDescent="0.2">
      <c r="A19" s="13" t="s">
        <v>34</v>
      </c>
      <c r="B19" s="14" t="s">
        <v>35</v>
      </c>
      <c r="C19" s="15">
        <f>'[10]Ercot Trading'!C19+'[10]Ercot Origination'!C19+'[10]Southeast Trading'!C19+'[10]Southeast Origination'!C19+'[10]Midwest Trading'!C19+'[10]Midwest Origination'!C19+'[10]Northeast Trading'!C19+'[10]Northeast Origination'!C19+'[10]Management Book'!C19+[10]Structuring_Fund!C19+[10]Services!C19+[10]Options!C19</f>
        <v>487149.2</v>
      </c>
      <c r="E19" s="20">
        <f t="shared" si="2"/>
        <v>779438.72000000009</v>
      </c>
      <c r="F19" s="21">
        <f>(((E19/$E$29*$L$11)*1.2)/1.2)*1.1</f>
        <v>30403.638014184402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3"/>
        <v>0</v>
      </c>
      <c r="O19" s="15">
        <f t="shared" si="1"/>
        <v>6080.7276028368806</v>
      </c>
    </row>
    <row r="20" spans="1:15" x14ac:dyDescent="0.2">
      <c r="A20" s="13" t="s">
        <v>37</v>
      </c>
      <c r="B20" s="14" t="s">
        <v>38</v>
      </c>
      <c r="C20" s="15">
        <f>'[10]Ercot Trading'!C20+'[10]Ercot Origination'!C20+'[10]Southeast Trading'!C20+'[10]Southeast Origination'!C20+'[10]Midwest Trading'!C20+'[10]Midwest Origination'!C20+'[10]Northeast Trading'!C20+'[10]Northeast Origination'!C20+'[10]Management Book'!C20+[10]Structuring_Fund!C20+[10]Services!C20+[10]Options!C20</f>
        <v>78.180000000000007</v>
      </c>
      <c r="E20" s="20">
        <f t="shared" si="2"/>
        <v>125.08800000000001</v>
      </c>
      <c r="F20" s="21">
        <v>0</v>
      </c>
      <c r="H20" s="16">
        <f t="shared" si="0"/>
        <v>6.1420478202947023E-6</v>
      </c>
      <c r="J20" t="s">
        <v>39</v>
      </c>
      <c r="K20" s="25">
        <v>78000</v>
      </c>
      <c r="L20">
        <v>0</v>
      </c>
      <c r="M20" s="25">
        <f t="shared" si="3"/>
        <v>0</v>
      </c>
      <c r="O20" s="15">
        <f t="shared" si="1"/>
        <v>0</v>
      </c>
    </row>
    <row r="21" spans="1:15" x14ac:dyDescent="0.2">
      <c r="A21" s="13" t="s">
        <v>40</v>
      </c>
      <c r="B21" s="14" t="s">
        <v>41</v>
      </c>
      <c r="C21" s="15">
        <f>'[10]Ercot Trading'!C21+'[10]Ercot Origination'!C21+'[10]Southeast Trading'!C21+'[10]Southeast Origination'!C21+'[10]Midwest Trading'!C21+'[10]Midwest Origination'!C21+'[10]Northeast Trading'!C21+'[10]Northeast Origination'!C21+'[10]Management Book'!C21+[10]Structuring_Fund!C21+[10]Services!C21+[10]Options!C21</f>
        <v>633408.5</v>
      </c>
      <c r="E21" s="20">
        <f t="shared" si="2"/>
        <v>1013453.5999999999</v>
      </c>
      <c r="F21" s="21">
        <f>(((E21/$E$29*$L$11)*1.2)/1.2)*1.1</f>
        <v>39531.878014184396</v>
      </c>
      <c r="H21" s="16">
        <f t="shared" si="0"/>
        <v>4.9762411061411306E-2</v>
      </c>
      <c r="J21" t="s">
        <v>42</v>
      </c>
      <c r="K21" s="25">
        <v>66000</v>
      </c>
      <c r="L21">
        <v>0</v>
      </c>
      <c r="M21" s="25">
        <f t="shared" si="3"/>
        <v>0</v>
      </c>
      <c r="O21" s="15">
        <f t="shared" si="1"/>
        <v>7906.3756028368789</v>
      </c>
    </row>
    <row r="22" spans="1:15" x14ac:dyDescent="0.2">
      <c r="A22" s="13" t="s">
        <v>43</v>
      </c>
      <c r="B22" s="14" t="s">
        <v>44</v>
      </c>
      <c r="C22" s="15">
        <f>'[10]Ercot Trading'!C22+'[10]Ercot Origination'!C22+'[10]Southeast Trading'!C22+'[10]Southeast Origination'!C22+'[10]Midwest Trading'!C22+'[10]Midwest Origination'!C22+'[10]Northeast Trading'!C22+'[10]Northeast Origination'!C22+'[10]Management Book'!C22+[10]Structuring_Fund!C22+[10]Services!C22+[10]Options!C22</f>
        <v>1190.24</v>
      </c>
      <c r="E22" s="20">
        <f t="shared" si="2"/>
        <v>1904.384</v>
      </c>
      <c r="F22" s="21">
        <f>(((E22/$E$29*$L$11)*1.2)/1.2)*1.1</f>
        <v>74.284482269503556</v>
      </c>
      <c r="H22" s="16">
        <f t="shared" si="0"/>
        <v>9.350871063734415E-5</v>
      </c>
      <c r="J22" t="s">
        <v>45</v>
      </c>
      <c r="K22" s="25">
        <v>97200</v>
      </c>
      <c r="L22">
        <v>0</v>
      </c>
      <c r="M22" s="25">
        <f t="shared" si="3"/>
        <v>0</v>
      </c>
      <c r="O22" s="15">
        <f t="shared" si="1"/>
        <v>14.856896453900712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1234016.0494184396</v>
      </c>
      <c r="H23" s="30">
        <f>SUM(H8:H22)</f>
        <v>1</v>
      </c>
      <c r="J23" t="s">
        <v>48</v>
      </c>
      <c r="K23" s="25">
        <v>120000</v>
      </c>
      <c r="L23">
        <v>0</v>
      </c>
      <c r="M23" s="25">
        <f t="shared" si="3"/>
        <v>0</v>
      </c>
      <c r="O23" s="58">
        <f>SUM(O8:O22)</f>
        <v>246803.20988368793</v>
      </c>
    </row>
    <row r="24" spans="1:15" x14ac:dyDescent="0.2">
      <c r="J24" t="s">
        <v>49</v>
      </c>
      <c r="K24" s="25">
        <v>156000</v>
      </c>
      <c r="L24">
        <v>2</v>
      </c>
      <c r="M24" s="25">
        <f t="shared" si="3"/>
        <v>312000</v>
      </c>
    </row>
    <row r="25" spans="1:15" x14ac:dyDescent="0.2">
      <c r="B25" s="27" t="s">
        <v>50</v>
      </c>
      <c r="C25" s="15"/>
      <c r="E25" s="31">
        <f>'[10]Ercot Trading'!E25+'[10]Ercot Origination'!E25+'[10]Southeast Trading'!E25+'[10]Southeast Origination'!E25+'[10]Midwest Trading'!E25+'[10]Midwest Origination'!E25+'[10]Northeast Trading'!E25+'[10]Northeast Origination'!E25+'[10]Management Book'!E25+[10]Structuring_Fund!E25+[10]Services!E25+[10]Options!E25</f>
        <v>91</v>
      </c>
      <c r="F25" s="31">
        <f>SUM(L16:L20,L23:L27)</f>
        <v>5</v>
      </c>
      <c r="J25" t="s">
        <v>51</v>
      </c>
      <c r="K25" s="25">
        <v>180000</v>
      </c>
      <c r="L25">
        <v>1</v>
      </c>
      <c r="M25" s="25">
        <f t="shared" si="3"/>
        <v>180000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52</v>
      </c>
      <c r="K26" s="25">
        <v>216000</v>
      </c>
      <c r="L26">
        <v>0</v>
      </c>
      <c r="M26" s="25">
        <f t="shared" si="3"/>
        <v>0</v>
      </c>
      <c r="O26" s="15"/>
    </row>
    <row r="27" spans="1:15" x14ac:dyDescent="0.2">
      <c r="B27" s="27" t="s">
        <v>53</v>
      </c>
      <c r="C27" s="15"/>
      <c r="E27" s="31">
        <f>'[10]Ercot Trading'!E27+'[10]Ercot Origination'!E27+'[10]Southeast Trading'!E27+'[10]Southeast Origination'!E27+'[10]Midwest Trading'!E27+'[10]Midwest Origination'!E27+'[10]Northeast Trading'!E27+'[10]Northeast Origination'!E27+'[10]Management Book'!E27+[10]Structuring_Fund!E27+[10]Services!E27+[10]Options!E27</f>
        <v>50</v>
      </c>
      <c r="F27" s="31">
        <f>SUM(L21:L22)</f>
        <v>0</v>
      </c>
      <c r="J27" t="s">
        <v>54</v>
      </c>
      <c r="K27" s="25">
        <v>240000</v>
      </c>
      <c r="L27">
        <v>1</v>
      </c>
      <c r="M27" s="25">
        <f t="shared" si="3"/>
        <v>240000</v>
      </c>
      <c r="O27" s="31">
        <f>SUM(U21:U22)</f>
        <v>0</v>
      </c>
    </row>
    <row r="28" spans="1:15" x14ac:dyDescent="0.2">
      <c r="B28" s="27"/>
      <c r="L28">
        <f>SUM(L16:L27)</f>
        <v>5</v>
      </c>
      <c r="M28" s="25">
        <f>SUM(M16:M27)</f>
        <v>765600</v>
      </c>
    </row>
    <row r="29" spans="1:15" x14ac:dyDescent="0.2">
      <c r="B29" s="27" t="s">
        <v>55</v>
      </c>
      <c r="E29" s="59">
        <f>SUM(E25:E27)</f>
        <v>141</v>
      </c>
      <c r="F29" s="31">
        <f>SUM(F25:F27)</f>
        <v>5</v>
      </c>
      <c r="H29" s="25"/>
      <c r="O29" s="31">
        <v>1</v>
      </c>
    </row>
    <row r="31" spans="1:15" x14ac:dyDescent="0.2">
      <c r="I31" s="33" t="s">
        <v>56</v>
      </c>
      <c r="J31" s="25"/>
      <c r="K31" s="25"/>
      <c r="L31" s="25"/>
    </row>
    <row r="32" spans="1:15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5</v>
      </c>
      <c r="M34" s="37">
        <f>+K34*L34</f>
        <v>158380.90950354608</v>
      </c>
    </row>
  </sheetData>
  <mergeCells count="3">
    <mergeCell ref="B1:H1"/>
    <mergeCell ref="B2:H2"/>
    <mergeCell ref="B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S34"/>
  <sheetViews>
    <sheetView workbookViewId="0">
      <selection activeCell="P155" sqref="P155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38" width="9.140625" hidden="1" customWidth="1"/>
  </cols>
  <sheetData>
    <row r="1" spans="1:45" ht="18" x14ac:dyDescent="0.2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2" t="s">
        <v>303</v>
      </c>
      <c r="C2" s="142"/>
      <c r="D2" s="142"/>
      <c r="E2" s="142"/>
      <c r="F2" s="142"/>
      <c r="G2" s="142"/>
      <c r="H2" s="14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43" t="s">
        <v>0</v>
      </c>
      <c r="C3" s="143"/>
      <c r="D3" s="143"/>
      <c r="E3" s="143"/>
      <c r="F3" s="143"/>
      <c r="G3" s="143"/>
      <c r="H3" s="14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x14ac:dyDescent="0.2">
      <c r="A8" s="13" t="s">
        <v>9</v>
      </c>
      <c r="B8" s="14" t="s">
        <v>10</v>
      </c>
      <c r="C8" s="15">
        <f>'[10]Ercot Trading'!C8+'[10]Ercot Origination'!C8+'[10]Southeast Trading'!C8+'[10]Southeast Origination'!C8+'[10]Midwest Trading'!C8+'[10]Midwest Origination'!C8+'[10]Northeast Trading'!C8+'[10]Northeast Origination'!C8+'[10]Management Book'!C8+[10]Structuring_Fund!C8+[10]Services!C8+[10]Options!C8</f>
        <v>6640774.8000000017</v>
      </c>
      <c r="E8" s="15">
        <f>(C8/9)*12</f>
        <v>8854366.4000000022</v>
      </c>
      <c r="F8" s="15">
        <f>(((M16+M17+M18+M19+M20+M23+M24+M26+M27+M25)*1.2)/1.2)*1.1</f>
        <v>693000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1068480</v>
      </c>
      <c r="O8" s="15">
        <f t="shared" ref="O8:O22" si="1">+F8/$F$29*$O$29</f>
        <v>86625</v>
      </c>
    </row>
    <row r="9" spans="1:45" hidden="1" x14ac:dyDescent="0.2">
      <c r="A9" s="13"/>
      <c r="B9" s="14" t="s">
        <v>11</v>
      </c>
      <c r="C9" s="15">
        <f>'[10]Ercot Trading'!C9+'[10]Ercot Origination'!C9+'[10]Southeast Trading'!C9+'[10]Southeast Origination'!C9+'[10]Midwest Trading'!C9+'[10]Midwest Origination'!C9+'[10]Northeast Trading'!C9+'[10]Northeast Origination'!C9+'[10]Management Book'!C9+[10]Structuring_Fund!C9+[10]Services!C9+[10]Options!C9</f>
        <v>1460000</v>
      </c>
      <c r="E9" s="15">
        <f>C9</f>
        <v>1460000</v>
      </c>
      <c r="F9" s="15">
        <v>0</v>
      </c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12</v>
      </c>
      <c r="C10" s="15">
        <f>'[10]Ercot Trading'!C10+'[10]Ercot Origination'!C10+'[10]Southeast Trading'!C10+'[10]Southeast Origination'!C10+'[10]Midwest Trading'!C10+'[10]Midwest Origination'!C10+'[10]Northeast Trading'!C10+'[10]Northeast Origination'!C10+'[10]Management Book'!C10+[10]Structuring_Fund!C10+[10]Services!C10+[10]Options!C10</f>
        <v>2652510</v>
      </c>
      <c r="E10" s="15">
        <f>(C10/9)*12</f>
        <v>3536680</v>
      </c>
      <c r="F10" s="15">
        <f>(((M21+M22)*1.2)/1.2)*1.1</f>
        <v>286440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35805</v>
      </c>
    </row>
    <row r="11" spans="1:45" x14ac:dyDescent="0.2">
      <c r="A11" s="13" t="s">
        <v>13</v>
      </c>
      <c r="B11" s="14" t="s">
        <v>14</v>
      </c>
      <c r="C11" s="15">
        <f>'[10]Ercot Trading'!C11+'[10]Ercot Origination'!C11+'[10]Southeast Trading'!C11+'[10]Southeast Origination'!C11+'[10]Midwest Trading'!C11+'[10]Midwest Origination'!C11+'[10]Northeast Trading'!C11+'[10]Northeast Origination'!C11+'[10]Management Book'!C11+[10]Structuring_Fund!C11+[10]Services!C11+[10]Options!C11</f>
        <v>1536343.4600000002</v>
      </c>
      <c r="E11" s="15">
        <f>(C11/9)*12</f>
        <v>2048457.9466666668</v>
      </c>
      <c r="F11" s="15">
        <f>(((M28*0.2)*1.2)/1.2)*1.1</f>
        <v>195888.00000000003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8</v>
      </c>
      <c r="M11" s="18">
        <f>K11*L11</f>
        <v>253409.4552056737</v>
      </c>
      <c r="O11" s="15">
        <f t="shared" si="1"/>
        <v>24486.000000000004</v>
      </c>
    </row>
    <row r="12" spans="1:45" x14ac:dyDescent="0.2">
      <c r="A12" s="13" t="s">
        <v>16</v>
      </c>
      <c r="B12" s="14" t="s">
        <v>17</v>
      </c>
      <c r="C12" s="15">
        <f>'[10]Ercot Trading'!C12+'[10]Ercot Origination'!C12+'[10]Southeast Trading'!C12+'[10]Southeast Origination'!C12+'[10]Midwest Trading'!C12+'[10]Midwest Origination'!C12+'[10]Northeast Trading'!C12+'[10]Northeast Origination'!C12+'[10]Management Book'!C12+[10]Structuring_Fund!C12+[10]Services!C12+[10]Options!C12</f>
        <v>556457.20000000007</v>
      </c>
      <c r="E12" s="20">
        <f t="shared" ref="E12:E22" si="2">(C12/9)*12*1.2</f>
        <v>890331.52</v>
      </c>
      <c r="F12" s="21">
        <f>(((E12/$E$29*$L$11-8329.76)*1.2)/1.2)*1.1</f>
        <v>46404.053900709223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5800.5067375886529</v>
      </c>
    </row>
    <row r="13" spans="1:45" ht="13.5" thickBot="1" x14ac:dyDescent="0.25">
      <c r="A13" s="13" t="s">
        <v>18</v>
      </c>
      <c r="B13" s="14" t="s">
        <v>19</v>
      </c>
      <c r="C13" s="15">
        <f>'[10]Ercot Trading'!C13+'[10]Ercot Origination'!C13+'[10]Southeast Trading'!C13+'[10]Southeast Origination'!C13+'[10]Midwest Trading'!C13+'[10]Midwest Origination'!C13+'[10]Northeast Trading'!C13+'[10]Northeast Origination'!C13+'[10]Management Book'!C13+[10]Structuring_Fund!C13+[10]Services!C13+[10]Options!C13</f>
        <v>1014365.41</v>
      </c>
      <c r="E13" s="20">
        <f t="shared" si="2"/>
        <v>1622984.656</v>
      </c>
      <c r="F13" s="21">
        <f>(((E13/$E$29*$L$11-26933.92)*1.2)/1.2)*1.1</f>
        <v>71665.347381560292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1321889.4552056738</v>
      </c>
      <c r="O13" s="15">
        <f t="shared" si="1"/>
        <v>8958.1684226950365</v>
      </c>
    </row>
    <row r="14" spans="1:45" x14ac:dyDescent="0.2">
      <c r="A14" s="13" t="s">
        <v>21</v>
      </c>
      <c r="B14" s="14" t="s">
        <v>22</v>
      </c>
      <c r="C14" s="15">
        <f>'[10]Ercot Trading'!C14+'[10]Ercot Origination'!C14+'[10]Southeast Trading'!C14+'[10]Southeast Origination'!C14+'[10]Midwest Trading'!C14+'[10]Midwest Origination'!C14+'[10]Northeast Trading'!C14+'[10]Northeast Origination'!C14+'[10]Management Book'!C14+[10]Structuring_Fund!C14+[10]Services!C14+[10]Options!C14-C32</f>
        <v>0.38000000012107193</v>
      </c>
      <c r="E14" s="20">
        <f t="shared" si="2"/>
        <v>0.60800000019371503</v>
      </c>
      <c r="F14" s="21">
        <f>(((80000)*1.2)/1.2)*1.1</f>
        <v>88000</v>
      </c>
      <c r="H14" s="16">
        <f t="shared" si="0"/>
        <v>2.9853903459396468E-8</v>
      </c>
      <c r="N14" s="49"/>
      <c r="O14" s="15">
        <f t="shared" si="1"/>
        <v>11000</v>
      </c>
    </row>
    <row r="15" spans="1:45" x14ac:dyDescent="0.2">
      <c r="A15" s="13" t="s">
        <v>23</v>
      </c>
      <c r="B15" s="14" t="s">
        <v>24</v>
      </c>
      <c r="C15" s="15">
        <f>'[10]Ercot Trading'!C15+'[10]Ercot Origination'!C15+'[10]Southeast Trading'!C15+'[10]Southeast Origination'!C15+'[10]Midwest Trading'!C15+'[10]Midwest Origination'!C15+'[10]Northeast Trading'!C15+'[10]Northeast Origination'!C15+'[10]Management Book'!C15+[10]Structuring_Fund!C15+[10]Services!C15+[10]Options!C15</f>
        <v>93227.13</v>
      </c>
      <c r="E15" s="20">
        <f t="shared" si="2"/>
        <v>149163.408</v>
      </c>
      <c r="F15" s="21">
        <f>(((E15/$E$29*$L$11)*1.2)/1.2)*1.1</f>
        <v>9309.4892936170218</v>
      </c>
      <c r="H15" s="16">
        <f t="shared" si="0"/>
        <v>7.3241940471838168E-3</v>
      </c>
      <c r="K15" s="25"/>
      <c r="O15" s="15">
        <f t="shared" si="1"/>
        <v>1163.6861617021277</v>
      </c>
    </row>
    <row r="16" spans="1:45" x14ac:dyDescent="0.2">
      <c r="A16" s="13" t="s">
        <v>25</v>
      </c>
      <c r="B16" s="14" t="s">
        <v>26</v>
      </c>
      <c r="C16" s="15">
        <f>'[10]Ercot Trading'!C16+'[10]Ercot Origination'!C16+'[10]Southeast Trading'!C16+'[10]Southeast Origination'!C16+'[10]Midwest Trading'!C16+'[10]Midwest Origination'!C16+'[10]Northeast Trading'!C16+'[10]Northeast Origination'!C16+'[10]Management Book'!C16+[10]Structuring_Fund!C16+[10]Services!C16+[10]Options!C16</f>
        <v>0</v>
      </c>
      <c r="E16" s="20">
        <f t="shared" si="2"/>
        <v>0</v>
      </c>
      <c r="F16" s="21">
        <f>(((E16/$E$29*$L$11)*1.2)/1.2)*1.1</f>
        <v>0</v>
      </c>
      <c r="H16" s="16">
        <f t="shared" si="0"/>
        <v>0</v>
      </c>
      <c r="J16" t="s">
        <v>27</v>
      </c>
      <c r="K16" s="25">
        <v>33600</v>
      </c>
      <c r="L16">
        <v>0</v>
      </c>
      <c r="M16" s="25">
        <f t="shared" ref="M16:M27" si="3">K16*L16</f>
        <v>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'[10]Ercot Trading'!C17+'[10]Ercot Origination'!C17+'[10]Southeast Trading'!C17+'[10]Southeast Origination'!C17+'[10]Midwest Trading'!C17+'[10]Midwest Origination'!C17+'[10]Northeast Trading'!C17+'[10]Northeast Origination'!C17+'[10]Management Book'!C17+[10]Structuring_Fund!C17+[10]Services!C17+[10]Options!C17</f>
        <v>5300</v>
      </c>
      <c r="E17" s="20">
        <f t="shared" si="2"/>
        <v>8480</v>
      </c>
      <c r="F17" s="21">
        <f>(((E17/$E$29*$L$11)*1.2)/1.2)*1.1</f>
        <v>529.24822695035459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3"/>
        <v>0</v>
      </c>
      <c r="O17" s="15">
        <f t="shared" si="1"/>
        <v>66.156028368794324</v>
      </c>
    </row>
    <row r="18" spans="1:15" x14ac:dyDescent="0.2">
      <c r="A18" s="13" t="s">
        <v>31</v>
      </c>
      <c r="B18" s="14" t="s">
        <v>32</v>
      </c>
      <c r="C18" s="15">
        <f>'[10]Ercot Trading'!C18+'[10]Ercot Origination'!C18+'[10]Southeast Trading'!C18+'[10]Southeast Origination'!C18+'[10]Midwest Trading'!C18+'[10]Midwest Origination'!C18+'[10]Northeast Trading'!C18+'[10]Northeast Origination'!C18+'[10]Management Book'!C18+[10]Structuring_Fund!C18+[10]Services!C18+[10]Options!C18</f>
        <v>287.28999999999655</v>
      </c>
      <c r="E18" s="20">
        <f t="shared" si="2"/>
        <v>459.66399999999447</v>
      </c>
      <c r="F18" s="21">
        <f>(((E18/$E$29*$L$11)*1.2)/1.2)*1.1</f>
        <v>28.688249645389732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3"/>
        <v>0</v>
      </c>
      <c r="O18" s="15">
        <f t="shared" si="1"/>
        <v>3.5860312056737165</v>
      </c>
    </row>
    <row r="19" spans="1:15" x14ac:dyDescent="0.2">
      <c r="A19" s="13" t="s">
        <v>34</v>
      </c>
      <c r="B19" s="14" t="s">
        <v>35</v>
      </c>
      <c r="C19" s="15">
        <f>'[10]Ercot Trading'!C19+'[10]Ercot Origination'!C19+'[10]Southeast Trading'!C19+'[10]Southeast Origination'!C19+'[10]Midwest Trading'!C19+'[10]Midwest Origination'!C19+'[10]Northeast Trading'!C19+'[10]Northeast Origination'!C19+'[10]Management Book'!C19+[10]Structuring_Fund!C19+[10]Services!C19+[10]Options!C19</f>
        <v>487149.2</v>
      </c>
      <c r="E19" s="20">
        <f t="shared" si="2"/>
        <v>779438.72000000009</v>
      </c>
      <c r="F19" s="21">
        <f>(((E19/$E$29*$L$11)*1.2)/1.2)*1.1</f>
        <v>48645.820822695045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3"/>
        <v>0</v>
      </c>
      <c r="O19" s="15">
        <f t="shared" si="1"/>
        <v>6080.7276028368806</v>
      </c>
    </row>
    <row r="20" spans="1:15" x14ac:dyDescent="0.2">
      <c r="A20" s="13" t="s">
        <v>37</v>
      </c>
      <c r="B20" s="14" t="s">
        <v>38</v>
      </c>
      <c r="C20" s="15">
        <f>'[10]Ercot Trading'!C20+'[10]Ercot Origination'!C20+'[10]Southeast Trading'!C20+'[10]Southeast Origination'!C20+'[10]Midwest Trading'!C20+'[10]Midwest Origination'!C20+'[10]Northeast Trading'!C20+'[10]Northeast Origination'!C20+'[10]Management Book'!C20+[10]Structuring_Fund!C20+[10]Services!C20+[10]Options!C20</f>
        <v>78.180000000000007</v>
      </c>
      <c r="E20" s="20">
        <f t="shared" si="2"/>
        <v>125.08800000000001</v>
      </c>
      <c r="F20" s="21">
        <v>0</v>
      </c>
      <c r="H20" s="16">
        <f t="shared" si="0"/>
        <v>6.1420478202947023E-6</v>
      </c>
      <c r="J20" t="s">
        <v>39</v>
      </c>
      <c r="K20" s="25">
        <v>78000</v>
      </c>
      <c r="L20">
        <v>1</v>
      </c>
      <c r="M20" s="25">
        <f t="shared" si="3"/>
        <v>78000</v>
      </c>
      <c r="O20" s="15">
        <f t="shared" si="1"/>
        <v>0</v>
      </c>
    </row>
    <row r="21" spans="1:15" x14ac:dyDescent="0.2">
      <c r="A21" s="13" t="s">
        <v>40</v>
      </c>
      <c r="B21" s="14" t="s">
        <v>41</v>
      </c>
      <c r="C21" s="15">
        <f>'[10]Ercot Trading'!C21+'[10]Ercot Origination'!C21+'[10]Southeast Trading'!C21+'[10]Southeast Origination'!C21+'[10]Midwest Trading'!C21+'[10]Midwest Origination'!C21+'[10]Northeast Trading'!C21+'[10]Northeast Origination'!C21+'[10]Management Book'!C21+[10]Structuring_Fund!C21+[10]Services!C21+[10]Options!C21</f>
        <v>633408.5</v>
      </c>
      <c r="E21" s="20">
        <f t="shared" si="2"/>
        <v>1013453.5999999999</v>
      </c>
      <c r="F21" s="21">
        <f>(((E21/$E$29*$L$11)*1.2)/1.2)*1.1</f>
        <v>63251.004822695031</v>
      </c>
      <c r="H21" s="16">
        <f t="shared" si="0"/>
        <v>4.9762411061411306E-2</v>
      </c>
      <c r="J21" t="s">
        <v>42</v>
      </c>
      <c r="K21" s="25">
        <v>66000</v>
      </c>
      <c r="L21">
        <v>1</v>
      </c>
      <c r="M21" s="25">
        <f t="shared" si="3"/>
        <v>66000</v>
      </c>
      <c r="O21" s="15">
        <f t="shared" si="1"/>
        <v>7906.3756028368789</v>
      </c>
    </row>
    <row r="22" spans="1:15" x14ac:dyDescent="0.2">
      <c r="A22" s="13" t="s">
        <v>43</v>
      </c>
      <c r="B22" s="14" t="s">
        <v>44</v>
      </c>
      <c r="C22" s="15">
        <f>'[10]Ercot Trading'!C22+'[10]Ercot Origination'!C22+'[10]Southeast Trading'!C22+'[10]Southeast Origination'!C22+'[10]Midwest Trading'!C22+'[10]Midwest Origination'!C22+'[10]Northeast Trading'!C22+'[10]Northeast Origination'!C22+'[10]Management Book'!C22+[10]Structuring_Fund!C22+[10]Services!C22+[10]Options!C22</f>
        <v>1190.24</v>
      </c>
      <c r="E22" s="20">
        <f t="shared" si="2"/>
        <v>1904.384</v>
      </c>
      <c r="F22" s="21">
        <f>(((E22/$E$29*$L$11)*1.2)/1.2)*1.1</f>
        <v>118.85517163120569</v>
      </c>
      <c r="H22" s="16">
        <f t="shared" si="0"/>
        <v>9.350871063734415E-5</v>
      </c>
      <c r="J22" t="s">
        <v>45</v>
      </c>
      <c r="K22" s="25">
        <v>97200</v>
      </c>
      <c r="L22">
        <v>2</v>
      </c>
      <c r="M22" s="25">
        <f t="shared" si="3"/>
        <v>194400</v>
      </c>
      <c r="O22" s="15">
        <f t="shared" si="1"/>
        <v>14.856896453900712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1503280.5078695032</v>
      </c>
      <c r="H23" s="30">
        <f>SUM(H8:H22)</f>
        <v>1</v>
      </c>
      <c r="J23" t="s">
        <v>48</v>
      </c>
      <c r="K23" s="25">
        <v>120000</v>
      </c>
      <c r="L23">
        <v>2</v>
      </c>
      <c r="M23" s="25">
        <f t="shared" si="3"/>
        <v>240000</v>
      </c>
      <c r="O23" s="58">
        <f>SUM(O8:O22)</f>
        <v>187910.0634836879</v>
      </c>
    </row>
    <row r="24" spans="1:15" x14ac:dyDescent="0.2">
      <c r="J24" t="s">
        <v>49</v>
      </c>
      <c r="K24" s="25">
        <v>156000</v>
      </c>
      <c r="L24">
        <v>2</v>
      </c>
      <c r="M24" s="25">
        <f t="shared" si="3"/>
        <v>312000</v>
      </c>
    </row>
    <row r="25" spans="1:15" x14ac:dyDescent="0.2">
      <c r="B25" s="27" t="s">
        <v>50</v>
      </c>
      <c r="C25" s="15"/>
      <c r="E25" s="31">
        <f>'[10]Ercot Trading'!E25+'[10]Ercot Origination'!E25+'[10]Southeast Trading'!E25+'[10]Southeast Origination'!E25+'[10]Midwest Trading'!E25+'[10]Midwest Origination'!E25+'[10]Northeast Trading'!E25+'[10]Northeast Origination'!E25+'[10]Management Book'!E25+[10]Structuring_Fund!E25+[10]Services!E25+[10]Options!E25</f>
        <v>91</v>
      </c>
      <c r="F25" s="31">
        <f>SUM(L16:L20,L23:L27)</f>
        <v>5</v>
      </c>
      <c r="J25" t="s">
        <v>51</v>
      </c>
      <c r="K25" s="25">
        <v>180000</v>
      </c>
      <c r="L25">
        <v>0</v>
      </c>
      <c r="M25" s="25">
        <f t="shared" si="3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52</v>
      </c>
      <c r="K26" s="25">
        <v>216000</v>
      </c>
      <c r="L26">
        <v>0</v>
      </c>
      <c r="M26" s="25">
        <f t="shared" si="3"/>
        <v>0</v>
      </c>
      <c r="O26" s="15"/>
    </row>
    <row r="27" spans="1:15" x14ac:dyDescent="0.2">
      <c r="B27" s="27" t="s">
        <v>53</v>
      </c>
      <c r="C27" s="15"/>
      <c r="E27" s="31">
        <f>'[10]Ercot Trading'!E27+'[10]Ercot Origination'!E27+'[10]Southeast Trading'!E27+'[10]Southeast Origination'!E27+'[10]Midwest Trading'!E27+'[10]Midwest Origination'!E27+'[10]Northeast Trading'!E27+'[10]Northeast Origination'!E27+'[10]Management Book'!E27+[10]Structuring_Fund!E27+[10]Services!E27+[10]Options!E27</f>
        <v>50</v>
      </c>
      <c r="F27" s="31">
        <f>SUM(L21:L22)</f>
        <v>3</v>
      </c>
      <c r="J27" t="s">
        <v>54</v>
      </c>
      <c r="K27" s="25">
        <v>240000</v>
      </c>
      <c r="L27">
        <v>0</v>
      </c>
      <c r="M27" s="25">
        <f t="shared" si="3"/>
        <v>0</v>
      </c>
      <c r="O27" s="31">
        <f>SUM(U21:U22)</f>
        <v>0</v>
      </c>
    </row>
    <row r="28" spans="1:15" x14ac:dyDescent="0.2">
      <c r="B28" s="27"/>
      <c r="L28">
        <f>SUM(L16:L27)</f>
        <v>8</v>
      </c>
      <c r="M28" s="25">
        <f>SUM(M16:M27)</f>
        <v>890400</v>
      </c>
    </row>
    <row r="29" spans="1:15" x14ac:dyDescent="0.2">
      <c r="B29" s="27" t="s">
        <v>55</v>
      </c>
      <c r="E29" s="59">
        <f>SUM(E25:E27)</f>
        <v>141</v>
      </c>
      <c r="F29" s="31">
        <f>SUM(F25:F27)</f>
        <v>8</v>
      </c>
      <c r="H29" s="25"/>
      <c r="O29" s="31">
        <v>1</v>
      </c>
    </row>
    <row r="31" spans="1:15" x14ac:dyDescent="0.2">
      <c r="I31" s="33" t="s">
        <v>56</v>
      </c>
      <c r="J31" s="25"/>
      <c r="K31" s="25"/>
      <c r="L31" s="25"/>
    </row>
    <row r="32" spans="1:15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8</v>
      </c>
      <c r="M34" s="37">
        <f>+K34*L34</f>
        <v>253409.4552056737</v>
      </c>
    </row>
  </sheetData>
  <mergeCells count="3">
    <mergeCell ref="B1:H1"/>
    <mergeCell ref="B2:H2"/>
    <mergeCell ref="B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AS34"/>
  <sheetViews>
    <sheetView workbookViewId="0">
      <selection activeCell="P155" sqref="P155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30" width="9.140625" hidden="1" customWidth="1"/>
  </cols>
  <sheetData>
    <row r="1" spans="1:45" ht="18" x14ac:dyDescent="0.2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2" t="s">
        <v>297</v>
      </c>
      <c r="C2" s="142"/>
      <c r="D2" s="142"/>
      <c r="E2" s="142"/>
      <c r="F2" s="142"/>
      <c r="G2" s="142"/>
      <c r="H2" s="14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43" t="s">
        <v>0</v>
      </c>
      <c r="C3" s="143"/>
      <c r="D3" s="143"/>
      <c r="E3" s="143"/>
      <c r="F3" s="143"/>
      <c r="G3" s="143"/>
      <c r="H3" s="14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x14ac:dyDescent="0.2">
      <c r="A8" s="13" t="s">
        <v>9</v>
      </c>
      <c r="B8" s="14" t="s">
        <v>10</v>
      </c>
      <c r="C8" s="15">
        <f>'[10]Ercot Trading'!C8+'[10]Ercot Origination'!C8+'[10]Southeast Trading'!C8+'[10]Southeast Origination'!C8+'[10]Midwest Trading'!C8+'[10]Midwest Origination'!C8+'[10]Northeast Trading'!C8+'[10]Northeast Origination'!C8+'[10]Management Book'!C8+[10]Structuring_Fund!C8+[10]Services!C8+[10]Options!C8</f>
        <v>6640774.8000000017</v>
      </c>
      <c r="E8" s="15">
        <f>(C8/9)*12</f>
        <v>8854366.4000000022</v>
      </c>
      <c r="F8" s="15">
        <f>(((M16+M17+M18+M19+M20+M23+M24+M26+M27+M25)*1.2)/1.2)*1.1</f>
        <v>1023000.0000000001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1778400</v>
      </c>
      <c r="O8" s="15">
        <f t="shared" ref="O8:O22" si="1">+F8/$F$29*$O$29</f>
        <v>78692.307692307702</v>
      </c>
    </row>
    <row r="9" spans="1:45" hidden="1" x14ac:dyDescent="0.2">
      <c r="A9" s="13"/>
      <c r="B9" s="14" t="s">
        <v>11</v>
      </c>
      <c r="C9" s="15">
        <f>'[10]Ercot Trading'!C9+'[10]Ercot Origination'!C9+'[10]Southeast Trading'!C9+'[10]Southeast Origination'!C9+'[10]Midwest Trading'!C9+'[10]Midwest Origination'!C9+'[10]Northeast Trading'!C9+'[10]Northeast Origination'!C9+'[10]Management Book'!C9+[10]Structuring_Fund!C9+[10]Services!C9+[10]Options!C9</f>
        <v>1460000</v>
      </c>
      <c r="E9" s="15">
        <f>C9</f>
        <v>1460000</v>
      </c>
      <c r="F9" s="15">
        <v>0</v>
      </c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12</v>
      </c>
      <c r="C10" s="15">
        <f>'[10]Ercot Trading'!C10+'[10]Ercot Origination'!C10+'[10]Southeast Trading'!C10+'[10]Southeast Origination'!C10+'[10]Midwest Trading'!C10+'[10]Midwest Origination'!C10+'[10]Northeast Trading'!C10+'[10]Northeast Origination'!C10+'[10]Management Book'!C10+[10]Structuring_Fund!C10+[10]Services!C10+[10]Options!C10</f>
        <v>2652510</v>
      </c>
      <c r="E10" s="15">
        <f>(C10/9)*12</f>
        <v>3536680</v>
      </c>
      <c r="F10" s="15">
        <f>(((M21+M22)*1.2)/1.2)*1.1</f>
        <v>607200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46707.692307692305</v>
      </c>
    </row>
    <row r="11" spans="1:45" x14ac:dyDescent="0.2">
      <c r="A11" s="13" t="s">
        <v>13</v>
      </c>
      <c r="B11" s="14" t="s">
        <v>14</v>
      </c>
      <c r="C11" s="15">
        <f>'[10]Ercot Trading'!C11+'[10]Ercot Origination'!C11+'[10]Southeast Trading'!C11+'[10]Southeast Origination'!C11+'[10]Midwest Trading'!C11+'[10]Midwest Origination'!C11+'[10]Northeast Trading'!C11+'[10]Northeast Origination'!C11+'[10]Management Book'!C11+[10]Structuring_Fund!C11+[10]Services!C11+[10]Options!C11</f>
        <v>1536343.4600000002</v>
      </c>
      <c r="E11" s="15">
        <f>(C11/9)*12</f>
        <v>2048457.9466666668</v>
      </c>
      <c r="F11" s="15">
        <f>(((M28*0.2)*1.2)/1.2)*1.1</f>
        <v>326040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13</v>
      </c>
      <c r="M11" s="18">
        <f>K11*L11</f>
        <v>411790.36470921978</v>
      </c>
      <c r="O11" s="15">
        <f t="shared" si="1"/>
        <v>25080</v>
      </c>
    </row>
    <row r="12" spans="1:45" x14ac:dyDescent="0.2">
      <c r="A12" s="13" t="s">
        <v>16</v>
      </c>
      <c r="B12" s="14" t="s">
        <v>17</v>
      </c>
      <c r="C12" s="15">
        <f>'[10]Ercot Trading'!C12+'[10]Ercot Origination'!C12+'[10]Southeast Trading'!C12+'[10]Southeast Origination'!C12+'[10]Midwest Trading'!C12+'[10]Midwest Origination'!C12+'[10]Northeast Trading'!C12+'[10]Northeast Origination'!C12+'[10]Management Book'!C12+[10]Structuring_Fund!C12+[10]Services!C12+[10]Options!C12</f>
        <v>556457.20000000007</v>
      </c>
      <c r="E12" s="20">
        <f t="shared" ref="E12:E22" si="2">(C12/9)*12*1.2</f>
        <v>890331.52</v>
      </c>
      <c r="F12" s="21">
        <f>(((E12/$E$29*$L$11-11974.03)*1.2)/1.2)*1.1</f>
        <v>77124.60058865248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5932.6615837424988</v>
      </c>
    </row>
    <row r="13" spans="1:45" ht="13.5" thickBot="1" x14ac:dyDescent="0.25">
      <c r="A13" s="13" t="s">
        <v>18</v>
      </c>
      <c r="B13" s="14" t="s">
        <v>19</v>
      </c>
      <c r="C13" s="15">
        <f>'[10]Ercot Trading'!C13+'[10]Ercot Origination'!C13+'[10]Southeast Trading'!C13+'[10]Southeast Origination'!C13+'[10]Midwest Trading'!C13+'[10]Midwest Origination'!C13+'[10]Northeast Trading'!C13+'[10]Northeast Origination'!C13+'[10]Management Book'!C13+[10]Structuring_Fund!C13+[10]Services!C13+[10]Options!C13</f>
        <v>1014365.41</v>
      </c>
      <c r="E13" s="20">
        <f t="shared" si="2"/>
        <v>1622984.656</v>
      </c>
      <c r="F13" s="21">
        <f>(((E13/$E$29*$L$11-38717.51)*1.2)/1.2)*1.1</f>
        <v>122011.31049503546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2190190.3647092199</v>
      </c>
      <c r="O13" s="15">
        <f t="shared" si="1"/>
        <v>9385.4854226950356</v>
      </c>
    </row>
    <row r="14" spans="1:45" x14ac:dyDescent="0.2">
      <c r="A14" s="13" t="s">
        <v>21</v>
      </c>
      <c r="B14" s="14" t="s">
        <v>22</v>
      </c>
      <c r="C14" s="15">
        <f>'[10]Ercot Trading'!C14+'[10]Ercot Origination'!C14+'[10]Southeast Trading'!C14+'[10]Southeast Origination'!C14+'[10]Midwest Trading'!C14+'[10]Midwest Origination'!C14+'[10]Northeast Trading'!C14+'[10]Northeast Origination'!C14+'[10]Management Book'!C14+[10]Structuring_Fund!C14+[10]Services!C14+[10]Options!C14-C32</f>
        <v>0.38000000012107193</v>
      </c>
      <c r="E14" s="20">
        <f t="shared" si="2"/>
        <v>0.60800000019371503</v>
      </c>
      <c r="F14" s="21">
        <v>126500</v>
      </c>
      <c r="H14" s="16">
        <f t="shared" si="0"/>
        <v>2.9853903459396468E-8</v>
      </c>
      <c r="N14" s="49"/>
      <c r="O14" s="15">
        <f t="shared" si="1"/>
        <v>9730.7692307692305</v>
      </c>
    </row>
    <row r="15" spans="1:45" x14ac:dyDescent="0.2">
      <c r="A15" s="13" t="s">
        <v>23</v>
      </c>
      <c r="B15" s="14" t="s">
        <v>24</v>
      </c>
      <c r="C15" s="15">
        <f>'[10]Ercot Trading'!C15+'[10]Ercot Origination'!C15+'[10]Southeast Trading'!C15+'[10]Southeast Origination'!C15+'[10]Midwest Trading'!C15+'[10]Midwest Origination'!C15+'[10]Northeast Trading'!C15+'[10]Northeast Origination'!C15+'[10]Management Book'!C15+[10]Structuring_Fund!C15+[10]Services!C15+[10]Options!C15</f>
        <v>93227.13</v>
      </c>
      <c r="E15" s="20">
        <f t="shared" si="2"/>
        <v>149163.408</v>
      </c>
      <c r="F15" s="21">
        <f>(((E15/$E$29*$L$11)*1.2)/1.2)*1.1</f>
        <v>15127.920102127659</v>
      </c>
      <c r="H15" s="16">
        <f t="shared" si="0"/>
        <v>7.3241940471838168E-3</v>
      </c>
      <c r="K15" s="25"/>
      <c r="O15" s="15">
        <f t="shared" si="1"/>
        <v>1163.6861617021275</v>
      </c>
    </row>
    <row r="16" spans="1:45" x14ac:dyDescent="0.2">
      <c r="A16" s="13" t="s">
        <v>25</v>
      </c>
      <c r="B16" s="14" t="s">
        <v>26</v>
      </c>
      <c r="C16" s="15">
        <f>'[10]Ercot Trading'!C16+'[10]Ercot Origination'!C16+'[10]Southeast Trading'!C16+'[10]Southeast Origination'!C16+'[10]Midwest Trading'!C16+'[10]Midwest Origination'!C16+'[10]Northeast Trading'!C16+'[10]Northeast Origination'!C16+'[10]Management Book'!C16+[10]Structuring_Fund!C16+[10]Services!C16+[10]Options!C16</f>
        <v>0</v>
      </c>
      <c r="E16" s="20">
        <f t="shared" si="2"/>
        <v>0</v>
      </c>
      <c r="F16" s="21">
        <f>(((E16/$E$29*$L$11)*1.2)/1.2)*1.1</f>
        <v>0</v>
      </c>
      <c r="H16" s="16">
        <f t="shared" si="0"/>
        <v>0</v>
      </c>
      <c r="J16" t="s">
        <v>27</v>
      </c>
      <c r="K16" s="25">
        <v>33600</v>
      </c>
      <c r="L16">
        <v>0</v>
      </c>
      <c r="M16" s="25">
        <f t="shared" ref="M16:M27" si="3">K16*L16</f>
        <v>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'[10]Ercot Trading'!C17+'[10]Ercot Origination'!C17+'[10]Southeast Trading'!C17+'[10]Southeast Origination'!C17+'[10]Midwest Trading'!C17+'[10]Midwest Origination'!C17+'[10]Northeast Trading'!C17+'[10]Northeast Origination'!C17+'[10]Management Book'!C17+[10]Structuring_Fund!C17+[10]Services!C17+[10]Options!C17</f>
        <v>5300</v>
      </c>
      <c r="E17" s="20">
        <f t="shared" si="2"/>
        <v>8480</v>
      </c>
      <c r="F17" s="21">
        <f>(((E17/$E$29*$L$11)*1.2)/1.2)*1.1</f>
        <v>860.0283687943263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3"/>
        <v>0</v>
      </c>
      <c r="O17" s="15">
        <f t="shared" si="1"/>
        <v>66.156028368794324</v>
      </c>
    </row>
    <row r="18" spans="1:15" x14ac:dyDescent="0.2">
      <c r="A18" s="13" t="s">
        <v>31</v>
      </c>
      <c r="B18" s="14" t="s">
        <v>32</v>
      </c>
      <c r="C18" s="15">
        <f>'[10]Ercot Trading'!C18+'[10]Ercot Origination'!C18+'[10]Southeast Trading'!C18+'[10]Southeast Origination'!C18+'[10]Midwest Trading'!C18+'[10]Midwest Origination'!C18+'[10]Northeast Trading'!C18+'[10]Northeast Origination'!C18+'[10]Management Book'!C18+[10]Structuring_Fund!C18+[10]Services!C18+[10]Options!C18</f>
        <v>287.28999999999655</v>
      </c>
      <c r="E18" s="20">
        <f t="shared" si="2"/>
        <v>459.66399999999447</v>
      </c>
      <c r="F18" s="21">
        <f>(((E18/$E$29*$L$11)*1.2)/1.2)*1.1</f>
        <v>46.618405673758311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3"/>
        <v>0</v>
      </c>
      <c r="O18" s="15">
        <f t="shared" si="1"/>
        <v>3.586031205673716</v>
      </c>
    </row>
    <row r="19" spans="1:15" x14ac:dyDescent="0.2">
      <c r="A19" s="13" t="s">
        <v>34</v>
      </c>
      <c r="B19" s="14" t="s">
        <v>35</v>
      </c>
      <c r="C19" s="15">
        <f>'[10]Ercot Trading'!C19+'[10]Ercot Origination'!C19+'[10]Southeast Trading'!C19+'[10]Southeast Origination'!C19+'[10]Midwest Trading'!C19+'[10]Midwest Origination'!C19+'[10]Northeast Trading'!C19+'[10]Northeast Origination'!C19+'[10]Management Book'!C19+[10]Structuring_Fund!C19+[10]Services!C19+[10]Options!C19</f>
        <v>487149.2</v>
      </c>
      <c r="E19" s="20">
        <f t="shared" si="2"/>
        <v>779438.72000000009</v>
      </c>
      <c r="F19" s="21">
        <f>(((E19/$E$29*$L$11)*1.2)/1.2)*1.1</f>
        <v>79049.458836879436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3"/>
        <v>0</v>
      </c>
      <c r="O19" s="15">
        <f t="shared" si="1"/>
        <v>6080.7276028368797</v>
      </c>
    </row>
    <row r="20" spans="1:15" x14ac:dyDescent="0.2">
      <c r="A20" s="13" t="s">
        <v>37</v>
      </c>
      <c r="B20" s="14" t="s">
        <v>38</v>
      </c>
      <c r="C20" s="15">
        <f>'[10]Ercot Trading'!C20+'[10]Ercot Origination'!C20+'[10]Southeast Trading'!C20+'[10]Southeast Origination'!C20+'[10]Midwest Trading'!C20+'[10]Midwest Origination'!C20+'[10]Northeast Trading'!C20+'[10]Northeast Origination'!C20+'[10]Management Book'!C20+[10]Structuring_Fund!C20+[10]Services!C20+[10]Options!C20</f>
        <v>78.180000000000007</v>
      </c>
      <c r="E20" s="20">
        <f t="shared" si="2"/>
        <v>125.08800000000001</v>
      </c>
      <c r="F20" s="21">
        <v>0</v>
      </c>
      <c r="H20" s="16">
        <f t="shared" si="0"/>
        <v>6.1420478202947023E-6</v>
      </c>
      <c r="J20" t="s">
        <v>39</v>
      </c>
      <c r="K20" s="25">
        <v>78000</v>
      </c>
      <c r="L20">
        <v>1</v>
      </c>
      <c r="M20" s="25">
        <f t="shared" si="3"/>
        <v>78000</v>
      </c>
      <c r="O20" s="15">
        <f t="shared" si="1"/>
        <v>0</v>
      </c>
    </row>
    <row r="21" spans="1:15" x14ac:dyDescent="0.2">
      <c r="A21" s="13" t="s">
        <v>40</v>
      </c>
      <c r="B21" s="14" t="s">
        <v>41</v>
      </c>
      <c r="C21" s="15">
        <f>'[10]Ercot Trading'!C21+'[10]Ercot Origination'!C21+'[10]Southeast Trading'!C21+'[10]Southeast Origination'!C21+'[10]Midwest Trading'!C21+'[10]Midwest Origination'!C21+'[10]Northeast Trading'!C21+'[10]Northeast Origination'!C21+'[10]Management Book'!C21+[10]Structuring_Fund!C21+[10]Services!C21+[10]Options!C21</f>
        <v>633408.5</v>
      </c>
      <c r="E21" s="20">
        <f t="shared" si="2"/>
        <v>1013453.5999999999</v>
      </c>
      <c r="F21" s="21">
        <f>(((E21/$E$29*$L$11)*1.2)/1.2)*1.1</f>
        <v>102782.88283687942</v>
      </c>
      <c r="H21" s="16">
        <f t="shared" si="0"/>
        <v>4.9762411061411306E-2</v>
      </c>
      <c r="J21" t="s">
        <v>42</v>
      </c>
      <c r="K21" s="25">
        <v>66000</v>
      </c>
      <c r="L21">
        <v>1</v>
      </c>
      <c r="M21" s="25">
        <f t="shared" si="3"/>
        <v>66000</v>
      </c>
      <c r="O21" s="15">
        <f t="shared" si="1"/>
        <v>7906.3756028368789</v>
      </c>
    </row>
    <row r="22" spans="1:15" x14ac:dyDescent="0.2">
      <c r="A22" s="13" t="s">
        <v>43</v>
      </c>
      <c r="B22" s="14" t="s">
        <v>44</v>
      </c>
      <c r="C22" s="15">
        <f>'[10]Ercot Trading'!C22+'[10]Ercot Origination'!C22+'[10]Southeast Trading'!C22+'[10]Southeast Origination'!C22+'[10]Midwest Trading'!C22+'[10]Midwest Origination'!C22+'[10]Northeast Trading'!C22+'[10]Northeast Origination'!C22+'[10]Management Book'!C22+[10]Structuring_Fund!C22+[10]Services!C22+[10]Options!C22</f>
        <v>1190.24</v>
      </c>
      <c r="E22" s="20">
        <f t="shared" si="2"/>
        <v>1904.384</v>
      </c>
      <c r="F22" s="21">
        <f>(((E22/$E$29*$L$11)*1.2)/1.2)*1.1</f>
        <v>193.13965390070922</v>
      </c>
      <c r="H22" s="16">
        <f t="shared" si="0"/>
        <v>9.350871063734415E-5</v>
      </c>
      <c r="J22" t="s">
        <v>45</v>
      </c>
      <c r="K22" s="25">
        <v>97200</v>
      </c>
      <c r="L22">
        <v>5</v>
      </c>
      <c r="M22" s="25">
        <f t="shared" si="3"/>
        <v>486000</v>
      </c>
      <c r="O22" s="15">
        <f t="shared" si="1"/>
        <v>14.85689645390071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2479935.9592879433</v>
      </c>
      <c r="H23" s="30">
        <f>SUM(H8:H22)</f>
        <v>1</v>
      </c>
      <c r="J23" t="s">
        <v>48</v>
      </c>
      <c r="K23" s="25">
        <v>120000</v>
      </c>
      <c r="L23">
        <v>4</v>
      </c>
      <c r="M23" s="25">
        <f t="shared" si="3"/>
        <v>480000</v>
      </c>
      <c r="O23" s="58">
        <f>SUM(O8:O22)</f>
        <v>190764.30456061097</v>
      </c>
    </row>
    <row r="24" spans="1:15" x14ac:dyDescent="0.2">
      <c r="J24" t="s">
        <v>49</v>
      </c>
      <c r="K24" s="25">
        <v>156000</v>
      </c>
      <c r="L24">
        <v>1</v>
      </c>
      <c r="M24" s="25">
        <f t="shared" si="3"/>
        <v>156000</v>
      </c>
    </row>
    <row r="25" spans="1:15" x14ac:dyDescent="0.2">
      <c r="B25" s="27" t="s">
        <v>50</v>
      </c>
      <c r="C25" s="15"/>
      <c r="E25" s="31">
        <f>'[10]Ercot Trading'!E25+'[10]Ercot Origination'!E25+'[10]Southeast Trading'!E25+'[10]Southeast Origination'!E25+'[10]Midwest Trading'!E25+'[10]Midwest Origination'!E25+'[10]Northeast Trading'!E25+'[10]Northeast Origination'!E25+'[10]Management Book'!E25+[10]Structuring_Fund!E25+[10]Services!E25+[10]Options!E25</f>
        <v>91</v>
      </c>
      <c r="F25" s="31">
        <f>SUM(L16:L20,L23:L27)</f>
        <v>7</v>
      </c>
      <c r="J25" t="s">
        <v>51</v>
      </c>
      <c r="K25" s="25">
        <v>180000</v>
      </c>
      <c r="L25">
        <v>0</v>
      </c>
      <c r="M25" s="25">
        <f t="shared" si="3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52</v>
      </c>
      <c r="K26" s="25">
        <v>216000</v>
      </c>
      <c r="L26">
        <v>1</v>
      </c>
      <c r="M26" s="25">
        <f t="shared" si="3"/>
        <v>216000</v>
      </c>
      <c r="O26" s="15"/>
    </row>
    <row r="27" spans="1:15" x14ac:dyDescent="0.2">
      <c r="B27" s="27" t="s">
        <v>53</v>
      </c>
      <c r="C27" s="15"/>
      <c r="E27" s="31">
        <f>'[10]Ercot Trading'!E27+'[10]Ercot Origination'!E27+'[10]Southeast Trading'!E27+'[10]Southeast Origination'!E27+'[10]Midwest Trading'!E27+'[10]Midwest Origination'!E27+'[10]Northeast Trading'!E27+'[10]Northeast Origination'!E27+'[10]Management Book'!E27+[10]Structuring_Fund!E27+[10]Services!E27+[10]Options!E27</f>
        <v>50</v>
      </c>
      <c r="F27" s="31">
        <f>SUM(L21:L22)</f>
        <v>6</v>
      </c>
      <c r="J27" t="s">
        <v>54</v>
      </c>
      <c r="K27" s="25">
        <v>240000</v>
      </c>
      <c r="L27">
        <v>0</v>
      </c>
      <c r="M27" s="25">
        <f t="shared" si="3"/>
        <v>0</v>
      </c>
      <c r="O27" s="31">
        <f>SUM(U21:U22)</f>
        <v>0</v>
      </c>
    </row>
    <row r="28" spans="1:15" x14ac:dyDescent="0.2">
      <c r="B28" s="27"/>
      <c r="L28">
        <f>SUM(L16:L27)</f>
        <v>13</v>
      </c>
      <c r="M28" s="25">
        <f>SUM(M16:M27)</f>
        <v>1482000</v>
      </c>
    </row>
    <row r="29" spans="1:15" x14ac:dyDescent="0.2">
      <c r="B29" s="27" t="s">
        <v>55</v>
      </c>
      <c r="E29" s="59">
        <f>SUM(E25:E27)</f>
        <v>141</v>
      </c>
      <c r="F29" s="31">
        <f>SUM(F25:F27)</f>
        <v>13</v>
      </c>
      <c r="H29" s="25"/>
      <c r="O29" s="31">
        <v>1</v>
      </c>
    </row>
    <row r="31" spans="1:15" x14ac:dyDescent="0.2">
      <c r="I31" s="33" t="s">
        <v>56</v>
      </c>
      <c r="J31" s="25"/>
      <c r="K31" s="25"/>
      <c r="L31" s="25"/>
    </row>
    <row r="32" spans="1:15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13</v>
      </c>
      <c r="M34" s="37">
        <f>+K34*L34</f>
        <v>411790.36470921978</v>
      </c>
    </row>
  </sheetData>
  <mergeCells count="3">
    <mergeCell ref="B1:H1"/>
    <mergeCell ref="B2:H2"/>
    <mergeCell ref="B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:AS34"/>
  <sheetViews>
    <sheetView workbookViewId="0">
      <selection activeCell="P155" sqref="P155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19" width="9.140625" hidden="1" customWidth="1"/>
  </cols>
  <sheetData>
    <row r="1" spans="1:45" ht="18" x14ac:dyDescent="0.2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2" t="s">
        <v>304</v>
      </c>
      <c r="C2" s="142"/>
      <c r="D2" s="142"/>
      <c r="E2" s="142"/>
      <c r="F2" s="142"/>
      <c r="G2" s="142"/>
      <c r="H2" s="14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43" t="s">
        <v>0</v>
      </c>
      <c r="C3" s="143"/>
      <c r="D3" s="143"/>
      <c r="E3" s="143"/>
      <c r="F3" s="143"/>
      <c r="G3" s="143"/>
      <c r="H3" s="14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x14ac:dyDescent="0.2">
      <c r="A8" s="13" t="s">
        <v>9</v>
      </c>
      <c r="B8" s="14" t="s">
        <v>10</v>
      </c>
      <c r="C8" s="15">
        <f>'[10]Ercot Trading'!C8+'[10]Ercot Origination'!C8+'[10]Southeast Trading'!C8+'[10]Southeast Origination'!C8+'[10]Midwest Trading'!C8+'[10]Midwest Origination'!C8+'[10]Northeast Trading'!C8+'[10]Northeast Origination'!C8+'[10]Management Book'!C8+[10]Structuring_Fund!C8+[10]Services!C8+[10]Options!C8</f>
        <v>6640774.8000000017</v>
      </c>
      <c r="E8" s="15">
        <f>(C8/9)*12</f>
        <v>8854366.4000000022</v>
      </c>
      <c r="F8" s="15">
        <f>(((M16+M17+M18+M19+M20+M23+M24+M26+M27+M25)*1.2)/1.2)*1.1</f>
        <v>541200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944640</v>
      </c>
      <c r="O8" s="15">
        <f t="shared" ref="O8:O22" si="1">+F8/$F$29*$O$29</f>
        <v>67650</v>
      </c>
    </row>
    <row r="9" spans="1:45" hidden="1" x14ac:dyDescent="0.2">
      <c r="A9" s="13"/>
      <c r="B9" s="14" t="s">
        <v>11</v>
      </c>
      <c r="C9" s="15">
        <f>'[10]Ercot Trading'!C9+'[10]Ercot Origination'!C9+'[10]Southeast Trading'!C9+'[10]Southeast Origination'!C9+'[10]Midwest Trading'!C9+'[10]Midwest Origination'!C9+'[10]Northeast Trading'!C9+'[10]Northeast Origination'!C9+'[10]Management Book'!C9+[10]Structuring_Fund!C9+[10]Services!C9+[10]Options!C9</f>
        <v>1460000</v>
      </c>
      <c r="E9" s="15">
        <f>C9</f>
        <v>1460000</v>
      </c>
      <c r="F9" s="15">
        <v>0</v>
      </c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12</v>
      </c>
      <c r="C10" s="15">
        <f>'[10]Ercot Trading'!C10+'[10]Ercot Origination'!C10+'[10]Southeast Trading'!C10+'[10]Southeast Origination'!C10+'[10]Midwest Trading'!C10+'[10]Midwest Origination'!C10+'[10]Northeast Trading'!C10+'[10]Northeast Origination'!C10+'[10]Management Book'!C10+[10]Structuring_Fund!C10+[10]Services!C10+[10]Options!C10</f>
        <v>2652510</v>
      </c>
      <c r="E10" s="15">
        <f>(C10/9)*12</f>
        <v>3536680</v>
      </c>
      <c r="F10" s="15">
        <f>(((M21+M22)*1.2)/1.2)*1.1</f>
        <v>324720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40590</v>
      </c>
    </row>
    <row r="11" spans="1:45" x14ac:dyDescent="0.2">
      <c r="A11" s="13" t="s">
        <v>13</v>
      </c>
      <c r="B11" s="14" t="s">
        <v>14</v>
      </c>
      <c r="C11" s="15">
        <f>'[10]Ercot Trading'!C11+'[10]Ercot Origination'!C11+'[10]Southeast Trading'!C11+'[10]Southeast Origination'!C11+'[10]Midwest Trading'!C11+'[10]Midwest Origination'!C11+'[10]Northeast Trading'!C11+'[10]Northeast Origination'!C11+'[10]Management Book'!C11+[10]Structuring_Fund!C11+[10]Services!C11+[10]Options!C11</f>
        <v>1536343.4600000002</v>
      </c>
      <c r="E11" s="15">
        <f>(C11/9)*12</f>
        <v>2048457.9466666668</v>
      </c>
      <c r="F11" s="15">
        <f>(((M28*0.2)*1.2)/1.2)*1.1</f>
        <v>173184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8</v>
      </c>
      <c r="M11" s="18">
        <f>K11*L11</f>
        <v>253409.4552056737</v>
      </c>
      <c r="O11" s="15">
        <f t="shared" si="1"/>
        <v>21648</v>
      </c>
    </row>
    <row r="12" spans="1:45" x14ac:dyDescent="0.2">
      <c r="A12" s="13" t="s">
        <v>16</v>
      </c>
      <c r="B12" s="14" t="s">
        <v>17</v>
      </c>
      <c r="C12" s="15">
        <f>'[10]Ercot Trading'!C12+'[10]Ercot Origination'!C12+'[10]Southeast Trading'!C12+'[10]Southeast Origination'!C12+'[10]Midwest Trading'!C12+'[10]Midwest Origination'!C12+'[10]Northeast Trading'!C12+'[10]Northeast Origination'!C12+'[10]Management Book'!C12+[10]Structuring_Fund!C12+[10]Services!C12+[10]Options!C12</f>
        <v>556457.20000000007</v>
      </c>
      <c r="E12" s="20">
        <f t="shared" ref="E12:E22" si="2">(C12/9)*12*1.2</f>
        <v>890331.52</v>
      </c>
      <c r="F12" s="21">
        <f>(((E12/$E$29*$L$11-6767.93)*1.2)/1.2)*1.1</f>
        <v>48122.066900709222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6015.2583625886527</v>
      </c>
    </row>
    <row r="13" spans="1:45" ht="13.5" thickBot="1" x14ac:dyDescent="0.25">
      <c r="A13" s="13" t="s">
        <v>18</v>
      </c>
      <c r="B13" s="14" t="s">
        <v>19</v>
      </c>
      <c r="C13" s="15">
        <f>'[10]Ercot Trading'!C13+'[10]Ercot Origination'!C13+'[10]Southeast Trading'!C13+'[10]Southeast Origination'!C13+'[10]Midwest Trading'!C13+'[10]Midwest Origination'!C13+'[10]Northeast Trading'!C13+'[10]Northeast Origination'!C13+'[10]Management Book'!C13+[10]Structuring_Fund!C13+[10]Services!C13+[10]Options!C13</f>
        <v>1014365.41</v>
      </c>
      <c r="E13" s="20">
        <f t="shared" si="2"/>
        <v>1622984.656</v>
      </c>
      <c r="F13" s="21">
        <f>(((E13/$E$29*$L$11-21883.81)*1.2)/1.2)*1.1</f>
        <v>77220.468381560291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1198049.4552056738</v>
      </c>
      <c r="O13" s="15">
        <f t="shared" si="1"/>
        <v>9652.5585476950364</v>
      </c>
    </row>
    <row r="14" spans="1:45" x14ac:dyDescent="0.2">
      <c r="A14" s="13" t="s">
        <v>21</v>
      </c>
      <c r="B14" s="14" t="s">
        <v>22</v>
      </c>
      <c r="C14" s="15">
        <f>'[10]Ercot Trading'!C14+'[10]Ercot Origination'!C14+'[10]Southeast Trading'!C14+'[10]Southeast Origination'!C14+'[10]Midwest Trading'!C14+'[10]Midwest Origination'!C14+'[10]Northeast Trading'!C14+'[10]Northeast Origination'!C14+'[10]Management Book'!C14+[10]Structuring_Fund!C14+[10]Services!C14+[10]Options!C14-C32</f>
        <v>0.38000000012107193</v>
      </c>
      <c r="E14" s="20">
        <f t="shared" si="2"/>
        <v>0.60800000019371503</v>
      </c>
      <c r="F14" s="21">
        <v>71500</v>
      </c>
      <c r="H14" s="16">
        <f t="shared" si="0"/>
        <v>2.9853903459396468E-8</v>
      </c>
      <c r="N14" s="49"/>
      <c r="O14" s="15">
        <f t="shared" si="1"/>
        <v>8937.5</v>
      </c>
    </row>
    <row r="15" spans="1:45" x14ac:dyDescent="0.2">
      <c r="A15" s="13" t="s">
        <v>23</v>
      </c>
      <c r="B15" s="14" t="s">
        <v>24</v>
      </c>
      <c r="C15" s="15">
        <f>'[10]Ercot Trading'!C15+'[10]Ercot Origination'!C15+'[10]Southeast Trading'!C15+'[10]Southeast Origination'!C15+'[10]Midwest Trading'!C15+'[10]Midwest Origination'!C15+'[10]Northeast Trading'!C15+'[10]Northeast Origination'!C15+'[10]Management Book'!C15+[10]Structuring_Fund!C15+[10]Services!C15+[10]Options!C15</f>
        <v>93227.13</v>
      </c>
      <c r="E15" s="20">
        <f t="shared" si="2"/>
        <v>149163.408</v>
      </c>
      <c r="F15" s="21">
        <f>(((E15/$E$29*$L$11)*1.2)/1.2)*1.1</f>
        <v>9309.4892936170218</v>
      </c>
      <c r="H15" s="16">
        <f t="shared" si="0"/>
        <v>7.3241940471838168E-3</v>
      </c>
      <c r="K15" s="25"/>
      <c r="O15" s="15">
        <f t="shared" si="1"/>
        <v>1163.6861617021277</v>
      </c>
    </row>
    <row r="16" spans="1:45" x14ac:dyDescent="0.2">
      <c r="A16" s="13" t="s">
        <v>25</v>
      </c>
      <c r="B16" s="14" t="s">
        <v>26</v>
      </c>
      <c r="C16" s="15">
        <f>'[10]Ercot Trading'!C16+'[10]Ercot Origination'!C16+'[10]Southeast Trading'!C16+'[10]Southeast Origination'!C16+'[10]Midwest Trading'!C16+'[10]Midwest Origination'!C16+'[10]Northeast Trading'!C16+'[10]Northeast Origination'!C16+'[10]Management Book'!C16+[10]Structuring_Fund!C16+[10]Services!C16+[10]Options!C16</f>
        <v>0</v>
      </c>
      <c r="E16" s="20">
        <f t="shared" si="2"/>
        <v>0</v>
      </c>
      <c r="F16" s="21">
        <f>(((E16/$E$29*$L$11)*1.2)/1.2)*1.1</f>
        <v>0</v>
      </c>
      <c r="H16" s="16">
        <f t="shared" si="0"/>
        <v>0</v>
      </c>
      <c r="J16" t="s">
        <v>27</v>
      </c>
      <c r="K16" s="25">
        <v>33600</v>
      </c>
      <c r="L16">
        <v>0</v>
      </c>
      <c r="M16" s="25">
        <f t="shared" ref="M16:M27" si="3">K16*L16</f>
        <v>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'[10]Ercot Trading'!C17+'[10]Ercot Origination'!C17+'[10]Southeast Trading'!C17+'[10]Southeast Origination'!C17+'[10]Midwest Trading'!C17+'[10]Midwest Origination'!C17+'[10]Northeast Trading'!C17+'[10]Northeast Origination'!C17+'[10]Management Book'!C17+[10]Structuring_Fund!C17+[10]Services!C17+[10]Options!C17</f>
        <v>5300</v>
      </c>
      <c r="E17" s="20">
        <f t="shared" si="2"/>
        <v>8480</v>
      </c>
      <c r="F17" s="21">
        <f>(((E17/$E$29*$L$11)*1.2)/1.2)*1.1</f>
        <v>529.24822695035459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3"/>
        <v>0</v>
      </c>
      <c r="O17" s="15">
        <f t="shared" si="1"/>
        <v>66.156028368794324</v>
      </c>
    </row>
    <row r="18" spans="1:15" x14ac:dyDescent="0.2">
      <c r="A18" s="13" t="s">
        <v>31</v>
      </c>
      <c r="B18" s="14" t="s">
        <v>32</v>
      </c>
      <c r="C18" s="15">
        <f>'[10]Ercot Trading'!C18+'[10]Ercot Origination'!C18+'[10]Southeast Trading'!C18+'[10]Southeast Origination'!C18+'[10]Midwest Trading'!C18+'[10]Midwest Origination'!C18+'[10]Northeast Trading'!C18+'[10]Northeast Origination'!C18+'[10]Management Book'!C18+[10]Structuring_Fund!C18+[10]Services!C18+[10]Options!C18</f>
        <v>287.28999999999655</v>
      </c>
      <c r="E18" s="20">
        <f t="shared" si="2"/>
        <v>459.66399999999447</v>
      </c>
      <c r="F18" s="21">
        <f>(((E18/$E$29*$L$11)*1.2)/1.2)*1.1</f>
        <v>28.688249645389732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3"/>
        <v>0</v>
      </c>
      <c r="O18" s="15">
        <f t="shared" si="1"/>
        <v>3.5860312056737165</v>
      </c>
    </row>
    <row r="19" spans="1:15" x14ac:dyDescent="0.2">
      <c r="A19" s="13" t="s">
        <v>34</v>
      </c>
      <c r="B19" s="14" t="s">
        <v>35</v>
      </c>
      <c r="C19" s="15">
        <f>'[10]Ercot Trading'!C19+'[10]Ercot Origination'!C19+'[10]Southeast Trading'!C19+'[10]Southeast Origination'!C19+'[10]Midwest Trading'!C19+'[10]Midwest Origination'!C19+'[10]Northeast Trading'!C19+'[10]Northeast Origination'!C19+'[10]Management Book'!C19+[10]Structuring_Fund!C19+[10]Services!C19+[10]Options!C19</f>
        <v>487149.2</v>
      </c>
      <c r="E19" s="20">
        <f t="shared" si="2"/>
        <v>779438.72000000009</v>
      </c>
      <c r="F19" s="21">
        <f>(((E19/$E$29*$L$11)*1.2)/1.2)*1.1</f>
        <v>48645.820822695045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3"/>
        <v>0</v>
      </c>
      <c r="O19" s="15">
        <f t="shared" si="1"/>
        <v>6080.7276028368806</v>
      </c>
    </row>
    <row r="20" spans="1:15" x14ac:dyDescent="0.2">
      <c r="A20" s="13" t="s">
        <v>37</v>
      </c>
      <c r="B20" s="14" t="s">
        <v>38</v>
      </c>
      <c r="C20" s="15">
        <f>'[10]Ercot Trading'!C20+'[10]Ercot Origination'!C20+'[10]Southeast Trading'!C20+'[10]Southeast Origination'!C20+'[10]Midwest Trading'!C20+'[10]Midwest Origination'!C20+'[10]Northeast Trading'!C20+'[10]Northeast Origination'!C20+'[10]Management Book'!C20+[10]Structuring_Fund!C20+[10]Services!C20+[10]Options!C20</f>
        <v>78.180000000000007</v>
      </c>
      <c r="E20" s="20">
        <f t="shared" si="2"/>
        <v>125.08800000000001</v>
      </c>
      <c r="F20" s="21">
        <v>0</v>
      </c>
      <c r="H20" s="16">
        <f t="shared" si="0"/>
        <v>6.1420478202947023E-6</v>
      </c>
      <c r="J20" t="s">
        <v>39</v>
      </c>
      <c r="K20" s="25">
        <v>78000</v>
      </c>
      <c r="L20">
        <v>2</v>
      </c>
      <c r="M20" s="25">
        <f t="shared" si="3"/>
        <v>156000</v>
      </c>
      <c r="O20" s="15">
        <f t="shared" si="1"/>
        <v>0</v>
      </c>
    </row>
    <row r="21" spans="1:15" x14ac:dyDescent="0.2">
      <c r="A21" s="13" t="s">
        <v>40</v>
      </c>
      <c r="B21" s="14" t="s">
        <v>41</v>
      </c>
      <c r="C21" s="15">
        <f>'[10]Ercot Trading'!C21+'[10]Ercot Origination'!C21+'[10]Southeast Trading'!C21+'[10]Southeast Origination'!C21+'[10]Midwest Trading'!C21+'[10]Midwest Origination'!C21+'[10]Northeast Trading'!C21+'[10]Northeast Origination'!C21+'[10]Management Book'!C21+[10]Structuring_Fund!C21+[10]Services!C21+[10]Options!C21</f>
        <v>633408.5</v>
      </c>
      <c r="E21" s="20">
        <f t="shared" si="2"/>
        <v>1013453.5999999999</v>
      </c>
      <c r="F21" s="21">
        <f>(((E21/$E$29*$L$11)*1.2)/1.2)*1.1</f>
        <v>63251.004822695031</v>
      </c>
      <c r="H21" s="16">
        <f t="shared" si="0"/>
        <v>4.9762411061411306E-2</v>
      </c>
      <c r="J21" t="s">
        <v>42</v>
      </c>
      <c r="K21" s="25">
        <v>66000</v>
      </c>
      <c r="L21">
        <v>3</v>
      </c>
      <c r="M21" s="25">
        <f t="shared" si="3"/>
        <v>198000</v>
      </c>
      <c r="O21" s="15">
        <f t="shared" si="1"/>
        <v>7906.3756028368789</v>
      </c>
    </row>
    <row r="22" spans="1:15" x14ac:dyDescent="0.2">
      <c r="A22" s="13" t="s">
        <v>43</v>
      </c>
      <c r="B22" s="14" t="s">
        <v>44</v>
      </c>
      <c r="C22" s="15">
        <f>'[10]Ercot Trading'!C22+'[10]Ercot Origination'!C22+'[10]Southeast Trading'!C22+'[10]Southeast Origination'!C22+'[10]Midwest Trading'!C22+'[10]Midwest Origination'!C22+'[10]Northeast Trading'!C22+'[10]Northeast Origination'!C22+'[10]Management Book'!C22+[10]Structuring_Fund!C22+[10]Services!C22+[10]Options!C22</f>
        <v>1190.24</v>
      </c>
      <c r="E22" s="20">
        <f t="shared" si="2"/>
        <v>1904.384</v>
      </c>
      <c r="F22" s="21">
        <f>(((E22/$E$29*$L$11)*1.2)/1.2)*1.1</f>
        <v>118.85517163120569</v>
      </c>
      <c r="H22" s="16">
        <f t="shared" si="0"/>
        <v>9.350871063734415E-5</v>
      </c>
      <c r="J22" t="s">
        <v>45</v>
      </c>
      <c r="K22" s="25">
        <v>97200</v>
      </c>
      <c r="L22">
        <v>1</v>
      </c>
      <c r="M22" s="25">
        <f t="shared" si="3"/>
        <v>97200</v>
      </c>
      <c r="O22" s="15">
        <f t="shared" si="1"/>
        <v>14.856896453900712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1357829.6418695033</v>
      </c>
      <c r="H23" s="30">
        <f>SUM(H8:H22)</f>
        <v>1</v>
      </c>
      <c r="J23" t="s">
        <v>48</v>
      </c>
      <c r="K23" s="25">
        <v>120000</v>
      </c>
      <c r="L23">
        <v>1</v>
      </c>
      <c r="M23" s="25">
        <f t="shared" si="3"/>
        <v>120000</v>
      </c>
      <c r="O23" s="58">
        <f>SUM(O8:O22)</f>
        <v>169728.70523368791</v>
      </c>
    </row>
    <row r="24" spans="1:15" x14ac:dyDescent="0.2">
      <c r="J24" t="s">
        <v>49</v>
      </c>
      <c r="K24" s="25">
        <v>156000</v>
      </c>
      <c r="L24">
        <v>0</v>
      </c>
      <c r="M24" s="25">
        <f t="shared" si="3"/>
        <v>0</v>
      </c>
    </row>
    <row r="25" spans="1:15" x14ac:dyDescent="0.2">
      <c r="B25" s="27" t="s">
        <v>50</v>
      </c>
      <c r="C25" s="15"/>
      <c r="E25" s="31">
        <f>'[10]Ercot Trading'!E25+'[10]Ercot Origination'!E25+'[10]Southeast Trading'!E25+'[10]Southeast Origination'!E25+'[10]Midwest Trading'!E25+'[10]Midwest Origination'!E25+'[10]Northeast Trading'!E25+'[10]Northeast Origination'!E25+'[10]Management Book'!E25+[10]Structuring_Fund!E25+[10]Services!E25+[10]Options!E25</f>
        <v>91</v>
      </c>
      <c r="F25" s="31">
        <f>SUM(L16:L20,L23:L27)</f>
        <v>4</v>
      </c>
      <c r="J25" t="s">
        <v>51</v>
      </c>
      <c r="K25" s="25">
        <v>180000</v>
      </c>
      <c r="L25">
        <v>0</v>
      </c>
      <c r="M25" s="25">
        <f t="shared" si="3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52</v>
      </c>
      <c r="K26" s="25">
        <v>216000</v>
      </c>
      <c r="L26">
        <v>1</v>
      </c>
      <c r="M26" s="25">
        <f t="shared" si="3"/>
        <v>216000</v>
      </c>
      <c r="O26" s="15"/>
    </row>
    <row r="27" spans="1:15" x14ac:dyDescent="0.2">
      <c r="B27" s="27" t="s">
        <v>53</v>
      </c>
      <c r="C27" s="15"/>
      <c r="E27" s="31">
        <f>'[10]Ercot Trading'!E27+'[10]Ercot Origination'!E27+'[10]Southeast Trading'!E27+'[10]Southeast Origination'!E27+'[10]Midwest Trading'!E27+'[10]Midwest Origination'!E27+'[10]Northeast Trading'!E27+'[10]Northeast Origination'!E27+'[10]Management Book'!E27+[10]Structuring_Fund!E27+[10]Services!E27+[10]Options!E27</f>
        <v>50</v>
      </c>
      <c r="F27" s="31">
        <f>SUM(L21:L22)</f>
        <v>4</v>
      </c>
      <c r="J27" t="s">
        <v>54</v>
      </c>
      <c r="K27" s="25">
        <v>240000</v>
      </c>
      <c r="L27">
        <v>0</v>
      </c>
      <c r="M27" s="25">
        <f t="shared" si="3"/>
        <v>0</v>
      </c>
      <c r="O27" s="31">
        <f>SUM(U21:U22)</f>
        <v>0</v>
      </c>
    </row>
    <row r="28" spans="1:15" x14ac:dyDescent="0.2">
      <c r="B28" s="27"/>
      <c r="L28">
        <f>SUM(L16:L27)</f>
        <v>8</v>
      </c>
      <c r="M28" s="25">
        <f>SUM(M16:M27)</f>
        <v>787200</v>
      </c>
    </row>
    <row r="29" spans="1:15" x14ac:dyDescent="0.2">
      <c r="B29" s="27" t="s">
        <v>55</v>
      </c>
      <c r="E29" s="59">
        <f>SUM(E25:E27)</f>
        <v>141</v>
      </c>
      <c r="F29" s="31">
        <f>SUM(F25:F27)</f>
        <v>8</v>
      </c>
      <c r="H29" s="25"/>
      <c r="O29" s="31">
        <v>1</v>
      </c>
    </row>
    <row r="31" spans="1:15" x14ac:dyDescent="0.2">
      <c r="I31" s="33" t="s">
        <v>56</v>
      </c>
      <c r="J31" s="25"/>
      <c r="K31" s="25"/>
      <c r="L31" s="25"/>
    </row>
    <row r="32" spans="1:15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8</v>
      </c>
      <c r="M34" s="37">
        <f>+K34*L34</f>
        <v>253409.4552056737</v>
      </c>
    </row>
  </sheetData>
  <mergeCells count="3">
    <mergeCell ref="B1:H1"/>
    <mergeCell ref="B2:H2"/>
    <mergeCell ref="B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:AS34"/>
  <sheetViews>
    <sheetView workbookViewId="0">
      <selection activeCell="P155" sqref="P155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0" width="9.140625" hidden="1" customWidth="1"/>
  </cols>
  <sheetData>
    <row r="1" spans="1:45" ht="18" x14ac:dyDescent="0.2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2" t="s">
        <v>299</v>
      </c>
      <c r="C2" s="142"/>
      <c r="D2" s="142"/>
      <c r="E2" s="142"/>
      <c r="F2" s="142"/>
      <c r="G2" s="142"/>
      <c r="H2" s="14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43" t="s">
        <v>0</v>
      </c>
      <c r="C3" s="143"/>
      <c r="D3" s="143"/>
      <c r="E3" s="143"/>
      <c r="F3" s="143"/>
      <c r="G3" s="143"/>
      <c r="H3" s="14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x14ac:dyDescent="0.2">
      <c r="A8" s="13" t="s">
        <v>9</v>
      </c>
      <c r="B8" s="14" t="s">
        <v>10</v>
      </c>
      <c r="C8" s="15">
        <f>'[10]Ercot Trading'!C8+'[10]Ercot Origination'!C8+'[10]Southeast Trading'!C8+'[10]Southeast Origination'!C8+'[10]Midwest Trading'!C8+'[10]Midwest Origination'!C8+'[10]Northeast Trading'!C8+'[10]Northeast Origination'!C8+'[10]Management Book'!C8+[10]Structuring_Fund!C8+[10]Services!C8+[10]Options!C8</f>
        <v>6640774.8000000017</v>
      </c>
      <c r="E8" s="15">
        <f>(C8/9)*12</f>
        <v>8854366.4000000022</v>
      </c>
      <c r="F8" s="15">
        <f>(((M16+M17+M18+M19+M20+M23+M24+M26+M27+M25)*1.2)/1.2)*1.1</f>
        <v>772200.00000000012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1154880</v>
      </c>
      <c r="O8" s="15">
        <f t="shared" ref="O8:O22" si="1">+F8/$F$29*$O$29</f>
        <v>85800.000000000015</v>
      </c>
    </row>
    <row r="9" spans="1:45" hidden="1" x14ac:dyDescent="0.2">
      <c r="A9" s="13"/>
      <c r="B9" s="14" t="s">
        <v>11</v>
      </c>
      <c r="C9" s="15">
        <f>'[10]Ercot Trading'!C9+'[10]Ercot Origination'!C9+'[10]Southeast Trading'!C9+'[10]Southeast Origination'!C9+'[10]Midwest Trading'!C9+'[10]Midwest Origination'!C9+'[10]Northeast Trading'!C9+'[10]Northeast Origination'!C9+'[10]Management Book'!C9+[10]Structuring_Fund!C9+[10]Services!C9+[10]Options!C9</f>
        <v>1460000</v>
      </c>
      <c r="E9" s="15">
        <f>C9</f>
        <v>1460000</v>
      </c>
      <c r="F9" s="15">
        <v>0</v>
      </c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12</v>
      </c>
      <c r="C10" s="15">
        <f>'[10]Ercot Trading'!C10+'[10]Ercot Origination'!C10+'[10]Southeast Trading'!C10+'[10]Southeast Origination'!C10+'[10]Midwest Trading'!C10+'[10]Midwest Origination'!C10+'[10]Northeast Trading'!C10+'[10]Northeast Origination'!C10+'[10]Management Book'!C10+[10]Structuring_Fund!C10+[10]Services!C10+[10]Options!C10</f>
        <v>2652510</v>
      </c>
      <c r="E10" s="15">
        <f>(C10/9)*12</f>
        <v>3536680</v>
      </c>
      <c r="F10" s="15">
        <f>(((M21+M22)*1.2)/1.2)*1.1</f>
        <v>286440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31826.666666666668</v>
      </c>
    </row>
    <row r="11" spans="1:45" x14ac:dyDescent="0.2">
      <c r="A11" s="13" t="s">
        <v>13</v>
      </c>
      <c r="B11" s="14" t="s">
        <v>14</v>
      </c>
      <c r="C11" s="15">
        <f>'[10]Ercot Trading'!C11+'[10]Ercot Origination'!C11+'[10]Southeast Trading'!C11+'[10]Southeast Origination'!C11+'[10]Midwest Trading'!C11+'[10]Midwest Origination'!C11+'[10]Northeast Trading'!C11+'[10]Northeast Origination'!C11+'[10]Management Book'!C11+[10]Structuring_Fund!C11+[10]Services!C11+[10]Options!C11</f>
        <v>1536343.4600000002</v>
      </c>
      <c r="E11" s="15">
        <f>(C11/9)*12</f>
        <v>2048457.9466666668</v>
      </c>
      <c r="F11" s="15">
        <f>(((M28*0.2)*1.2)/1.2)*1.1</f>
        <v>211728.00000000003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9</v>
      </c>
      <c r="M11" s="18">
        <f>K11*L11</f>
        <v>285085.63710638293</v>
      </c>
      <c r="O11" s="15">
        <f t="shared" si="1"/>
        <v>23525.333333333336</v>
      </c>
    </row>
    <row r="12" spans="1:45" x14ac:dyDescent="0.2">
      <c r="A12" s="13" t="s">
        <v>16</v>
      </c>
      <c r="B12" s="14" t="s">
        <v>17</v>
      </c>
      <c r="C12" s="15">
        <f>'[10]Ercot Trading'!C12+'[10]Ercot Origination'!C12+'[10]Southeast Trading'!C12+'[10]Southeast Origination'!C12+'[10]Midwest Trading'!C12+'[10]Midwest Origination'!C12+'[10]Northeast Trading'!C12+'[10]Northeast Origination'!C12+'[10]Management Book'!C12+[10]Structuring_Fund!C12+[10]Services!C12+[10]Options!C12</f>
        <v>556457.20000000007</v>
      </c>
      <c r="E12" s="20">
        <f t="shared" ref="E12:E22" si="2">(C12/9)*12*1.2</f>
        <v>890331.52</v>
      </c>
      <c r="F12" s="21">
        <f>(((E12/$E$29*$L$11-9891.59)*1.2)/1.2)*1.1</f>
        <v>51631.889638297878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5736.8766264775422</v>
      </c>
    </row>
    <row r="13" spans="1:45" ht="13.5" thickBot="1" x14ac:dyDescent="0.25">
      <c r="A13" s="13" t="s">
        <v>18</v>
      </c>
      <c r="B13" s="14" t="s">
        <v>19</v>
      </c>
      <c r="C13" s="15">
        <f>'[10]Ercot Trading'!C13+'[10]Ercot Origination'!C13+'[10]Southeast Trading'!C13+'[10]Southeast Origination'!C13+'[10]Midwest Trading'!C13+'[10]Midwest Origination'!C13+'[10]Northeast Trading'!C13+'[10]Northeast Origination'!C13+'[10]Management Book'!C13+[10]Structuring_Fund!C13+[10]Services!C13+[10]Options!C13</f>
        <v>1014365.41</v>
      </c>
      <c r="E13" s="20">
        <f t="shared" si="2"/>
        <v>1622984.656</v>
      </c>
      <c r="F13" s="21">
        <f>(((E13/$E$29*$L$11-31984.03)*1.2)/1.2)*1.1</f>
        <v>78771.808804255328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1439965.637106383</v>
      </c>
      <c r="O13" s="15">
        <f t="shared" si="1"/>
        <v>8752.4232004728146</v>
      </c>
    </row>
    <row r="14" spans="1:45" x14ac:dyDescent="0.2">
      <c r="A14" s="13" t="s">
        <v>21</v>
      </c>
      <c r="B14" s="14" t="s">
        <v>22</v>
      </c>
      <c r="C14" s="15">
        <f>'[10]Ercot Trading'!C14+'[10]Ercot Origination'!C14+'[10]Southeast Trading'!C14+'[10]Southeast Origination'!C14+'[10]Midwest Trading'!C14+'[10]Midwest Origination'!C14+'[10]Northeast Trading'!C14+'[10]Northeast Origination'!C14+'[10]Management Book'!C14+[10]Structuring_Fund!C14+[10]Services!C14+[10]Options!C14-C32</f>
        <v>0.38000000012107193</v>
      </c>
      <c r="E14" s="20">
        <f t="shared" si="2"/>
        <v>0.60800000019371503</v>
      </c>
      <c r="F14" s="21">
        <v>104500</v>
      </c>
      <c r="H14" s="16">
        <f t="shared" si="0"/>
        <v>2.9853903459396468E-8</v>
      </c>
      <c r="N14" s="49"/>
      <c r="O14" s="15">
        <f t="shared" si="1"/>
        <v>11611.111111111111</v>
      </c>
    </row>
    <row r="15" spans="1:45" x14ac:dyDescent="0.2">
      <c r="A15" s="13" t="s">
        <v>23</v>
      </c>
      <c r="B15" s="14" t="s">
        <v>24</v>
      </c>
      <c r="C15" s="15">
        <f>'[10]Ercot Trading'!C15+'[10]Ercot Origination'!C15+'[10]Southeast Trading'!C15+'[10]Southeast Origination'!C15+'[10]Midwest Trading'!C15+'[10]Midwest Origination'!C15+'[10]Northeast Trading'!C15+'[10]Northeast Origination'!C15+'[10]Management Book'!C15+[10]Structuring_Fund!C15+[10]Services!C15+[10]Options!C15</f>
        <v>93227.13</v>
      </c>
      <c r="E15" s="20">
        <f t="shared" si="2"/>
        <v>149163.408</v>
      </c>
      <c r="F15" s="21">
        <f>(((E15/$E$29*$L$11)*1.2)/1.2)*1.1</f>
        <v>10473.175455319149</v>
      </c>
      <c r="H15" s="16">
        <f t="shared" si="0"/>
        <v>7.3241940471838168E-3</v>
      </c>
      <c r="K15" s="25"/>
      <c r="O15" s="15">
        <f t="shared" si="1"/>
        <v>1163.6861617021277</v>
      </c>
    </row>
    <row r="16" spans="1:45" x14ac:dyDescent="0.2">
      <c r="A16" s="13" t="s">
        <v>25</v>
      </c>
      <c r="B16" s="14" t="s">
        <v>26</v>
      </c>
      <c r="C16" s="15">
        <f>'[10]Ercot Trading'!C16+'[10]Ercot Origination'!C16+'[10]Southeast Trading'!C16+'[10]Southeast Origination'!C16+'[10]Midwest Trading'!C16+'[10]Midwest Origination'!C16+'[10]Northeast Trading'!C16+'[10]Northeast Origination'!C16+'[10]Management Book'!C16+[10]Structuring_Fund!C16+[10]Services!C16+[10]Options!C16</f>
        <v>0</v>
      </c>
      <c r="E16" s="20">
        <f t="shared" si="2"/>
        <v>0</v>
      </c>
      <c r="F16" s="21">
        <f>(((E16/$E$29*$L$11)*1.2)/1.2)*1.1</f>
        <v>0</v>
      </c>
      <c r="H16" s="16">
        <f t="shared" si="0"/>
        <v>0</v>
      </c>
      <c r="J16" t="s">
        <v>27</v>
      </c>
      <c r="K16" s="25">
        <v>33600</v>
      </c>
      <c r="L16">
        <v>0</v>
      </c>
      <c r="M16" s="25">
        <f t="shared" ref="M16:M27" si="3">K16*L16</f>
        <v>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'[10]Ercot Trading'!C17+'[10]Ercot Origination'!C17+'[10]Southeast Trading'!C17+'[10]Southeast Origination'!C17+'[10]Midwest Trading'!C17+'[10]Midwest Origination'!C17+'[10]Northeast Trading'!C17+'[10]Northeast Origination'!C17+'[10]Management Book'!C17+[10]Structuring_Fund!C17+[10]Services!C17+[10]Options!C17</f>
        <v>5300</v>
      </c>
      <c r="E17" s="20">
        <f t="shared" si="2"/>
        <v>8480</v>
      </c>
      <c r="F17" s="21">
        <f>(((E17/$E$29*$L$11)*1.2)/1.2)*1.1</f>
        <v>595.404255319149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3"/>
        <v>0</v>
      </c>
      <c r="O17" s="15">
        <f t="shared" si="1"/>
        <v>66.156028368794338</v>
      </c>
    </row>
    <row r="18" spans="1:15" x14ac:dyDescent="0.2">
      <c r="A18" s="13" t="s">
        <v>31</v>
      </c>
      <c r="B18" s="14" t="s">
        <v>32</v>
      </c>
      <c r="C18" s="15">
        <f>'[10]Ercot Trading'!C18+'[10]Ercot Origination'!C18+'[10]Southeast Trading'!C18+'[10]Southeast Origination'!C18+'[10]Midwest Trading'!C18+'[10]Midwest Origination'!C18+'[10]Northeast Trading'!C18+'[10]Northeast Origination'!C18+'[10]Management Book'!C18+[10]Structuring_Fund!C18+[10]Services!C18+[10]Options!C18</f>
        <v>287.28999999999655</v>
      </c>
      <c r="E18" s="20">
        <f t="shared" si="2"/>
        <v>459.66399999999447</v>
      </c>
      <c r="F18" s="21">
        <f>(((E18/$E$29*$L$11)*1.2)/1.2)*1.1</f>
        <v>32.274280851063445</v>
      </c>
      <c r="H18" s="16">
        <f t="shared" si="0"/>
        <v>2.2570336637150724E-5</v>
      </c>
      <c r="J18" t="s">
        <v>33</v>
      </c>
      <c r="K18" s="25">
        <v>54000</v>
      </c>
      <c r="L18">
        <v>1</v>
      </c>
      <c r="M18" s="25">
        <f t="shared" si="3"/>
        <v>54000</v>
      </c>
      <c r="O18" s="15">
        <f t="shared" si="1"/>
        <v>3.586031205673716</v>
      </c>
    </row>
    <row r="19" spans="1:15" x14ac:dyDescent="0.2">
      <c r="A19" s="13" t="s">
        <v>34</v>
      </c>
      <c r="B19" s="14" t="s">
        <v>35</v>
      </c>
      <c r="C19" s="15">
        <f>'[10]Ercot Trading'!C19+'[10]Ercot Origination'!C19+'[10]Southeast Trading'!C19+'[10]Southeast Origination'!C19+'[10]Midwest Trading'!C19+'[10]Midwest Origination'!C19+'[10]Northeast Trading'!C19+'[10]Northeast Origination'!C19+'[10]Management Book'!C19+[10]Structuring_Fund!C19+[10]Services!C19+[10]Options!C19</f>
        <v>487149.2</v>
      </c>
      <c r="E19" s="20">
        <f t="shared" si="2"/>
        <v>779438.72000000009</v>
      </c>
      <c r="F19" s="21">
        <f>(((E19/$E$29*$L$11)*1.2)/1.2)*1.1</f>
        <v>54726.548425531924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3"/>
        <v>0</v>
      </c>
      <c r="O19" s="15">
        <f t="shared" si="1"/>
        <v>6080.7276028368806</v>
      </c>
    </row>
    <row r="20" spans="1:15" x14ac:dyDescent="0.2">
      <c r="A20" s="13" t="s">
        <v>37</v>
      </c>
      <c r="B20" s="14" t="s">
        <v>38</v>
      </c>
      <c r="C20" s="15">
        <f>'[10]Ercot Trading'!C20+'[10]Ercot Origination'!C20+'[10]Southeast Trading'!C20+'[10]Southeast Origination'!C20+'[10]Midwest Trading'!C20+'[10]Midwest Origination'!C20+'[10]Northeast Trading'!C20+'[10]Northeast Origination'!C20+'[10]Management Book'!C20+[10]Structuring_Fund!C20+[10]Services!C20+[10]Options!C20</f>
        <v>78.180000000000007</v>
      </c>
      <c r="E20" s="20">
        <f t="shared" si="2"/>
        <v>125.08800000000001</v>
      </c>
      <c r="F20" s="21">
        <v>0</v>
      </c>
      <c r="H20" s="16">
        <f t="shared" si="0"/>
        <v>6.1420478202947023E-6</v>
      </c>
      <c r="J20" t="s">
        <v>39</v>
      </c>
      <c r="K20" s="25">
        <v>78000</v>
      </c>
      <c r="L20">
        <v>2</v>
      </c>
      <c r="M20" s="25">
        <f t="shared" si="3"/>
        <v>156000</v>
      </c>
      <c r="O20" s="15">
        <f t="shared" si="1"/>
        <v>0</v>
      </c>
    </row>
    <row r="21" spans="1:15" x14ac:dyDescent="0.2">
      <c r="A21" s="13" t="s">
        <v>40</v>
      </c>
      <c r="B21" s="14" t="s">
        <v>41</v>
      </c>
      <c r="C21" s="15">
        <f>'[10]Ercot Trading'!C21+'[10]Ercot Origination'!C21+'[10]Southeast Trading'!C21+'[10]Southeast Origination'!C21+'[10]Midwest Trading'!C21+'[10]Midwest Origination'!C21+'[10]Northeast Trading'!C21+'[10]Northeast Origination'!C21+'[10]Management Book'!C21+[10]Structuring_Fund!C21+[10]Services!C21+[10]Options!C21</f>
        <v>633408.5</v>
      </c>
      <c r="E21" s="20">
        <f t="shared" si="2"/>
        <v>1013453.5999999999</v>
      </c>
      <c r="F21" s="21">
        <f>(((E21/$E$29*$L$11)*1.2)/1.2)*1.1</f>
        <v>71157.380425531912</v>
      </c>
      <c r="H21" s="16">
        <f t="shared" si="0"/>
        <v>4.9762411061411306E-2</v>
      </c>
      <c r="J21" t="s">
        <v>42</v>
      </c>
      <c r="K21" s="25">
        <v>66000</v>
      </c>
      <c r="L21">
        <v>1</v>
      </c>
      <c r="M21" s="25">
        <f t="shared" si="3"/>
        <v>66000</v>
      </c>
      <c r="O21" s="15">
        <f t="shared" si="1"/>
        <v>7906.3756028368789</v>
      </c>
    </row>
    <row r="22" spans="1:15" x14ac:dyDescent="0.2">
      <c r="A22" s="13" t="s">
        <v>43</v>
      </c>
      <c r="B22" s="14" t="s">
        <v>44</v>
      </c>
      <c r="C22" s="15">
        <f>'[10]Ercot Trading'!C22+'[10]Ercot Origination'!C22+'[10]Southeast Trading'!C22+'[10]Southeast Origination'!C22+'[10]Midwest Trading'!C22+'[10]Midwest Origination'!C22+'[10]Northeast Trading'!C22+'[10]Northeast Origination'!C22+'[10]Management Book'!C22+[10]Structuring_Fund!C22+[10]Services!C22+[10]Options!C22</f>
        <v>1190.24</v>
      </c>
      <c r="E22" s="20">
        <f t="shared" si="2"/>
        <v>1904.384</v>
      </c>
      <c r="F22" s="21">
        <f>(((E22/$E$29*$L$11)*1.2)/1.2)*1.1</f>
        <v>133.71206808510641</v>
      </c>
      <c r="H22" s="16">
        <f t="shared" si="0"/>
        <v>9.350871063734415E-5</v>
      </c>
      <c r="J22" t="s">
        <v>45</v>
      </c>
      <c r="K22" s="25">
        <v>97200</v>
      </c>
      <c r="L22">
        <v>2</v>
      </c>
      <c r="M22" s="25">
        <f t="shared" si="3"/>
        <v>194400</v>
      </c>
      <c r="O22" s="15">
        <f t="shared" si="1"/>
        <v>14.856896453900712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1642390.1933531915</v>
      </c>
      <c r="H23" s="30">
        <f>SUM(H8:H22)</f>
        <v>1</v>
      </c>
      <c r="J23" t="s">
        <v>48</v>
      </c>
      <c r="K23" s="25">
        <v>120000</v>
      </c>
      <c r="L23">
        <v>1</v>
      </c>
      <c r="M23" s="25">
        <f t="shared" si="3"/>
        <v>120000</v>
      </c>
      <c r="O23" s="58">
        <f>SUM(O8:O22)</f>
        <v>182487.79926146573</v>
      </c>
    </row>
    <row r="24" spans="1:15" x14ac:dyDescent="0.2">
      <c r="J24" t="s">
        <v>49</v>
      </c>
      <c r="K24" s="25">
        <v>156000</v>
      </c>
      <c r="L24">
        <v>1</v>
      </c>
      <c r="M24" s="25">
        <f t="shared" si="3"/>
        <v>156000</v>
      </c>
    </row>
    <row r="25" spans="1:15" x14ac:dyDescent="0.2">
      <c r="B25" s="27" t="s">
        <v>50</v>
      </c>
      <c r="C25" s="15"/>
      <c r="E25" s="31">
        <f>'[10]Ercot Trading'!E25+'[10]Ercot Origination'!E25+'[10]Southeast Trading'!E25+'[10]Southeast Origination'!E25+'[10]Midwest Trading'!E25+'[10]Midwest Origination'!E25+'[10]Northeast Trading'!E25+'[10]Northeast Origination'!E25+'[10]Management Book'!E25+[10]Structuring_Fund!E25+[10]Services!E25+[10]Options!E25</f>
        <v>91</v>
      </c>
      <c r="F25" s="31">
        <f>SUM(L16:L20,L23:L27)</f>
        <v>6</v>
      </c>
      <c r="J25" t="s">
        <v>51</v>
      </c>
      <c r="K25" s="25">
        <v>180000</v>
      </c>
      <c r="L25">
        <v>0</v>
      </c>
      <c r="M25" s="25">
        <f t="shared" si="3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52</v>
      </c>
      <c r="K26" s="25">
        <v>216000</v>
      </c>
      <c r="L26">
        <v>1</v>
      </c>
      <c r="M26" s="25">
        <f t="shared" si="3"/>
        <v>216000</v>
      </c>
      <c r="O26" s="15"/>
    </row>
    <row r="27" spans="1:15" x14ac:dyDescent="0.2">
      <c r="B27" s="27" t="s">
        <v>53</v>
      </c>
      <c r="C27" s="15"/>
      <c r="E27" s="31">
        <f>'[10]Ercot Trading'!E27+'[10]Ercot Origination'!E27+'[10]Southeast Trading'!E27+'[10]Southeast Origination'!E27+'[10]Midwest Trading'!E27+'[10]Midwest Origination'!E27+'[10]Northeast Trading'!E27+'[10]Northeast Origination'!E27+'[10]Management Book'!E27+[10]Structuring_Fund!E27+[10]Services!E27+[10]Options!E27</f>
        <v>50</v>
      </c>
      <c r="F27" s="31">
        <f>SUM(L21:L22)</f>
        <v>3</v>
      </c>
      <c r="J27" t="s">
        <v>54</v>
      </c>
      <c r="K27" s="25">
        <v>240000</v>
      </c>
      <c r="L27">
        <v>0</v>
      </c>
      <c r="M27" s="25">
        <f t="shared" si="3"/>
        <v>0</v>
      </c>
      <c r="O27" s="31">
        <f>SUM(U21:U22)</f>
        <v>0</v>
      </c>
    </row>
    <row r="28" spans="1:15" x14ac:dyDescent="0.2">
      <c r="B28" s="27"/>
      <c r="L28">
        <f>SUM(L16:L27)</f>
        <v>9</v>
      </c>
      <c r="M28" s="25">
        <f>SUM(M16:M27)</f>
        <v>962400</v>
      </c>
    </row>
    <row r="29" spans="1:15" x14ac:dyDescent="0.2">
      <c r="B29" s="27" t="s">
        <v>55</v>
      </c>
      <c r="E29" s="59">
        <f>SUM(E25:E27)</f>
        <v>141</v>
      </c>
      <c r="F29" s="31">
        <f>SUM(F25:F27)</f>
        <v>9</v>
      </c>
      <c r="H29" s="25"/>
      <c r="O29" s="31">
        <v>1</v>
      </c>
    </row>
    <row r="31" spans="1:15" x14ac:dyDescent="0.2">
      <c r="I31" s="33" t="s">
        <v>56</v>
      </c>
      <c r="J31" s="25"/>
      <c r="K31" s="25"/>
      <c r="L31" s="25"/>
    </row>
    <row r="32" spans="1:15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9</v>
      </c>
      <c r="M34" s="37">
        <f>+K34*L34</f>
        <v>285085.63710638293</v>
      </c>
    </row>
  </sheetData>
  <mergeCells count="3">
    <mergeCell ref="B1:H1"/>
    <mergeCell ref="B2:H2"/>
    <mergeCell ref="B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AS34"/>
  <sheetViews>
    <sheetView workbookViewId="0">
      <selection activeCell="P155" sqref="P155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2" width="9.140625" hidden="1" customWidth="1"/>
  </cols>
  <sheetData>
    <row r="1" spans="1:45" ht="18" x14ac:dyDescent="0.2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2" t="s">
        <v>300</v>
      </c>
      <c r="C2" s="142"/>
      <c r="D2" s="142"/>
      <c r="E2" s="142"/>
      <c r="F2" s="142"/>
      <c r="G2" s="142"/>
      <c r="H2" s="14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43" t="s">
        <v>0</v>
      </c>
      <c r="C3" s="143"/>
      <c r="D3" s="143"/>
      <c r="E3" s="143"/>
      <c r="F3" s="143"/>
      <c r="G3" s="143"/>
      <c r="H3" s="14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x14ac:dyDescent="0.2">
      <c r="A8" s="13" t="s">
        <v>9</v>
      </c>
      <c r="B8" s="14" t="s">
        <v>10</v>
      </c>
      <c r="C8" s="15">
        <f>'[10]Ercot Trading'!C8+'[10]Ercot Origination'!C8+'[10]Southeast Trading'!C8+'[10]Southeast Origination'!C8+'[10]Midwest Trading'!C8+'[10]Midwest Origination'!C8+'[10]Northeast Trading'!C8+'[10]Northeast Origination'!C8+'[10]Management Book'!C8+[10]Structuring_Fund!C8+[10]Services!C8+[10]Options!C8</f>
        <v>6640774.8000000017</v>
      </c>
      <c r="E8" s="15">
        <f>(C8/9)*12</f>
        <v>8854366.4000000022</v>
      </c>
      <c r="F8" s="15">
        <f>(((M16+M17+M18+M19+M20+M23+M24+M26+M27+M25)*1.2)/1.2)*1.1</f>
        <v>633600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807840</v>
      </c>
      <c r="O8" s="15">
        <f t="shared" ref="O8:O22" si="1">+F8/$F$29*$O$29</f>
        <v>126720</v>
      </c>
    </row>
    <row r="9" spans="1:45" hidden="1" x14ac:dyDescent="0.2">
      <c r="A9" s="13"/>
      <c r="B9" s="14" t="s">
        <v>11</v>
      </c>
      <c r="C9" s="15">
        <f>'[10]Ercot Trading'!C9+'[10]Ercot Origination'!C9+'[10]Southeast Trading'!C9+'[10]Southeast Origination'!C9+'[10]Midwest Trading'!C9+'[10]Midwest Origination'!C9+'[10]Northeast Trading'!C9+'[10]Northeast Origination'!C9+'[10]Management Book'!C9+[10]Structuring_Fund!C9+[10]Services!C9+[10]Options!C9</f>
        <v>1460000</v>
      </c>
      <c r="E9" s="15">
        <f>C9</f>
        <v>1460000</v>
      </c>
      <c r="F9" s="15">
        <v>0</v>
      </c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12</v>
      </c>
      <c r="C10" s="15">
        <f>'[10]Ercot Trading'!C10+'[10]Ercot Origination'!C10+'[10]Southeast Trading'!C10+'[10]Southeast Origination'!C10+'[10]Midwest Trading'!C10+'[10]Midwest Origination'!C10+'[10]Northeast Trading'!C10+'[10]Northeast Origination'!C10+'[10]Management Book'!C10+[10]Structuring_Fund!C10+[10]Services!C10+[10]Options!C10</f>
        <v>2652510</v>
      </c>
      <c r="E10" s="15">
        <f>(C10/9)*12</f>
        <v>3536680</v>
      </c>
      <c r="F10" s="15">
        <f>(((M21+M22)*1.2)/1.2)*1.1</f>
        <v>106920.00000000001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21384.000000000004</v>
      </c>
    </row>
    <row r="11" spans="1:45" x14ac:dyDescent="0.2">
      <c r="A11" s="13" t="s">
        <v>13</v>
      </c>
      <c r="B11" s="14" t="s">
        <v>14</v>
      </c>
      <c r="C11" s="15">
        <f>'[10]Ercot Trading'!C11+'[10]Ercot Origination'!C11+'[10]Southeast Trading'!C11+'[10]Southeast Origination'!C11+'[10]Midwest Trading'!C11+'[10]Midwest Origination'!C11+'[10]Northeast Trading'!C11+'[10]Northeast Origination'!C11+'[10]Management Book'!C11+[10]Structuring_Fund!C11+[10]Services!C11+[10]Options!C11</f>
        <v>1536343.4600000002</v>
      </c>
      <c r="E11" s="15">
        <f>(C11/9)*12</f>
        <v>2048457.9466666668</v>
      </c>
      <c r="F11" s="15">
        <f>(((M28*0.2)*1.2)/1.2)*1.1</f>
        <v>148104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5</v>
      </c>
      <c r="M11" s="18">
        <f>K11*L11</f>
        <v>158380.90950354608</v>
      </c>
      <c r="O11" s="15">
        <f t="shared" si="1"/>
        <v>29620.799999999999</v>
      </c>
    </row>
    <row r="12" spans="1:45" x14ac:dyDescent="0.2">
      <c r="A12" s="13" t="s">
        <v>16</v>
      </c>
      <c r="B12" s="14" t="s">
        <v>17</v>
      </c>
      <c r="C12" s="15">
        <f>'[10]Ercot Trading'!C12+'[10]Ercot Origination'!C12+'[10]Southeast Trading'!C12+'[10]Southeast Origination'!C12+'[10]Midwest Trading'!C12+'[10]Midwest Origination'!C12+'[10]Northeast Trading'!C12+'[10]Northeast Origination'!C12+'[10]Management Book'!C12+[10]Structuring_Fund!C12+[10]Services!C12+[10]Options!C12</f>
        <v>556457.20000000007</v>
      </c>
      <c r="E12" s="20">
        <f t="shared" ref="E12:E22" si="2">(C12/9)*12*1.2</f>
        <v>890331.52</v>
      </c>
      <c r="F12" s="21">
        <f>(((E12/$E$29*$L$11-6767.93)*1.2)/1.2)*1.1</f>
        <v>27284.520687943266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5456.9041375886536</v>
      </c>
    </row>
    <row r="13" spans="1:45" ht="13.5" thickBot="1" x14ac:dyDescent="0.25">
      <c r="A13" s="13" t="s">
        <v>18</v>
      </c>
      <c r="B13" s="14" t="s">
        <v>19</v>
      </c>
      <c r="C13" s="15">
        <f>'[10]Ercot Trading'!C13+'[10]Ercot Origination'!C13+'[10]Southeast Trading'!C13+'[10]Southeast Origination'!C13+'[10]Midwest Trading'!C13+'[10]Midwest Origination'!C13+'[10]Northeast Trading'!C13+'[10]Northeast Origination'!C13+'[10]Management Book'!C13+[10]Structuring_Fund!C13+[10]Services!C13+[10]Options!C13</f>
        <v>1014365.41</v>
      </c>
      <c r="E13" s="20">
        <f t="shared" si="2"/>
        <v>1622984.656</v>
      </c>
      <c r="F13" s="21">
        <f>(((E13/$E$29*$L$11-21883.81)*1.2)/1.2)*1.1</f>
        <v>39235.721113475178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966220.90950354608</v>
      </c>
      <c r="O13" s="15">
        <f t="shared" si="1"/>
        <v>7847.1442226950358</v>
      </c>
    </row>
    <row r="14" spans="1:45" x14ac:dyDescent="0.2">
      <c r="A14" s="13" t="s">
        <v>21</v>
      </c>
      <c r="B14" s="14" t="s">
        <v>22</v>
      </c>
      <c r="C14" s="15">
        <f>'[10]Ercot Trading'!C14+'[10]Ercot Origination'!C14+'[10]Southeast Trading'!C14+'[10]Southeast Origination'!C14+'[10]Midwest Trading'!C14+'[10]Midwest Origination'!C14+'[10]Northeast Trading'!C14+'[10]Northeast Origination'!C14+'[10]Management Book'!C14+[10]Structuring_Fund!C14+[10]Services!C14+[10]Options!C14-C32</f>
        <v>0.38000000012107193</v>
      </c>
      <c r="E14" s="20">
        <f t="shared" si="2"/>
        <v>0.60800000019371503</v>
      </c>
      <c r="F14" s="21">
        <v>71500</v>
      </c>
      <c r="H14" s="16">
        <f t="shared" si="0"/>
        <v>2.9853903459396468E-8</v>
      </c>
      <c r="N14" s="49"/>
      <c r="O14" s="15">
        <f t="shared" si="1"/>
        <v>14300</v>
      </c>
    </row>
    <row r="15" spans="1:45" x14ac:dyDescent="0.2">
      <c r="A15" s="13" t="s">
        <v>23</v>
      </c>
      <c r="B15" s="14" t="s">
        <v>24</v>
      </c>
      <c r="C15" s="15">
        <f>'[10]Ercot Trading'!C15+'[10]Ercot Origination'!C15+'[10]Southeast Trading'!C15+'[10]Southeast Origination'!C15+'[10]Midwest Trading'!C15+'[10]Midwest Origination'!C15+'[10]Northeast Trading'!C15+'[10]Northeast Origination'!C15+'[10]Management Book'!C15+[10]Structuring_Fund!C15+[10]Services!C15+[10]Options!C15</f>
        <v>93227.13</v>
      </c>
      <c r="E15" s="20">
        <f t="shared" si="2"/>
        <v>149163.408</v>
      </c>
      <c r="F15" s="21">
        <f>(((E15/$E$29*$L$11)*1.2)/1.2)*1.1</f>
        <v>5818.4308085106377</v>
      </c>
      <c r="H15" s="16">
        <f t="shared" si="0"/>
        <v>7.3241940471838168E-3</v>
      </c>
      <c r="K15" s="25"/>
      <c r="O15" s="15">
        <f t="shared" si="1"/>
        <v>1163.6861617021275</v>
      </c>
    </row>
    <row r="16" spans="1:45" x14ac:dyDescent="0.2">
      <c r="A16" s="13" t="s">
        <v>25</v>
      </c>
      <c r="B16" s="14" t="s">
        <v>26</v>
      </c>
      <c r="C16" s="15">
        <f>'[10]Ercot Trading'!C16+'[10]Ercot Origination'!C16+'[10]Southeast Trading'!C16+'[10]Southeast Origination'!C16+'[10]Midwest Trading'!C16+'[10]Midwest Origination'!C16+'[10]Northeast Trading'!C16+'[10]Northeast Origination'!C16+'[10]Management Book'!C16+[10]Structuring_Fund!C16+[10]Services!C16+[10]Options!C16</f>
        <v>0</v>
      </c>
      <c r="E16" s="20">
        <f t="shared" si="2"/>
        <v>0</v>
      </c>
      <c r="F16" s="21">
        <f>(((E16/$E$29*$L$11)*1.2)/1.2)*1.1</f>
        <v>0</v>
      </c>
      <c r="H16" s="16">
        <f t="shared" si="0"/>
        <v>0</v>
      </c>
      <c r="J16" t="s">
        <v>27</v>
      </c>
      <c r="K16" s="25">
        <v>33600</v>
      </c>
      <c r="L16">
        <v>0</v>
      </c>
      <c r="M16" s="25">
        <f t="shared" ref="M16:M27" si="3">K16*L16</f>
        <v>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'[10]Ercot Trading'!C17+'[10]Ercot Origination'!C17+'[10]Southeast Trading'!C17+'[10]Southeast Origination'!C17+'[10]Midwest Trading'!C17+'[10]Midwest Origination'!C17+'[10]Northeast Trading'!C17+'[10]Northeast Origination'!C17+'[10]Management Book'!C17+[10]Structuring_Fund!C17+[10]Services!C17+[10]Options!C17</f>
        <v>5300</v>
      </c>
      <c r="E17" s="20">
        <f t="shared" si="2"/>
        <v>8480</v>
      </c>
      <c r="F17" s="21">
        <f>(((E17/$E$29*$L$11)*1.2)/1.2)*1.1</f>
        <v>330.78014184397165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3"/>
        <v>0</v>
      </c>
      <c r="O17" s="15">
        <f t="shared" si="1"/>
        <v>66.156028368794324</v>
      </c>
    </row>
    <row r="18" spans="1:15" x14ac:dyDescent="0.2">
      <c r="A18" s="13" t="s">
        <v>31</v>
      </c>
      <c r="B18" s="14" t="s">
        <v>32</v>
      </c>
      <c r="C18" s="15">
        <f>'[10]Ercot Trading'!C18+'[10]Ercot Origination'!C18+'[10]Southeast Trading'!C18+'[10]Southeast Origination'!C18+'[10]Midwest Trading'!C18+'[10]Midwest Origination'!C18+'[10]Northeast Trading'!C18+'[10]Northeast Origination'!C18+'[10]Management Book'!C18+[10]Structuring_Fund!C18+[10]Services!C18+[10]Options!C18</f>
        <v>287.28999999999655</v>
      </c>
      <c r="E18" s="20">
        <f t="shared" si="2"/>
        <v>459.66399999999447</v>
      </c>
      <c r="F18" s="21">
        <f>(((E18/$E$29*$L$11)*1.2)/1.2)*1.1</f>
        <v>17.930156028368579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3"/>
        <v>0</v>
      </c>
      <c r="O18" s="15">
        <f t="shared" si="1"/>
        <v>3.5860312056737156</v>
      </c>
    </row>
    <row r="19" spans="1:15" x14ac:dyDescent="0.2">
      <c r="A19" s="13" t="s">
        <v>34</v>
      </c>
      <c r="B19" s="14" t="s">
        <v>35</v>
      </c>
      <c r="C19" s="15">
        <f>'[10]Ercot Trading'!C19+'[10]Ercot Origination'!C19+'[10]Southeast Trading'!C19+'[10]Southeast Origination'!C19+'[10]Midwest Trading'!C19+'[10]Midwest Origination'!C19+'[10]Northeast Trading'!C19+'[10]Northeast Origination'!C19+'[10]Management Book'!C19+[10]Structuring_Fund!C19+[10]Services!C19+[10]Options!C19</f>
        <v>487149.2</v>
      </c>
      <c r="E19" s="20">
        <f t="shared" si="2"/>
        <v>779438.72000000009</v>
      </c>
      <c r="F19" s="21">
        <f>(((E19/$E$29*$L$11)*1.2)/1.2)*1.1</f>
        <v>30403.638014184402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3"/>
        <v>0</v>
      </c>
      <c r="O19" s="15">
        <f t="shared" si="1"/>
        <v>6080.7276028368806</v>
      </c>
    </row>
    <row r="20" spans="1:15" x14ac:dyDescent="0.2">
      <c r="A20" s="13" t="s">
        <v>37</v>
      </c>
      <c r="B20" s="14" t="s">
        <v>38</v>
      </c>
      <c r="C20" s="15">
        <f>'[10]Ercot Trading'!C20+'[10]Ercot Origination'!C20+'[10]Southeast Trading'!C20+'[10]Southeast Origination'!C20+'[10]Midwest Trading'!C20+'[10]Midwest Origination'!C20+'[10]Northeast Trading'!C20+'[10]Northeast Origination'!C20+'[10]Management Book'!C20+[10]Structuring_Fund!C20+[10]Services!C20+[10]Options!C20</f>
        <v>78.180000000000007</v>
      </c>
      <c r="E20" s="20">
        <f t="shared" si="2"/>
        <v>125.08800000000001</v>
      </c>
      <c r="F20" s="21">
        <v>0</v>
      </c>
      <c r="H20" s="16">
        <f t="shared" si="0"/>
        <v>6.1420478202947023E-6</v>
      </c>
      <c r="J20" t="s">
        <v>39</v>
      </c>
      <c r="K20" s="25">
        <v>78000</v>
      </c>
      <c r="L20">
        <v>0</v>
      </c>
      <c r="M20" s="25">
        <f t="shared" si="3"/>
        <v>0</v>
      </c>
      <c r="O20" s="15">
        <f t="shared" si="1"/>
        <v>0</v>
      </c>
    </row>
    <row r="21" spans="1:15" x14ac:dyDescent="0.2">
      <c r="A21" s="13" t="s">
        <v>40</v>
      </c>
      <c r="B21" s="14" t="s">
        <v>41</v>
      </c>
      <c r="C21" s="15">
        <f>'[10]Ercot Trading'!C21+'[10]Ercot Origination'!C21+'[10]Southeast Trading'!C21+'[10]Southeast Origination'!C21+'[10]Midwest Trading'!C21+'[10]Midwest Origination'!C21+'[10]Northeast Trading'!C21+'[10]Northeast Origination'!C21+'[10]Management Book'!C21+[10]Structuring_Fund!C21+[10]Services!C21+[10]Options!C21</f>
        <v>633408.5</v>
      </c>
      <c r="E21" s="20">
        <f t="shared" si="2"/>
        <v>1013453.5999999999</v>
      </c>
      <c r="F21" s="21">
        <f>(((E21/$E$29*$L$11)*1.2)/1.2)*1.1</f>
        <v>39531.878014184396</v>
      </c>
      <c r="H21" s="16">
        <f t="shared" si="0"/>
        <v>4.9762411061411306E-2</v>
      </c>
      <c r="J21" t="s">
        <v>42</v>
      </c>
      <c r="K21" s="25">
        <v>66000</v>
      </c>
      <c r="L21">
        <v>0</v>
      </c>
      <c r="M21" s="25">
        <f t="shared" si="3"/>
        <v>0</v>
      </c>
      <c r="O21" s="15">
        <f t="shared" si="1"/>
        <v>7906.3756028368789</v>
      </c>
    </row>
    <row r="22" spans="1:15" x14ac:dyDescent="0.2">
      <c r="A22" s="13" t="s">
        <v>43</v>
      </c>
      <c r="B22" s="14" t="s">
        <v>44</v>
      </c>
      <c r="C22" s="15">
        <f>'[10]Ercot Trading'!C22+'[10]Ercot Origination'!C22+'[10]Southeast Trading'!C22+'[10]Southeast Origination'!C22+'[10]Midwest Trading'!C22+'[10]Midwest Origination'!C22+'[10]Northeast Trading'!C22+'[10]Northeast Origination'!C22+'[10]Management Book'!C22+[10]Structuring_Fund!C22+[10]Services!C22+[10]Options!C22</f>
        <v>1190.24</v>
      </c>
      <c r="E22" s="20">
        <f t="shared" si="2"/>
        <v>1904.384</v>
      </c>
      <c r="F22" s="21">
        <f>(((E22/$E$29*$L$11)*1.2)/1.2)*1.1</f>
        <v>74.284482269503556</v>
      </c>
      <c r="H22" s="16">
        <f t="shared" si="0"/>
        <v>9.350871063734415E-5</v>
      </c>
      <c r="J22" t="s">
        <v>45</v>
      </c>
      <c r="K22" s="25">
        <v>97200</v>
      </c>
      <c r="L22">
        <v>1</v>
      </c>
      <c r="M22" s="25">
        <f t="shared" si="3"/>
        <v>97200</v>
      </c>
      <c r="O22" s="15">
        <f t="shared" si="1"/>
        <v>14.856896453900712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1102821.1834184397</v>
      </c>
      <c r="H23" s="30">
        <f>SUM(H8:H22)</f>
        <v>1</v>
      </c>
      <c r="J23" t="s">
        <v>48</v>
      </c>
      <c r="K23" s="25">
        <v>120000</v>
      </c>
      <c r="L23">
        <v>3</v>
      </c>
      <c r="M23" s="25">
        <f t="shared" si="3"/>
        <v>360000</v>
      </c>
      <c r="O23" s="58">
        <f>SUM(O8:O22)</f>
        <v>220564.23668368789</v>
      </c>
    </row>
    <row r="24" spans="1:15" x14ac:dyDescent="0.2">
      <c r="J24" t="s">
        <v>49</v>
      </c>
      <c r="K24" s="25">
        <v>156000</v>
      </c>
      <c r="L24">
        <v>0</v>
      </c>
      <c r="M24" s="25">
        <f t="shared" si="3"/>
        <v>0</v>
      </c>
    </row>
    <row r="25" spans="1:15" x14ac:dyDescent="0.2">
      <c r="B25" s="27" t="s">
        <v>50</v>
      </c>
      <c r="C25" s="15"/>
      <c r="E25" s="31">
        <f>'[10]Ercot Trading'!E25+'[10]Ercot Origination'!E25+'[10]Southeast Trading'!E25+'[10]Southeast Origination'!E25+'[10]Midwest Trading'!E25+'[10]Midwest Origination'!E25+'[10]Northeast Trading'!E25+'[10]Northeast Origination'!E25+'[10]Management Book'!E25+[10]Structuring_Fund!E25+[10]Services!E25+[10]Options!E25</f>
        <v>91</v>
      </c>
      <c r="F25" s="31">
        <f>SUM(L16:L20,L23:L27)</f>
        <v>4</v>
      </c>
      <c r="J25" t="s">
        <v>51</v>
      </c>
      <c r="K25" s="25">
        <v>180000</v>
      </c>
      <c r="L25">
        <v>0</v>
      </c>
      <c r="M25" s="25">
        <f t="shared" si="3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52</v>
      </c>
      <c r="K26" s="25">
        <v>216000</v>
      </c>
      <c r="L26">
        <v>1</v>
      </c>
      <c r="M26" s="25">
        <f t="shared" si="3"/>
        <v>216000</v>
      </c>
      <c r="O26" s="15"/>
    </row>
    <row r="27" spans="1:15" x14ac:dyDescent="0.2">
      <c r="B27" s="27" t="s">
        <v>53</v>
      </c>
      <c r="C27" s="15"/>
      <c r="E27" s="31">
        <f>'[10]Ercot Trading'!E27+'[10]Ercot Origination'!E27+'[10]Southeast Trading'!E27+'[10]Southeast Origination'!E27+'[10]Midwest Trading'!E27+'[10]Midwest Origination'!E27+'[10]Northeast Trading'!E27+'[10]Northeast Origination'!E27+'[10]Management Book'!E27+[10]Structuring_Fund!E27+[10]Services!E27+[10]Options!E27</f>
        <v>50</v>
      </c>
      <c r="F27" s="31">
        <f>SUM(L21:L22)</f>
        <v>1</v>
      </c>
      <c r="J27" t="s">
        <v>54</v>
      </c>
      <c r="K27" s="25">
        <v>240000</v>
      </c>
      <c r="L27">
        <v>0</v>
      </c>
      <c r="M27" s="25">
        <f t="shared" si="3"/>
        <v>0</v>
      </c>
      <c r="O27" s="31">
        <f>SUM(U21:U22)</f>
        <v>0</v>
      </c>
    </row>
    <row r="28" spans="1:15" x14ac:dyDescent="0.2">
      <c r="B28" s="27"/>
      <c r="L28">
        <f>SUM(L16:L27)</f>
        <v>5</v>
      </c>
      <c r="M28" s="25">
        <f>SUM(M16:M27)</f>
        <v>673200</v>
      </c>
    </row>
    <row r="29" spans="1:15" x14ac:dyDescent="0.2">
      <c r="B29" s="27" t="s">
        <v>55</v>
      </c>
      <c r="E29" s="59">
        <f>SUM(E25:E27)</f>
        <v>141</v>
      </c>
      <c r="F29" s="31">
        <f>SUM(F25:F27)</f>
        <v>5</v>
      </c>
      <c r="H29" s="25"/>
      <c r="O29" s="31">
        <v>1</v>
      </c>
    </row>
    <row r="31" spans="1:15" x14ac:dyDescent="0.2">
      <c r="I31" s="33" t="s">
        <v>56</v>
      </c>
      <c r="J31" s="25"/>
      <c r="K31" s="25"/>
      <c r="L31" s="25"/>
    </row>
    <row r="32" spans="1:15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5</v>
      </c>
      <c r="M34" s="37">
        <f>+K34*L34</f>
        <v>158380.90950354608</v>
      </c>
    </row>
  </sheetData>
  <mergeCells count="3">
    <mergeCell ref="B1:H1"/>
    <mergeCell ref="B2:H2"/>
    <mergeCell ref="B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AQ50"/>
  <sheetViews>
    <sheetView zoomScale="80" zoomScaleNormal="100" workbookViewId="0">
      <selection activeCell="B3" sqref="B3:H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21.140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8.140625" style="25" hidden="1" customWidth="1"/>
    <col min="13" max="13" width="0" hidden="1" customWidth="1"/>
    <col min="14" max="14" width="9.7109375" customWidth="1"/>
    <col min="15" max="15" width="10.28515625" customWidth="1"/>
    <col min="16" max="16" width="10.7109375" customWidth="1"/>
  </cols>
  <sheetData>
    <row r="1" spans="1:43" ht="18" x14ac:dyDescent="0.25">
      <c r="B1" s="142" t="str">
        <f>'[13]Team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42" t="s">
        <v>288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I4" s="39"/>
      <c r="J4" s="40"/>
      <c r="K4" s="40"/>
      <c r="L4" s="41"/>
    </row>
    <row r="5" spans="1:43" x14ac:dyDescent="0.2">
      <c r="I5" s="42"/>
      <c r="J5" s="17" t="s">
        <v>1</v>
      </c>
      <c r="K5" s="17" t="s">
        <v>2</v>
      </c>
      <c r="L5" s="43" t="s">
        <v>3</v>
      </c>
    </row>
    <row r="6" spans="1:43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P6" s="44"/>
    </row>
    <row r="7" spans="1:43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P7" s="12"/>
    </row>
    <row r="8" spans="1:43" x14ac:dyDescent="0.2">
      <c r="A8" s="13" t="s">
        <v>9</v>
      </c>
      <c r="B8" s="14" t="s">
        <v>10</v>
      </c>
      <c r="C8" s="15">
        <f>'[14]Central Trading'!C8+'[14]Central Origination'!C8+[14]Derivatives!C8+'[14]East Trading'!C8+'[14]East Origination'!C8+'[14]Financial Gas'!C8+[14]Structuring!C8+'[14]Texas Trading'!C8+'[14]Texas Origination'!C8+'[14]West Trading'!C8+'[14]West Origination'!C8+[14]Fundamentals!C8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1222275</v>
      </c>
      <c r="I8" s="42" t="s">
        <v>10</v>
      </c>
      <c r="J8" s="17">
        <v>0</v>
      </c>
      <c r="K8" s="17"/>
      <c r="L8" s="43">
        <f>L30</f>
        <v>1956240</v>
      </c>
      <c r="P8" s="15"/>
    </row>
    <row r="9" spans="1:43" hidden="1" x14ac:dyDescent="0.2">
      <c r="A9" s="13"/>
      <c r="B9" s="14" t="s">
        <v>11</v>
      </c>
      <c r="C9" s="15">
        <f>'[14]Central Trading'!C9+'[14]Central Origination'!C9+[14]Derivatives!C9+'[14]East Trading'!C9+'[14]East Origination'!C9+'[14]Financial Gas'!C9+[14]Structuring!C9+'[14]Texas Trading'!C9+'[14]Texas Origination'!C9+'[14]West Trading'!C9+'[14]West Origination'!C9+[14]Fundamentals!C9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P9" s="15"/>
    </row>
    <row r="10" spans="1:43" x14ac:dyDescent="0.2">
      <c r="A10" s="13"/>
      <c r="B10" s="14" t="s">
        <v>65</v>
      </c>
      <c r="C10" s="15">
        <f>'[14]Central Trading'!C10+'[14]Central Origination'!C10+[14]Derivatives!C10+'[14]East Trading'!C10+'[14]East Origination'!C10+'[14]Financial Gas'!C10+[14]Structuring!C10+'[14]Texas Trading'!C10+'[14]Texas Origination'!C10+'[14]West Trading'!C10+'[14]West Origination'!C10+[14]Fundamentals!C10</f>
        <v>3095252.76</v>
      </c>
      <c r="D10" s="15"/>
      <c r="E10" s="15">
        <f>('[14]Central Trading'!E9+'[14]Central Origination'!E10+[14]Derivatives!E10+'[14]East Trading'!E10+'[14]East Origination'!E10+'[14]Financial Gas'!E10+[14]Structuring!E10+'[14]Texas Trading'!E10+'[14]Texas Origination'!E10+'[14]West Trading'!E10+'[14]West Origination'!E10+[14]Fundamentals!E10)-4000000</f>
        <v>82420.999999999534</v>
      </c>
      <c r="G10" s="45">
        <f t="shared" si="0"/>
        <v>3.7797619139155266E-3</v>
      </c>
      <c r="H10" s="15">
        <v>0</v>
      </c>
      <c r="I10" s="42"/>
      <c r="J10" s="17"/>
      <c r="K10" s="17"/>
      <c r="L10" s="43"/>
      <c r="P10" s="15"/>
    </row>
    <row r="11" spans="1:43" x14ac:dyDescent="0.2">
      <c r="A11" s="13" t="s">
        <v>13</v>
      </c>
      <c r="B11" s="14" t="s">
        <v>14</v>
      </c>
      <c r="C11" s="15">
        <f>'[14]Central Trading'!C11+'[14]Central Origination'!C11+[14]Derivatives!C11+'[14]East Trading'!C11+'[14]East Origination'!C11+'[14]Financial Gas'!C11+[14]Structuring!C11+'[14]Texas Trading'!C11+'[14]Texas Origination'!C11+'[14]West Trading'!C11+'[14]West Origination'!C11+[14]Fundamentals!C11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+H8*0.2+6345</f>
        <v>250800</v>
      </c>
      <c r="I11" s="42" t="s">
        <v>15</v>
      </c>
      <c r="J11" s="17">
        <f>(E12+E13+E14+E15+E16+E17+E18+E19+E20+E21+E22)/E29</f>
        <v>48270.181250000009</v>
      </c>
      <c r="K11" s="17">
        <f>K28</f>
        <v>10</v>
      </c>
      <c r="L11" s="43">
        <f>J11*K11</f>
        <v>482701.81250000012</v>
      </c>
      <c r="P11" s="15"/>
    </row>
    <row r="12" spans="1:43" x14ac:dyDescent="0.2">
      <c r="A12" s="13" t="s">
        <v>16</v>
      </c>
      <c r="B12" s="14" t="s">
        <v>17</v>
      </c>
      <c r="C12" s="15">
        <f>'[14]Central Trading'!C12+'[14]Central Origination'!C12+[14]Derivatives!C12+'[14]East Trading'!C12+'[14]East Origination'!C12+'[14]Financial Gas'!C12+[14]Structuring!C12+'[14]Texas Trading'!C12+'[14]Texas Origination'!C12+'[14]West Trading'!C12+'[14]West Origination'!C12+[14]Fundamentals!C12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67500</v>
      </c>
      <c r="I12" s="42"/>
      <c r="J12" s="17"/>
      <c r="K12" s="17"/>
      <c r="L12" s="43"/>
      <c r="P12" s="15"/>
    </row>
    <row r="13" spans="1:43" ht="13.5" thickBot="1" x14ac:dyDescent="0.25">
      <c r="A13" s="13" t="s">
        <v>18</v>
      </c>
      <c r="B13" s="14" t="s">
        <v>19</v>
      </c>
      <c r="C13" s="15">
        <f>'[14]Central Trading'!C13+'[14]Central Origination'!C13+[14]Derivatives!C13+'[14]East Trading'!C13+'[14]East Origination'!C13+'[14]Financial Gas'!C13+[14]Structuring!C13+'[14]Texas Trading'!C13+'[14]Texas Origination'!C13+'[14]West Trading'!C13+'[14]West Origination'!C13+[14]Fundamentals!C13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225000</v>
      </c>
      <c r="I13" s="46" t="s">
        <v>20</v>
      </c>
      <c r="J13" s="47"/>
      <c r="K13" s="47"/>
      <c r="L13" s="48">
        <f>L8+L11</f>
        <v>2438941.8125</v>
      </c>
      <c r="O13" s="49"/>
      <c r="P13" s="15"/>
    </row>
    <row r="14" spans="1:43" x14ac:dyDescent="0.2">
      <c r="A14" s="13" t="s">
        <v>21</v>
      </c>
      <c r="B14" s="14" t="s">
        <v>22</v>
      </c>
      <c r="C14" s="15">
        <f>'[14]Central Trading'!C14+'[14]Central Origination'!C14+[14]Derivatives!C14+'[14]East Trading'!C14+'[14]East Origination'!C14+'[14]Financial Gas'!C14+[14]Structuring!C14+'[14]Texas Trading'!C14+'[14]Texas Origination'!C14+'[14]West Trading'!C14+'[14]West Origination'!C14+[14]Fundamentals!C14-C32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P14" s="15"/>
    </row>
    <row r="15" spans="1:43" x14ac:dyDescent="0.2">
      <c r="A15" s="13" t="s">
        <v>23</v>
      </c>
      <c r="B15" s="14" t="s">
        <v>24</v>
      </c>
      <c r="C15" s="15">
        <f>'[14]Central Trading'!C15+'[14]Central Origination'!C15+[14]Derivatives!C15+'[14]East Trading'!C15+'[14]East Origination'!C15+'[14]Financial Gas'!C15+[14]Structuring!C15+'[14]Texas Trading'!C15+'[14]Texas Origination'!C15+'[14]West Trading'!C15+'[14]West Origination'!C15+[14]Fundamentals!C15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45000</v>
      </c>
      <c r="P15" s="15"/>
    </row>
    <row r="16" spans="1:43" x14ac:dyDescent="0.2">
      <c r="A16" s="13" t="s">
        <v>25</v>
      </c>
      <c r="B16" s="14" t="s">
        <v>26</v>
      </c>
      <c r="C16" s="15">
        <f>'[14]Central Trading'!C16+'[14]Central Origination'!C16+[14]Derivatives!C16+'[14]East Trading'!C16+'[14]East Origination'!C16+'[14]Financial Gas'!C16+[14]Structuring!C16+'[14]Texas Trading'!C16+'[14]Texas Origination'!C16+'[14]West Trading'!C16+'[14]West Origination'!C16+[14]Fundamentals!C16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P16" s="15"/>
    </row>
    <row r="17" spans="1:16" x14ac:dyDescent="0.2">
      <c r="A17" s="13" t="s">
        <v>28</v>
      </c>
      <c r="B17" s="14" t="s">
        <v>29</v>
      </c>
      <c r="C17" s="15">
        <f>'[14]Central Trading'!C17+'[14]Central Origination'!C17+[14]Derivatives!C17+'[14]East Trading'!C17+'[14]East Origination'!C17+'[14]Financial Gas'!C17+[14]Structuring!C17+'[14]Texas Trading'!C17+'[14]Texas Origination'!C17+'[14]West Trading'!C17+'[14]West Origination'!C17+[14]Fundamentals!C17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531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P17" s="15"/>
    </row>
    <row r="18" spans="1:16" x14ac:dyDescent="0.2">
      <c r="A18" s="13" t="s">
        <v>31</v>
      </c>
      <c r="B18" s="14" t="s">
        <v>32</v>
      </c>
      <c r="C18" s="15">
        <f>'[14]Central Trading'!C18+'[14]Central Origination'!C18+[14]Derivatives!C18+'[14]East Trading'!C18+'[14]East Origination'!C18+'[14]Financial Gas'!C18+[14]Structuring!C18+'[14]Texas Trading'!C18+'[14]Texas Origination'!C18+'[14]West Trading'!C18+'[14]West Origination'!C18+[14]Fundamentals!C18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67500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P18" s="15"/>
    </row>
    <row r="19" spans="1:16" x14ac:dyDescent="0.2">
      <c r="A19" s="13" t="s">
        <v>34</v>
      </c>
      <c r="B19" s="14" t="s">
        <v>35</v>
      </c>
      <c r="C19" s="15">
        <f>'[14]Central Trading'!C19+'[14]Central Origination'!C19+[14]Derivatives!C19+'[14]East Trading'!C19+'[14]East Origination'!C19+'[14]Financial Gas'!C19+[14]Structuring!C19+'[14]Texas Trading'!C19+'[14]Texas Origination'!C19+'[14]West Trading'!C19+'[14]West Origination'!C19+[14]Fundamentals!C19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90000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P19" s="15"/>
    </row>
    <row r="20" spans="1:16" x14ac:dyDescent="0.2">
      <c r="A20" s="13" t="s">
        <v>37</v>
      </c>
      <c r="B20" s="14" t="s">
        <v>38</v>
      </c>
      <c r="C20" s="15">
        <f>'[14]Central Trading'!C20+'[14]Central Origination'!C20+[14]Derivatives!C20+'[14]East Trading'!C20+'[14]East Origination'!C20+'[14]Financial Gas'!C20+[14]Structuring!C20+'[14]Texas Trading'!C20+'[14]Texas Origination'!C20+'[14]West Trading'!C20+'[14]West Origination'!C20+[14]Fundamentals!C20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1.8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P20" s="15"/>
    </row>
    <row r="21" spans="1:16" x14ac:dyDescent="0.2">
      <c r="A21" s="13" t="s">
        <v>40</v>
      </c>
      <c r="B21" s="14" t="s">
        <v>41</v>
      </c>
      <c r="C21" s="15">
        <f>'[14]Central Trading'!C21+'[14]Central Origination'!C21+[14]Derivatives!C21+'[14]East Trading'!C21+'[14]East Origination'!C21+'[14]Financial Gas'!C21+[14]Structuring!C21+'[14]Texas Trading'!C21+'[14]Texas Origination'!C21+'[14]West Trading'!C21+'[14]West Origination'!C21+[14]Fundamentals!C21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13500</v>
      </c>
      <c r="I21" s="25" t="s">
        <v>42</v>
      </c>
      <c r="J21" s="25">
        <v>60500</v>
      </c>
      <c r="K21" s="25">
        <v>1</v>
      </c>
      <c r="L21" s="25">
        <f t="shared" si="1"/>
        <v>60500</v>
      </c>
      <c r="O21" s="8"/>
      <c r="P21" s="32"/>
    </row>
    <row r="22" spans="1:16" x14ac:dyDescent="0.2">
      <c r="A22" s="13" t="s">
        <v>43</v>
      </c>
      <c r="B22" s="14" t="s">
        <v>44</v>
      </c>
      <c r="C22" s="15">
        <f>'[14]Central Trading'!C22+'[14]Central Origination'!C22+[14]Derivatives!C22+'[14]East Trading'!C22+'[14]East Origination'!C22+'[14]Financial Gas'!C22+[14]Structuring!C22+'[14]Texas Trading'!C22+'[14]Texas Origination'!C22+'[14]West Trading'!C22+'[14]West Origination'!C22+[14]Fundamentals!C22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O22" s="8"/>
      <c r="P22" s="32"/>
    </row>
    <row r="23" spans="1:16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1982107.8</v>
      </c>
      <c r="I23" s="25" t="s">
        <v>48</v>
      </c>
      <c r="J23" s="25">
        <v>110000</v>
      </c>
      <c r="K23" s="25">
        <f>2+1</f>
        <v>3</v>
      </c>
      <c r="L23" s="25">
        <f t="shared" si="1"/>
        <v>330000</v>
      </c>
      <c r="O23" s="8"/>
      <c r="P23" s="29"/>
    </row>
    <row r="24" spans="1:16" x14ac:dyDescent="0.2">
      <c r="I24" s="25" t="s">
        <v>49</v>
      </c>
      <c r="J24" s="25">
        <v>143000</v>
      </c>
      <c r="K24" s="25">
        <f>2+1+1</f>
        <v>4</v>
      </c>
      <c r="L24" s="25">
        <f t="shared" si="1"/>
        <v>572000</v>
      </c>
      <c r="O24" s="8"/>
      <c r="P24" s="8"/>
    </row>
    <row r="25" spans="1:16" x14ac:dyDescent="0.2">
      <c r="B25" s="27" t="s">
        <v>50</v>
      </c>
      <c r="C25" s="15"/>
      <c r="E25" s="31">
        <f>'[14]Central Trading'!E25+'[14]Central Origination'!E25+[14]Derivatives!E25+'[14]East Trading'!E25+'[14]East Origination'!E25+'[14]Financial Gas'!E25+[14]Structuring!E25+'[14]Texas Trading'!E25+'[14]Texas Origination'!E25+'[14]West Trading'!E25+'[14]West Origination'!E25+[14]Fundamentals!E25</f>
        <v>108</v>
      </c>
      <c r="H25" s="31">
        <v>9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O25" s="8"/>
      <c r="P25" s="32"/>
    </row>
    <row r="26" spans="1:16" x14ac:dyDescent="0.2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1"/>
        <v>396000</v>
      </c>
      <c r="O26" s="8"/>
      <c r="P26" s="32"/>
    </row>
    <row r="27" spans="1:16" x14ac:dyDescent="0.2">
      <c r="B27" s="27" t="s">
        <v>67</v>
      </c>
      <c r="C27" s="15"/>
      <c r="E27" s="31">
        <f>'[14]Central Trading'!E27+'[14]Central Origination'!E27+[14]Derivatives!E27+'[14]East Trading'!E27+'[14]East Origination'!E27+'[14]Financial Gas'!E27+[14]Structuring!E27+'[14]Texas Trading'!E27+'[14]Texas Origination'!E27+'[14]West Trading'!E27+'[14]West Origination'!E27+[14]Fundamentals!E27</f>
        <v>52</v>
      </c>
      <c r="H27" s="31"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O27" s="8"/>
      <c r="P27" s="32"/>
    </row>
    <row r="28" spans="1:16" x14ac:dyDescent="0.2">
      <c r="K28" s="25">
        <f>SUM(K16:K27)</f>
        <v>10</v>
      </c>
      <c r="L28" s="25">
        <f>SUM(L16:L27)*1.2</f>
        <v>1630200</v>
      </c>
      <c r="O28" s="8"/>
      <c r="P28" s="8"/>
    </row>
    <row r="29" spans="1:16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9</v>
      </c>
      <c r="L29" s="52">
        <v>0.2</v>
      </c>
      <c r="O29" s="8"/>
      <c r="P29" s="32"/>
    </row>
    <row r="30" spans="1:16" hidden="1" x14ac:dyDescent="0.2">
      <c r="L30" s="25">
        <f>L28*1.2</f>
        <v>1956240</v>
      </c>
      <c r="O30" s="8"/>
      <c r="P30" s="8"/>
    </row>
    <row r="31" spans="1:16" hidden="1" x14ac:dyDescent="0.2">
      <c r="H31" s="33" t="s">
        <v>56</v>
      </c>
      <c r="L31"/>
      <c r="O31" s="8"/>
      <c r="P31" s="8"/>
    </row>
    <row r="32" spans="1:16" hidden="1" x14ac:dyDescent="0.2">
      <c r="B32" s="14" t="s">
        <v>22</v>
      </c>
      <c r="C32" s="15">
        <v>254512</v>
      </c>
      <c r="L32"/>
      <c r="O32" s="8"/>
      <c r="P32" s="8"/>
    </row>
    <row r="33" spans="2:16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O33" s="8"/>
      <c r="P33" s="8"/>
    </row>
    <row r="34" spans="2:16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10</v>
      </c>
      <c r="L34" s="37">
        <f>+J34*K34</f>
        <v>482701.81250000012</v>
      </c>
      <c r="O34" s="8"/>
      <c r="P34" s="8"/>
    </row>
    <row r="35" spans="2:16" hidden="1" x14ac:dyDescent="0.2">
      <c r="O35" s="8"/>
      <c r="P35" s="8"/>
    </row>
    <row r="36" spans="2:16" hidden="1" x14ac:dyDescent="0.2">
      <c r="O36" s="8"/>
      <c r="P36" s="8"/>
    </row>
    <row r="37" spans="2:16" hidden="1" x14ac:dyDescent="0.2">
      <c r="O37" s="8"/>
      <c r="P37" s="8"/>
    </row>
    <row r="38" spans="2:16" hidden="1" x14ac:dyDescent="0.2">
      <c r="O38" s="8"/>
      <c r="P38" s="8"/>
    </row>
    <row r="39" spans="2:16" x14ac:dyDescent="0.2">
      <c r="O39" s="8"/>
      <c r="P39" s="8"/>
    </row>
    <row r="42" spans="2:16" x14ac:dyDescent="0.2">
      <c r="B42" s="123"/>
      <c r="C42" s="123"/>
      <c r="D42" s="123"/>
    </row>
    <row r="43" spans="2:16" x14ac:dyDescent="0.2">
      <c r="B43" s="123"/>
      <c r="C43" s="123"/>
      <c r="D43" s="123"/>
    </row>
    <row r="44" spans="2:16" x14ac:dyDescent="0.2">
      <c r="B44" s="123"/>
      <c r="C44" s="123"/>
      <c r="D44" s="123"/>
    </row>
    <row r="45" spans="2:16" x14ac:dyDescent="0.2">
      <c r="B45" s="123"/>
      <c r="C45" s="123"/>
      <c r="D45" s="123"/>
    </row>
    <row r="46" spans="2:16" x14ac:dyDescent="0.2">
      <c r="B46" s="123"/>
      <c r="C46" s="123"/>
      <c r="D46" s="123"/>
    </row>
    <row r="47" spans="2:16" x14ac:dyDescent="0.2">
      <c r="B47" s="123"/>
      <c r="C47" s="123"/>
      <c r="D47" s="123"/>
    </row>
    <row r="48" spans="2:16" x14ac:dyDescent="0.2">
      <c r="B48" s="123"/>
      <c r="C48" s="123"/>
      <c r="D48" s="123"/>
    </row>
    <row r="49" spans="2:4" x14ac:dyDescent="0.2">
      <c r="B49" s="123"/>
      <c r="C49" s="123"/>
      <c r="D49" s="123"/>
    </row>
    <row r="50" spans="2:4" x14ac:dyDescent="0.2">
      <c r="B50" s="124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AS34"/>
  <sheetViews>
    <sheetView workbookViewId="0">
      <selection activeCell="AQ16" sqref="AQ16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2" width="9.140625" hidden="1" customWidth="1"/>
  </cols>
  <sheetData>
    <row r="1" spans="1:45" ht="18" x14ac:dyDescent="0.2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2" t="s">
        <v>219</v>
      </c>
      <c r="C2" s="142"/>
      <c r="D2" s="142"/>
      <c r="E2" s="142"/>
      <c r="F2" s="142"/>
      <c r="G2" s="142"/>
      <c r="H2" s="14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43" t="s">
        <v>0</v>
      </c>
      <c r="C3" s="143"/>
      <c r="D3" s="143"/>
      <c r="E3" s="143"/>
      <c r="F3" s="143"/>
      <c r="G3" s="143"/>
      <c r="H3" s="14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x14ac:dyDescent="0.2">
      <c r="A8" s="13" t="s">
        <v>9</v>
      </c>
      <c r="B8" s="14" t="s">
        <v>10</v>
      </c>
      <c r="C8" s="15">
        <f>'[10]Ercot Trading'!C8+'[10]Ercot Origination'!C8+'[10]Southeast Trading'!C8+'[10]Southeast Origination'!C8+'[10]Midwest Trading'!C8+'[10]Midwest Origination'!C8+'[10]Northeast Trading'!C8+'[10]Northeast Origination'!C8+'[10]Management Book'!C8+[10]Structuring_Fund!C8+[10]Services!C8+[10]Options!C8</f>
        <v>6640774.8000000017</v>
      </c>
      <c r="E8" s="15">
        <f>(C8/9)*12</f>
        <v>8854366.4000000022</v>
      </c>
      <c r="F8" s="15">
        <f>(M16+M17+M18+M19+M20+M23+M24+M26+M27)*1.2</f>
        <v>2711520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2828160</v>
      </c>
      <c r="O8" s="15">
        <f t="shared" ref="O8:O22" si="1">+F8/$F$29*$O$29</f>
        <v>159501.17647058822</v>
      </c>
    </row>
    <row r="9" spans="1:45" hidden="1" x14ac:dyDescent="0.2">
      <c r="A9" s="13"/>
      <c r="B9" s="14" t="s">
        <v>11</v>
      </c>
      <c r="C9" s="15">
        <f>'[10]Ercot Trading'!C9+'[10]Ercot Origination'!C9+'[10]Southeast Trading'!C9+'[10]Southeast Origination'!C9+'[10]Midwest Trading'!C9+'[10]Midwest Origination'!C9+'[10]Northeast Trading'!C9+'[10]Northeast Origination'!C9+'[10]Management Book'!C9+[10]Structuring_Fund!C9+[10]Services!C9+[10]Options!C9</f>
        <v>1460000</v>
      </c>
      <c r="E9" s="15">
        <f>C9</f>
        <v>1460000</v>
      </c>
      <c r="F9" s="15">
        <v>0</v>
      </c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12</v>
      </c>
      <c r="C10" s="15">
        <f>'[10]Ercot Trading'!C10+'[10]Ercot Origination'!C10+'[10]Southeast Trading'!C10+'[10]Southeast Origination'!C10+'[10]Midwest Trading'!C10+'[10]Midwest Origination'!C10+'[10]Northeast Trading'!C10+'[10]Northeast Origination'!C10+'[10]Management Book'!C10+[10]Structuring_Fund!C10+[10]Services!C10+[10]Options!C10</f>
        <v>2652510</v>
      </c>
      <c r="E10" s="15">
        <f>(C10/9)*12</f>
        <v>3536680</v>
      </c>
      <c r="F10" s="15">
        <f>(M21+M22)*1.2</f>
        <v>116640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6861.1764705882351</v>
      </c>
    </row>
    <row r="11" spans="1:45" x14ac:dyDescent="0.2">
      <c r="A11" s="13" t="s">
        <v>13</v>
      </c>
      <c r="B11" s="14" t="s">
        <v>14</v>
      </c>
      <c r="C11" s="15">
        <f>'[10]Ercot Trading'!C11+'[10]Ercot Origination'!C11+'[10]Southeast Trading'!C11+'[10]Southeast Origination'!C11+'[10]Midwest Trading'!C11+'[10]Midwest Origination'!C11+'[10]Northeast Trading'!C11+'[10]Northeast Origination'!C11+'[10]Management Book'!C11+[10]Structuring_Fund!C11+[10]Services!C11+[10]Options!C11</f>
        <v>1536343.4600000002</v>
      </c>
      <c r="E11" s="15">
        <f>(C11/9)*12</f>
        <v>2048457.9466666668</v>
      </c>
      <c r="F11" s="15">
        <f>(M28*0.2)*1.2</f>
        <v>565632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17</v>
      </c>
      <c r="M11" s="18">
        <f>K11*L11</f>
        <v>538495.09231205657</v>
      </c>
      <c r="O11" s="15">
        <f t="shared" si="1"/>
        <v>33272.470588235294</v>
      </c>
    </row>
    <row r="12" spans="1:45" x14ac:dyDescent="0.2">
      <c r="A12" s="13" t="s">
        <v>16</v>
      </c>
      <c r="B12" s="14" t="s">
        <v>17</v>
      </c>
      <c r="C12" s="15">
        <f>'[10]Ercot Trading'!C12+'[10]Ercot Origination'!C12+'[10]Southeast Trading'!C12+'[10]Southeast Origination'!C12+'[10]Midwest Trading'!C12+'[10]Midwest Origination'!C12+'[10]Northeast Trading'!C12+'[10]Northeast Origination'!C12+'[10]Management Book'!C12+[10]Structuring_Fund!C12+[10]Services!C12+[10]Options!C12</f>
        <v>556457.20000000007</v>
      </c>
      <c r="E12" s="20">
        <f t="shared" ref="E12:E22" si="2">(C12/9)*12*1.2</f>
        <v>890331.52</v>
      </c>
      <c r="F12" s="21">
        <f>(E12/$E$29*$L$11)*1.2</f>
        <v>128813.92204255318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7577.2895319148929</v>
      </c>
    </row>
    <row r="13" spans="1:45" ht="13.5" thickBot="1" x14ac:dyDescent="0.25">
      <c r="A13" s="13" t="s">
        <v>18</v>
      </c>
      <c r="B13" s="14" t="s">
        <v>19</v>
      </c>
      <c r="C13" s="15">
        <f>'[10]Ercot Trading'!C13+'[10]Ercot Origination'!C13+'[10]Southeast Trading'!C13+'[10]Southeast Origination'!C13+'[10]Midwest Trading'!C13+'[10]Midwest Origination'!C13+'[10]Northeast Trading'!C13+'[10]Northeast Origination'!C13+'[10]Management Book'!C13+[10]Structuring_Fund!C13+[10]Services!C13+[10]Options!C13</f>
        <v>1014365.41</v>
      </c>
      <c r="E13" s="20">
        <f t="shared" si="2"/>
        <v>1622984.656</v>
      </c>
      <c r="F13" s="21">
        <f>(E13/$E$29*$L$11+370363)*1.2</f>
        <v>679250.40129361709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3366655.0923120566</v>
      </c>
      <c r="O13" s="15">
        <f t="shared" si="1"/>
        <v>39955.905958448064</v>
      </c>
    </row>
    <row r="14" spans="1:45" x14ac:dyDescent="0.2">
      <c r="A14" s="13" t="s">
        <v>21</v>
      </c>
      <c r="B14" s="14" t="s">
        <v>22</v>
      </c>
      <c r="C14" s="15">
        <f>'[10]Ercot Trading'!C14+'[10]Ercot Origination'!C14+'[10]Southeast Trading'!C14+'[10]Southeast Origination'!C14+'[10]Midwest Trading'!C14+'[10]Midwest Origination'!C14+'[10]Northeast Trading'!C14+'[10]Northeast Origination'!C14+'[10]Management Book'!C14+[10]Structuring_Fund!C14+[10]Services!C14+[10]Options!C14-C32</f>
        <v>0.38000000012107193</v>
      </c>
      <c r="E14" s="20">
        <f t="shared" si="2"/>
        <v>0.60800000019371503</v>
      </c>
      <c r="F14" s="21">
        <f t="shared" ref="F14:F22" si="3">(E14/$E$29*$L$11)*1.2</f>
        <v>8.7965957474835349E-2</v>
      </c>
      <c r="H14" s="16">
        <f t="shared" si="0"/>
        <v>2.9853903459396468E-8</v>
      </c>
      <c r="N14" s="49"/>
      <c r="O14" s="15">
        <f t="shared" si="1"/>
        <v>5.1744680867550205E-3</v>
      </c>
    </row>
    <row r="15" spans="1:45" x14ac:dyDescent="0.2">
      <c r="A15" s="13" t="s">
        <v>23</v>
      </c>
      <c r="B15" s="14" t="s">
        <v>24</v>
      </c>
      <c r="C15" s="15">
        <f>'[10]Ercot Trading'!C15+'[10]Ercot Origination'!C15+'[10]Southeast Trading'!C15+'[10]Southeast Origination'!C15+'[10]Midwest Trading'!C15+'[10]Midwest Origination'!C15+'[10]Northeast Trading'!C15+'[10]Northeast Origination'!C15+'[10]Management Book'!C15+[10]Structuring_Fund!C15+[10]Services!C15+[10]Options!C15</f>
        <v>93227.13</v>
      </c>
      <c r="E15" s="20">
        <f t="shared" si="2"/>
        <v>149163.408</v>
      </c>
      <c r="F15" s="21">
        <f t="shared" si="3"/>
        <v>21581.088817021271</v>
      </c>
      <c r="H15" s="16">
        <f t="shared" si="0"/>
        <v>7.3241940471838168E-3</v>
      </c>
      <c r="K15" s="25"/>
      <c r="O15" s="15">
        <f t="shared" si="1"/>
        <v>1269.475812765957</v>
      </c>
    </row>
    <row r="16" spans="1:45" x14ac:dyDescent="0.2">
      <c r="A16" s="13" t="s">
        <v>25</v>
      </c>
      <c r="B16" s="14" t="s">
        <v>26</v>
      </c>
      <c r="C16" s="15">
        <f>'[10]Ercot Trading'!C16+'[10]Ercot Origination'!C16+'[10]Southeast Trading'!C16+'[10]Southeast Origination'!C16+'[10]Midwest Trading'!C16+'[10]Midwest Origination'!C16+'[10]Northeast Trading'!C16+'[10]Northeast Origination'!C16+'[10]Management Book'!C16+[10]Structuring_Fund!C16+[10]Services!C16+[10]Options!C16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27</v>
      </c>
      <c r="K16" s="25">
        <v>33600</v>
      </c>
      <c r="L16">
        <v>1</v>
      </c>
      <c r="M16" s="25">
        <f t="shared" ref="M16:M27" si="4">K16*L16</f>
        <v>33600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'[10]Ercot Trading'!C17+'[10]Ercot Origination'!C17+'[10]Southeast Trading'!C17+'[10]Southeast Origination'!C17+'[10]Midwest Trading'!C17+'[10]Midwest Origination'!C17+'[10]Northeast Trading'!C17+'[10]Northeast Origination'!C17+'[10]Management Book'!C17+[10]Structuring_Fund!C17+[10]Services!C17+[10]Options!C17</f>
        <v>5300</v>
      </c>
      <c r="E17" s="20">
        <f t="shared" si="2"/>
        <v>8480</v>
      </c>
      <c r="F17" s="21">
        <f t="shared" si="3"/>
        <v>1226.8936170212767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4"/>
        <v>0</v>
      </c>
      <c r="O17" s="15">
        <f t="shared" si="1"/>
        <v>72.170212765957444</v>
      </c>
    </row>
    <row r="18" spans="1:15" x14ac:dyDescent="0.2">
      <c r="A18" s="13" t="s">
        <v>31</v>
      </c>
      <c r="B18" s="14" t="s">
        <v>32</v>
      </c>
      <c r="C18" s="15">
        <f>'[10]Ercot Trading'!C18+'[10]Ercot Origination'!C18+'[10]Southeast Trading'!C18+'[10]Southeast Origination'!C18+'[10]Midwest Trading'!C18+'[10]Midwest Origination'!C18+'[10]Northeast Trading'!C18+'[10]Northeast Origination'!C18+'[10]Management Book'!C18+[10]Structuring_Fund!C18+[10]Services!C18+[10]Options!C18</f>
        <v>287.28999999999655</v>
      </c>
      <c r="E18" s="20">
        <f t="shared" si="2"/>
        <v>459.66399999999447</v>
      </c>
      <c r="F18" s="21">
        <f t="shared" si="3"/>
        <v>66.504578723403455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4"/>
        <v>0</v>
      </c>
      <c r="O18" s="15">
        <f t="shared" si="1"/>
        <v>3.9120340425531444</v>
      </c>
    </row>
    <row r="19" spans="1:15" x14ac:dyDescent="0.2">
      <c r="A19" s="13" t="s">
        <v>34</v>
      </c>
      <c r="B19" s="14" t="s">
        <v>35</v>
      </c>
      <c r="C19" s="15">
        <f>'[10]Ercot Trading'!C19+'[10]Ercot Origination'!C19+'[10]Southeast Trading'!C19+'[10]Southeast Origination'!C19+'[10]Midwest Trading'!C19+'[10]Midwest Origination'!C19+'[10]Northeast Trading'!C19+'[10]Northeast Origination'!C19+'[10]Management Book'!C19+[10]Structuring_Fund!C19+[10]Services!C19+[10]Options!C19</f>
        <v>487149.2</v>
      </c>
      <c r="E19" s="20">
        <f t="shared" si="2"/>
        <v>779438.72000000009</v>
      </c>
      <c r="F19" s="21">
        <f t="shared" si="3"/>
        <v>112769.85736170213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4"/>
        <v>0</v>
      </c>
      <c r="O19" s="15">
        <f t="shared" si="1"/>
        <v>6633.521021276596</v>
      </c>
    </row>
    <row r="20" spans="1:15" x14ac:dyDescent="0.2">
      <c r="A20" s="13" t="s">
        <v>37</v>
      </c>
      <c r="B20" s="14" t="s">
        <v>38</v>
      </c>
      <c r="C20" s="15">
        <f>'[10]Ercot Trading'!C20+'[10]Ercot Origination'!C20+'[10]Southeast Trading'!C20+'[10]Southeast Origination'!C20+'[10]Midwest Trading'!C20+'[10]Midwest Origination'!C20+'[10]Northeast Trading'!C20+'[10]Northeast Origination'!C20+'[10]Management Book'!C20+[10]Structuring_Fund!C20+[10]Services!C20+[10]Options!C20</f>
        <v>78.180000000000007</v>
      </c>
      <c r="E20" s="20">
        <f t="shared" si="2"/>
        <v>125.08800000000001</v>
      </c>
      <c r="F20" s="21">
        <f t="shared" si="3"/>
        <v>18.097838297872343</v>
      </c>
      <c r="H20" s="16">
        <f t="shared" si="0"/>
        <v>6.1420478202947023E-6</v>
      </c>
      <c r="J20" t="s">
        <v>39</v>
      </c>
      <c r="K20" s="25">
        <v>78000</v>
      </c>
      <c r="L20">
        <v>1</v>
      </c>
      <c r="M20" s="25">
        <f t="shared" si="4"/>
        <v>78000</v>
      </c>
      <c r="O20" s="15">
        <f t="shared" si="1"/>
        <v>1.0645787234042554</v>
      </c>
    </row>
    <row r="21" spans="1:15" x14ac:dyDescent="0.2">
      <c r="A21" s="13" t="s">
        <v>40</v>
      </c>
      <c r="B21" s="14" t="s">
        <v>41</v>
      </c>
      <c r="C21" s="15">
        <f>'[10]Ercot Trading'!C21+'[10]Ercot Origination'!C21+'[10]Southeast Trading'!C21+'[10]Southeast Origination'!C21+'[10]Midwest Trading'!C21+'[10]Midwest Origination'!C21+'[10]Northeast Trading'!C21+'[10]Northeast Origination'!C21+'[10]Management Book'!C21+[10]Structuring_Fund!C21+[10]Services!C21+[10]Options!C21</f>
        <v>633408.5</v>
      </c>
      <c r="E21" s="20">
        <f t="shared" si="2"/>
        <v>1013453.5999999999</v>
      </c>
      <c r="F21" s="21">
        <f t="shared" si="3"/>
        <v>146627.32936170208</v>
      </c>
      <c r="H21" s="16">
        <f t="shared" si="0"/>
        <v>4.9762411061411306E-2</v>
      </c>
      <c r="J21" t="s">
        <v>42</v>
      </c>
      <c r="K21" s="25">
        <v>66000</v>
      </c>
      <c r="L21">
        <v>0</v>
      </c>
      <c r="M21" s="25">
        <f t="shared" si="4"/>
        <v>0</v>
      </c>
      <c r="O21" s="15">
        <f t="shared" si="1"/>
        <v>8625.1370212765923</v>
      </c>
    </row>
    <row r="22" spans="1:15" x14ac:dyDescent="0.2">
      <c r="A22" s="13" t="s">
        <v>43</v>
      </c>
      <c r="B22" s="14" t="s">
        <v>44</v>
      </c>
      <c r="C22" s="15">
        <f>'[10]Ercot Trading'!C22+'[10]Ercot Origination'!C22+'[10]Southeast Trading'!C22+'[10]Southeast Origination'!C22+'[10]Midwest Trading'!C22+'[10]Midwest Origination'!C22+'[10]Northeast Trading'!C22+'[10]Northeast Origination'!C22+'[10]Management Book'!C22+[10]Structuring_Fund!C22+[10]Services!C22+[10]Options!C22</f>
        <v>1190.24</v>
      </c>
      <c r="E22" s="20">
        <f t="shared" si="2"/>
        <v>1904.384</v>
      </c>
      <c r="F22" s="21">
        <f t="shared" si="3"/>
        <v>275.52789787234042</v>
      </c>
      <c r="H22" s="16">
        <f t="shared" si="0"/>
        <v>9.350871063734415E-5</v>
      </c>
      <c r="J22" t="s">
        <v>45</v>
      </c>
      <c r="K22" s="25">
        <v>97200</v>
      </c>
      <c r="L22">
        <v>1</v>
      </c>
      <c r="M22" s="25">
        <f t="shared" si="4"/>
        <v>97200</v>
      </c>
      <c r="O22" s="15">
        <f t="shared" si="1"/>
        <v>16.207523404255319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4484421.7107744673</v>
      </c>
      <c r="H23" s="30">
        <f>SUM(H8:H22)</f>
        <v>1</v>
      </c>
      <c r="J23" t="s">
        <v>48</v>
      </c>
      <c r="K23" s="25">
        <v>120000</v>
      </c>
      <c r="L23">
        <v>5</v>
      </c>
      <c r="M23" s="25">
        <f t="shared" si="4"/>
        <v>600000</v>
      </c>
      <c r="O23" s="58">
        <f>SUM(O8:O22)</f>
        <v>263789.51239849813</v>
      </c>
    </row>
    <row r="24" spans="1:15" x14ac:dyDescent="0.2">
      <c r="J24" t="s">
        <v>49</v>
      </c>
      <c r="K24" s="25">
        <v>156000</v>
      </c>
      <c r="L24">
        <v>7</v>
      </c>
      <c r="M24" s="25">
        <f t="shared" si="4"/>
        <v>1092000</v>
      </c>
    </row>
    <row r="25" spans="1:15" x14ac:dyDescent="0.2">
      <c r="B25" s="27" t="s">
        <v>50</v>
      </c>
      <c r="C25" s="15"/>
      <c r="E25" s="31">
        <f>'[10]Ercot Trading'!E25+'[10]Ercot Origination'!E25+'[10]Southeast Trading'!E25+'[10]Southeast Origination'!E25+'[10]Midwest Trading'!E25+'[10]Midwest Origination'!E25+'[10]Northeast Trading'!E25+'[10]Northeast Origination'!E25+'[10]Management Book'!E25+[10]Structuring_Fund!E25+[10]Services!E25+[10]Options!E25</f>
        <v>91</v>
      </c>
      <c r="F25" s="31">
        <f>SUM(L16:L20,L23:L27)</f>
        <v>16</v>
      </c>
      <c r="J25" t="s">
        <v>51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52</v>
      </c>
      <c r="K26" s="25">
        <v>216000</v>
      </c>
      <c r="L26">
        <v>1</v>
      </c>
      <c r="M26" s="25">
        <f t="shared" si="4"/>
        <v>216000</v>
      </c>
      <c r="O26" s="15"/>
    </row>
    <row r="27" spans="1:15" x14ac:dyDescent="0.2">
      <c r="B27" s="27" t="s">
        <v>53</v>
      </c>
      <c r="C27" s="15"/>
      <c r="E27" s="31">
        <f>'[10]Ercot Trading'!E27+'[10]Ercot Origination'!E27+'[10]Southeast Trading'!E27+'[10]Southeast Origination'!E27+'[10]Midwest Trading'!E27+'[10]Midwest Origination'!E27+'[10]Northeast Trading'!E27+'[10]Northeast Origination'!E27+'[10]Management Book'!E27+[10]Structuring_Fund!E27+[10]Services!E27+[10]Options!E27</f>
        <v>50</v>
      </c>
      <c r="F27" s="31">
        <f>SUM(L21:L22)</f>
        <v>1</v>
      </c>
      <c r="J27" t="s">
        <v>54</v>
      </c>
      <c r="K27" s="25">
        <v>240000</v>
      </c>
      <c r="L27">
        <f>2-1</f>
        <v>1</v>
      </c>
      <c r="M27" s="25">
        <f t="shared" si="4"/>
        <v>240000</v>
      </c>
      <c r="O27" s="31">
        <f>SUM(U21:U22)</f>
        <v>0</v>
      </c>
    </row>
    <row r="28" spans="1:15" x14ac:dyDescent="0.2">
      <c r="B28" s="27"/>
      <c r="L28">
        <f>SUM(L16:L27)</f>
        <v>17</v>
      </c>
      <c r="M28" s="25">
        <f>SUM(M16:M27)</f>
        <v>2356800</v>
      </c>
    </row>
    <row r="29" spans="1:15" x14ac:dyDescent="0.2">
      <c r="B29" s="27" t="s">
        <v>55</v>
      </c>
      <c r="E29" s="59">
        <f>SUM(E25:E27)</f>
        <v>141</v>
      </c>
      <c r="F29" s="31">
        <f>SUM(F25:F27)</f>
        <v>17</v>
      </c>
      <c r="H29" s="25"/>
      <c r="O29" s="31">
        <v>1</v>
      </c>
    </row>
    <row r="31" spans="1:15" x14ac:dyDescent="0.2">
      <c r="I31" s="33" t="s">
        <v>56</v>
      </c>
      <c r="J31" s="25"/>
      <c r="K31" s="25"/>
      <c r="L31" s="25"/>
    </row>
    <row r="32" spans="1:15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17</v>
      </c>
      <c r="M34" s="37">
        <f>+K34*L34</f>
        <v>538495.09231205657</v>
      </c>
    </row>
  </sheetData>
  <mergeCells count="3">
    <mergeCell ref="B1:H1"/>
    <mergeCell ref="B2:H2"/>
    <mergeCell ref="B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4"/>
  <sheetViews>
    <sheetView workbookViewId="0">
      <selection activeCell="P155" sqref="P155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19" width="9.140625" hidden="1" customWidth="1"/>
    <col min="20" max="40" width="0" hidden="1" customWidth="1"/>
  </cols>
  <sheetData>
    <row r="1" spans="1:45" ht="18" x14ac:dyDescent="0.2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2" t="s">
        <v>320</v>
      </c>
      <c r="C2" s="142"/>
      <c r="D2" s="142"/>
      <c r="E2" s="142"/>
      <c r="F2" s="142"/>
      <c r="G2" s="142"/>
      <c r="H2" s="14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43" t="s">
        <v>0</v>
      </c>
      <c r="C3" s="143"/>
      <c r="D3" s="143"/>
      <c r="E3" s="143"/>
      <c r="F3" s="143"/>
      <c r="G3" s="143"/>
      <c r="H3" s="14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x14ac:dyDescent="0.2">
      <c r="A8" s="13" t="s">
        <v>9</v>
      </c>
      <c r="B8" s="14" t="s">
        <v>10</v>
      </c>
      <c r="C8" s="15">
        <f>'[10]Ercot Trading'!C8+'[10]Ercot Origination'!C8+'[10]Southeast Trading'!C8+'[10]Southeast Origination'!C8+'[10]Midwest Trading'!C8+'[10]Midwest Origination'!C8+'[10]Northeast Trading'!C8+'[10]Northeast Origination'!C8+'[10]Management Book'!C8+[10]Structuring_Fund!C8+[10]Services!C8+[10]Options!C8</f>
        <v>6640774.8000000017</v>
      </c>
      <c r="E8" s="15">
        <f>(C8/9)*12</f>
        <v>8854366.4000000022</v>
      </c>
      <c r="F8" s="21">
        <f>(((M16+M17+M18+M19+M20+M23+M24+M26+M27)*1.2)/1.2)*1.1</f>
        <v>432960.00000000006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472320</v>
      </c>
      <c r="O8" s="15">
        <f t="shared" ref="O8:O22" si="1">+F8/$F$29*$O$29</f>
        <v>144320.00000000003</v>
      </c>
    </row>
    <row r="9" spans="1:45" hidden="1" x14ac:dyDescent="0.2">
      <c r="A9" s="13"/>
      <c r="B9" s="14" t="s">
        <v>11</v>
      </c>
      <c r="C9" s="15">
        <f>'[10]Ercot Trading'!C9+'[10]Ercot Origination'!C9+'[10]Southeast Trading'!C9+'[10]Southeast Origination'!C9+'[10]Midwest Trading'!C9+'[10]Midwest Origination'!C9+'[10]Northeast Trading'!C9+'[10]Northeast Origination'!C9+'[10]Management Book'!C9+[10]Structuring_Fund!C9+[10]Services!C9+[10]Options!C9</f>
        <v>1460000</v>
      </c>
      <c r="E9" s="15">
        <f>C9</f>
        <v>1460000</v>
      </c>
      <c r="F9" s="21">
        <v>0</v>
      </c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12</v>
      </c>
      <c r="C10" s="15">
        <f>'[10]Ercot Trading'!C10+'[10]Ercot Origination'!C10+'[10]Southeast Trading'!C10+'[10]Southeast Origination'!C10+'[10]Midwest Trading'!C10+'[10]Midwest Origination'!C10+'[10]Northeast Trading'!C10+'[10]Northeast Origination'!C10+'[10]Management Book'!C10+[10]Structuring_Fund!C10+[10]Services!C10+[10]Options!C10</f>
        <v>2652510</v>
      </c>
      <c r="E10" s="15">
        <f>(C10/9)*12</f>
        <v>3536680</v>
      </c>
      <c r="F10" s="21">
        <f>(((M21+M22)*1.2)/1.2)*1.1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'[10]Ercot Trading'!C11+'[10]Ercot Origination'!C11+'[10]Southeast Trading'!C11+'[10]Southeast Origination'!C11+'[10]Midwest Trading'!C11+'[10]Midwest Origination'!C11+'[10]Northeast Trading'!C11+'[10]Northeast Origination'!C11+'[10]Management Book'!C11+[10]Structuring_Fund!C11+[10]Services!C11+[10]Options!C11</f>
        <v>1536343.4600000002</v>
      </c>
      <c r="E11" s="15">
        <f>(C11/9)*12</f>
        <v>2048457.9466666668</v>
      </c>
      <c r="F11" s="21">
        <f>(((M28*0.2)*1.2)/1.2)*1.1</f>
        <v>86592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3</v>
      </c>
      <c r="M11" s="18">
        <f>K11*L11</f>
        <v>95028.545702127638</v>
      </c>
      <c r="O11" s="15">
        <f t="shared" si="1"/>
        <v>28864</v>
      </c>
    </row>
    <row r="12" spans="1:45" x14ac:dyDescent="0.2">
      <c r="A12" s="13" t="s">
        <v>16</v>
      </c>
      <c r="B12" s="14" t="s">
        <v>17</v>
      </c>
      <c r="C12" s="15">
        <f>'[10]Ercot Trading'!C12+'[10]Ercot Origination'!C12+'[10]Southeast Trading'!C12+'[10]Southeast Origination'!C12+'[10]Midwest Trading'!C12+'[10]Midwest Origination'!C12+'[10]Northeast Trading'!C12+'[10]Northeast Origination'!C12+'[10]Management Book'!C12+[10]Structuring_Fund!C12+[10]Services!C12+[10]Options!C12</f>
        <v>556457.20000000007</v>
      </c>
      <c r="E12" s="20">
        <f t="shared" ref="E12:E22" si="2">(C12/9)*12*1.2</f>
        <v>890331.52</v>
      </c>
      <c r="F12" s="21">
        <f>(((E12/$E$29*$L$11)*1.2)/1.2)*1.1</f>
        <v>20837.546212765956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6945.8487375886516</v>
      </c>
    </row>
    <row r="13" spans="1:45" ht="13.5" thickBot="1" x14ac:dyDescent="0.25">
      <c r="A13" s="13" t="s">
        <v>18</v>
      </c>
      <c r="B13" s="14" t="s">
        <v>19</v>
      </c>
      <c r="C13" s="15">
        <f>'[10]Ercot Trading'!C13+'[10]Ercot Origination'!C13+'[10]Southeast Trading'!C13+'[10]Southeast Origination'!C13+'[10]Midwest Trading'!C13+'[10]Midwest Origination'!C13+'[10]Northeast Trading'!C13+'[10]Northeast Origination'!C13+'[10]Management Book'!C13+[10]Structuring_Fund!C13+[10]Services!C13+[10]Options!C13</f>
        <v>1014365.41</v>
      </c>
      <c r="E13" s="20">
        <f t="shared" si="2"/>
        <v>1622984.656</v>
      </c>
      <c r="F13" s="21">
        <f>(((E13/$E$29*$L$11+69443.06)*1.2)/1.2)*1.1</f>
        <v>114372.11326808513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567348.54570212762</v>
      </c>
      <c r="O13" s="15">
        <f t="shared" si="1"/>
        <v>38124.037756028374</v>
      </c>
    </row>
    <row r="14" spans="1:45" x14ac:dyDescent="0.2">
      <c r="A14" s="13" t="s">
        <v>21</v>
      </c>
      <c r="B14" s="14" t="s">
        <v>22</v>
      </c>
      <c r="C14" s="15">
        <f>'[10]Ercot Trading'!C14+'[10]Ercot Origination'!C14+'[10]Southeast Trading'!C14+'[10]Southeast Origination'!C14+'[10]Midwest Trading'!C14+'[10]Midwest Origination'!C14+'[10]Northeast Trading'!C14+'[10]Northeast Origination'!C14+'[10]Management Book'!C14+[10]Structuring_Fund!C14+[10]Services!C14+[10]Options!C14-C32</f>
        <v>0.38000000012107193</v>
      </c>
      <c r="E14" s="20">
        <f t="shared" si="2"/>
        <v>0.60800000019371503</v>
      </c>
      <c r="F14" s="21">
        <f t="shared" ref="F14:F22" si="3">(((E14/$E$29*$L$11)*1.2)/1.2)*1.1</f>
        <v>1.422978723857631E-2</v>
      </c>
      <c r="H14" s="16">
        <f t="shared" si="0"/>
        <v>2.9853903459396468E-8</v>
      </c>
      <c r="N14" s="49"/>
      <c r="O14" s="15">
        <f t="shared" si="1"/>
        <v>4.7432624128587704E-3</v>
      </c>
    </row>
    <row r="15" spans="1:45" x14ac:dyDescent="0.2">
      <c r="A15" s="13" t="s">
        <v>23</v>
      </c>
      <c r="B15" s="14" t="s">
        <v>24</v>
      </c>
      <c r="C15" s="15">
        <f>'[10]Ercot Trading'!C15+'[10]Ercot Origination'!C15+'[10]Southeast Trading'!C15+'[10]Southeast Origination'!C15+'[10]Midwest Trading'!C15+'[10]Midwest Origination'!C15+'[10]Northeast Trading'!C15+'[10]Northeast Origination'!C15+'[10]Management Book'!C15+[10]Structuring_Fund!C15+[10]Services!C15+[10]Options!C15</f>
        <v>93227.13</v>
      </c>
      <c r="E15" s="20">
        <f t="shared" si="2"/>
        <v>149163.408</v>
      </c>
      <c r="F15" s="21">
        <f t="shared" si="3"/>
        <v>3491.0584851063832</v>
      </c>
      <c r="H15" s="16">
        <f t="shared" si="0"/>
        <v>7.3241940471838168E-3</v>
      </c>
      <c r="K15" s="25"/>
      <c r="O15" s="15">
        <f t="shared" si="1"/>
        <v>1163.6861617021277</v>
      </c>
    </row>
    <row r="16" spans="1:45" x14ac:dyDescent="0.2">
      <c r="A16" s="13" t="s">
        <v>25</v>
      </c>
      <c r="B16" s="14" t="s">
        <v>26</v>
      </c>
      <c r="C16" s="15">
        <f>'[10]Ercot Trading'!C16+'[10]Ercot Origination'!C16+'[10]Southeast Trading'!C16+'[10]Southeast Origination'!C16+'[10]Midwest Trading'!C16+'[10]Midwest Origination'!C16+'[10]Northeast Trading'!C16+'[10]Northeast Origination'!C16+'[10]Management Book'!C16+[10]Structuring_Fund!C16+[10]Services!C16+[10]Options!C16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27</v>
      </c>
      <c r="K16" s="25">
        <v>33600</v>
      </c>
      <c r="L16">
        <v>1</v>
      </c>
      <c r="M16" s="25">
        <f t="shared" ref="M16:M27" si="4">K16*L16</f>
        <v>33600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'[10]Ercot Trading'!C17+'[10]Ercot Origination'!C17+'[10]Southeast Trading'!C17+'[10]Southeast Origination'!C17+'[10]Midwest Trading'!C17+'[10]Midwest Origination'!C17+'[10]Northeast Trading'!C17+'[10]Northeast Origination'!C17+'[10]Management Book'!C17+[10]Structuring_Fund!C17+[10]Services!C17+[10]Options!C17</f>
        <v>5300</v>
      </c>
      <c r="E17" s="20">
        <f t="shared" si="2"/>
        <v>8480</v>
      </c>
      <c r="F17" s="21">
        <f t="shared" si="3"/>
        <v>198.468085106383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4"/>
        <v>0</v>
      </c>
      <c r="O17" s="15">
        <f t="shared" si="1"/>
        <v>66.156028368794338</v>
      </c>
    </row>
    <row r="18" spans="1:15" x14ac:dyDescent="0.2">
      <c r="A18" s="13" t="s">
        <v>31</v>
      </c>
      <c r="B18" s="14" t="s">
        <v>32</v>
      </c>
      <c r="C18" s="15">
        <f>'[10]Ercot Trading'!C18+'[10]Ercot Origination'!C18+'[10]Southeast Trading'!C18+'[10]Southeast Origination'!C18+'[10]Midwest Trading'!C18+'[10]Midwest Origination'!C18+'[10]Northeast Trading'!C18+'[10]Northeast Origination'!C18+'[10]Management Book'!C18+[10]Structuring_Fund!C18+[10]Services!C18+[10]Options!C18</f>
        <v>287.28999999999655</v>
      </c>
      <c r="E18" s="20">
        <f t="shared" si="2"/>
        <v>459.66399999999447</v>
      </c>
      <c r="F18" s="21">
        <f t="shared" si="3"/>
        <v>10.758093617021148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4"/>
        <v>0</v>
      </c>
      <c r="O18" s="15">
        <f t="shared" si="1"/>
        <v>3.586031205673716</v>
      </c>
    </row>
    <row r="19" spans="1:15" x14ac:dyDescent="0.2">
      <c r="A19" s="13" t="s">
        <v>34</v>
      </c>
      <c r="B19" s="14" t="s">
        <v>35</v>
      </c>
      <c r="C19" s="15">
        <f>'[10]Ercot Trading'!C19+'[10]Ercot Origination'!C19+'[10]Southeast Trading'!C19+'[10]Southeast Origination'!C19+'[10]Midwest Trading'!C19+'[10]Midwest Origination'!C19+'[10]Northeast Trading'!C19+'[10]Northeast Origination'!C19+'[10]Management Book'!C19+[10]Structuring_Fund!C19+[10]Services!C19+[10]Options!C19</f>
        <v>487149.2</v>
      </c>
      <c r="E19" s="20">
        <f t="shared" si="2"/>
        <v>779438.72000000009</v>
      </c>
      <c r="F19" s="21">
        <f t="shared" si="3"/>
        <v>18242.182808510639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4"/>
        <v>0</v>
      </c>
      <c r="O19" s="15">
        <f t="shared" si="1"/>
        <v>6080.7276028368797</v>
      </c>
    </row>
    <row r="20" spans="1:15" x14ac:dyDescent="0.2">
      <c r="A20" s="13" t="s">
        <v>37</v>
      </c>
      <c r="B20" s="14" t="s">
        <v>38</v>
      </c>
      <c r="C20" s="15">
        <f>'[10]Ercot Trading'!C20+'[10]Ercot Origination'!C20+'[10]Southeast Trading'!C20+'[10]Southeast Origination'!C20+'[10]Midwest Trading'!C20+'[10]Midwest Origination'!C20+'[10]Northeast Trading'!C20+'[10]Northeast Origination'!C20+'[10]Management Book'!C20+[10]Structuring_Fund!C20+[10]Services!C20+[10]Options!C20</f>
        <v>78.180000000000007</v>
      </c>
      <c r="E20" s="20">
        <f t="shared" si="2"/>
        <v>125.08800000000001</v>
      </c>
      <c r="F20" s="21">
        <f t="shared" si="3"/>
        <v>2.9275914893617028</v>
      </c>
      <c r="H20" s="16">
        <f t="shared" si="0"/>
        <v>6.1420478202947023E-6</v>
      </c>
      <c r="J20" t="s">
        <v>39</v>
      </c>
      <c r="K20" s="25">
        <v>78000</v>
      </c>
      <c r="L20">
        <v>0</v>
      </c>
      <c r="M20" s="25">
        <f t="shared" si="4"/>
        <v>0</v>
      </c>
      <c r="O20" s="15">
        <f t="shared" si="1"/>
        <v>0.97586382978723429</v>
      </c>
    </row>
    <row r="21" spans="1:15" x14ac:dyDescent="0.2">
      <c r="A21" s="13" t="s">
        <v>40</v>
      </c>
      <c r="B21" s="14" t="s">
        <v>41</v>
      </c>
      <c r="C21" s="15">
        <f>'[10]Ercot Trading'!C21+'[10]Ercot Origination'!C21+'[10]Southeast Trading'!C21+'[10]Southeast Origination'!C21+'[10]Midwest Trading'!C21+'[10]Midwest Origination'!C21+'[10]Northeast Trading'!C21+'[10]Northeast Origination'!C21+'[10]Management Book'!C21+[10]Structuring_Fund!C21+[10]Services!C21+[10]Options!C21</f>
        <v>633408.5</v>
      </c>
      <c r="E21" s="20">
        <f t="shared" si="2"/>
        <v>1013453.5999999999</v>
      </c>
      <c r="F21" s="21">
        <f t="shared" si="3"/>
        <v>23719.126808510635</v>
      </c>
      <c r="H21" s="16">
        <f t="shared" si="0"/>
        <v>4.9762411061411306E-2</v>
      </c>
      <c r="J21" t="s">
        <v>42</v>
      </c>
      <c r="K21" s="25">
        <v>66000</v>
      </c>
      <c r="L21">
        <v>0</v>
      </c>
      <c r="M21" s="25">
        <f t="shared" si="4"/>
        <v>0</v>
      </c>
      <c r="O21" s="15">
        <f t="shared" si="1"/>
        <v>7906.375602836878</v>
      </c>
    </row>
    <row r="22" spans="1:15" x14ac:dyDescent="0.2">
      <c r="A22" s="13" t="s">
        <v>43</v>
      </c>
      <c r="B22" s="14" t="s">
        <v>44</v>
      </c>
      <c r="C22" s="15">
        <f>'[10]Ercot Trading'!C22+'[10]Ercot Origination'!C22+'[10]Southeast Trading'!C22+'[10]Southeast Origination'!C22+'[10]Midwest Trading'!C22+'[10]Midwest Origination'!C22+'[10]Northeast Trading'!C22+'[10]Northeast Origination'!C22+'[10]Management Book'!C22+[10]Structuring_Fund!C22+[10]Services!C22+[10]Options!C22</f>
        <v>1190.24</v>
      </c>
      <c r="E22" s="20">
        <f t="shared" si="2"/>
        <v>1904.384</v>
      </c>
      <c r="F22" s="21">
        <f t="shared" si="3"/>
        <v>44.570689361702129</v>
      </c>
      <c r="H22" s="16">
        <f t="shared" si="0"/>
        <v>9.350871063734415E-5</v>
      </c>
      <c r="J22" t="s">
        <v>45</v>
      </c>
      <c r="K22" s="25">
        <v>97200</v>
      </c>
      <c r="L22">
        <v>0</v>
      </c>
      <c r="M22" s="25">
        <f t="shared" si="4"/>
        <v>0</v>
      </c>
      <c r="O22" s="15">
        <f t="shared" si="1"/>
        <v>14.85689645390071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700470.76627234044</v>
      </c>
      <c r="H23" s="30">
        <f>SUM(H8:H22)</f>
        <v>1</v>
      </c>
      <c r="J23" t="s">
        <v>48</v>
      </c>
      <c r="K23" s="25">
        <v>120000</v>
      </c>
      <c r="L23">
        <v>1</v>
      </c>
      <c r="M23" s="25">
        <f t="shared" si="4"/>
        <v>120000</v>
      </c>
      <c r="O23" s="58">
        <f>SUM(O8:O22)</f>
        <v>233490.25542411348</v>
      </c>
    </row>
    <row r="24" spans="1:15" x14ac:dyDescent="0.2">
      <c r="J24" t="s">
        <v>49</v>
      </c>
      <c r="K24" s="25">
        <v>156000</v>
      </c>
      <c r="L24">
        <v>0</v>
      </c>
      <c r="M24" s="25">
        <f t="shared" si="4"/>
        <v>0</v>
      </c>
    </row>
    <row r="25" spans="1:15" x14ac:dyDescent="0.2">
      <c r="B25" s="27" t="s">
        <v>50</v>
      </c>
      <c r="C25" s="15"/>
      <c r="E25" s="31">
        <f>'[10]Ercot Trading'!E25+'[10]Ercot Origination'!E25+'[10]Southeast Trading'!E25+'[10]Southeast Origination'!E25+'[10]Midwest Trading'!E25+'[10]Midwest Origination'!E25+'[10]Northeast Trading'!E25+'[10]Northeast Origination'!E25+'[10]Management Book'!E25+[10]Structuring_Fund!E25+[10]Services!E25+[10]Options!E25</f>
        <v>91</v>
      </c>
      <c r="F25" s="31">
        <f>SUM(L16:L20,L23:L27)</f>
        <v>3</v>
      </c>
      <c r="J25" t="s">
        <v>51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52</v>
      </c>
      <c r="K26" s="25">
        <v>216000</v>
      </c>
      <c r="L26">
        <v>0</v>
      </c>
      <c r="M26" s="25">
        <f t="shared" si="4"/>
        <v>0</v>
      </c>
      <c r="O26" s="15"/>
    </row>
    <row r="27" spans="1:15" x14ac:dyDescent="0.2">
      <c r="B27" s="27" t="s">
        <v>53</v>
      </c>
      <c r="C27" s="15"/>
      <c r="E27" s="31">
        <f>'[10]Ercot Trading'!E27+'[10]Ercot Origination'!E27+'[10]Southeast Trading'!E27+'[10]Southeast Origination'!E27+'[10]Midwest Trading'!E27+'[10]Midwest Origination'!E27+'[10]Northeast Trading'!E27+'[10]Northeast Origination'!E27+'[10]Management Book'!E27+[10]Structuring_Fund!E27+[10]Services!E27+[10]Options!E27</f>
        <v>50</v>
      </c>
      <c r="F27" s="31">
        <f>SUM(L21:L22)</f>
        <v>0</v>
      </c>
      <c r="J27" t="s">
        <v>54</v>
      </c>
      <c r="K27" s="25">
        <v>240000</v>
      </c>
      <c r="L27">
        <v>1</v>
      </c>
      <c r="M27" s="25">
        <f t="shared" si="4"/>
        <v>240000</v>
      </c>
      <c r="O27" s="31">
        <f>SUM(U21:U22)</f>
        <v>0</v>
      </c>
    </row>
    <row r="28" spans="1:15" x14ac:dyDescent="0.2">
      <c r="B28" s="27"/>
      <c r="L28">
        <f>SUM(L16:L27)</f>
        <v>3</v>
      </c>
      <c r="M28" s="25">
        <f>SUM(M16:M27)</f>
        <v>393600</v>
      </c>
    </row>
    <row r="29" spans="1:15" x14ac:dyDescent="0.2">
      <c r="B29" s="27" t="s">
        <v>55</v>
      </c>
      <c r="E29" s="59">
        <f>SUM(E25:E27)</f>
        <v>141</v>
      </c>
      <c r="F29" s="31">
        <f>SUM(F25:F27)</f>
        <v>3</v>
      </c>
      <c r="H29" s="25"/>
      <c r="O29" s="31">
        <v>1</v>
      </c>
    </row>
    <row r="31" spans="1:15" x14ac:dyDescent="0.2">
      <c r="I31" s="33" t="s">
        <v>56</v>
      </c>
      <c r="J31" s="25"/>
      <c r="K31" s="25"/>
      <c r="L31" s="25"/>
    </row>
    <row r="32" spans="1:15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3</v>
      </c>
      <c r="M34" s="37">
        <f>+K34*L34</f>
        <v>95028.545702127638</v>
      </c>
    </row>
  </sheetData>
  <mergeCells count="3">
    <mergeCell ref="B1:H1"/>
    <mergeCell ref="B2:H2"/>
    <mergeCell ref="B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4"/>
  <sheetViews>
    <sheetView workbookViewId="0">
      <selection activeCell="P155" sqref="P155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19" width="9.140625" hidden="1" customWidth="1"/>
    <col min="20" max="21" width="0" hidden="1" customWidth="1"/>
  </cols>
  <sheetData>
    <row r="1" spans="1:45" ht="18" x14ac:dyDescent="0.2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2" t="s">
        <v>317</v>
      </c>
      <c r="C2" s="142"/>
      <c r="D2" s="142"/>
      <c r="E2" s="142"/>
      <c r="F2" s="142"/>
      <c r="G2" s="142"/>
      <c r="H2" s="14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43" t="s">
        <v>0</v>
      </c>
      <c r="C3" s="143"/>
      <c r="D3" s="143"/>
      <c r="E3" s="143"/>
      <c r="F3" s="143"/>
      <c r="G3" s="143"/>
      <c r="H3" s="14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x14ac:dyDescent="0.2">
      <c r="A8" s="13" t="s">
        <v>9</v>
      </c>
      <c r="B8" s="14" t="s">
        <v>10</v>
      </c>
      <c r="C8" s="15">
        <f>'[10]Ercot Trading'!C8+'[10]Ercot Origination'!C8+'[10]Southeast Trading'!C8+'[10]Southeast Origination'!C8+'[10]Midwest Trading'!C8+'[10]Midwest Origination'!C8+'[10]Northeast Trading'!C8+'[10]Northeast Origination'!C8+'[10]Management Book'!C8+[10]Structuring_Fund!C8+[10]Services!C8+[10]Options!C8</f>
        <v>6640774.8000000017</v>
      </c>
      <c r="E8" s="15">
        <f>(C8/9)*12</f>
        <v>8854366.4000000022</v>
      </c>
      <c r="F8" s="21">
        <f>(((M16+M17+M18+M19+M20+M23+M24+M26+M27)*1.2)/1.2)*1.1</f>
        <v>475200.00000000006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518400</v>
      </c>
      <c r="O8" s="15">
        <f t="shared" ref="O8:O22" si="1">+F8/$F$29*$O$29</f>
        <v>158400.00000000003</v>
      </c>
    </row>
    <row r="9" spans="1:45" hidden="1" x14ac:dyDescent="0.2">
      <c r="A9" s="13"/>
      <c r="B9" s="14" t="s">
        <v>11</v>
      </c>
      <c r="C9" s="15">
        <f>'[10]Ercot Trading'!C9+'[10]Ercot Origination'!C9+'[10]Southeast Trading'!C9+'[10]Southeast Origination'!C9+'[10]Midwest Trading'!C9+'[10]Midwest Origination'!C9+'[10]Northeast Trading'!C9+'[10]Northeast Origination'!C9+'[10]Management Book'!C9+[10]Structuring_Fund!C9+[10]Services!C9+[10]Options!C9</f>
        <v>1460000</v>
      </c>
      <c r="E9" s="15">
        <f>C9</f>
        <v>1460000</v>
      </c>
      <c r="F9" s="21">
        <v>0</v>
      </c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12</v>
      </c>
      <c r="C10" s="15">
        <f>'[10]Ercot Trading'!C10+'[10]Ercot Origination'!C10+'[10]Southeast Trading'!C10+'[10]Southeast Origination'!C10+'[10]Midwest Trading'!C10+'[10]Midwest Origination'!C10+'[10]Northeast Trading'!C10+'[10]Northeast Origination'!C10+'[10]Management Book'!C10+[10]Structuring_Fund!C10+[10]Services!C10+[10]Options!C10</f>
        <v>2652510</v>
      </c>
      <c r="E10" s="15">
        <f>(C10/9)*12</f>
        <v>3536680</v>
      </c>
      <c r="F10" s="21">
        <f>(((M21+M22)*1.2)/1.2)*1.1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'[10]Ercot Trading'!C11+'[10]Ercot Origination'!C11+'[10]Southeast Trading'!C11+'[10]Southeast Origination'!C11+'[10]Midwest Trading'!C11+'[10]Midwest Origination'!C11+'[10]Northeast Trading'!C11+'[10]Northeast Origination'!C11+'[10]Management Book'!C11+[10]Structuring_Fund!C11+[10]Services!C11+[10]Options!C11</f>
        <v>1536343.4600000002</v>
      </c>
      <c r="E11" s="15">
        <f>(C11/9)*12</f>
        <v>2048457.9466666668</v>
      </c>
      <c r="F11" s="21">
        <f>(((M28*0.2)*1.2)/1.2)*1.1</f>
        <v>95040.000000000015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3</v>
      </c>
      <c r="M11" s="18">
        <f>K11*L11</f>
        <v>95028.545702127638</v>
      </c>
      <c r="O11" s="15">
        <f t="shared" si="1"/>
        <v>31680.000000000004</v>
      </c>
    </row>
    <row r="12" spans="1:45" x14ac:dyDescent="0.2">
      <c r="A12" s="13" t="s">
        <v>16</v>
      </c>
      <c r="B12" s="14" t="s">
        <v>17</v>
      </c>
      <c r="C12" s="15">
        <f>'[10]Ercot Trading'!C12+'[10]Ercot Origination'!C12+'[10]Southeast Trading'!C12+'[10]Southeast Origination'!C12+'[10]Midwest Trading'!C12+'[10]Midwest Origination'!C12+'[10]Northeast Trading'!C12+'[10]Northeast Origination'!C12+'[10]Management Book'!C12+[10]Structuring_Fund!C12+[10]Services!C12+[10]Options!C12</f>
        <v>556457.20000000007</v>
      </c>
      <c r="E12" s="20">
        <f t="shared" ref="E12:E22" si="2">(C12/9)*12*1.2</f>
        <v>890331.52</v>
      </c>
      <c r="F12" s="21">
        <f>(((E12/$E$29*$L$11)*1.2)/1.2)*1.1</f>
        <v>20837.546212765956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6945.8487375886516</v>
      </c>
    </row>
    <row r="13" spans="1:45" ht="13.5" thickBot="1" x14ac:dyDescent="0.25">
      <c r="A13" s="13" t="s">
        <v>18</v>
      </c>
      <c r="B13" s="14" t="s">
        <v>19</v>
      </c>
      <c r="C13" s="15">
        <f>'[10]Ercot Trading'!C13+'[10]Ercot Origination'!C13+'[10]Southeast Trading'!C13+'[10]Southeast Origination'!C13+'[10]Midwest Trading'!C13+'[10]Midwest Origination'!C13+'[10]Northeast Trading'!C13+'[10]Northeast Origination'!C13+'[10]Management Book'!C13+[10]Structuring_Fund!C13+[10]Services!C13+[10]Options!C13</f>
        <v>1014365.41</v>
      </c>
      <c r="E13" s="20">
        <f t="shared" si="2"/>
        <v>1622984.656</v>
      </c>
      <c r="F13" s="21">
        <f>(((E13/$E$29*$L$11+69443.06)*1.2)/1.2)*1.1</f>
        <v>114372.11326808513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613428.54570212762</v>
      </c>
      <c r="O13" s="15">
        <f t="shared" si="1"/>
        <v>38124.037756028374</v>
      </c>
    </row>
    <row r="14" spans="1:45" x14ac:dyDescent="0.2">
      <c r="A14" s="13" t="s">
        <v>21</v>
      </c>
      <c r="B14" s="14" t="s">
        <v>22</v>
      </c>
      <c r="C14" s="15">
        <f>'[10]Ercot Trading'!C14+'[10]Ercot Origination'!C14+'[10]Southeast Trading'!C14+'[10]Southeast Origination'!C14+'[10]Midwest Trading'!C14+'[10]Midwest Origination'!C14+'[10]Northeast Trading'!C14+'[10]Northeast Origination'!C14+'[10]Management Book'!C14+[10]Structuring_Fund!C14+[10]Services!C14+[10]Options!C14-C32</f>
        <v>0.38000000012107193</v>
      </c>
      <c r="E14" s="20">
        <f t="shared" si="2"/>
        <v>0.60800000019371503</v>
      </c>
      <c r="F14" s="21">
        <f t="shared" ref="F14:F22" si="3">(((E14/$E$29*$L$11)*1.2)/1.2)*1.1</f>
        <v>1.422978723857631E-2</v>
      </c>
      <c r="H14" s="16">
        <f t="shared" si="0"/>
        <v>2.9853903459396468E-8</v>
      </c>
      <c r="N14" s="49"/>
      <c r="O14" s="15">
        <f t="shared" si="1"/>
        <v>4.7432624128587704E-3</v>
      </c>
    </row>
    <row r="15" spans="1:45" x14ac:dyDescent="0.2">
      <c r="A15" s="13" t="s">
        <v>23</v>
      </c>
      <c r="B15" s="14" t="s">
        <v>24</v>
      </c>
      <c r="C15" s="15">
        <f>'[10]Ercot Trading'!C15+'[10]Ercot Origination'!C15+'[10]Southeast Trading'!C15+'[10]Southeast Origination'!C15+'[10]Midwest Trading'!C15+'[10]Midwest Origination'!C15+'[10]Northeast Trading'!C15+'[10]Northeast Origination'!C15+'[10]Management Book'!C15+[10]Structuring_Fund!C15+[10]Services!C15+[10]Options!C15</f>
        <v>93227.13</v>
      </c>
      <c r="E15" s="20">
        <f t="shared" si="2"/>
        <v>149163.408</v>
      </c>
      <c r="F15" s="21">
        <f t="shared" si="3"/>
        <v>3491.0584851063832</v>
      </c>
      <c r="H15" s="16">
        <f t="shared" si="0"/>
        <v>7.3241940471838168E-3</v>
      </c>
      <c r="K15" s="25"/>
      <c r="O15" s="15">
        <f t="shared" si="1"/>
        <v>1163.6861617021277</v>
      </c>
    </row>
    <row r="16" spans="1:45" x14ac:dyDescent="0.2">
      <c r="A16" s="13" t="s">
        <v>25</v>
      </c>
      <c r="B16" s="14" t="s">
        <v>26</v>
      </c>
      <c r="C16" s="15">
        <f>'[10]Ercot Trading'!C16+'[10]Ercot Origination'!C16+'[10]Southeast Trading'!C16+'[10]Southeast Origination'!C16+'[10]Midwest Trading'!C16+'[10]Midwest Origination'!C16+'[10]Northeast Trading'!C16+'[10]Northeast Origination'!C16+'[10]Management Book'!C16+[10]Structuring_Fund!C16+[10]Services!C16+[10]Options!C16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27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'[10]Ercot Trading'!C17+'[10]Ercot Origination'!C17+'[10]Southeast Trading'!C17+'[10]Southeast Origination'!C17+'[10]Midwest Trading'!C17+'[10]Midwest Origination'!C17+'[10]Northeast Trading'!C17+'[10]Northeast Origination'!C17+'[10]Management Book'!C17+[10]Structuring_Fund!C17+[10]Services!C17+[10]Options!C17</f>
        <v>5300</v>
      </c>
      <c r="E17" s="20">
        <f t="shared" si="2"/>
        <v>8480</v>
      </c>
      <c r="F17" s="21">
        <f t="shared" si="3"/>
        <v>198.468085106383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4"/>
        <v>0</v>
      </c>
      <c r="O17" s="15">
        <f t="shared" si="1"/>
        <v>66.156028368794338</v>
      </c>
    </row>
    <row r="18" spans="1:15" x14ac:dyDescent="0.2">
      <c r="A18" s="13" t="s">
        <v>31</v>
      </c>
      <c r="B18" s="14" t="s">
        <v>32</v>
      </c>
      <c r="C18" s="15">
        <f>'[10]Ercot Trading'!C18+'[10]Ercot Origination'!C18+'[10]Southeast Trading'!C18+'[10]Southeast Origination'!C18+'[10]Midwest Trading'!C18+'[10]Midwest Origination'!C18+'[10]Northeast Trading'!C18+'[10]Northeast Origination'!C18+'[10]Management Book'!C18+[10]Structuring_Fund!C18+[10]Services!C18+[10]Options!C18</f>
        <v>287.28999999999655</v>
      </c>
      <c r="E18" s="20">
        <f t="shared" si="2"/>
        <v>459.66399999999447</v>
      </c>
      <c r="F18" s="21">
        <f t="shared" si="3"/>
        <v>10.758093617021148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4"/>
        <v>0</v>
      </c>
      <c r="O18" s="15">
        <f t="shared" si="1"/>
        <v>3.586031205673716</v>
      </c>
    </row>
    <row r="19" spans="1:15" x14ac:dyDescent="0.2">
      <c r="A19" s="13" t="s">
        <v>34</v>
      </c>
      <c r="B19" s="14" t="s">
        <v>35</v>
      </c>
      <c r="C19" s="15">
        <f>'[10]Ercot Trading'!C19+'[10]Ercot Origination'!C19+'[10]Southeast Trading'!C19+'[10]Southeast Origination'!C19+'[10]Midwest Trading'!C19+'[10]Midwest Origination'!C19+'[10]Northeast Trading'!C19+'[10]Northeast Origination'!C19+'[10]Management Book'!C19+[10]Structuring_Fund!C19+[10]Services!C19+[10]Options!C19</f>
        <v>487149.2</v>
      </c>
      <c r="E19" s="20">
        <f t="shared" si="2"/>
        <v>779438.72000000009</v>
      </c>
      <c r="F19" s="21">
        <f t="shared" si="3"/>
        <v>18242.182808510639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4"/>
        <v>0</v>
      </c>
      <c r="O19" s="15">
        <f t="shared" si="1"/>
        <v>6080.7276028368797</v>
      </c>
    </row>
    <row r="20" spans="1:15" x14ac:dyDescent="0.2">
      <c r="A20" s="13" t="s">
        <v>37</v>
      </c>
      <c r="B20" s="14" t="s">
        <v>38</v>
      </c>
      <c r="C20" s="15">
        <f>'[10]Ercot Trading'!C20+'[10]Ercot Origination'!C20+'[10]Southeast Trading'!C20+'[10]Southeast Origination'!C20+'[10]Midwest Trading'!C20+'[10]Midwest Origination'!C20+'[10]Northeast Trading'!C20+'[10]Northeast Origination'!C20+'[10]Management Book'!C20+[10]Structuring_Fund!C20+[10]Services!C20+[10]Options!C20</f>
        <v>78.180000000000007</v>
      </c>
      <c r="E20" s="20">
        <f t="shared" si="2"/>
        <v>125.08800000000001</v>
      </c>
      <c r="F20" s="21">
        <f t="shared" si="3"/>
        <v>2.9275914893617028</v>
      </c>
      <c r="H20" s="16">
        <f t="shared" si="0"/>
        <v>6.1420478202947023E-6</v>
      </c>
      <c r="J20" t="s">
        <v>39</v>
      </c>
      <c r="K20" s="25">
        <v>78000</v>
      </c>
      <c r="L20">
        <v>0</v>
      </c>
      <c r="M20" s="25">
        <f t="shared" si="4"/>
        <v>0</v>
      </c>
      <c r="O20" s="15">
        <f t="shared" si="1"/>
        <v>0.97586382978723429</v>
      </c>
    </row>
    <row r="21" spans="1:15" x14ac:dyDescent="0.2">
      <c r="A21" s="13" t="s">
        <v>40</v>
      </c>
      <c r="B21" s="14" t="s">
        <v>41</v>
      </c>
      <c r="C21" s="15">
        <f>'[10]Ercot Trading'!C21+'[10]Ercot Origination'!C21+'[10]Southeast Trading'!C21+'[10]Southeast Origination'!C21+'[10]Midwest Trading'!C21+'[10]Midwest Origination'!C21+'[10]Northeast Trading'!C21+'[10]Northeast Origination'!C21+'[10]Management Book'!C21+[10]Structuring_Fund!C21+[10]Services!C21+[10]Options!C21</f>
        <v>633408.5</v>
      </c>
      <c r="E21" s="20">
        <f t="shared" si="2"/>
        <v>1013453.5999999999</v>
      </c>
      <c r="F21" s="21">
        <f t="shared" si="3"/>
        <v>23719.126808510635</v>
      </c>
      <c r="H21" s="16">
        <f t="shared" si="0"/>
        <v>4.9762411061411306E-2</v>
      </c>
      <c r="J21" t="s">
        <v>42</v>
      </c>
      <c r="K21" s="25">
        <v>66000</v>
      </c>
      <c r="L21">
        <v>0</v>
      </c>
      <c r="M21" s="25">
        <f t="shared" si="4"/>
        <v>0</v>
      </c>
      <c r="O21" s="15">
        <f t="shared" si="1"/>
        <v>7906.375602836878</v>
      </c>
    </row>
    <row r="22" spans="1:15" x14ac:dyDescent="0.2">
      <c r="A22" s="13" t="s">
        <v>43</v>
      </c>
      <c r="B22" s="14" t="s">
        <v>44</v>
      </c>
      <c r="C22" s="15">
        <f>'[10]Ercot Trading'!C22+'[10]Ercot Origination'!C22+'[10]Southeast Trading'!C22+'[10]Southeast Origination'!C22+'[10]Midwest Trading'!C22+'[10]Midwest Origination'!C22+'[10]Northeast Trading'!C22+'[10]Northeast Origination'!C22+'[10]Management Book'!C22+[10]Structuring_Fund!C22+[10]Services!C22+[10]Options!C22</f>
        <v>1190.24</v>
      </c>
      <c r="E22" s="20">
        <f t="shared" si="2"/>
        <v>1904.384</v>
      </c>
      <c r="F22" s="21">
        <f t="shared" si="3"/>
        <v>44.570689361702129</v>
      </c>
      <c r="H22" s="16">
        <f t="shared" si="0"/>
        <v>9.350871063734415E-5</v>
      </c>
      <c r="J22" t="s">
        <v>45</v>
      </c>
      <c r="K22" s="25">
        <v>97200</v>
      </c>
      <c r="L22">
        <v>0</v>
      </c>
      <c r="M22" s="25">
        <f t="shared" si="4"/>
        <v>0</v>
      </c>
      <c r="O22" s="15">
        <f t="shared" si="1"/>
        <v>14.85689645390071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751158.76627234055</v>
      </c>
      <c r="H23" s="30">
        <f>SUM(H8:H22)</f>
        <v>1</v>
      </c>
      <c r="J23" t="s">
        <v>48</v>
      </c>
      <c r="K23" s="25">
        <v>120000</v>
      </c>
      <c r="L23">
        <v>1</v>
      </c>
      <c r="M23" s="25">
        <f t="shared" si="4"/>
        <v>120000</v>
      </c>
      <c r="O23" s="58">
        <f>SUM(O8:O22)</f>
        <v>250386.25542411348</v>
      </c>
    </row>
    <row r="24" spans="1:15" x14ac:dyDescent="0.2">
      <c r="J24" t="s">
        <v>49</v>
      </c>
      <c r="K24" s="25">
        <v>156000</v>
      </c>
      <c r="L24">
        <v>2</v>
      </c>
      <c r="M24" s="25">
        <f t="shared" si="4"/>
        <v>312000</v>
      </c>
    </row>
    <row r="25" spans="1:15" x14ac:dyDescent="0.2">
      <c r="B25" s="27" t="s">
        <v>50</v>
      </c>
      <c r="C25" s="15"/>
      <c r="E25" s="31">
        <f>'[10]Ercot Trading'!E25+'[10]Ercot Origination'!E25+'[10]Southeast Trading'!E25+'[10]Southeast Origination'!E25+'[10]Midwest Trading'!E25+'[10]Midwest Origination'!E25+'[10]Northeast Trading'!E25+'[10]Northeast Origination'!E25+'[10]Management Book'!E25+[10]Structuring_Fund!E25+[10]Services!E25+[10]Options!E25</f>
        <v>91</v>
      </c>
      <c r="F25" s="31">
        <f>SUM(L16:L20,L23:L27)</f>
        <v>3</v>
      </c>
      <c r="J25" t="s">
        <v>51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52</v>
      </c>
      <c r="K26" s="25">
        <v>216000</v>
      </c>
      <c r="L26">
        <v>0</v>
      </c>
      <c r="M26" s="25">
        <f t="shared" si="4"/>
        <v>0</v>
      </c>
      <c r="O26" s="15"/>
    </row>
    <row r="27" spans="1:15" x14ac:dyDescent="0.2">
      <c r="B27" s="27" t="s">
        <v>53</v>
      </c>
      <c r="C27" s="15"/>
      <c r="E27" s="31">
        <f>'[10]Ercot Trading'!E27+'[10]Ercot Origination'!E27+'[10]Southeast Trading'!E27+'[10]Southeast Origination'!E27+'[10]Midwest Trading'!E27+'[10]Midwest Origination'!E27+'[10]Northeast Trading'!E27+'[10]Northeast Origination'!E27+'[10]Management Book'!E27+[10]Structuring_Fund!E27+[10]Services!E27+[10]Options!E27</f>
        <v>50</v>
      </c>
      <c r="F27" s="31">
        <f>SUM(L21:L22)</f>
        <v>0</v>
      </c>
      <c r="J27" t="s">
        <v>54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x14ac:dyDescent="0.2">
      <c r="B28" s="27"/>
      <c r="L28">
        <f>SUM(L16:L27)</f>
        <v>3</v>
      </c>
      <c r="M28" s="25">
        <f>SUM(M16:M27)</f>
        <v>432000</v>
      </c>
    </row>
    <row r="29" spans="1:15" x14ac:dyDescent="0.2">
      <c r="B29" s="27" t="s">
        <v>55</v>
      </c>
      <c r="E29" s="59">
        <f>SUM(E25:E27)</f>
        <v>141</v>
      </c>
      <c r="F29" s="31">
        <f>SUM(F25:F27)</f>
        <v>3</v>
      </c>
      <c r="H29" s="25"/>
      <c r="O29" s="31">
        <v>1</v>
      </c>
    </row>
    <row r="31" spans="1:15" x14ac:dyDescent="0.2">
      <c r="I31" s="33" t="s">
        <v>56</v>
      </c>
      <c r="J31" s="25"/>
      <c r="K31" s="25"/>
      <c r="L31" s="25"/>
    </row>
    <row r="32" spans="1:15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3</v>
      </c>
      <c r="M34" s="37">
        <f>+K34*L34</f>
        <v>95028.545702127638</v>
      </c>
    </row>
  </sheetData>
  <mergeCells count="3">
    <mergeCell ref="B1:H1"/>
    <mergeCell ref="B2:H2"/>
    <mergeCell ref="B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4"/>
  <sheetViews>
    <sheetView workbookViewId="0">
      <selection activeCell="P155" sqref="P155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30" width="9.140625" hidden="1" customWidth="1"/>
    <col min="31" max="44" width="0" hidden="1" customWidth="1"/>
  </cols>
  <sheetData>
    <row r="1" spans="1:45" ht="18" x14ac:dyDescent="0.2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2" t="s">
        <v>318</v>
      </c>
      <c r="C2" s="142"/>
      <c r="D2" s="142"/>
      <c r="E2" s="142"/>
      <c r="F2" s="142"/>
      <c r="G2" s="142"/>
      <c r="H2" s="14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43" t="s">
        <v>0</v>
      </c>
      <c r="C3" s="143"/>
      <c r="D3" s="143"/>
      <c r="E3" s="143"/>
      <c r="F3" s="143"/>
      <c r="G3" s="143"/>
      <c r="H3" s="14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x14ac:dyDescent="0.2">
      <c r="A8" s="13" t="s">
        <v>9</v>
      </c>
      <c r="B8" s="14" t="s">
        <v>10</v>
      </c>
      <c r="C8" s="15">
        <f>'[10]Ercot Trading'!C8+'[10]Ercot Origination'!C8+'[10]Southeast Trading'!C8+'[10]Southeast Origination'!C8+'[10]Midwest Trading'!C8+'[10]Midwest Origination'!C8+'[10]Northeast Trading'!C8+'[10]Northeast Origination'!C8+'[10]Management Book'!C8+[10]Structuring_Fund!C8+[10]Services!C8+[10]Options!C8</f>
        <v>6640774.8000000017</v>
      </c>
      <c r="E8" s="15">
        <f>(C8/9)*12</f>
        <v>8854366.4000000022</v>
      </c>
      <c r="F8" s="21">
        <f>(((M16+M17+M18+M19+M20+M23+M24+M26+M27)*1.2)/1.2)*1.1</f>
        <v>561000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728640</v>
      </c>
      <c r="O8" s="15">
        <f t="shared" ref="O8:O22" si="1">+F8/$F$29*$O$29</f>
        <v>112200</v>
      </c>
    </row>
    <row r="9" spans="1:45" hidden="1" x14ac:dyDescent="0.2">
      <c r="A9" s="13"/>
      <c r="B9" s="14" t="s">
        <v>11</v>
      </c>
      <c r="C9" s="15">
        <f>'[10]Ercot Trading'!C9+'[10]Ercot Origination'!C9+'[10]Southeast Trading'!C9+'[10]Southeast Origination'!C9+'[10]Midwest Trading'!C9+'[10]Midwest Origination'!C9+'[10]Northeast Trading'!C9+'[10]Northeast Origination'!C9+'[10]Management Book'!C9+[10]Structuring_Fund!C9+[10]Services!C9+[10]Options!C9</f>
        <v>1460000</v>
      </c>
      <c r="E9" s="15">
        <f>C9</f>
        <v>1460000</v>
      </c>
      <c r="F9" s="21">
        <v>0</v>
      </c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12</v>
      </c>
      <c r="C10" s="15">
        <f>'[10]Ercot Trading'!C10+'[10]Ercot Origination'!C10+'[10]Southeast Trading'!C10+'[10]Southeast Origination'!C10+'[10]Midwest Trading'!C10+'[10]Midwest Origination'!C10+'[10]Northeast Trading'!C10+'[10]Northeast Origination'!C10+'[10]Management Book'!C10+[10]Structuring_Fund!C10+[10]Services!C10+[10]Options!C10</f>
        <v>2652510</v>
      </c>
      <c r="E10" s="15">
        <f>(C10/9)*12</f>
        <v>3536680</v>
      </c>
      <c r="F10" s="21">
        <f>(((M21+M22)*1.2)/1.2)*1.1</f>
        <v>106920.00000000001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21384.000000000004</v>
      </c>
    </row>
    <row r="11" spans="1:45" x14ac:dyDescent="0.2">
      <c r="A11" s="13" t="s">
        <v>13</v>
      </c>
      <c r="B11" s="14" t="s">
        <v>14</v>
      </c>
      <c r="C11" s="15">
        <f>'[10]Ercot Trading'!C11+'[10]Ercot Origination'!C11+'[10]Southeast Trading'!C11+'[10]Southeast Origination'!C11+'[10]Midwest Trading'!C11+'[10]Midwest Origination'!C11+'[10]Northeast Trading'!C11+'[10]Northeast Origination'!C11+'[10]Management Book'!C11+[10]Structuring_Fund!C11+[10]Services!C11+[10]Options!C11</f>
        <v>1536343.4600000002</v>
      </c>
      <c r="E11" s="15">
        <f>(C11/9)*12</f>
        <v>2048457.9466666668</v>
      </c>
      <c r="F11" s="21">
        <f>(((M28*0.2)*1.2)/1.2)*1.1</f>
        <v>133584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5</v>
      </c>
      <c r="M11" s="18">
        <f>K11*L11</f>
        <v>158380.90950354608</v>
      </c>
      <c r="O11" s="15">
        <f t="shared" si="1"/>
        <v>26716.799999999999</v>
      </c>
    </row>
    <row r="12" spans="1:45" x14ac:dyDescent="0.2">
      <c r="A12" s="13" t="s">
        <v>16</v>
      </c>
      <c r="B12" s="14" t="s">
        <v>17</v>
      </c>
      <c r="C12" s="15">
        <f>'[10]Ercot Trading'!C12+'[10]Ercot Origination'!C12+'[10]Southeast Trading'!C12+'[10]Southeast Origination'!C12+'[10]Midwest Trading'!C12+'[10]Midwest Origination'!C12+'[10]Northeast Trading'!C12+'[10]Northeast Origination'!C12+'[10]Management Book'!C12+[10]Structuring_Fund!C12+[10]Services!C12+[10]Options!C12</f>
        <v>556457.20000000007</v>
      </c>
      <c r="E12" s="20">
        <f t="shared" ref="E12:E22" si="2">(C12/9)*12*1.2</f>
        <v>890331.52</v>
      </c>
      <c r="F12" s="21">
        <f>(((E12/$E$29*$L$11)*1.2)/1.2)*1.1</f>
        <v>34729.243687943272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6945.8487375886543</v>
      </c>
    </row>
    <row r="13" spans="1:45" ht="13.5" thickBot="1" x14ac:dyDescent="0.25">
      <c r="A13" s="13" t="s">
        <v>18</v>
      </c>
      <c r="B13" s="14" t="s">
        <v>19</v>
      </c>
      <c r="C13" s="15">
        <f>'[10]Ercot Trading'!C13+'[10]Ercot Origination'!C13+'[10]Southeast Trading'!C13+'[10]Southeast Origination'!C13+'[10]Midwest Trading'!C13+'[10]Midwest Origination'!C13+'[10]Northeast Trading'!C13+'[10]Northeast Origination'!C13+'[10]Management Book'!C13+[10]Structuring_Fund!C13+[10]Services!C13+[10]Options!C13</f>
        <v>1014365.41</v>
      </c>
      <c r="E13" s="20">
        <f t="shared" si="2"/>
        <v>1622984.656</v>
      </c>
      <c r="F13" s="21">
        <f>(((E13/$E$29*$L$11+92590.75)*1.2)/1.2)*1.1</f>
        <v>165157.73711347519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887020.90950354608</v>
      </c>
      <c r="O13" s="15">
        <f t="shared" si="1"/>
        <v>33031.547422695039</v>
      </c>
    </row>
    <row r="14" spans="1:45" x14ac:dyDescent="0.2">
      <c r="A14" s="13" t="s">
        <v>21</v>
      </c>
      <c r="B14" s="14" t="s">
        <v>22</v>
      </c>
      <c r="C14" s="15">
        <f>'[10]Ercot Trading'!C14+'[10]Ercot Origination'!C14+'[10]Southeast Trading'!C14+'[10]Southeast Origination'!C14+'[10]Midwest Trading'!C14+'[10]Midwest Origination'!C14+'[10]Northeast Trading'!C14+'[10]Northeast Origination'!C14+'[10]Management Book'!C14+[10]Structuring_Fund!C14+[10]Services!C14+[10]Options!C14-C32</f>
        <v>0.38000000012107193</v>
      </c>
      <c r="E14" s="20">
        <f t="shared" si="2"/>
        <v>0.60800000019371503</v>
      </c>
      <c r="F14" s="21">
        <f t="shared" ref="F14:F22" si="3">(((E14/$E$29*$L$11)*1.2)/1.2)*1.1</f>
        <v>2.3716312064293851E-2</v>
      </c>
      <c r="H14" s="16">
        <f t="shared" si="0"/>
        <v>2.9853903459396468E-8</v>
      </c>
      <c r="N14" s="49"/>
      <c r="O14" s="15">
        <f t="shared" si="1"/>
        <v>4.7432624128587704E-3</v>
      </c>
    </row>
    <row r="15" spans="1:45" x14ac:dyDescent="0.2">
      <c r="A15" s="13" t="s">
        <v>23</v>
      </c>
      <c r="B15" s="14" t="s">
        <v>24</v>
      </c>
      <c r="C15" s="15">
        <f>'[10]Ercot Trading'!C15+'[10]Ercot Origination'!C15+'[10]Southeast Trading'!C15+'[10]Southeast Origination'!C15+'[10]Midwest Trading'!C15+'[10]Midwest Origination'!C15+'[10]Northeast Trading'!C15+'[10]Northeast Origination'!C15+'[10]Management Book'!C15+[10]Structuring_Fund!C15+[10]Services!C15+[10]Options!C15</f>
        <v>93227.13</v>
      </c>
      <c r="E15" s="20">
        <f t="shared" si="2"/>
        <v>149163.408</v>
      </c>
      <c r="F15" s="21">
        <f t="shared" si="3"/>
        <v>5818.4308085106377</v>
      </c>
      <c r="H15" s="16">
        <f t="shared" si="0"/>
        <v>7.3241940471838168E-3</v>
      </c>
      <c r="K15" s="25"/>
      <c r="O15" s="15">
        <f t="shared" si="1"/>
        <v>1163.6861617021275</v>
      </c>
    </row>
    <row r="16" spans="1:45" x14ac:dyDescent="0.2">
      <c r="A16" s="13" t="s">
        <v>25</v>
      </c>
      <c r="B16" s="14" t="s">
        <v>26</v>
      </c>
      <c r="C16" s="15">
        <f>'[10]Ercot Trading'!C16+'[10]Ercot Origination'!C16+'[10]Southeast Trading'!C16+'[10]Southeast Origination'!C16+'[10]Midwest Trading'!C16+'[10]Midwest Origination'!C16+'[10]Northeast Trading'!C16+'[10]Northeast Origination'!C16+'[10]Management Book'!C16+[10]Structuring_Fund!C16+[10]Services!C16+[10]Options!C16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27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'[10]Ercot Trading'!C17+'[10]Ercot Origination'!C17+'[10]Southeast Trading'!C17+'[10]Southeast Origination'!C17+'[10]Midwest Trading'!C17+'[10]Midwest Origination'!C17+'[10]Northeast Trading'!C17+'[10]Northeast Origination'!C17+'[10]Management Book'!C17+[10]Structuring_Fund!C17+[10]Services!C17+[10]Options!C17</f>
        <v>5300</v>
      </c>
      <c r="E17" s="20">
        <f t="shared" si="2"/>
        <v>8480</v>
      </c>
      <c r="F17" s="21">
        <f t="shared" si="3"/>
        <v>330.78014184397165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4"/>
        <v>0</v>
      </c>
      <c r="O17" s="15">
        <f t="shared" si="1"/>
        <v>66.156028368794324</v>
      </c>
    </row>
    <row r="18" spans="1:15" x14ac:dyDescent="0.2">
      <c r="A18" s="13" t="s">
        <v>31</v>
      </c>
      <c r="B18" s="14" t="s">
        <v>32</v>
      </c>
      <c r="C18" s="15">
        <f>'[10]Ercot Trading'!C18+'[10]Ercot Origination'!C18+'[10]Southeast Trading'!C18+'[10]Southeast Origination'!C18+'[10]Midwest Trading'!C18+'[10]Midwest Origination'!C18+'[10]Northeast Trading'!C18+'[10]Northeast Origination'!C18+'[10]Management Book'!C18+[10]Structuring_Fund!C18+[10]Services!C18+[10]Options!C18</f>
        <v>287.28999999999655</v>
      </c>
      <c r="E18" s="20">
        <f t="shared" si="2"/>
        <v>459.66399999999447</v>
      </c>
      <c r="F18" s="21">
        <f t="shared" si="3"/>
        <v>17.930156028368579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4"/>
        <v>0</v>
      </c>
      <c r="O18" s="15">
        <f t="shared" si="1"/>
        <v>3.5860312056737156</v>
      </c>
    </row>
    <row r="19" spans="1:15" x14ac:dyDescent="0.2">
      <c r="A19" s="13" t="s">
        <v>34</v>
      </c>
      <c r="B19" s="14" t="s">
        <v>35</v>
      </c>
      <c r="C19" s="15">
        <f>'[10]Ercot Trading'!C19+'[10]Ercot Origination'!C19+'[10]Southeast Trading'!C19+'[10]Southeast Origination'!C19+'[10]Midwest Trading'!C19+'[10]Midwest Origination'!C19+'[10]Northeast Trading'!C19+'[10]Northeast Origination'!C19+'[10]Management Book'!C19+[10]Structuring_Fund!C19+[10]Services!C19+[10]Options!C19</f>
        <v>487149.2</v>
      </c>
      <c r="E19" s="20">
        <f t="shared" si="2"/>
        <v>779438.72000000009</v>
      </c>
      <c r="F19" s="21">
        <f t="shared" si="3"/>
        <v>30403.638014184402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4"/>
        <v>0</v>
      </c>
      <c r="O19" s="15">
        <f t="shared" si="1"/>
        <v>6080.7276028368806</v>
      </c>
    </row>
    <row r="20" spans="1:15" x14ac:dyDescent="0.2">
      <c r="A20" s="13" t="s">
        <v>37</v>
      </c>
      <c r="B20" s="14" t="s">
        <v>38</v>
      </c>
      <c r="C20" s="15">
        <f>'[10]Ercot Trading'!C20+'[10]Ercot Origination'!C20+'[10]Southeast Trading'!C20+'[10]Southeast Origination'!C20+'[10]Midwest Trading'!C20+'[10]Midwest Origination'!C20+'[10]Northeast Trading'!C20+'[10]Northeast Origination'!C20+'[10]Management Book'!C20+[10]Structuring_Fund!C20+[10]Services!C20+[10]Options!C20</f>
        <v>78.180000000000007</v>
      </c>
      <c r="E20" s="20">
        <f t="shared" si="2"/>
        <v>125.08800000000001</v>
      </c>
      <c r="F20" s="21">
        <f t="shared" si="3"/>
        <v>4.8793191489361707</v>
      </c>
      <c r="H20" s="16">
        <f t="shared" si="0"/>
        <v>6.1420478202947023E-6</v>
      </c>
      <c r="J20" t="s">
        <v>39</v>
      </c>
      <c r="K20" s="25">
        <v>78000</v>
      </c>
      <c r="L20">
        <v>1</v>
      </c>
      <c r="M20" s="25">
        <f t="shared" si="4"/>
        <v>78000</v>
      </c>
      <c r="O20" s="15">
        <f t="shared" si="1"/>
        <v>0.97586382978723418</v>
      </c>
    </row>
    <row r="21" spans="1:15" x14ac:dyDescent="0.2">
      <c r="A21" s="13" t="s">
        <v>40</v>
      </c>
      <c r="B21" s="14" t="s">
        <v>41</v>
      </c>
      <c r="C21" s="15">
        <f>'[10]Ercot Trading'!C21+'[10]Ercot Origination'!C21+'[10]Southeast Trading'!C21+'[10]Southeast Origination'!C21+'[10]Midwest Trading'!C21+'[10]Midwest Origination'!C21+'[10]Northeast Trading'!C21+'[10]Northeast Origination'!C21+'[10]Management Book'!C21+[10]Structuring_Fund!C21+[10]Services!C21+[10]Options!C21</f>
        <v>633408.5</v>
      </c>
      <c r="E21" s="20">
        <f t="shared" si="2"/>
        <v>1013453.5999999999</v>
      </c>
      <c r="F21" s="21">
        <f t="shared" si="3"/>
        <v>39531.878014184396</v>
      </c>
      <c r="H21" s="16">
        <f t="shared" si="0"/>
        <v>4.9762411061411306E-2</v>
      </c>
      <c r="J21" t="s">
        <v>42</v>
      </c>
      <c r="K21" s="25">
        <v>66000</v>
      </c>
      <c r="L21">
        <v>0</v>
      </c>
      <c r="M21" s="25">
        <f t="shared" si="4"/>
        <v>0</v>
      </c>
      <c r="O21" s="15">
        <f t="shared" si="1"/>
        <v>7906.3756028368789</v>
      </c>
    </row>
    <row r="22" spans="1:15" x14ac:dyDescent="0.2">
      <c r="A22" s="13" t="s">
        <v>43</v>
      </c>
      <c r="B22" s="14" t="s">
        <v>44</v>
      </c>
      <c r="C22" s="15">
        <f>'[10]Ercot Trading'!C22+'[10]Ercot Origination'!C22+'[10]Southeast Trading'!C22+'[10]Southeast Origination'!C22+'[10]Midwest Trading'!C22+'[10]Midwest Origination'!C22+'[10]Northeast Trading'!C22+'[10]Northeast Origination'!C22+'[10]Management Book'!C22+[10]Structuring_Fund!C22+[10]Services!C22+[10]Options!C22</f>
        <v>1190.24</v>
      </c>
      <c r="E22" s="20">
        <f t="shared" si="2"/>
        <v>1904.384</v>
      </c>
      <c r="F22" s="21">
        <f t="shared" si="3"/>
        <v>74.284482269503556</v>
      </c>
      <c r="H22" s="16">
        <f t="shared" si="0"/>
        <v>9.350871063734415E-5</v>
      </c>
      <c r="J22" t="s">
        <v>45</v>
      </c>
      <c r="K22" s="25">
        <v>97200</v>
      </c>
      <c r="L22">
        <v>1</v>
      </c>
      <c r="M22" s="25">
        <f t="shared" si="4"/>
        <v>97200</v>
      </c>
      <c r="O22" s="15">
        <f t="shared" si="1"/>
        <v>14.856896453900712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1077572.8254539007</v>
      </c>
      <c r="H23" s="30">
        <f>SUM(H8:H22)</f>
        <v>1</v>
      </c>
      <c r="J23" t="s">
        <v>48</v>
      </c>
      <c r="K23" s="25">
        <v>120000</v>
      </c>
      <c r="L23">
        <v>1</v>
      </c>
      <c r="M23" s="25">
        <f t="shared" si="4"/>
        <v>120000</v>
      </c>
      <c r="O23" s="58">
        <f>SUM(O8:O22)</f>
        <v>215514.56509078009</v>
      </c>
    </row>
    <row r="24" spans="1:15" x14ac:dyDescent="0.2">
      <c r="J24" t="s">
        <v>49</v>
      </c>
      <c r="K24" s="25">
        <v>156000</v>
      </c>
      <c r="L24">
        <v>2</v>
      </c>
      <c r="M24" s="25">
        <f t="shared" si="4"/>
        <v>312000</v>
      </c>
    </row>
    <row r="25" spans="1:15" x14ac:dyDescent="0.2">
      <c r="B25" s="27" t="s">
        <v>50</v>
      </c>
      <c r="C25" s="15"/>
      <c r="E25" s="31">
        <f>'[10]Ercot Trading'!E25+'[10]Ercot Origination'!E25+'[10]Southeast Trading'!E25+'[10]Southeast Origination'!E25+'[10]Midwest Trading'!E25+'[10]Midwest Origination'!E25+'[10]Northeast Trading'!E25+'[10]Northeast Origination'!E25+'[10]Management Book'!E25+[10]Structuring_Fund!E25+[10]Services!E25+[10]Options!E25</f>
        <v>91</v>
      </c>
      <c r="F25" s="31">
        <f>SUM(L16:L20,L23:L27)</f>
        <v>4</v>
      </c>
      <c r="J25" t="s">
        <v>51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52</v>
      </c>
      <c r="K26" s="25">
        <v>216000</v>
      </c>
      <c r="L26">
        <v>0</v>
      </c>
      <c r="M26" s="25">
        <f t="shared" si="4"/>
        <v>0</v>
      </c>
      <c r="O26" s="15"/>
    </row>
    <row r="27" spans="1:15" x14ac:dyDescent="0.2">
      <c r="B27" s="27" t="s">
        <v>53</v>
      </c>
      <c r="C27" s="15"/>
      <c r="E27" s="31">
        <f>'[10]Ercot Trading'!E27+'[10]Ercot Origination'!E27+'[10]Southeast Trading'!E27+'[10]Southeast Origination'!E27+'[10]Midwest Trading'!E27+'[10]Midwest Origination'!E27+'[10]Northeast Trading'!E27+'[10]Northeast Origination'!E27+'[10]Management Book'!E27+[10]Structuring_Fund!E27+[10]Services!E27+[10]Options!E27</f>
        <v>50</v>
      </c>
      <c r="F27" s="31">
        <f>SUM(L21:L22)</f>
        <v>1</v>
      </c>
      <c r="J27" t="s">
        <v>54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x14ac:dyDescent="0.2">
      <c r="B28" s="27"/>
      <c r="L28">
        <f>SUM(L16:L27)</f>
        <v>5</v>
      </c>
      <c r="M28" s="25">
        <f>SUM(M16:M27)</f>
        <v>607200</v>
      </c>
    </row>
    <row r="29" spans="1:15" x14ac:dyDescent="0.2">
      <c r="B29" s="27" t="s">
        <v>55</v>
      </c>
      <c r="E29" s="59">
        <f>SUM(E25:E27)</f>
        <v>141</v>
      </c>
      <c r="F29" s="31">
        <f>SUM(F25:F27)</f>
        <v>5</v>
      </c>
      <c r="H29" s="25"/>
      <c r="O29" s="31">
        <v>1</v>
      </c>
    </row>
    <row r="31" spans="1:15" x14ac:dyDescent="0.2">
      <c r="I31" s="33" t="s">
        <v>56</v>
      </c>
      <c r="J31" s="25"/>
      <c r="K31" s="25"/>
      <c r="L31" s="25"/>
    </row>
    <row r="32" spans="1:15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5</v>
      </c>
      <c r="M34" s="37">
        <f>+K34*L34</f>
        <v>158380.90950354608</v>
      </c>
    </row>
  </sheetData>
  <mergeCells count="3">
    <mergeCell ref="B1:H1"/>
    <mergeCell ref="B2:H2"/>
    <mergeCell ref="B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4"/>
  <sheetViews>
    <sheetView workbookViewId="0">
      <selection activeCell="P155" sqref="P155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19" width="9.140625" hidden="1" customWidth="1"/>
  </cols>
  <sheetData>
    <row r="1" spans="1:45" ht="18" x14ac:dyDescent="0.2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2" t="s">
        <v>319</v>
      </c>
      <c r="C2" s="142"/>
      <c r="D2" s="142"/>
      <c r="E2" s="142"/>
      <c r="F2" s="142"/>
      <c r="G2" s="142"/>
      <c r="H2" s="14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43" t="s">
        <v>0</v>
      </c>
      <c r="C3" s="143"/>
      <c r="D3" s="143"/>
      <c r="E3" s="143"/>
      <c r="F3" s="143"/>
      <c r="G3" s="143"/>
      <c r="H3" s="14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x14ac:dyDescent="0.2">
      <c r="A8" s="13" t="s">
        <v>9</v>
      </c>
      <c r="B8" s="14" t="s">
        <v>10</v>
      </c>
      <c r="C8" s="15">
        <f>'[10]Ercot Trading'!C8+'[10]Ercot Origination'!C8+'[10]Southeast Trading'!C8+'[10]Southeast Origination'!C8+'[10]Midwest Trading'!C8+'[10]Midwest Origination'!C8+'[10]Northeast Trading'!C8+'[10]Northeast Origination'!C8+'[10]Management Book'!C8+[10]Structuring_Fund!C8+[10]Services!C8+[10]Options!C8</f>
        <v>6640774.8000000017</v>
      </c>
      <c r="E8" s="15">
        <f>(C8/9)*12</f>
        <v>8854366.4000000022</v>
      </c>
      <c r="F8" s="21">
        <f>(((M16+M17+M18+M19+M20+M23+M24+M26+M27)*1.2)/1.2)*1.1</f>
        <v>501600.00000000006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547200</v>
      </c>
      <c r="O8" s="15">
        <f t="shared" ref="O8:O22" si="1">+F8/$F$29*$O$29</f>
        <v>167200.00000000003</v>
      </c>
    </row>
    <row r="9" spans="1:45" hidden="1" x14ac:dyDescent="0.2">
      <c r="A9" s="13"/>
      <c r="B9" s="14" t="s">
        <v>11</v>
      </c>
      <c r="C9" s="15">
        <f>'[10]Ercot Trading'!C9+'[10]Ercot Origination'!C9+'[10]Southeast Trading'!C9+'[10]Southeast Origination'!C9+'[10]Midwest Trading'!C9+'[10]Midwest Origination'!C9+'[10]Northeast Trading'!C9+'[10]Northeast Origination'!C9+'[10]Management Book'!C9+[10]Structuring_Fund!C9+[10]Services!C9+[10]Options!C9</f>
        <v>1460000</v>
      </c>
      <c r="E9" s="15">
        <f>C9</f>
        <v>1460000</v>
      </c>
      <c r="F9" s="21">
        <v>0</v>
      </c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12</v>
      </c>
      <c r="C10" s="15">
        <f>'[10]Ercot Trading'!C10+'[10]Ercot Origination'!C10+'[10]Southeast Trading'!C10+'[10]Southeast Origination'!C10+'[10]Midwest Trading'!C10+'[10]Midwest Origination'!C10+'[10]Northeast Trading'!C10+'[10]Northeast Origination'!C10+'[10]Management Book'!C10+[10]Structuring_Fund!C10+[10]Services!C10+[10]Options!C10</f>
        <v>2652510</v>
      </c>
      <c r="E10" s="15">
        <f>(C10/9)*12</f>
        <v>3536680</v>
      </c>
      <c r="F10" s="21">
        <f>(((M21+M22)*1.2)/1.2)*1.1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'[10]Ercot Trading'!C11+'[10]Ercot Origination'!C11+'[10]Southeast Trading'!C11+'[10]Southeast Origination'!C11+'[10]Midwest Trading'!C11+'[10]Midwest Origination'!C11+'[10]Northeast Trading'!C11+'[10]Northeast Origination'!C11+'[10]Management Book'!C11+[10]Structuring_Fund!C11+[10]Services!C11+[10]Options!C11</f>
        <v>1536343.4600000002</v>
      </c>
      <c r="E11" s="15">
        <f>(C11/9)*12</f>
        <v>2048457.9466666668</v>
      </c>
      <c r="F11" s="21">
        <f>(((M28*0.2)*1.2)/1.2)*1.1</f>
        <v>100320.00000000001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3</v>
      </c>
      <c r="M11" s="18">
        <f>K11*L11</f>
        <v>95028.545702127638</v>
      </c>
      <c r="O11" s="15">
        <f t="shared" si="1"/>
        <v>33440.000000000007</v>
      </c>
    </row>
    <row r="12" spans="1:45" x14ac:dyDescent="0.2">
      <c r="A12" s="13" t="s">
        <v>16</v>
      </c>
      <c r="B12" s="14" t="s">
        <v>17</v>
      </c>
      <c r="C12" s="15">
        <f>'[10]Ercot Trading'!C12+'[10]Ercot Origination'!C12+'[10]Southeast Trading'!C12+'[10]Southeast Origination'!C12+'[10]Midwest Trading'!C12+'[10]Midwest Origination'!C12+'[10]Northeast Trading'!C12+'[10]Northeast Origination'!C12+'[10]Management Book'!C12+[10]Structuring_Fund!C12+[10]Services!C12+[10]Options!C12</f>
        <v>556457.20000000007</v>
      </c>
      <c r="E12" s="20">
        <f t="shared" ref="E12:E22" si="2">(C12/9)*12*1.2</f>
        <v>890331.52</v>
      </c>
      <c r="F12" s="21">
        <f>(((E12/$E$29*$L$11)*1.2)/1.2)*1.1</f>
        <v>20837.546212765956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6945.8487375886516</v>
      </c>
    </row>
    <row r="13" spans="1:45" ht="13.5" thickBot="1" x14ac:dyDescent="0.25">
      <c r="A13" s="13" t="s">
        <v>18</v>
      </c>
      <c r="B13" s="14" t="s">
        <v>19</v>
      </c>
      <c r="C13" s="15">
        <f>'[10]Ercot Trading'!C13+'[10]Ercot Origination'!C13+'[10]Southeast Trading'!C13+'[10]Southeast Origination'!C13+'[10]Midwest Trading'!C13+'[10]Midwest Origination'!C13+'[10]Northeast Trading'!C13+'[10]Northeast Origination'!C13+'[10]Management Book'!C13+[10]Structuring_Fund!C13+[10]Services!C13+[10]Options!C13</f>
        <v>1014365.41</v>
      </c>
      <c r="E13" s="20">
        <f t="shared" si="2"/>
        <v>1622984.656</v>
      </c>
      <c r="F13" s="21">
        <f>(((E13/$E$29*$L$11+69443.06)*1.2)/1.2)*1.1</f>
        <v>114372.11326808513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642228.54570212762</v>
      </c>
      <c r="O13" s="15">
        <f t="shared" si="1"/>
        <v>38124.037756028374</v>
      </c>
    </row>
    <row r="14" spans="1:45" x14ac:dyDescent="0.2">
      <c r="A14" s="13" t="s">
        <v>21</v>
      </c>
      <c r="B14" s="14" t="s">
        <v>22</v>
      </c>
      <c r="C14" s="15">
        <f>'[10]Ercot Trading'!C14+'[10]Ercot Origination'!C14+'[10]Southeast Trading'!C14+'[10]Southeast Origination'!C14+'[10]Midwest Trading'!C14+'[10]Midwest Origination'!C14+'[10]Northeast Trading'!C14+'[10]Northeast Origination'!C14+'[10]Management Book'!C14+[10]Structuring_Fund!C14+[10]Services!C14+[10]Options!C14-C32</f>
        <v>0.38000000012107193</v>
      </c>
      <c r="E14" s="20">
        <f t="shared" si="2"/>
        <v>0.60800000019371503</v>
      </c>
      <c r="F14" s="21">
        <f t="shared" ref="F14:F22" si="3">(((E14/$E$29*$L$11)*1.2)/1.2)*1.1</f>
        <v>1.422978723857631E-2</v>
      </c>
      <c r="H14" s="16">
        <f t="shared" si="0"/>
        <v>2.9853903459396468E-8</v>
      </c>
      <c r="N14" s="49"/>
      <c r="O14" s="15">
        <f t="shared" si="1"/>
        <v>4.7432624128587704E-3</v>
      </c>
    </row>
    <row r="15" spans="1:45" x14ac:dyDescent="0.2">
      <c r="A15" s="13" t="s">
        <v>23</v>
      </c>
      <c r="B15" s="14" t="s">
        <v>24</v>
      </c>
      <c r="C15" s="15">
        <f>'[10]Ercot Trading'!C15+'[10]Ercot Origination'!C15+'[10]Southeast Trading'!C15+'[10]Southeast Origination'!C15+'[10]Midwest Trading'!C15+'[10]Midwest Origination'!C15+'[10]Northeast Trading'!C15+'[10]Northeast Origination'!C15+'[10]Management Book'!C15+[10]Structuring_Fund!C15+[10]Services!C15+[10]Options!C15</f>
        <v>93227.13</v>
      </c>
      <c r="E15" s="20">
        <f t="shared" si="2"/>
        <v>149163.408</v>
      </c>
      <c r="F15" s="21">
        <f t="shared" si="3"/>
        <v>3491.0584851063832</v>
      </c>
      <c r="H15" s="16">
        <f t="shared" si="0"/>
        <v>7.3241940471838168E-3</v>
      </c>
      <c r="K15" s="25"/>
      <c r="O15" s="15">
        <f t="shared" si="1"/>
        <v>1163.6861617021277</v>
      </c>
    </row>
    <row r="16" spans="1:45" x14ac:dyDescent="0.2">
      <c r="A16" s="13" t="s">
        <v>25</v>
      </c>
      <c r="B16" s="14" t="s">
        <v>26</v>
      </c>
      <c r="C16" s="15">
        <f>'[10]Ercot Trading'!C16+'[10]Ercot Origination'!C16+'[10]Southeast Trading'!C16+'[10]Southeast Origination'!C16+'[10]Midwest Trading'!C16+'[10]Midwest Origination'!C16+'[10]Northeast Trading'!C16+'[10]Northeast Origination'!C16+'[10]Management Book'!C16+[10]Structuring_Fund!C16+[10]Services!C16+[10]Options!C16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27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'[10]Ercot Trading'!C17+'[10]Ercot Origination'!C17+'[10]Southeast Trading'!C17+'[10]Southeast Origination'!C17+'[10]Midwest Trading'!C17+'[10]Midwest Origination'!C17+'[10]Northeast Trading'!C17+'[10]Northeast Origination'!C17+'[10]Management Book'!C17+[10]Structuring_Fund!C17+[10]Services!C17+[10]Options!C17</f>
        <v>5300</v>
      </c>
      <c r="E17" s="20">
        <f t="shared" si="2"/>
        <v>8480</v>
      </c>
      <c r="F17" s="21">
        <f t="shared" si="3"/>
        <v>198.468085106383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4"/>
        <v>0</v>
      </c>
      <c r="O17" s="15">
        <f t="shared" si="1"/>
        <v>66.156028368794338</v>
      </c>
    </row>
    <row r="18" spans="1:15" x14ac:dyDescent="0.2">
      <c r="A18" s="13" t="s">
        <v>31</v>
      </c>
      <c r="B18" s="14" t="s">
        <v>32</v>
      </c>
      <c r="C18" s="15">
        <f>'[10]Ercot Trading'!C18+'[10]Ercot Origination'!C18+'[10]Southeast Trading'!C18+'[10]Southeast Origination'!C18+'[10]Midwest Trading'!C18+'[10]Midwest Origination'!C18+'[10]Northeast Trading'!C18+'[10]Northeast Origination'!C18+'[10]Management Book'!C18+[10]Structuring_Fund!C18+[10]Services!C18+[10]Options!C18</f>
        <v>287.28999999999655</v>
      </c>
      <c r="E18" s="20">
        <f t="shared" si="2"/>
        <v>459.66399999999447</v>
      </c>
      <c r="F18" s="21">
        <f t="shared" si="3"/>
        <v>10.758093617021148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4"/>
        <v>0</v>
      </c>
      <c r="O18" s="15">
        <f t="shared" si="1"/>
        <v>3.586031205673716</v>
      </c>
    </row>
    <row r="19" spans="1:15" x14ac:dyDescent="0.2">
      <c r="A19" s="13" t="s">
        <v>34</v>
      </c>
      <c r="B19" s="14" t="s">
        <v>35</v>
      </c>
      <c r="C19" s="15">
        <f>'[10]Ercot Trading'!C19+'[10]Ercot Origination'!C19+'[10]Southeast Trading'!C19+'[10]Southeast Origination'!C19+'[10]Midwest Trading'!C19+'[10]Midwest Origination'!C19+'[10]Northeast Trading'!C19+'[10]Northeast Origination'!C19+'[10]Management Book'!C19+[10]Structuring_Fund!C19+[10]Services!C19+[10]Options!C19</f>
        <v>487149.2</v>
      </c>
      <c r="E19" s="20">
        <f t="shared" si="2"/>
        <v>779438.72000000009</v>
      </c>
      <c r="F19" s="21">
        <f t="shared" si="3"/>
        <v>18242.182808510639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4"/>
        <v>0</v>
      </c>
      <c r="O19" s="15">
        <f t="shared" si="1"/>
        <v>6080.7276028368797</v>
      </c>
    </row>
    <row r="20" spans="1:15" x14ac:dyDescent="0.2">
      <c r="A20" s="13" t="s">
        <v>37</v>
      </c>
      <c r="B20" s="14" t="s">
        <v>38</v>
      </c>
      <c r="C20" s="15">
        <f>'[10]Ercot Trading'!C20+'[10]Ercot Origination'!C20+'[10]Southeast Trading'!C20+'[10]Southeast Origination'!C20+'[10]Midwest Trading'!C20+'[10]Midwest Origination'!C20+'[10]Northeast Trading'!C20+'[10]Northeast Origination'!C20+'[10]Management Book'!C20+[10]Structuring_Fund!C20+[10]Services!C20+[10]Options!C20</f>
        <v>78.180000000000007</v>
      </c>
      <c r="E20" s="20">
        <f t="shared" si="2"/>
        <v>125.08800000000001</v>
      </c>
      <c r="F20" s="21">
        <f t="shared" si="3"/>
        <v>2.9275914893617028</v>
      </c>
      <c r="H20" s="16">
        <f t="shared" si="0"/>
        <v>6.1420478202947023E-6</v>
      </c>
      <c r="J20" t="s">
        <v>39</v>
      </c>
      <c r="K20" s="25">
        <v>78000</v>
      </c>
      <c r="L20">
        <v>0</v>
      </c>
      <c r="M20" s="25">
        <f t="shared" si="4"/>
        <v>0</v>
      </c>
      <c r="O20" s="15">
        <f t="shared" si="1"/>
        <v>0.97586382978723429</v>
      </c>
    </row>
    <row r="21" spans="1:15" x14ac:dyDescent="0.2">
      <c r="A21" s="13" t="s">
        <v>40</v>
      </c>
      <c r="B21" s="14" t="s">
        <v>41</v>
      </c>
      <c r="C21" s="15">
        <f>'[10]Ercot Trading'!C21+'[10]Ercot Origination'!C21+'[10]Southeast Trading'!C21+'[10]Southeast Origination'!C21+'[10]Midwest Trading'!C21+'[10]Midwest Origination'!C21+'[10]Northeast Trading'!C21+'[10]Northeast Origination'!C21+'[10]Management Book'!C21+[10]Structuring_Fund!C21+[10]Services!C21+[10]Options!C21</f>
        <v>633408.5</v>
      </c>
      <c r="E21" s="20">
        <f t="shared" si="2"/>
        <v>1013453.5999999999</v>
      </c>
      <c r="F21" s="21">
        <f t="shared" si="3"/>
        <v>23719.126808510635</v>
      </c>
      <c r="H21" s="16">
        <f t="shared" si="0"/>
        <v>4.9762411061411306E-2</v>
      </c>
      <c r="J21" t="s">
        <v>42</v>
      </c>
      <c r="K21" s="25">
        <v>66000</v>
      </c>
      <c r="L21">
        <v>0</v>
      </c>
      <c r="M21" s="25">
        <f t="shared" si="4"/>
        <v>0</v>
      </c>
      <c r="O21" s="15">
        <f t="shared" si="1"/>
        <v>7906.375602836878</v>
      </c>
    </row>
    <row r="22" spans="1:15" x14ac:dyDescent="0.2">
      <c r="A22" s="13" t="s">
        <v>43</v>
      </c>
      <c r="B22" s="14" t="s">
        <v>44</v>
      </c>
      <c r="C22" s="15">
        <f>'[10]Ercot Trading'!C22+'[10]Ercot Origination'!C22+'[10]Southeast Trading'!C22+'[10]Southeast Origination'!C22+'[10]Midwest Trading'!C22+'[10]Midwest Origination'!C22+'[10]Northeast Trading'!C22+'[10]Northeast Origination'!C22+'[10]Management Book'!C22+[10]Structuring_Fund!C22+[10]Services!C22+[10]Options!C22</f>
        <v>1190.24</v>
      </c>
      <c r="E22" s="20">
        <f t="shared" si="2"/>
        <v>1904.384</v>
      </c>
      <c r="F22" s="21">
        <f t="shared" si="3"/>
        <v>44.570689361702129</v>
      </c>
      <c r="H22" s="16">
        <f t="shared" si="0"/>
        <v>9.350871063734415E-5</v>
      </c>
      <c r="J22" t="s">
        <v>45</v>
      </c>
      <c r="K22" s="25">
        <v>97200</v>
      </c>
      <c r="L22">
        <v>0</v>
      </c>
      <c r="M22" s="25">
        <f t="shared" si="4"/>
        <v>0</v>
      </c>
      <c r="O22" s="15">
        <f t="shared" si="1"/>
        <v>14.85689645390071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782838.76627234055</v>
      </c>
      <c r="H23" s="30">
        <f>SUM(H8:H22)</f>
        <v>1</v>
      </c>
      <c r="J23" t="s">
        <v>48</v>
      </c>
      <c r="K23" s="25">
        <v>120000</v>
      </c>
      <c r="L23">
        <v>2</v>
      </c>
      <c r="M23" s="25">
        <f t="shared" si="4"/>
        <v>240000</v>
      </c>
      <c r="O23" s="58">
        <f>SUM(O8:O22)</f>
        <v>260946.25542411348</v>
      </c>
    </row>
    <row r="24" spans="1:15" x14ac:dyDescent="0.2">
      <c r="J24" t="s">
        <v>49</v>
      </c>
      <c r="K24" s="25">
        <v>156000</v>
      </c>
      <c r="L24">
        <v>0</v>
      </c>
      <c r="M24" s="25">
        <f t="shared" si="4"/>
        <v>0</v>
      </c>
    </row>
    <row r="25" spans="1:15" x14ac:dyDescent="0.2">
      <c r="B25" s="27" t="s">
        <v>50</v>
      </c>
      <c r="C25" s="15"/>
      <c r="E25" s="31">
        <f>'[10]Ercot Trading'!E25+'[10]Ercot Origination'!E25+'[10]Southeast Trading'!E25+'[10]Southeast Origination'!E25+'[10]Midwest Trading'!E25+'[10]Midwest Origination'!E25+'[10]Northeast Trading'!E25+'[10]Northeast Origination'!E25+'[10]Management Book'!E25+[10]Structuring_Fund!E25+[10]Services!E25+[10]Options!E25</f>
        <v>91</v>
      </c>
      <c r="F25" s="31">
        <f>SUM(L16:L20,L23:L27)</f>
        <v>3</v>
      </c>
      <c r="J25" t="s">
        <v>51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52</v>
      </c>
      <c r="K26" s="25">
        <v>216000</v>
      </c>
      <c r="L26">
        <v>1</v>
      </c>
      <c r="M26" s="25">
        <f t="shared" si="4"/>
        <v>216000</v>
      </c>
      <c r="O26" s="15"/>
    </row>
    <row r="27" spans="1:15" x14ac:dyDescent="0.2">
      <c r="B27" s="27" t="s">
        <v>53</v>
      </c>
      <c r="C27" s="15"/>
      <c r="E27" s="31">
        <f>'[10]Ercot Trading'!E27+'[10]Ercot Origination'!E27+'[10]Southeast Trading'!E27+'[10]Southeast Origination'!E27+'[10]Midwest Trading'!E27+'[10]Midwest Origination'!E27+'[10]Northeast Trading'!E27+'[10]Northeast Origination'!E27+'[10]Management Book'!E27+[10]Structuring_Fund!E27+[10]Services!E27+[10]Options!E27</f>
        <v>50</v>
      </c>
      <c r="F27" s="31">
        <f>SUM(L21:L22)</f>
        <v>0</v>
      </c>
      <c r="J27" t="s">
        <v>54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x14ac:dyDescent="0.2">
      <c r="B28" s="27"/>
      <c r="L28">
        <f>SUM(L16:L27)</f>
        <v>3</v>
      </c>
      <c r="M28" s="25">
        <f>SUM(M16:M27)</f>
        <v>456000</v>
      </c>
    </row>
    <row r="29" spans="1:15" x14ac:dyDescent="0.2">
      <c r="B29" s="27" t="s">
        <v>55</v>
      </c>
      <c r="E29" s="59">
        <f>SUM(E25:E27)</f>
        <v>141</v>
      </c>
      <c r="F29" s="31">
        <f>SUM(F25:F27)</f>
        <v>3</v>
      </c>
      <c r="H29" s="25"/>
      <c r="O29" s="31">
        <v>1</v>
      </c>
    </row>
    <row r="31" spans="1:15" x14ac:dyDescent="0.2">
      <c r="I31" s="33" t="s">
        <v>56</v>
      </c>
      <c r="J31" s="25"/>
      <c r="K31" s="25"/>
      <c r="L31" s="25"/>
    </row>
    <row r="32" spans="1:15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3</v>
      </c>
      <c r="M34" s="37">
        <f>+K34*L34</f>
        <v>95028.545702127638</v>
      </c>
    </row>
  </sheetData>
  <mergeCells count="3">
    <mergeCell ref="B1:H1"/>
    <mergeCell ref="B2:H2"/>
    <mergeCell ref="B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4"/>
  <sheetViews>
    <sheetView workbookViewId="0">
      <selection activeCell="P155" sqref="P155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19" width="9.140625" hidden="1" customWidth="1"/>
    <col min="20" max="40" width="0" hidden="1" customWidth="1"/>
  </cols>
  <sheetData>
    <row r="1" spans="1:45" ht="18" x14ac:dyDescent="0.2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2" t="s">
        <v>322</v>
      </c>
      <c r="C2" s="142"/>
      <c r="D2" s="142"/>
      <c r="E2" s="142"/>
      <c r="F2" s="142"/>
      <c r="G2" s="142"/>
      <c r="H2" s="14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43" t="s">
        <v>0</v>
      </c>
      <c r="C3" s="143"/>
      <c r="D3" s="143"/>
      <c r="E3" s="143"/>
      <c r="F3" s="143"/>
      <c r="G3" s="143"/>
      <c r="H3" s="14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x14ac:dyDescent="0.2">
      <c r="A8" s="13" t="s">
        <v>9</v>
      </c>
      <c r="B8" s="14" t="s">
        <v>10</v>
      </c>
      <c r="C8" s="15">
        <f>'[10]Ercot Trading'!C8+'[10]Ercot Origination'!C8+'[10]Southeast Trading'!C8+'[10]Southeast Origination'!C8+'[10]Midwest Trading'!C8+'[10]Midwest Origination'!C8+'[10]Northeast Trading'!C8+'[10]Northeast Origination'!C8+'[10]Management Book'!C8+[10]Structuring_Fund!C8+[10]Services!C8+[10]Options!C8</f>
        <v>6640774.8000000017</v>
      </c>
      <c r="E8" s="15">
        <f>(C8/9)*12</f>
        <v>8854366.4000000022</v>
      </c>
      <c r="F8" s="21">
        <f>(((M16+M17+M18+M19+M20+M23+M24+M26+M27)*1.2)/1.2)*1.1</f>
        <v>514800.00000000006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561600</v>
      </c>
      <c r="O8" s="15">
        <f t="shared" ref="O8:O22" si="1">+F8/$F$29*$O$29</f>
        <v>171600.00000000003</v>
      </c>
    </row>
    <row r="9" spans="1:45" hidden="1" x14ac:dyDescent="0.2">
      <c r="A9" s="13"/>
      <c r="B9" s="14" t="s">
        <v>11</v>
      </c>
      <c r="C9" s="15">
        <f>'[10]Ercot Trading'!C9+'[10]Ercot Origination'!C9+'[10]Southeast Trading'!C9+'[10]Southeast Origination'!C9+'[10]Midwest Trading'!C9+'[10]Midwest Origination'!C9+'[10]Northeast Trading'!C9+'[10]Northeast Origination'!C9+'[10]Management Book'!C9+[10]Structuring_Fund!C9+[10]Services!C9+[10]Options!C9</f>
        <v>1460000</v>
      </c>
      <c r="E9" s="15">
        <f>C9</f>
        <v>1460000</v>
      </c>
      <c r="F9" s="21">
        <v>0</v>
      </c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12</v>
      </c>
      <c r="C10" s="15">
        <f>'[10]Ercot Trading'!C10+'[10]Ercot Origination'!C10+'[10]Southeast Trading'!C10+'[10]Southeast Origination'!C10+'[10]Midwest Trading'!C10+'[10]Midwest Origination'!C10+'[10]Northeast Trading'!C10+'[10]Northeast Origination'!C10+'[10]Management Book'!C10+[10]Structuring_Fund!C10+[10]Services!C10+[10]Options!C10</f>
        <v>2652510</v>
      </c>
      <c r="E10" s="15">
        <f>(C10/9)*12</f>
        <v>3536680</v>
      </c>
      <c r="F10" s="21">
        <f>(((M21+M22)*1.2)/1.2)*1.1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'[10]Ercot Trading'!C11+'[10]Ercot Origination'!C11+'[10]Southeast Trading'!C11+'[10]Southeast Origination'!C11+'[10]Midwest Trading'!C11+'[10]Midwest Origination'!C11+'[10]Northeast Trading'!C11+'[10]Northeast Origination'!C11+'[10]Management Book'!C11+[10]Structuring_Fund!C11+[10]Services!C11+[10]Options!C11</f>
        <v>1536343.4600000002</v>
      </c>
      <c r="E11" s="15">
        <f>(C11/9)*12</f>
        <v>2048457.9466666668</v>
      </c>
      <c r="F11" s="21">
        <f>(((M28*0.2)*1.2)/1.2)*1.1</f>
        <v>102960.00000000001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3</v>
      </c>
      <c r="M11" s="18">
        <f>K11*L11</f>
        <v>95028.545702127638</v>
      </c>
      <c r="O11" s="15">
        <f t="shared" si="1"/>
        <v>34320.000000000007</v>
      </c>
    </row>
    <row r="12" spans="1:45" x14ac:dyDescent="0.2">
      <c r="A12" s="13" t="s">
        <v>16</v>
      </c>
      <c r="B12" s="14" t="s">
        <v>17</v>
      </c>
      <c r="C12" s="15">
        <f>'[10]Ercot Trading'!C12+'[10]Ercot Origination'!C12+'[10]Southeast Trading'!C12+'[10]Southeast Origination'!C12+'[10]Midwest Trading'!C12+'[10]Midwest Origination'!C12+'[10]Northeast Trading'!C12+'[10]Northeast Origination'!C12+'[10]Management Book'!C12+[10]Structuring_Fund!C12+[10]Services!C12+[10]Options!C12</f>
        <v>556457.20000000007</v>
      </c>
      <c r="E12" s="20">
        <f t="shared" ref="E12:E22" si="2">(C12/9)*12*1.2</f>
        <v>890331.52</v>
      </c>
      <c r="F12" s="21">
        <f>(((E12/$E$29*$L$11)*1.2)/1.2)*1.1</f>
        <v>20837.546212765956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6945.8487375886516</v>
      </c>
    </row>
    <row r="13" spans="1:45" ht="13.5" thickBot="1" x14ac:dyDescent="0.25">
      <c r="A13" s="13" t="s">
        <v>18</v>
      </c>
      <c r="B13" s="14" t="s">
        <v>19</v>
      </c>
      <c r="C13" s="15">
        <f>'[10]Ercot Trading'!C13+'[10]Ercot Origination'!C13+'[10]Southeast Trading'!C13+'[10]Southeast Origination'!C13+'[10]Midwest Trading'!C13+'[10]Midwest Origination'!C13+'[10]Northeast Trading'!C13+'[10]Northeast Origination'!C13+'[10]Management Book'!C13+[10]Structuring_Fund!C13+[10]Services!C13+[10]Options!C13</f>
        <v>1014365.41</v>
      </c>
      <c r="E13" s="20">
        <f t="shared" si="2"/>
        <v>1622984.656</v>
      </c>
      <c r="F13" s="21">
        <f>(((E13/$E$29*$L$11+69443.06)*1.2)/1.2)*1.1</f>
        <v>114372.11326808513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656628.54570212762</v>
      </c>
      <c r="O13" s="15">
        <f t="shared" si="1"/>
        <v>38124.037756028374</v>
      </c>
    </row>
    <row r="14" spans="1:45" x14ac:dyDescent="0.2">
      <c r="A14" s="13" t="s">
        <v>21</v>
      </c>
      <c r="B14" s="14" t="s">
        <v>22</v>
      </c>
      <c r="C14" s="15">
        <f>'[10]Ercot Trading'!C14+'[10]Ercot Origination'!C14+'[10]Southeast Trading'!C14+'[10]Southeast Origination'!C14+'[10]Midwest Trading'!C14+'[10]Midwest Origination'!C14+'[10]Northeast Trading'!C14+'[10]Northeast Origination'!C14+'[10]Management Book'!C14+[10]Structuring_Fund!C14+[10]Services!C14+[10]Options!C14-C32</f>
        <v>0.38000000012107193</v>
      </c>
      <c r="E14" s="20">
        <f t="shared" si="2"/>
        <v>0.60800000019371503</v>
      </c>
      <c r="F14" s="21">
        <f t="shared" ref="F14:F22" si="3">(((E14/$E$29*$L$11)*1.2)/1.2)*1.1</f>
        <v>1.422978723857631E-2</v>
      </c>
      <c r="H14" s="16">
        <f t="shared" si="0"/>
        <v>2.9853903459396468E-8</v>
      </c>
      <c r="N14" s="49"/>
      <c r="O14" s="15">
        <f t="shared" si="1"/>
        <v>4.7432624128587704E-3</v>
      </c>
    </row>
    <row r="15" spans="1:45" x14ac:dyDescent="0.2">
      <c r="A15" s="13" t="s">
        <v>23</v>
      </c>
      <c r="B15" s="14" t="s">
        <v>24</v>
      </c>
      <c r="C15" s="15">
        <f>'[10]Ercot Trading'!C15+'[10]Ercot Origination'!C15+'[10]Southeast Trading'!C15+'[10]Southeast Origination'!C15+'[10]Midwest Trading'!C15+'[10]Midwest Origination'!C15+'[10]Northeast Trading'!C15+'[10]Northeast Origination'!C15+'[10]Management Book'!C15+[10]Structuring_Fund!C15+[10]Services!C15+[10]Options!C15</f>
        <v>93227.13</v>
      </c>
      <c r="E15" s="20">
        <f t="shared" si="2"/>
        <v>149163.408</v>
      </c>
      <c r="F15" s="21">
        <f t="shared" si="3"/>
        <v>3491.0584851063832</v>
      </c>
      <c r="H15" s="16">
        <f t="shared" si="0"/>
        <v>7.3241940471838168E-3</v>
      </c>
      <c r="K15" s="25"/>
      <c r="O15" s="15">
        <f t="shared" si="1"/>
        <v>1163.6861617021277</v>
      </c>
    </row>
    <row r="16" spans="1:45" x14ac:dyDescent="0.2">
      <c r="A16" s="13" t="s">
        <v>25</v>
      </c>
      <c r="B16" s="14" t="s">
        <v>26</v>
      </c>
      <c r="C16" s="15">
        <f>'[10]Ercot Trading'!C16+'[10]Ercot Origination'!C16+'[10]Southeast Trading'!C16+'[10]Southeast Origination'!C16+'[10]Midwest Trading'!C16+'[10]Midwest Origination'!C16+'[10]Northeast Trading'!C16+'[10]Northeast Origination'!C16+'[10]Management Book'!C16+[10]Structuring_Fund!C16+[10]Services!C16+[10]Options!C16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27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'[10]Ercot Trading'!C17+'[10]Ercot Origination'!C17+'[10]Southeast Trading'!C17+'[10]Southeast Origination'!C17+'[10]Midwest Trading'!C17+'[10]Midwest Origination'!C17+'[10]Northeast Trading'!C17+'[10]Northeast Origination'!C17+'[10]Management Book'!C17+[10]Structuring_Fund!C17+[10]Services!C17+[10]Options!C17</f>
        <v>5300</v>
      </c>
      <c r="E17" s="20">
        <f t="shared" si="2"/>
        <v>8480</v>
      </c>
      <c r="F17" s="21">
        <f t="shared" si="3"/>
        <v>198.468085106383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4"/>
        <v>0</v>
      </c>
      <c r="O17" s="15">
        <f t="shared" si="1"/>
        <v>66.156028368794338</v>
      </c>
    </row>
    <row r="18" spans="1:15" x14ac:dyDescent="0.2">
      <c r="A18" s="13" t="s">
        <v>31</v>
      </c>
      <c r="B18" s="14" t="s">
        <v>32</v>
      </c>
      <c r="C18" s="15">
        <f>'[10]Ercot Trading'!C18+'[10]Ercot Origination'!C18+'[10]Southeast Trading'!C18+'[10]Southeast Origination'!C18+'[10]Midwest Trading'!C18+'[10]Midwest Origination'!C18+'[10]Northeast Trading'!C18+'[10]Northeast Origination'!C18+'[10]Management Book'!C18+[10]Structuring_Fund!C18+[10]Services!C18+[10]Options!C18</f>
        <v>287.28999999999655</v>
      </c>
      <c r="E18" s="20">
        <f t="shared" si="2"/>
        <v>459.66399999999447</v>
      </c>
      <c r="F18" s="21">
        <f t="shared" si="3"/>
        <v>10.758093617021148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4"/>
        <v>0</v>
      </c>
      <c r="O18" s="15">
        <f t="shared" si="1"/>
        <v>3.586031205673716</v>
      </c>
    </row>
    <row r="19" spans="1:15" x14ac:dyDescent="0.2">
      <c r="A19" s="13" t="s">
        <v>34</v>
      </c>
      <c r="B19" s="14" t="s">
        <v>35</v>
      </c>
      <c r="C19" s="15">
        <f>'[10]Ercot Trading'!C19+'[10]Ercot Origination'!C19+'[10]Southeast Trading'!C19+'[10]Southeast Origination'!C19+'[10]Midwest Trading'!C19+'[10]Midwest Origination'!C19+'[10]Northeast Trading'!C19+'[10]Northeast Origination'!C19+'[10]Management Book'!C19+[10]Structuring_Fund!C19+[10]Services!C19+[10]Options!C19</f>
        <v>487149.2</v>
      </c>
      <c r="E19" s="20">
        <f t="shared" si="2"/>
        <v>779438.72000000009</v>
      </c>
      <c r="F19" s="21">
        <f t="shared" si="3"/>
        <v>18242.182808510639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4"/>
        <v>0</v>
      </c>
      <c r="O19" s="15">
        <f t="shared" si="1"/>
        <v>6080.7276028368797</v>
      </c>
    </row>
    <row r="20" spans="1:15" x14ac:dyDescent="0.2">
      <c r="A20" s="13" t="s">
        <v>37</v>
      </c>
      <c r="B20" s="14" t="s">
        <v>38</v>
      </c>
      <c r="C20" s="15">
        <f>'[10]Ercot Trading'!C20+'[10]Ercot Origination'!C20+'[10]Southeast Trading'!C20+'[10]Southeast Origination'!C20+'[10]Midwest Trading'!C20+'[10]Midwest Origination'!C20+'[10]Northeast Trading'!C20+'[10]Northeast Origination'!C20+'[10]Management Book'!C20+[10]Structuring_Fund!C20+[10]Services!C20+[10]Options!C20</f>
        <v>78.180000000000007</v>
      </c>
      <c r="E20" s="20">
        <f t="shared" si="2"/>
        <v>125.08800000000001</v>
      </c>
      <c r="F20" s="21">
        <f t="shared" si="3"/>
        <v>2.9275914893617028</v>
      </c>
      <c r="H20" s="16">
        <f t="shared" si="0"/>
        <v>6.1420478202947023E-6</v>
      </c>
      <c r="J20" t="s">
        <v>39</v>
      </c>
      <c r="K20" s="25">
        <v>78000</v>
      </c>
      <c r="L20">
        <v>0</v>
      </c>
      <c r="M20" s="25">
        <f t="shared" si="4"/>
        <v>0</v>
      </c>
      <c r="O20" s="15">
        <f t="shared" si="1"/>
        <v>0.97586382978723429</v>
      </c>
    </row>
    <row r="21" spans="1:15" x14ac:dyDescent="0.2">
      <c r="A21" s="13" t="s">
        <v>40</v>
      </c>
      <c r="B21" s="14" t="s">
        <v>41</v>
      </c>
      <c r="C21" s="15">
        <f>'[10]Ercot Trading'!C21+'[10]Ercot Origination'!C21+'[10]Southeast Trading'!C21+'[10]Southeast Origination'!C21+'[10]Midwest Trading'!C21+'[10]Midwest Origination'!C21+'[10]Northeast Trading'!C21+'[10]Northeast Origination'!C21+'[10]Management Book'!C21+[10]Structuring_Fund!C21+[10]Services!C21+[10]Options!C21</f>
        <v>633408.5</v>
      </c>
      <c r="E21" s="20">
        <f t="shared" si="2"/>
        <v>1013453.5999999999</v>
      </c>
      <c r="F21" s="21">
        <f t="shared" si="3"/>
        <v>23719.126808510635</v>
      </c>
      <c r="H21" s="16">
        <f t="shared" si="0"/>
        <v>4.9762411061411306E-2</v>
      </c>
      <c r="J21" t="s">
        <v>42</v>
      </c>
      <c r="K21" s="25">
        <v>66000</v>
      </c>
      <c r="L21">
        <v>0</v>
      </c>
      <c r="M21" s="25">
        <f t="shared" si="4"/>
        <v>0</v>
      </c>
      <c r="O21" s="15">
        <f t="shared" si="1"/>
        <v>7906.375602836878</v>
      </c>
    </row>
    <row r="22" spans="1:15" x14ac:dyDescent="0.2">
      <c r="A22" s="13" t="s">
        <v>43</v>
      </c>
      <c r="B22" s="14" t="s">
        <v>44</v>
      </c>
      <c r="C22" s="15">
        <f>'[10]Ercot Trading'!C22+'[10]Ercot Origination'!C22+'[10]Southeast Trading'!C22+'[10]Southeast Origination'!C22+'[10]Midwest Trading'!C22+'[10]Midwest Origination'!C22+'[10]Northeast Trading'!C22+'[10]Northeast Origination'!C22+'[10]Management Book'!C22+[10]Structuring_Fund!C22+[10]Services!C22+[10]Options!C22</f>
        <v>1190.24</v>
      </c>
      <c r="E22" s="20">
        <f t="shared" si="2"/>
        <v>1904.384</v>
      </c>
      <c r="F22" s="21">
        <f t="shared" si="3"/>
        <v>44.570689361702129</v>
      </c>
      <c r="H22" s="16">
        <f t="shared" si="0"/>
        <v>9.350871063734415E-5</v>
      </c>
      <c r="J22" t="s">
        <v>45</v>
      </c>
      <c r="K22" s="25">
        <v>97200</v>
      </c>
      <c r="L22">
        <v>0</v>
      </c>
      <c r="M22" s="25">
        <f t="shared" si="4"/>
        <v>0</v>
      </c>
      <c r="O22" s="15">
        <f t="shared" si="1"/>
        <v>14.85689645390071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798678.76627234055</v>
      </c>
      <c r="H23" s="30">
        <f>SUM(H8:H22)</f>
        <v>1</v>
      </c>
      <c r="J23" t="s">
        <v>48</v>
      </c>
      <c r="K23" s="25">
        <v>120000</v>
      </c>
      <c r="L23">
        <v>0</v>
      </c>
      <c r="M23" s="25">
        <f t="shared" si="4"/>
        <v>0</v>
      </c>
      <c r="O23" s="58">
        <f>SUM(O8:O22)</f>
        <v>266226.25542411348</v>
      </c>
    </row>
    <row r="24" spans="1:15" x14ac:dyDescent="0.2">
      <c r="J24" t="s">
        <v>49</v>
      </c>
      <c r="K24" s="25">
        <v>156000</v>
      </c>
      <c r="L24">
        <v>3</v>
      </c>
      <c r="M24" s="25">
        <f t="shared" si="4"/>
        <v>468000</v>
      </c>
    </row>
    <row r="25" spans="1:15" x14ac:dyDescent="0.2">
      <c r="B25" s="27" t="s">
        <v>50</v>
      </c>
      <c r="C25" s="15"/>
      <c r="E25" s="31">
        <f>'[10]Ercot Trading'!E25+'[10]Ercot Origination'!E25+'[10]Southeast Trading'!E25+'[10]Southeast Origination'!E25+'[10]Midwest Trading'!E25+'[10]Midwest Origination'!E25+'[10]Northeast Trading'!E25+'[10]Northeast Origination'!E25+'[10]Management Book'!E25+[10]Structuring_Fund!E25+[10]Services!E25+[10]Options!E25</f>
        <v>91</v>
      </c>
      <c r="F25" s="31">
        <f>SUM(L16:L20,L23:L27)</f>
        <v>3</v>
      </c>
      <c r="J25" t="s">
        <v>51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52</v>
      </c>
      <c r="K26" s="25">
        <v>216000</v>
      </c>
      <c r="L26">
        <v>0</v>
      </c>
      <c r="M26" s="25">
        <f t="shared" si="4"/>
        <v>0</v>
      </c>
      <c r="O26" s="15"/>
    </row>
    <row r="27" spans="1:15" x14ac:dyDescent="0.2">
      <c r="B27" s="27" t="s">
        <v>53</v>
      </c>
      <c r="C27" s="15"/>
      <c r="E27" s="31">
        <f>'[10]Ercot Trading'!E27+'[10]Ercot Origination'!E27+'[10]Southeast Trading'!E27+'[10]Southeast Origination'!E27+'[10]Midwest Trading'!E27+'[10]Midwest Origination'!E27+'[10]Northeast Trading'!E27+'[10]Northeast Origination'!E27+'[10]Management Book'!E27+[10]Structuring_Fund!E27+[10]Services!E27+[10]Options!E27</f>
        <v>50</v>
      </c>
      <c r="F27" s="31">
        <f>SUM(L21:L22)</f>
        <v>0</v>
      </c>
      <c r="J27" t="s">
        <v>54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x14ac:dyDescent="0.2">
      <c r="B28" s="27"/>
      <c r="L28">
        <f>SUM(L16:L27)</f>
        <v>3</v>
      </c>
      <c r="M28" s="25">
        <f>SUM(M16:M27)</f>
        <v>468000</v>
      </c>
    </row>
    <row r="29" spans="1:15" x14ac:dyDescent="0.2">
      <c r="B29" s="27" t="s">
        <v>55</v>
      </c>
      <c r="E29" s="59">
        <f>SUM(E25:E27)</f>
        <v>141</v>
      </c>
      <c r="F29" s="31">
        <f>SUM(F25:F27)</f>
        <v>3</v>
      </c>
      <c r="H29" s="25"/>
      <c r="O29" s="31">
        <v>1</v>
      </c>
    </row>
    <row r="31" spans="1:15" x14ac:dyDescent="0.2">
      <c r="I31" s="33" t="s">
        <v>56</v>
      </c>
      <c r="J31" s="25"/>
      <c r="K31" s="25"/>
      <c r="L31" s="25"/>
    </row>
    <row r="32" spans="1:15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3</v>
      </c>
      <c r="M34" s="37">
        <f>+K34*L34</f>
        <v>95028.545702127638</v>
      </c>
    </row>
  </sheetData>
  <mergeCells count="3">
    <mergeCell ref="B1:H1"/>
    <mergeCell ref="B2:H2"/>
    <mergeCell ref="B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1:AU34"/>
  <sheetViews>
    <sheetView zoomScaleNormal="100" workbookViewId="0">
      <selection activeCell="G23" sqref="G2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72" width="0" hidden="1" customWidth="1"/>
  </cols>
  <sheetData>
    <row r="1" spans="1:47" ht="18" x14ac:dyDescent="0.25">
      <c r="B1" s="142" t="str">
        <f>'[15]Team Report'!B1</f>
        <v>Enron North America</v>
      </c>
      <c r="C1" s="142"/>
      <c r="D1" s="144"/>
      <c r="E1" s="144"/>
      <c r="F1" s="144"/>
      <c r="G1" s="144"/>
      <c r="H1" s="144"/>
      <c r="I1" s="14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42" t="s">
        <v>332</v>
      </c>
      <c r="C2" s="142"/>
      <c r="D2" s="144"/>
      <c r="E2" s="144"/>
      <c r="F2" s="144"/>
      <c r="G2" s="144"/>
      <c r="H2" s="144"/>
      <c r="I2" s="14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45" t="s">
        <v>0</v>
      </c>
      <c r="C3" s="145"/>
      <c r="D3" s="146"/>
      <c r="E3" s="146"/>
      <c r="F3" s="146"/>
      <c r="G3" s="146"/>
      <c r="H3" s="146"/>
      <c r="I3" s="146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1</v>
      </c>
      <c r="M5" s="8" t="s">
        <v>2</v>
      </c>
      <c r="N5" s="9" t="s">
        <v>3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47" x14ac:dyDescent="0.2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47" x14ac:dyDescent="0.2">
      <c r="A8" s="13" t="s">
        <v>9</v>
      </c>
      <c r="B8" s="14" t="s">
        <v>10</v>
      </c>
      <c r="C8" s="15">
        <f>'[16]Executive Orig'!C8+[16]Trading!C8+[16]Origination!C8+'[16]Mid Market'!C8+[16]Services!C8+[16]Fundamentals!C8</f>
        <v>4789958.9899999993</v>
      </c>
      <c r="E8" s="15">
        <f>(C8/9)*12</f>
        <v>6386611.9866666663</v>
      </c>
      <c r="F8" s="15"/>
      <c r="G8" s="15">
        <f>+'[18]West Power Trading'!G8+'[18]West Power A&amp;A'!G8</f>
        <v>2157000</v>
      </c>
      <c r="H8" s="15"/>
      <c r="I8" s="16">
        <f t="shared" ref="I8:I22" si="0">+G8/$G$23</f>
        <v>0.49727860880437685</v>
      </c>
      <c r="K8" s="7" t="s">
        <v>10</v>
      </c>
      <c r="L8" s="17">
        <v>0</v>
      </c>
      <c r="M8" s="8">
        <v>64</v>
      </c>
      <c r="N8" s="18">
        <f>N28</f>
        <v>5891760</v>
      </c>
      <c r="O8" s="15">
        <f t="shared" ref="O8:O22" si="1">+G8/$G$29*$O$29</f>
        <v>89875</v>
      </c>
    </row>
    <row r="9" spans="1:47" hidden="1" x14ac:dyDescent="0.2">
      <c r="A9" s="13"/>
      <c r="B9" s="14" t="s">
        <v>11</v>
      </c>
      <c r="C9" s="15">
        <f>'[16]Executive Orig'!C9+[16]Trading!C9+[16]Origination!C9+'[16]Mid Market'!C9+[16]Services!C9+[16]Fundamentals!C9</f>
        <v>1464000</v>
      </c>
      <c r="E9" s="15">
        <f>+C9</f>
        <v>1464000</v>
      </c>
      <c r="F9" s="15"/>
      <c r="G9" s="15">
        <f>+'[18]West Power Trading'!G9+'[18]West Power A&amp;A'!G9</f>
        <v>0</v>
      </c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12</v>
      </c>
      <c r="C10" s="15">
        <f>'[16]Executive Orig'!C10+[16]Trading!C10+[16]Origination!C10+'[16]Mid Market'!C10+[16]Services!C10+[16]Fundamentals!C10</f>
        <v>804567</v>
      </c>
      <c r="E10" s="15">
        <f>(C10/9)*12</f>
        <v>1072756</v>
      </c>
      <c r="F10" s="15"/>
      <c r="G10" s="15">
        <f>+'[18]West Power Trading'!G10+'[18]West Power A&amp;A'!G10</f>
        <v>559200</v>
      </c>
      <c r="H10" s="15"/>
      <c r="I10" s="16">
        <f t="shared" si="0"/>
        <v>0.12891896061354083</v>
      </c>
      <c r="K10" s="7"/>
      <c r="L10" s="8"/>
      <c r="M10" s="8"/>
      <c r="N10" s="9"/>
      <c r="O10" s="15">
        <f t="shared" si="1"/>
        <v>23300</v>
      </c>
    </row>
    <row r="11" spans="1:47" x14ac:dyDescent="0.2">
      <c r="A11" s="13" t="s">
        <v>13</v>
      </c>
      <c r="B11" s="14" t="s">
        <v>14</v>
      </c>
      <c r="C11" s="15">
        <f>'[16]Executive Orig'!C11+[16]Trading!C11+[16]Origination!C11+'[16]Mid Market'!C11+[16]Services!C11+[16]Fundamentals!C11</f>
        <v>1096068.21</v>
      </c>
      <c r="E11" s="15">
        <f>(C11/9)*12</f>
        <v>1461424.2799999998</v>
      </c>
      <c r="F11" s="15"/>
      <c r="G11" s="15">
        <f>+'[18]West Power Trading'!G11+'[18]West Power A&amp;A'!G11</f>
        <v>543240</v>
      </c>
      <c r="H11" s="15"/>
      <c r="I11" s="16">
        <f t="shared" si="0"/>
        <v>0.12523951388358354</v>
      </c>
      <c r="K11" s="7" t="s">
        <v>15</v>
      </c>
      <c r="L11" s="19">
        <f>(E12+E13+E14+E15+E16+E17+E18+E19+E20+E21+E22)/E29</f>
        <v>47533.855280898868</v>
      </c>
      <c r="M11" s="8">
        <f>M28</f>
        <v>42</v>
      </c>
      <c r="N11" s="18">
        <f>L11*M11</f>
        <v>1996421.9217977524</v>
      </c>
      <c r="O11" s="15">
        <f t="shared" si="1"/>
        <v>22635</v>
      </c>
    </row>
    <row r="12" spans="1:47" x14ac:dyDescent="0.2">
      <c r="A12" s="13" t="s">
        <v>16</v>
      </c>
      <c r="B12" s="14" t="s">
        <v>17</v>
      </c>
      <c r="C12" s="15">
        <f>'[16]Executive Orig'!C12+[16]Trading!C12+[16]Origination!C12+'[16]Mid Market'!C12+[16]Services!C12+[16]Fundamentals!C12</f>
        <v>658117.68000000005</v>
      </c>
      <c r="E12" s="20">
        <f t="shared" ref="E12:E22" si="2">((C12/9)*12)*1.2</f>
        <v>1052988.2880000002</v>
      </c>
      <c r="F12" s="15"/>
      <c r="G12" s="15">
        <f>+'[18]West Power Trading'!G12+'[18]West Power A&amp;A'!G12</f>
        <v>207688.88888888888</v>
      </c>
      <c r="H12" s="15"/>
      <c r="I12" s="16">
        <f t="shared" si="0"/>
        <v>4.7880965104679402E-2</v>
      </c>
      <c r="K12" s="7"/>
      <c r="L12" s="8"/>
      <c r="M12" s="8"/>
      <c r="N12" s="9"/>
      <c r="O12" s="15">
        <f t="shared" si="1"/>
        <v>8653.7037037037026</v>
      </c>
    </row>
    <row r="13" spans="1:47" ht="13.5" thickBot="1" x14ac:dyDescent="0.25">
      <c r="A13" s="13" t="s">
        <v>18</v>
      </c>
      <c r="B13" s="14" t="s">
        <v>19</v>
      </c>
      <c r="C13" s="15">
        <f>'[16]Executive Orig'!C13+[16]Trading!C13+[16]Origination!C13+'[16]Mid Market'!C13+[16]Services!C13+[16]Fundamentals!C13</f>
        <v>719773.79999999993</v>
      </c>
      <c r="E13" s="20">
        <f t="shared" si="2"/>
        <v>1151638.0799999998</v>
      </c>
      <c r="F13" s="15"/>
      <c r="G13" s="15">
        <f>+'[18]West Power Trading'!G13+'[18]West Power A&amp;A'!G13</f>
        <v>294000</v>
      </c>
      <c r="H13" s="15"/>
      <c r="I13" s="16">
        <f t="shared" si="0"/>
        <v>6.7779281867634128E-2</v>
      </c>
      <c r="K13" s="22" t="s">
        <v>20</v>
      </c>
      <c r="L13" s="23"/>
      <c r="M13" s="23"/>
      <c r="N13" s="24">
        <f>N8+N11</f>
        <v>7888181.9217977524</v>
      </c>
      <c r="O13" s="15">
        <f t="shared" si="1"/>
        <v>12250</v>
      </c>
    </row>
    <row r="14" spans="1:47" x14ac:dyDescent="0.2">
      <c r="A14" s="13" t="s">
        <v>21</v>
      </c>
      <c r="B14" s="14" t="s">
        <v>22</v>
      </c>
      <c r="C14" s="15">
        <f>'[16]Executive Orig'!C14+[16]Trading!C14+[16]Origination!C14+'[16]Mid Market'!C14+[16]Services!C14+[16]Fundamentals!C14-C32</f>
        <v>0.23999999975785613</v>
      </c>
      <c r="E14" s="20">
        <f t="shared" si="2"/>
        <v>0.38399999961256975</v>
      </c>
      <c r="F14" s="15"/>
      <c r="G14" s="15">
        <f>+'[18]West Power Trading'!G14+'[18]West Power A&amp;A'!G14</f>
        <v>160000.03451685389</v>
      </c>
      <c r="H14" s="15"/>
      <c r="I14" s="16">
        <f t="shared" si="0"/>
        <v>3.688669196717357E-2</v>
      </c>
      <c r="O14" s="15">
        <f t="shared" si="1"/>
        <v>6666.6681048689125</v>
      </c>
    </row>
    <row r="15" spans="1:47" x14ac:dyDescent="0.2">
      <c r="A15" s="13" t="s">
        <v>23</v>
      </c>
      <c r="B15" s="14" t="s">
        <v>24</v>
      </c>
      <c r="C15" s="15">
        <f>'[16]Executive Orig'!C15+[16]Trading!C15+[16]Origination!C15+'[16]Mid Market'!C15+[16]Services!C15+[16]Fundamentals!C15</f>
        <v>128890.14</v>
      </c>
      <c r="E15" s="20">
        <f t="shared" si="2"/>
        <v>206224.22400000002</v>
      </c>
      <c r="F15" s="15"/>
      <c r="G15" s="15">
        <f>+'[18]West Power Trading'!G15+'[18]West Power A&amp;A'!G15</f>
        <v>69120</v>
      </c>
      <c r="H15" s="15"/>
      <c r="I15" s="16">
        <f t="shared" si="0"/>
        <v>1.5935047492145818E-2</v>
      </c>
      <c r="O15" s="15">
        <f t="shared" si="1"/>
        <v>2880</v>
      </c>
    </row>
    <row r="16" spans="1:47" x14ac:dyDescent="0.2">
      <c r="A16" s="13" t="s">
        <v>25</v>
      </c>
      <c r="B16" s="14" t="s">
        <v>26</v>
      </c>
      <c r="C16" s="15">
        <f>'[16]Executive Orig'!C16+[16]Trading!C16+[16]Origination!C16+'[16]Mid Market'!C16+[16]Services!C16+[16]Fundamentals!C16</f>
        <v>0</v>
      </c>
      <c r="E16" s="20">
        <f t="shared" si="2"/>
        <v>0</v>
      </c>
      <c r="F16" s="15"/>
      <c r="G16" s="15">
        <f>+'[18]West Power Trading'!G16+'[18]West Power A&amp;A'!G16</f>
        <v>20000</v>
      </c>
      <c r="H16" s="15"/>
      <c r="I16" s="16">
        <f t="shared" si="0"/>
        <v>4.6108355011995998E-3</v>
      </c>
      <c r="K16" t="s">
        <v>27</v>
      </c>
      <c r="L16" s="25">
        <v>33600</v>
      </c>
      <c r="M16">
        <f>1</f>
        <v>1</v>
      </c>
      <c r="N16" s="25">
        <f t="shared" ref="N16:N27" si="3">L16*M16</f>
        <v>33600</v>
      </c>
      <c r="O16" s="15">
        <f t="shared" si="1"/>
        <v>833.33333333333337</v>
      </c>
    </row>
    <row r="17" spans="1:15" x14ac:dyDescent="0.2">
      <c r="A17" s="13" t="s">
        <v>28</v>
      </c>
      <c r="B17" s="14" t="s">
        <v>29</v>
      </c>
      <c r="C17" s="15">
        <f>'[16]Executive Orig'!C17+[16]Trading!C17+[16]Origination!C17+'[16]Mid Market'!C17+[16]Services!C17+[16]Fundamentals!C17</f>
        <v>11300</v>
      </c>
      <c r="E17" s="20">
        <f t="shared" si="2"/>
        <v>18080</v>
      </c>
      <c r="F17" s="15"/>
      <c r="G17" s="15">
        <f>+'[18]West Power Trading'!G17+'[18]West Power A&amp;A'!G17</f>
        <v>6094</v>
      </c>
      <c r="H17" s="15"/>
      <c r="I17" s="16">
        <f t="shared" si="0"/>
        <v>1.4049215772155182E-3</v>
      </c>
      <c r="K17" t="s">
        <v>30</v>
      </c>
      <c r="L17" s="25">
        <v>52800</v>
      </c>
      <c r="M17">
        <f>5</f>
        <v>5</v>
      </c>
      <c r="N17" s="25">
        <f t="shared" si="3"/>
        <v>264000</v>
      </c>
      <c r="O17" s="15">
        <f t="shared" si="1"/>
        <v>253.91666666666666</v>
      </c>
    </row>
    <row r="18" spans="1:15" x14ac:dyDescent="0.2">
      <c r="A18" s="13" t="s">
        <v>31</v>
      </c>
      <c r="B18" s="14" t="s">
        <v>32</v>
      </c>
      <c r="C18" s="15">
        <f>'[16]Executive Orig'!C18+[16]Trading!C18+[16]Origination!C18+'[16]Mid Market'!C18+[16]Services!C18+[16]Fundamentals!C18</f>
        <v>327447.74000000005</v>
      </c>
      <c r="E18" s="20">
        <f t="shared" si="2"/>
        <v>523916.38400000002</v>
      </c>
      <c r="F18" s="15"/>
      <c r="G18" s="15">
        <f>+'[18]West Power Trading'!G18+'[18]West Power A&amp;A'!G18</f>
        <v>99600</v>
      </c>
      <c r="H18" s="15"/>
      <c r="I18" s="16">
        <f t="shared" si="0"/>
        <v>2.2961960795974009E-2</v>
      </c>
      <c r="K18" t="s">
        <v>33</v>
      </c>
      <c r="L18" s="25">
        <v>54000</v>
      </c>
      <c r="M18">
        <v>0</v>
      </c>
      <c r="N18" s="25">
        <f t="shared" si="3"/>
        <v>0</v>
      </c>
      <c r="O18" s="15">
        <f t="shared" si="1"/>
        <v>4150</v>
      </c>
    </row>
    <row r="19" spans="1:15" x14ac:dyDescent="0.2">
      <c r="A19" s="13" t="s">
        <v>34</v>
      </c>
      <c r="B19" s="14" t="s">
        <v>35</v>
      </c>
      <c r="C19" s="15">
        <f>'[16]Executive Orig'!C19+[16]Trading!C19+[16]Origination!C19+'[16]Mid Market'!C19+[16]Services!C19+[16]Fundamentals!C19</f>
        <v>155845.37</v>
      </c>
      <c r="E19" s="20">
        <f t="shared" si="2"/>
        <v>249352.59199999998</v>
      </c>
      <c r="F19" s="15"/>
      <c r="G19" s="15">
        <f>+'[18]West Power Trading'!G19+'[18]West Power A&amp;A'!G19</f>
        <v>104000</v>
      </c>
      <c r="H19" s="15"/>
      <c r="I19" s="16">
        <f t="shared" si="0"/>
        <v>2.3976344606237921E-2</v>
      </c>
      <c r="K19" t="s">
        <v>36</v>
      </c>
      <c r="L19" s="25">
        <v>63000</v>
      </c>
      <c r="M19">
        <f>5</f>
        <v>5</v>
      </c>
      <c r="N19" s="25">
        <f t="shared" si="3"/>
        <v>315000</v>
      </c>
      <c r="O19" s="15">
        <f t="shared" si="1"/>
        <v>4333.333333333333</v>
      </c>
    </row>
    <row r="20" spans="1:15" x14ac:dyDescent="0.2">
      <c r="A20" s="13" t="s">
        <v>37</v>
      </c>
      <c r="B20" s="14" t="s">
        <v>38</v>
      </c>
      <c r="C20" s="15">
        <f>'[16]Executive Orig'!C20+[16]Trading!C20+[16]Origination!C20+'[16]Mid Market'!C20+[16]Services!C20+[16]Fundamentals!C20</f>
        <v>116.15</v>
      </c>
      <c r="E20" s="20">
        <f t="shared" si="2"/>
        <v>185.84</v>
      </c>
      <c r="F20" s="15"/>
      <c r="G20" s="15">
        <f>+'[18]West Power Trading'!G20+'[18]West Power A&amp;A'!G20</f>
        <v>0</v>
      </c>
      <c r="H20" s="15"/>
      <c r="I20" s="16">
        <f t="shared" si="0"/>
        <v>0</v>
      </c>
      <c r="K20" t="s">
        <v>39</v>
      </c>
      <c r="L20" s="25">
        <v>78000</v>
      </c>
      <c r="M20">
        <f>1</f>
        <v>1</v>
      </c>
      <c r="N20" s="25">
        <f t="shared" si="3"/>
        <v>78000</v>
      </c>
      <c r="O20" s="15">
        <f t="shared" si="1"/>
        <v>0</v>
      </c>
    </row>
    <row r="21" spans="1:15" x14ac:dyDescent="0.2">
      <c r="A21" s="13" t="s">
        <v>40</v>
      </c>
      <c r="B21" s="14" t="s">
        <v>41</v>
      </c>
      <c r="C21" s="15">
        <f>'[16]Executive Orig'!C21+[16]Trading!C21+[16]Origination!C21+'[16]Mid Market'!C21+[16]Services!C21+[16]Fundamentals!C21</f>
        <v>566869.93000000017</v>
      </c>
      <c r="E21" s="20">
        <f t="shared" si="2"/>
        <v>906991.88800000027</v>
      </c>
      <c r="F21" s="15"/>
      <c r="G21" s="15">
        <f>+'[18]West Power Trading'!G21+'[18]West Power A&amp;A'!G21</f>
        <v>85000</v>
      </c>
      <c r="H21" s="15"/>
      <c r="I21" s="16">
        <f t="shared" si="0"/>
        <v>1.95960508800983E-2</v>
      </c>
      <c r="K21" t="s">
        <v>42</v>
      </c>
      <c r="L21" s="25">
        <v>66000</v>
      </c>
      <c r="M21">
        <f>7</f>
        <v>7</v>
      </c>
      <c r="N21" s="25">
        <f t="shared" si="3"/>
        <v>462000</v>
      </c>
      <c r="O21" s="15">
        <f t="shared" si="1"/>
        <v>3541.6666666666665</v>
      </c>
    </row>
    <row r="22" spans="1:15" x14ac:dyDescent="0.2">
      <c r="A22" s="13" t="s">
        <v>43</v>
      </c>
      <c r="B22" s="14" t="s">
        <v>44</v>
      </c>
      <c r="C22" s="15">
        <f>'[16]Executive Orig'!C22+[16]Trading!C22+[16]Origination!C22+'[16]Mid Market'!C22+[16]Services!C22+[16]Fundamentals!C22</f>
        <v>75709.649999999965</v>
      </c>
      <c r="E22" s="20">
        <f t="shared" si="2"/>
        <v>121135.43999999994</v>
      </c>
      <c r="F22" s="15"/>
      <c r="G22" s="15">
        <f>+'[18]West Power Trading'!G22+'[18]West Power A&amp;A'!G22</f>
        <v>32665.736629213468</v>
      </c>
      <c r="H22" s="15"/>
      <c r="I22" s="16">
        <f t="shared" si="0"/>
        <v>7.5308169061406808E-3</v>
      </c>
      <c r="K22" t="s">
        <v>45</v>
      </c>
      <c r="L22" s="25">
        <v>97200</v>
      </c>
      <c r="M22">
        <f>1</f>
        <v>1</v>
      </c>
      <c r="N22" s="25">
        <f t="shared" si="3"/>
        <v>97200</v>
      </c>
      <c r="O22" s="15">
        <f t="shared" si="1"/>
        <v>1361.0723595505613</v>
      </c>
    </row>
    <row r="23" spans="1:15" x14ac:dyDescent="0.2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4337608.6600349555</v>
      </c>
      <c r="H23" s="29"/>
      <c r="I23" s="30">
        <f>SUM(I8:I22)</f>
        <v>1.0000000000000002</v>
      </c>
      <c r="K23" t="s">
        <v>48</v>
      </c>
      <c r="L23" s="25">
        <v>120000</v>
      </c>
      <c r="M23">
        <f>5</f>
        <v>5</v>
      </c>
      <c r="N23" s="25">
        <f t="shared" si="3"/>
        <v>600000</v>
      </c>
      <c r="O23" s="28">
        <f>SUM(O8:O22)</f>
        <v>180733.69416812318</v>
      </c>
    </row>
    <row r="24" spans="1:15" x14ac:dyDescent="0.2">
      <c r="K24" t="s">
        <v>49</v>
      </c>
      <c r="L24" s="25">
        <v>156000</v>
      </c>
      <c r="M24">
        <f>11</f>
        <v>11</v>
      </c>
      <c r="N24" s="25">
        <f t="shared" si="3"/>
        <v>1716000</v>
      </c>
    </row>
    <row r="25" spans="1:15" x14ac:dyDescent="0.2">
      <c r="B25" s="27" t="s">
        <v>50</v>
      </c>
      <c r="C25" s="15"/>
      <c r="E25" s="31">
        <f>'[16]Executive Orig'!E25+[16]Trading!E25+[16]Origination!E25+'[16]Mid Market'!E25+[16]Services!E25+[16]Fundamentals!E25</f>
        <v>74</v>
      </c>
      <c r="F25" s="32"/>
      <c r="G25" s="31">
        <f>+'[18]West Power Trading'!G25+'[18]West Power A&amp;A'!G25</f>
        <v>16</v>
      </c>
      <c r="H25" s="32"/>
      <c r="K25" t="s">
        <v>51</v>
      </c>
      <c r="L25" s="25">
        <v>180000</v>
      </c>
      <c r="M25">
        <v>0</v>
      </c>
      <c r="N25" s="25">
        <f t="shared" si="3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52</v>
      </c>
      <c r="L26" s="25">
        <v>216000</v>
      </c>
      <c r="M26">
        <f>4</f>
        <v>4</v>
      </c>
      <c r="N26" s="25">
        <f t="shared" si="3"/>
        <v>864000</v>
      </c>
      <c r="O26" s="15"/>
    </row>
    <row r="27" spans="1:15" x14ac:dyDescent="0.2">
      <c r="B27" s="27" t="s">
        <v>53</v>
      </c>
      <c r="C27" s="15"/>
      <c r="E27" s="31">
        <f>'[16]Executive Orig'!E27+[16]Trading!E27+[16]Origination!E27+'[16]Mid Market'!E27+[16]Services!E27+[16]Fundamentals!E27</f>
        <v>15</v>
      </c>
      <c r="F27" s="32"/>
      <c r="G27" s="31">
        <f>+'[18]West Power Trading'!G27+'[18]West Power A&amp;A'!G27</f>
        <v>8</v>
      </c>
      <c r="H27" s="32"/>
      <c r="K27" t="s">
        <v>54</v>
      </c>
      <c r="L27" s="25">
        <v>240000</v>
      </c>
      <c r="M27">
        <f>2</f>
        <v>2</v>
      </c>
      <c r="N27" s="25">
        <f t="shared" si="3"/>
        <v>480000</v>
      </c>
      <c r="O27" s="31">
        <f>+U21+U22</f>
        <v>0</v>
      </c>
    </row>
    <row r="28" spans="1:15" x14ac:dyDescent="0.2">
      <c r="M28">
        <f>SUM(M16:M27)</f>
        <v>42</v>
      </c>
      <c r="N28" s="25">
        <f>SUM(N16:N27)*1.2</f>
        <v>5891760</v>
      </c>
    </row>
    <row r="29" spans="1:15" x14ac:dyDescent="0.2">
      <c r="B29" s="27" t="s">
        <v>55</v>
      </c>
      <c r="C29" s="15"/>
      <c r="E29" s="31">
        <f>+E27+E25</f>
        <v>89</v>
      </c>
      <c r="F29" s="32"/>
      <c r="G29" s="31">
        <f>+G27+G25</f>
        <v>24</v>
      </c>
      <c r="H29" s="32"/>
      <c r="I29" s="25"/>
      <c r="O29" s="31">
        <v>1</v>
      </c>
    </row>
    <row r="31" spans="1:15" x14ac:dyDescent="0.2">
      <c r="J31" s="33" t="s">
        <v>56</v>
      </c>
      <c r="K31" s="25"/>
      <c r="L31" s="25"/>
      <c r="M31" s="25"/>
    </row>
    <row r="32" spans="1:15" hidden="1" x14ac:dyDescent="0.2">
      <c r="B32" s="14" t="s">
        <v>22</v>
      </c>
      <c r="C32" s="15">
        <v>677322</v>
      </c>
      <c r="K32" s="25"/>
      <c r="L32" s="25"/>
      <c r="M32" s="25"/>
    </row>
    <row r="33" spans="10:14" x14ac:dyDescent="0.2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42</v>
      </c>
      <c r="N34" s="37">
        <f>+L34*M34</f>
        <v>1996421.9217977524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landscape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AU34"/>
  <sheetViews>
    <sheetView zoomScaleNormal="100" workbookViewId="0">
      <selection activeCell="P155" sqref="P155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72" width="0" hidden="1" customWidth="1"/>
  </cols>
  <sheetData>
    <row r="1" spans="1:47" ht="18" x14ac:dyDescent="0.25">
      <c r="B1" s="142" t="str">
        <f>'[15]Team Report'!B1</f>
        <v>Enron North America</v>
      </c>
      <c r="C1" s="142"/>
      <c r="D1" s="144"/>
      <c r="E1" s="144"/>
      <c r="F1" s="144"/>
      <c r="G1" s="144"/>
      <c r="H1" s="144"/>
      <c r="I1" s="14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42" t="s">
        <v>229</v>
      </c>
      <c r="C2" s="142"/>
      <c r="D2" s="144"/>
      <c r="E2" s="144"/>
      <c r="F2" s="144"/>
      <c r="G2" s="144"/>
      <c r="H2" s="144"/>
      <c r="I2" s="14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45" t="s">
        <v>0</v>
      </c>
      <c r="C3" s="145"/>
      <c r="D3" s="146"/>
      <c r="E3" s="146"/>
      <c r="F3" s="146"/>
      <c r="G3" s="146"/>
      <c r="H3" s="146"/>
      <c r="I3" s="146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1</v>
      </c>
      <c r="M5" s="8" t="s">
        <v>2</v>
      </c>
      <c r="N5" s="9" t="s">
        <v>3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47" x14ac:dyDescent="0.2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47" x14ac:dyDescent="0.2">
      <c r="A8" s="13" t="s">
        <v>9</v>
      </c>
      <c r="B8" s="14" t="s">
        <v>10</v>
      </c>
      <c r="C8" s="15">
        <f>'[16]Executive Orig'!C8+[16]Trading!C8+[16]Origination!C8+'[16]Mid Market'!C8+[16]Services!C8+[16]Fundamentals!C8</f>
        <v>4789958.9899999993</v>
      </c>
      <c r="E8" s="15">
        <f>(C8/9)*12</f>
        <v>6386611.9866666663</v>
      </c>
      <c r="F8" s="15"/>
      <c r="G8" s="15">
        <f>(((+'[18]West Power Trading'!G8+'[18]West Power A&amp;A'!G8)*1.2)/1.2)*1.1</f>
        <v>2372700</v>
      </c>
      <c r="H8" s="15"/>
      <c r="I8" s="16">
        <f t="shared" ref="I8:I22" si="0">+G8/$G$23</f>
        <v>0.49254724562490715</v>
      </c>
      <c r="K8" s="7" t="s">
        <v>10</v>
      </c>
      <c r="L8" s="17">
        <v>0</v>
      </c>
      <c r="M8" s="8">
        <v>64</v>
      </c>
      <c r="N8" s="18">
        <f>N28</f>
        <v>5891760</v>
      </c>
      <c r="O8" s="15">
        <f t="shared" ref="O8:O22" si="1">+G8/$G$29*$O$29</f>
        <v>98862.5</v>
      </c>
    </row>
    <row r="9" spans="1:47" hidden="1" x14ac:dyDescent="0.2">
      <c r="A9" s="13"/>
      <c r="B9" s="14" t="s">
        <v>11</v>
      </c>
      <c r="C9" s="15">
        <f>'[16]Executive Orig'!C9+[16]Trading!C9+[16]Origination!C9+'[16]Mid Market'!C9+[16]Services!C9+[16]Fundamentals!C9</f>
        <v>1464000</v>
      </c>
      <c r="E9" s="15">
        <f>+C9</f>
        <v>1464000</v>
      </c>
      <c r="F9" s="15"/>
      <c r="G9" s="15">
        <f>(((+'[18]West Power Trading'!G9+'[18]West Power A&amp;A'!G9)*1.2)/1.2)*1.1</f>
        <v>0</v>
      </c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12</v>
      </c>
      <c r="C10" s="15">
        <f>'[16]Executive Orig'!C10+[16]Trading!C10+[16]Origination!C10+'[16]Mid Market'!C10+[16]Services!C10+[16]Fundamentals!C10</f>
        <v>804567</v>
      </c>
      <c r="E10" s="15">
        <f>(C10/9)*12</f>
        <v>1072756</v>
      </c>
      <c r="F10" s="15"/>
      <c r="G10" s="15">
        <f>(((+'[18]West Power Trading'!G10+'[18]West Power A&amp;A'!G10)*1.2)/1.2)*1.1</f>
        <v>615120</v>
      </c>
      <c r="H10" s="15"/>
      <c r="I10" s="16">
        <f t="shared" si="0"/>
        <v>0.12769235964462125</v>
      </c>
      <c r="K10" s="7"/>
      <c r="L10" s="8"/>
      <c r="M10" s="8"/>
      <c r="N10" s="9"/>
      <c r="O10" s="15">
        <f t="shared" si="1"/>
        <v>25630</v>
      </c>
    </row>
    <row r="11" spans="1:47" x14ac:dyDescent="0.2">
      <c r="A11" s="13" t="s">
        <v>13</v>
      </c>
      <c r="B11" s="14" t="s">
        <v>14</v>
      </c>
      <c r="C11" s="15">
        <f>'[16]Executive Orig'!C11+[16]Trading!C11+[16]Origination!C11+'[16]Mid Market'!C11+[16]Services!C11+[16]Fundamentals!C11</f>
        <v>1096068.21</v>
      </c>
      <c r="E11" s="15">
        <f>(C11/9)*12</f>
        <v>1461424.2799999998</v>
      </c>
      <c r="F11" s="15"/>
      <c r="G11" s="15">
        <f>(((+'[18]West Power Trading'!G11+'[18]West Power A&amp;A'!G11)*1.2)/1.2)*1.1</f>
        <v>597564</v>
      </c>
      <c r="H11" s="15"/>
      <c r="I11" s="16">
        <f t="shared" si="0"/>
        <v>0.12404792105390568</v>
      </c>
      <c r="K11" s="7" t="s">
        <v>15</v>
      </c>
      <c r="L11" s="19">
        <f>(E12+E13+E14+E15+E16+E17+E18+E19+E20+E21+E22)/E29</f>
        <v>47533.855280898868</v>
      </c>
      <c r="M11" s="8">
        <f>M28</f>
        <v>42</v>
      </c>
      <c r="N11" s="18">
        <f>L11*M11</f>
        <v>1996421.9217977524</v>
      </c>
      <c r="O11" s="15">
        <f t="shared" si="1"/>
        <v>24898.5</v>
      </c>
    </row>
    <row r="12" spans="1:47" x14ac:dyDescent="0.2">
      <c r="A12" s="13" t="s">
        <v>16</v>
      </c>
      <c r="B12" s="14" t="s">
        <v>17</v>
      </c>
      <c r="C12" s="15">
        <f>'[16]Executive Orig'!C12+[16]Trading!C12+[16]Origination!C12+'[16]Mid Market'!C12+[16]Services!C12+[16]Fundamentals!C12</f>
        <v>658117.68000000005</v>
      </c>
      <c r="E12" s="20">
        <f t="shared" ref="E12:E22" si="2">((C12/9)*12)*1.2</f>
        <v>1052988.2880000002</v>
      </c>
      <c r="F12" s="15"/>
      <c r="G12" s="15">
        <f>(((+'[18]West Power Trading'!G12+'[18]West Power A&amp;A'!G12)*1.2+50000)/1.2)*1.1</f>
        <v>274291.11111111112</v>
      </c>
      <c r="H12" s="15"/>
      <c r="I12" s="16">
        <f t="shared" si="0"/>
        <v>5.6939912874435512E-2</v>
      </c>
      <c r="K12" s="7"/>
      <c r="L12" s="8"/>
      <c r="M12" s="8"/>
      <c r="N12" s="9"/>
      <c r="O12" s="15">
        <f t="shared" si="1"/>
        <v>11428.796296296297</v>
      </c>
    </row>
    <row r="13" spans="1:47" ht="13.5" thickBot="1" x14ac:dyDescent="0.25">
      <c r="A13" s="13" t="s">
        <v>18</v>
      </c>
      <c r="B13" s="14" t="s">
        <v>19</v>
      </c>
      <c r="C13" s="15">
        <f>'[16]Executive Orig'!C13+[16]Trading!C13+[16]Origination!C13+'[16]Mid Market'!C13+[16]Services!C13+[16]Fundamentals!C13</f>
        <v>719773.79999999993</v>
      </c>
      <c r="E13" s="20">
        <f t="shared" si="2"/>
        <v>1151638.0799999998</v>
      </c>
      <c r="F13" s="15"/>
      <c r="G13" s="15">
        <f>(((+'[18]West Power Trading'!G13+'[18]West Power A&amp;A'!G13)*1.2)/1.2)*1.1</f>
        <v>323400</v>
      </c>
      <c r="H13" s="15"/>
      <c r="I13" s="16">
        <f t="shared" si="0"/>
        <v>6.7134395092129207E-2</v>
      </c>
      <c r="K13" s="22" t="s">
        <v>20</v>
      </c>
      <c r="L13" s="23"/>
      <c r="M13" s="23"/>
      <c r="N13" s="24">
        <f>N8+N11</f>
        <v>7888181.9217977524</v>
      </c>
      <c r="O13" s="15">
        <f t="shared" si="1"/>
        <v>13475</v>
      </c>
    </row>
    <row r="14" spans="1:47" x14ac:dyDescent="0.2">
      <c r="A14" s="13" t="s">
        <v>21</v>
      </c>
      <c r="B14" s="14" t="s">
        <v>22</v>
      </c>
      <c r="C14" s="15">
        <f>'[16]Executive Orig'!C14+[16]Trading!C14+[16]Origination!C14+'[16]Mid Market'!C14+[16]Services!C14+[16]Fundamentals!C14-C32</f>
        <v>0.23999999975785613</v>
      </c>
      <c r="E14" s="20">
        <f t="shared" si="2"/>
        <v>0.38399999961256975</v>
      </c>
      <c r="F14" s="15"/>
      <c r="G14" s="15">
        <f>(((+'[18]West Power Trading'!G14+'[18]West Power A&amp;A'!G14)*1.2)/1.2)*1.1</f>
        <v>176000.03796853928</v>
      </c>
      <c r="H14" s="15"/>
      <c r="I14" s="16">
        <f t="shared" si="0"/>
        <v>3.6535733102070679E-2</v>
      </c>
      <c r="O14" s="15">
        <f t="shared" si="1"/>
        <v>7333.3349153558038</v>
      </c>
    </row>
    <row r="15" spans="1:47" x14ac:dyDescent="0.2">
      <c r="A15" s="13" t="s">
        <v>23</v>
      </c>
      <c r="B15" s="14" t="s">
        <v>24</v>
      </c>
      <c r="C15" s="15">
        <f>'[16]Executive Orig'!C15+[16]Trading!C15+[16]Origination!C15+'[16]Mid Market'!C15+[16]Services!C15+[16]Fundamentals!C15</f>
        <v>128890.14</v>
      </c>
      <c r="E15" s="20">
        <f t="shared" si="2"/>
        <v>206224.22400000002</v>
      </c>
      <c r="F15" s="15"/>
      <c r="G15" s="15">
        <f>(((+'[18]West Power Trading'!G15+'[18]West Power A&amp;A'!G15)*1.2)/1.2)*1.1</f>
        <v>76032</v>
      </c>
      <c r="H15" s="15"/>
      <c r="I15" s="16">
        <f t="shared" si="0"/>
        <v>1.5783433295129153E-2</v>
      </c>
      <c r="O15" s="15">
        <f t="shared" si="1"/>
        <v>3168</v>
      </c>
    </row>
    <row r="16" spans="1:47" x14ac:dyDescent="0.2">
      <c r="A16" s="13" t="s">
        <v>25</v>
      </c>
      <c r="B16" s="14" t="s">
        <v>26</v>
      </c>
      <c r="C16" s="15">
        <f>'[16]Executive Orig'!C16+[16]Trading!C16+[16]Origination!C16+'[16]Mid Market'!C16+[16]Services!C16+[16]Fundamentals!C16</f>
        <v>0</v>
      </c>
      <c r="E16" s="20">
        <f t="shared" si="2"/>
        <v>0</v>
      </c>
      <c r="F16" s="15"/>
      <c r="G16" s="15">
        <f>(((+'[18]West Power Trading'!G16+'[18]West Power A&amp;A'!G16)*1.2)/1.2)*1.1</f>
        <v>22000</v>
      </c>
      <c r="H16" s="15"/>
      <c r="I16" s="16">
        <f t="shared" si="0"/>
        <v>4.5669656525257965E-3</v>
      </c>
      <c r="K16" t="s">
        <v>27</v>
      </c>
      <c r="L16" s="25">
        <v>33600</v>
      </c>
      <c r="M16">
        <f>1</f>
        <v>1</v>
      </c>
      <c r="N16" s="25">
        <f t="shared" ref="N16:N27" si="3">L16*M16</f>
        <v>33600</v>
      </c>
      <c r="O16" s="15">
        <f t="shared" si="1"/>
        <v>916.66666666666663</v>
      </c>
    </row>
    <row r="17" spans="1:15" x14ac:dyDescent="0.2">
      <c r="A17" s="13" t="s">
        <v>28</v>
      </c>
      <c r="B17" s="14" t="s">
        <v>29</v>
      </c>
      <c r="C17" s="15">
        <f>'[16]Executive Orig'!C17+[16]Trading!C17+[16]Origination!C17+'[16]Mid Market'!C17+[16]Services!C17+[16]Fundamentals!C17</f>
        <v>11300</v>
      </c>
      <c r="E17" s="20">
        <f t="shared" si="2"/>
        <v>18080</v>
      </c>
      <c r="F17" s="15"/>
      <c r="G17" s="15">
        <f>(((+'[18]West Power Trading'!G17+'[18]West Power A&amp;A'!G17)*1.2)/1.2)*1.1</f>
        <v>6703.4000000000005</v>
      </c>
      <c r="H17" s="15"/>
      <c r="I17" s="16">
        <f t="shared" si="0"/>
        <v>1.3915544343246103E-3</v>
      </c>
      <c r="K17" t="s">
        <v>30</v>
      </c>
      <c r="L17" s="25">
        <v>52800</v>
      </c>
      <c r="M17">
        <f>5</f>
        <v>5</v>
      </c>
      <c r="N17" s="25">
        <f t="shared" si="3"/>
        <v>264000</v>
      </c>
      <c r="O17" s="15">
        <f t="shared" si="1"/>
        <v>279.30833333333334</v>
      </c>
    </row>
    <row r="18" spans="1:15" x14ac:dyDescent="0.2">
      <c r="A18" s="13" t="s">
        <v>31</v>
      </c>
      <c r="B18" s="14" t="s">
        <v>32</v>
      </c>
      <c r="C18" s="15">
        <f>'[16]Executive Orig'!C18+[16]Trading!C18+[16]Origination!C18+'[16]Mid Market'!C18+[16]Services!C18+[16]Fundamentals!C18</f>
        <v>327447.74000000005</v>
      </c>
      <c r="E18" s="20">
        <f t="shared" si="2"/>
        <v>523916.38400000002</v>
      </c>
      <c r="F18" s="15"/>
      <c r="G18" s="15">
        <f>(((+'[18]West Power Trading'!G18+'[18]West Power A&amp;A'!G18)*1.2)/1.2)*1.1</f>
        <v>109560.00000000001</v>
      </c>
      <c r="H18" s="15"/>
      <c r="I18" s="16">
        <f t="shared" si="0"/>
        <v>2.2743488949578467E-2</v>
      </c>
      <c r="K18" t="s">
        <v>33</v>
      </c>
      <c r="L18" s="25">
        <v>54000</v>
      </c>
      <c r="M18">
        <v>0</v>
      </c>
      <c r="N18" s="25">
        <f t="shared" si="3"/>
        <v>0</v>
      </c>
      <c r="O18" s="15">
        <f t="shared" si="1"/>
        <v>4565.0000000000009</v>
      </c>
    </row>
    <row r="19" spans="1:15" x14ac:dyDescent="0.2">
      <c r="A19" s="13" t="s">
        <v>34</v>
      </c>
      <c r="B19" s="14" t="s">
        <v>35</v>
      </c>
      <c r="C19" s="15">
        <f>'[16]Executive Orig'!C19+[16]Trading!C19+[16]Origination!C19+'[16]Mid Market'!C19+[16]Services!C19+[16]Fundamentals!C19</f>
        <v>155845.37</v>
      </c>
      <c r="E19" s="20">
        <f t="shared" si="2"/>
        <v>249352.59199999998</v>
      </c>
      <c r="F19" s="15"/>
      <c r="G19" s="15">
        <f>(((+'[18]West Power Trading'!G19+'[18]West Power A&amp;A'!G19)*1.2)/1.2)*1.1</f>
        <v>114400.00000000001</v>
      </c>
      <c r="H19" s="15"/>
      <c r="I19" s="16">
        <f t="shared" si="0"/>
        <v>2.3748221393134143E-2</v>
      </c>
      <c r="K19" t="s">
        <v>36</v>
      </c>
      <c r="L19" s="25">
        <v>63000</v>
      </c>
      <c r="M19">
        <f>5</f>
        <v>5</v>
      </c>
      <c r="N19" s="25">
        <f t="shared" si="3"/>
        <v>315000</v>
      </c>
      <c r="O19" s="15">
        <f t="shared" si="1"/>
        <v>4766.666666666667</v>
      </c>
    </row>
    <row r="20" spans="1:15" x14ac:dyDescent="0.2">
      <c r="A20" s="13" t="s">
        <v>37</v>
      </c>
      <c r="B20" s="14" t="s">
        <v>38</v>
      </c>
      <c r="C20" s="15">
        <f>'[16]Executive Orig'!C20+[16]Trading!C20+[16]Origination!C20+'[16]Mid Market'!C20+[16]Services!C20+[16]Fundamentals!C20</f>
        <v>116.15</v>
      </c>
      <c r="E20" s="20">
        <f t="shared" si="2"/>
        <v>185.84</v>
      </c>
      <c r="F20" s="15"/>
      <c r="G20" s="15">
        <f>(((+'[18]West Power Trading'!G20+'[18]West Power A&amp;A'!G20)*1.2)/1.2)*1.1</f>
        <v>0</v>
      </c>
      <c r="H20" s="15"/>
      <c r="I20" s="16">
        <f t="shared" si="0"/>
        <v>0</v>
      </c>
      <c r="K20" t="s">
        <v>39</v>
      </c>
      <c r="L20" s="25">
        <v>78000</v>
      </c>
      <c r="M20">
        <f>1</f>
        <v>1</v>
      </c>
      <c r="N20" s="25">
        <f t="shared" si="3"/>
        <v>78000</v>
      </c>
      <c r="O20" s="15">
        <f t="shared" si="1"/>
        <v>0</v>
      </c>
    </row>
    <row r="21" spans="1:15" x14ac:dyDescent="0.2">
      <c r="A21" s="13" t="s">
        <v>40</v>
      </c>
      <c r="B21" s="14" t="s">
        <v>41</v>
      </c>
      <c r="C21" s="15">
        <f>'[16]Executive Orig'!C21+[16]Trading!C21+[16]Origination!C21+'[16]Mid Market'!C21+[16]Services!C21+[16]Fundamentals!C21</f>
        <v>566869.93000000017</v>
      </c>
      <c r="E21" s="20">
        <f t="shared" si="2"/>
        <v>906991.88800000027</v>
      </c>
      <c r="F21" s="15"/>
      <c r="G21" s="15">
        <f>(((+'[18]West Power Trading'!G21+'[18]West Power A&amp;A'!G21)*1.2)/1.2)*1.1</f>
        <v>93500.000000000015</v>
      </c>
      <c r="H21" s="15"/>
      <c r="I21" s="16">
        <f t="shared" si="0"/>
        <v>1.9409604023234637E-2</v>
      </c>
      <c r="K21" t="s">
        <v>42</v>
      </c>
      <c r="L21" s="25">
        <v>66000</v>
      </c>
      <c r="M21">
        <f>7</f>
        <v>7</v>
      </c>
      <c r="N21" s="25">
        <f t="shared" si="3"/>
        <v>462000</v>
      </c>
      <c r="O21" s="15">
        <f t="shared" si="1"/>
        <v>3895.8333333333339</v>
      </c>
    </row>
    <row r="22" spans="1:15" x14ac:dyDescent="0.2">
      <c r="A22" s="13" t="s">
        <v>43</v>
      </c>
      <c r="B22" s="14" t="s">
        <v>44</v>
      </c>
      <c r="C22" s="15">
        <f>'[16]Executive Orig'!C22+[16]Trading!C22+[16]Origination!C22+'[16]Mid Market'!C22+[16]Services!C22+[16]Fundamentals!C22</f>
        <v>75709.649999999965</v>
      </c>
      <c r="E22" s="20">
        <f t="shared" si="2"/>
        <v>121135.43999999994</v>
      </c>
      <c r="F22" s="15"/>
      <c r="G22" s="15">
        <f>(((+'[18]West Power Trading'!G22+'[18]West Power A&amp;A'!G22)*1.2)/1.2)*1.1</f>
        <v>35932.310292134818</v>
      </c>
      <c r="H22" s="15"/>
      <c r="I22" s="16">
        <f t="shared" si="0"/>
        <v>7.4591648600035847E-3</v>
      </c>
      <c r="K22" t="s">
        <v>45</v>
      </c>
      <c r="L22" s="25">
        <v>97200</v>
      </c>
      <c r="M22">
        <f>1</f>
        <v>1</v>
      </c>
      <c r="N22" s="25">
        <f t="shared" si="3"/>
        <v>97200</v>
      </c>
      <c r="O22" s="15">
        <f t="shared" si="1"/>
        <v>1497.1795955056175</v>
      </c>
    </row>
    <row r="23" spans="1:15" x14ac:dyDescent="0.2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4817202.859371786</v>
      </c>
      <c r="H23" s="29"/>
      <c r="I23" s="30">
        <f>SUM(I8:I22)</f>
        <v>0.99999999999999978</v>
      </c>
      <c r="K23" t="s">
        <v>48</v>
      </c>
      <c r="L23" s="25">
        <v>120000</v>
      </c>
      <c r="M23">
        <f>5</f>
        <v>5</v>
      </c>
      <c r="N23" s="25">
        <f t="shared" si="3"/>
        <v>600000</v>
      </c>
      <c r="O23" s="28">
        <f>SUM(O8:O22)</f>
        <v>200716.78580715769</v>
      </c>
    </row>
    <row r="24" spans="1:15" x14ac:dyDescent="0.2">
      <c r="K24" t="s">
        <v>49</v>
      </c>
      <c r="L24" s="25">
        <v>156000</v>
      </c>
      <c r="M24">
        <f>11</f>
        <v>11</v>
      </c>
      <c r="N24" s="25">
        <f t="shared" si="3"/>
        <v>1716000</v>
      </c>
    </row>
    <row r="25" spans="1:15" x14ac:dyDescent="0.2">
      <c r="B25" s="27" t="s">
        <v>50</v>
      </c>
      <c r="C25" s="15"/>
      <c r="E25" s="31">
        <f>'[16]Executive Orig'!E25+[16]Trading!E25+[16]Origination!E25+'[16]Mid Market'!E25+[16]Services!E25+[16]Fundamentals!E25</f>
        <v>74</v>
      </c>
      <c r="F25" s="32"/>
      <c r="G25" s="31">
        <f>+'[18]West Power Trading'!G25+'[18]West Power A&amp;A'!G25</f>
        <v>16</v>
      </c>
      <c r="H25" s="32"/>
      <c r="K25" t="s">
        <v>51</v>
      </c>
      <c r="L25" s="25">
        <v>180000</v>
      </c>
      <c r="M25">
        <v>0</v>
      </c>
      <c r="N25" s="25">
        <f t="shared" si="3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52</v>
      </c>
      <c r="L26" s="25">
        <v>216000</v>
      </c>
      <c r="M26">
        <f>4</f>
        <v>4</v>
      </c>
      <c r="N26" s="25">
        <f t="shared" si="3"/>
        <v>864000</v>
      </c>
      <c r="O26" s="15"/>
    </row>
    <row r="27" spans="1:15" x14ac:dyDescent="0.2">
      <c r="B27" s="27" t="s">
        <v>53</v>
      </c>
      <c r="C27" s="15"/>
      <c r="E27" s="31">
        <f>'[16]Executive Orig'!E27+[16]Trading!E27+[16]Origination!E27+'[16]Mid Market'!E27+[16]Services!E27+[16]Fundamentals!E27</f>
        <v>15</v>
      </c>
      <c r="F27" s="32"/>
      <c r="G27" s="31">
        <f>+'[18]West Power Trading'!G27+'[18]West Power A&amp;A'!G27</f>
        <v>8</v>
      </c>
      <c r="H27" s="32"/>
      <c r="K27" t="s">
        <v>54</v>
      </c>
      <c r="L27" s="25">
        <v>240000</v>
      </c>
      <c r="M27">
        <f>2</f>
        <v>2</v>
      </c>
      <c r="N27" s="25">
        <f t="shared" si="3"/>
        <v>480000</v>
      </c>
      <c r="O27" s="31">
        <f>+U21+U22</f>
        <v>0</v>
      </c>
    </row>
    <row r="28" spans="1:15" x14ac:dyDescent="0.2">
      <c r="M28">
        <f>SUM(M16:M27)</f>
        <v>42</v>
      </c>
      <c r="N28" s="25">
        <f>SUM(N16:N27)*1.2</f>
        <v>5891760</v>
      </c>
    </row>
    <row r="29" spans="1:15" x14ac:dyDescent="0.2">
      <c r="B29" s="27" t="s">
        <v>55</v>
      </c>
      <c r="C29" s="15"/>
      <c r="E29" s="31">
        <f>+E27+E25</f>
        <v>89</v>
      </c>
      <c r="F29" s="32"/>
      <c r="G29" s="31">
        <f>+G27+G25</f>
        <v>24</v>
      </c>
      <c r="H29" s="32"/>
      <c r="I29" s="25"/>
      <c r="O29" s="31">
        <v>1</v>
      </c>
    </row>
    <row r="31" spans="1:15" x14ac:dyDescent="0.2">
      <c r="J31" s="33" t="s">
        <v>56</v>
      </c>
      <c r="K31" s="25"/>
      <c r="L31" s="25"/>
      <c r="M31" s="25"/>
    </row>
    <row r="32" spans="1:15" hidden="1" x14ac:dyDescent="0.2">
      <c r="B32" s="14" t="s">
        <v>22</v>
      </c>
      <c r="C32" s="15">
        <v>677322</v>
      </c>
      <c r="K32" s="25"/>
      <c r="L32" s="25"/>
      <c r="M32" s="25"/>
    </row>
    <row r="33" spans="10:14" x14ac:dyDescent="0.2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42</v>
      </c>
      <c r="N34" s="37">
        <f>+L34*M34</f>
        <v>1996421.9217977524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AU34"/>
  <sheetViews>
    <sheetView zoomScaleNormal="100" workbookViewId="0">
      <selection activeCell="P155" sqref="P155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16" width="20.28515625" hidden="1" customWidth="1"/>
    <col min="17" max="17" width="20.85546875" hidden="1" customWidth="1"/>
    <col min="18" max="18" width="0" hidden="1" customWidth="1"/>
  </cols>
  <sheetData>
    <row r="1" spans="1:47" ht="18" x14ac:dyDescent="0.25">
      <c r="B1" s="142" t="str">
        <f>'[15]Team Report'!B1</f>
        <v>Enron North America</v>
      </c>
      <c r="C1" s="142"/>
      <c r="D1" s="144"/>
      <c r="E1" s="144"/>
      <c r="F1" s="144"/>
      <c r="G1" s="144"/>
      <c r="H1" s="144"/>
      <c r="I1" s="14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42" t="s">
        <v>230</v>
      </c>
      <c r="C2" s="142"/>
      <c r="D2" s="144"/>
      <c r="E2" s="144"/>
      <c r="F2" s="144"/>
      <c r="G2" s="144"/>
      <c r="H2" s="144"/>
      <c r="I2" s="14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45" t="s">
        <v>0</v>
      </c>
      <c r="C3" s="145"/>
      <c r="D3" s="146"/>
      <c r="E3" s="146"/>
      <c r="F3" s="146"/>
      <c r="G3" s="146"/>
      <c r="H3" s="146"/>
      <c r="I3" s="146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1</v>
      </c>
      <c r="M5" s="8" t="s">
        <v>2</v>
      </c>
      <c r="N5" s="9" t="s">
        <v>3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47" x14ac:dyDescent="0.2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47" x14ac:dyDescent="0.2">
      <c r="A8" s="13" t="s">
        <v>9</v>
      </c>
      <c r="B8" s="14" t="s">
        <v>10</v>
      </c>
      <c r="C8" s="15">
        <f>'[16]Executive Orig'!C8+[16]Trading!C8+[16]Origination!C8+'[16]Mid Market'!C8+[16]Services!C8+[16]Fundamentals!C8</f>
        <v>4789958.9899999993</v>
      </c>
      <c r="E8" s="15">
        <f>(C8/9)*12</f>
        <v>6386611.9866666663</v>
      </c>
      <c r="F8" s="15"/>
      <c r="G8" s="15">
        <f>(((SUM(N16:N20,N23:N27))*1.2)/1.2)*1.1</f>
        <v>2085600.0000000002</v>
      </c>
      <c r="H8" s="15"/>
      <c r="I8" s="16">
        <f t="shared" ref="I8:I22" si="0">+G8/$G$23</f>
        <v>0.56460100803052926</v>
      </c>
      <c r="K8" s="7" t="s">
        <v>10</v>
      </c>
      <c r="L8" s="17">
        <v>0</v>
      </c>
      <c r="M8" s="8">
        <v>64</v>
      </c>
      <c r="N8" s="18">
        <f>N28</f>
        <v>2275200</v>
      </c>
      <c r="O8" s="15">
        <f t="shared" ref="O8:O22" si="1">+G8/$G$29*$O$29</f>
        <v>173800.00000000003</v>
      </c>
    </row>
    <row r="9" spans="1:47" hidden="1" x14ac:dyDescent="0.2">
      <c r="A9" s="13"/>
      <c r="B9" s="14" t="s">
        <v>11</v>
      </c>
      <c r="C9" s="15">
        <f>'[16]Executive Orig'!C9+[16]Trading!C9+[16]Origination!C9+'[16]Mid Market'!C9+[16]Services!C9+[16]Fundamentals!C9</f>
        <v>1464000</v>
      </c>
      <c r="E9" s="15">
        <f>+C9</f>
        <v>1464000</v>
      </c>
      <c r="F9" s="15"/>
      <c r="G9" s="15">
        <v>0</v>
      </c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12</v>
      </c>
      <c r="C10" s="15">
        <f>'[16]Executive Orig'!C10+[16]Trading!C10+[16]Origination!C10+'[16]Mid Market'!C10+[16]Services!C10+[16]Fundamentals!C10</f>
        <v>804567</v>
      </c>
      <c r="E10" s="15">
        <f>(C10/9)*12</f>
        <v>1072756</v>
      </c>
      <c r="F10" s="15"/>
      <c r="G10" s="15">
        <f>(((+N21+N22)*1.2)/1.2)*1.1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  <c r="P10" s="123"/>
      <c r="Q10" s="123"/>
      <c r="R10" s="123"/>
    </row>
    <row r="11" spans="1:47" x14ac:dyDescent="0.2">
      <c r="A11" s="13" t="s">
        <v>13</v>
      </c>
      <c r="B11" s="14" t="s">
        <v>14</v>
      </c>
      <c r="C11" s="15">
        <f>'[16]Executive Orig'!C11+[16]Trading!C11+[16]Origination!C11+'[16]Mid Market'!C11+[16]Services!C11+[16]Fundamentals!C11</f>
        <v>1096068.21</v>
      </c>
      <c r="E11" s="15">
        <f>(C11/9)*12</f>
        <v>1461424.2799999998</v>
      </c>
      <c r="F11" s="15"/>
      <c r="G11" s="15">
        <f>(((+G8*0.2+(N21+N22)*0.2)*1.2)/1.2)*1.1</f>
        <v>458832.00000000012</v>
      </c>
      <c r="H11" s="15"/>
      <c r="I11" s="16">
        <f t="shared" si="0"/>
        <v>0.12421222176671647</v>
      </c>
      <c r="K11" s="7" t="s">
        <v>15</v>
      </c>
      <c r="L11" s="19">
        <f>(E12+E13+E14+E15+E16+E17+E18+E19+E20+E21+E22)/E29</f>
        <v>47533.855280898868</v>
      </c>
      <c r="M11" s="8">
        <f>M28</f>
        <v>12</v>
      </c>
      <c r="N11" s="18">
        <f>L11*M11</f>
        <v>570406.26337078644</v>
      </c>
      <c r="O11" s="15">
        <f t="shared" si="1"/>
        <v>38236.000000000007</v>
      </c>
      <c r="P11" s="123"/>
      <c r="Q11" s="123"/>
      <c r="R11" s="123"/>
    </row>
    <row r="12" spans="1:47" x14ac:dyDescent="0.2">
      <c r="A12" s="13" t="s">
        <v>16</v>
      </c>
      <c r="B12" s="14" t="s">
        <v>17</v>
      </c>
      <c r="C12" s="15">
        <f>'[16]Executive Orig'!C12+[16]Trading!C12+[16]Origination!C12+'[16]Mid Market'!C12+[16]Services!C12+[16]Fundamentals!C12</f>
        <v>658117.68000000005</v>
      </c>
      <c r="E12" s="20">
        <f t="shared" ref="E12:E22" si="2">((C12/9)*12)*1.2</f>
        <v>1052988.2880000002</v>
      </c>
      <c r="F12" s="15"/>
      <c r="G12" s="21">
        <f>(((+E12/$E$29*$M$11)*1.2)/1.2)*1.1</f>
        <v>156173.54383820228</v>
      </c>
      <c r="H12" s="15"/>
      <c r="I12" s="16">
        <f t="shared" si="0"/>
        <v>4.2278356481947187E-2</v>
      </c>
      <c r="K12" s="7"/>
      <c r="L12" s="8"/>
      <c r="M12" s="8"/>
      <c r="N12" s="9"/>
      <c r="O12" s="15">
        <f t="shared" si="1"/>
        <v>13014.461986516857</v>
      </c>
      <c r="P12" s="123"/>
      <c r="Q12" s="123"/>
      <c r="R12" s="123"/>
    </row>
    <row r="13" spans="1:47" ht="13.5" thickBot="1" x14ac:dyDescent="0.25">
      <c r="A13" s="13" t="s">
        <v>18</v>
      </c>
      <c r="B13" s="14" t="s">
        <v>19</v>
      </c>
      <c r="C13" s="15">
        <f>'[16]Executive Orig'!C13+[16]Trading!C13+[16]Origination!C13+'[16]Mid Market'!C13+[16]Services!C13+[16]Fundamentals!C13</f>
        <v>719773.79999999993</v>
      </c>
      <c r="E13" s="20">
        <f t="shared" si="2"/>
        <v>1151638.0799999998</v>
      </c>
      <c r="F13" s="15"/>
      <c r="G13" s="21">
        <f>(((+(4000*12)*12)*1.2)/1.2)*1.1</f>
        <v>633600</v>
      </c>
      <c r="H13" s="15"/>
      <c r="I13" s="16">
        <f t="shared" si="0"/>
        <v>0.1715243568700342</v>
      </c>
      <c r="K13" s="22" t="s">
        <v>20</v>
      </c>
      <c r="L13" s="23"/>
      <c r="M13" s="23"/>
      <c r="N13" s="24">
        <f>N8+N11</f>
        <v>2845606.2633707863</v>
      </c>
      <c r="O13" s="15">
        <f t="shared" si="1"/>
        <v>52800</v>
      </c>
      <c r="P13" s="123"/>
      <c r="Q13" s="123"/>
      <c r="R13" s="123"/>
    </row>
    <row r="14" spans="1:47" x14ac:dyDescent="0.2">
      <c r="A14" s="13" t="s">
        <v>21</v>
      </c>
      <c r="B14" s="14" t="s">
        <v>22</v>
      </c>
      <c r="C14" s="15">
        <f>'[16]Executive Orig'!C14+[16]Trading!C14+[16]Origination!C14+'[16]Mid Market'!C14+[16]Services!C14+[16]Fundamentals!C14-C32</f>
        <v>0.23999999975785613</v>
      </c>
      <c r="E14" s="20">
        <f t="shared" si="2"/>
        <v>0.38399999961256975</v>
      </c>
      <c r="F14" s="15"/>
      <c r="G14" s="21">
        <v>55000</v>
      </c>
      <c r="H14" s="15"/>
      <c r="I14" s="16">
        <f t="shared" si="0"/>
        <v>1.488926708941269E-2</v>
      </c>
      <c r="O14" s="15">
        <f t="shared" si="1"/>
        <v>4583.333333333333</v>
      </c>
      <c r="P14" s="123"/>
      <c r="Q14" s="123"/>
      <c r="R14" s="123"/>
    </row>
    <row r="15" spans="1:47" x14ac:dyDescent="0.2">
      <c r="A15" s="13" t="s">
        <v>23</v>
      </c>
      <c r="B15" s="14" t="s">
        <v>24</v>
      </c>
      <c r="C15" s="15">
        <f>'[16]Executive Orig'!C15+[16]Trading!C15+[16]Origination!C15+'[16]Mid Market'!C15+[16]Services!C15+[16]Fundamentals!C15</f>
        <v>128890.14</v>
      </c>
      <c r="E15" s="20">
        <f t="shared" si="2"/>
        <v>206224.22400000002</v>
      </c>
      <c r="F15" s="15"/>
      <c r="G15" s="21">
        <v>34848</v>
      </c>
      <c r="H15" s="15"/>
      <c r="I15" s="16">
        <f t="shared" si="0"/>
        <v>9.433839627851881E-3</v>
      </c>
      <c r="O15" s="15">
        <f t="shared" si="1"/>
        <v>2904</v>
      </c>
      <c r="P15" s="123"/>
      <c r="Q15" s="123"/>
      <c r="R15" s="123"/>
    </row>
    <row r="16" spans="1:47" x14ac:dyDescent="0.2">
      <c r="A16" s="13" t="s">
        <v>25</v>
      </c>
      <c r="B16" s="14" t="s">
        <v>26</v>
      </c>
      <c r="C16" s="15">
        <f>'[16]Executive Orig'!C16+[16]Trading!C16+[16]Origination!C16+'[16]Mid Market'!C16+[16]Services!C16+[16]Fundamentals!C16</f>
        <v>0</v>
      </c>
      <c r="E16" s="20">
        <f t="shared" si="2"/>
        <v>0</v>
      </c>
      <c r="F16" s="15"/>
      <c r="G16" s="21">
        <f t="shared" ref="G16:G22" si="3">(((+E16/$E$29*$M$11)*1.2)/1.2)*1.1</f>
        <v>0</v>
      </c>
      <c r="H16" s="15"/>
      <c r="I16" s="16">
        <f t="shared" si="0"/>
        <v>0</v>
      </c>
      <c r="K16" t="s">
        <v>27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  <c r="P16" s="123"/>
      <c r="Q16" s="123"/>
      <c r="R16" s="123"/>
    </row>
    <row r="17" spans="1:18" x14ac:dyDescent="0.2">
      <c r="A17" s="13" t="s">
        <v>28</v>
      </c>
      <c r="B17" s="14" t="s">
        <v>29</v>
      </c>
      <c r="C17" s="15">
        <f>'[16]Executive Orig'!C17+[16]Trading!C17+[16]Origination!C17+'[16]Mid Market'!C17+[16]Services!C17+[16]Fundamentals!C17</f>
        <v>11300</v>
      </c>
      <c r="E17" s="20">
        <f t="shared" si="2"/>
        <v>18080</v>
      </c>
      <c r="F17" s="15"/>
      <c r="G17" s="21">
        <f t="shared" si="3"/>
        <v>2681.5280898876404</v>
      </c>
      <c r="H17" s="15"/>
      <c r="I17" s="16">
        <f t="shared" si="0"/>
        <v>7.259270534199949E-4</v>
      </c>
      <c r="K17" t="s">
        <v>30</v>
      </c>
      <c r="L17" s="25">
        <v>52800</v>
      </c>
      <c r="M17">
        <v>0</v>
      </c>
      <c r="N17" s="25">
        <f t="shared" si="4"/>
        <v>0</v>
      </c>
      <c r="O17" s="15">
        <f t="shared" si="1"/>
        <v>223.46067415730337</v>
      </c>
      <c r="P17" s="123"/>
      <c r="Q17" s="123"/>
      <c r="R17" s="123"/>
    </row>
    <row r="18" spans="1:18" x14ac:dyDescent="0.2">
      <c r="A18" s="13" t="s">
        <v>31</v>
      </c>
      <c r="B18" s="14" t="s">
        <v>32</v>
      </c>
      <c r="C18" s="15">
        <f>'[16]Executive Orig'!C18+[16]Trading!C18+[16]Origination!C18+'[16]Mid Market'!C18+[16]Services!C18+[16]Fundamentals!C18</f>
        <v>327447.74000000005</v>
      </c>
      <c r="E18" s="20">
        <f t="shared" si="2"/>
        <v>523916.38400000002</v>
      </c>
      <c r="F18" s="15"/>
      <c r="G18" s="21">
        <f t="shared" si="3"/>
        <v>77704.452458426967</v>
      </c>
      <c r="H18" s="15"/>
      <c r="I18" s="16">
        <f t="shared" si="0"/>
        <v>2.1035679030728904E-2</v>
      </c>
      <c r="K18" t="s">
        <v>33</v>
      </c>
      <c r="L18" s="25">
        <v>54000</v>
      </c>
      <c r="M18">
        <v>0</v>
      </c>
      <c r="N18" s="25">
        <f t="shared" si="4"/>
        <v>0</v>
      </c>
      <c r="O18" s="15">
        <f t="shared" si="1"/>
        <v>6475.3710382022473</v>
      </c>
      <c r="P18" s="123"/>
      <c r="Q18" s="123"/>
      <c r="R18" s="123"/>
    </row>
    <row r="19" spans="1:18" x14ac:dyDescent="0.2">
      <c r="A19" s="13" t="s">
        <v>34</v>
      </c>
      <c r="B19" s="14" t="s">
        <v>35</v>
      </c>
      <c r="C19" s="15">
        <f>'[16]Executive Orig'!C19+[16]Trading!C19+[16]Origination!C19+'[16]Mid Market'!C19+[16]Services!C19+[16]Fundamentals!C19</f>
        <v>155845.37</v>
      </c>
      <c r="E19" s="20">
        <f t="shared" si="2"/>
        <v>249352.59199999998</v>
      </c>
      <c r="F19" s="15"/>
      <c r="G19" s="21">
        <f t="shared" si="3"/>
        <v>36982.631622471912</v>
      </c>
      <c r="H19" s="15"/>
      <c r="I19" s="16">
        <f t="shared" si="0"/>
        <v>1.001171417993353E-2</v>
      </c>
      <c r="K19" t="s">
        <v>36</v>
      </c>
      <c r="L19" s="25">
        <v>63000</v>
      </c>
      <c r="M19">
        <v>0</v>
      </c>
      <c r="N19" s="25">
        <f t="shared" si="4"/>
        <v>0</v>
      </c>
      <c r="O19" s="15">
        <f t="shared" si="1"/>
        <v>3081.8859685393259</v>
      </c>
      <c r="P19" s="123"/>
      <c r="Q19" s="123"/>
      <c r="R19" s="123"/>
    </row>
    <row r="20" spans="1:18" x14ac:dyDescent="0.2">
      <c r="A20" s="13" t="s">
        <v>37</v>
      </c>
      <c r="B20" s="14" t="s">
        <v>38</v>
      </c>
      <c r="C20" s="15">
        <f>'[16]Executive Orig'!C20+[16]Trading!C20+[16]Origination!C20+'[16]Mid Market'!C20+[16]Services!C20+[16]Fundamentals!C20</f>
        <v>116.15</v>
      </c>
      <c r="E20" s="20">
        <f t="shared" si="2"/>
        <v>185.84</v>
      </c>
      <c r="F20" s="15"/>
      <c r="G20" s="21">
        <f t="shared" si="3"/>
        <v>27.562786516853937</v>
      </c>
      <c r="H20" s="15"/>
      <c r="I20" s="16">
        <f t="shared" si="0"/>
        <v>7.4616307305072941E-6</v>
      </c>
      <c r="K20" t="s">
        <v>39</v>
      </c>
      <c r="L20" s="25">
        <v>78000</v>
      </c>
      <c r="M20">
        <v>0</v>
      </c>
      <c r="N20" s="25">
        <f t="shared" si="4"/>
        <v>0</v>
      </c>
      <c r="O20" s="15">
        <f t="shared" si="1"/>
        <v>2.2968988764044949</v>
      </c>
      <c r="P20" s="123"/>
      <c r="Q20" s="123"/>
      <c r="R20" s="123"/>
    </row>
    <row r="21" spans="1:18" x14ac:dyDescent="0.2">
      <c r="A21" s="13" t="s">
        <v>40</v>
      </c>
      <c r="B21" s="14" t="s">
        <v>41</v>
      </c>
      <c r="C21" s="15">
        <f>'[16]Executive Orig'!C21+[16]Trading!C21+[16]Origination!C21+'[16]Mid Market'!C21+[16]Services!C21+[16]Fundamentals!C21</f>
        <v>566869.93000000017</v>
      </c>
      <c r="E21" s="20">
        <f t="shared" si="2"/>
        <v>906991.88800000027</v>
      </c>
      <c r="F21" s="15"/>
      <c r="G21" s="21">
        <f t="shared" si="3"/>
        <v>134520.14518651692</v>
      </c>
      <c r="H21" s="15"/>
      <c r="I21" s="16">
        <f t="shared" si="0"/>
        <v>3.6416479465247696E-2</v>
      </c>
      <c r="K21" t="s">
        <v>42</v>
      </c>
      <c r="L21" s="25">
        <v>66000</v>
      </c>
      <c r="M21">
        <v>0</v>
      </c>
      <c r="N21" s="25">
        <f t="shared" si="4"/>
        <v>0</v>
      </c>
      <c r="O21" s="15">
        <f t="shared" si="1"/>
        <v>11210.01209887641</v>
      </c>
      <c r="P21" s="123"/>
      <c r="Q21" s="123"/>
      <c r="R21" s="123"/>
    </row>
    <row r="22" spans="1:18" x14ac:dyDescent="0.2">
      <c r="A22" s="13" t="s">
        <v>43</v>
      </c>
      <c r="B22" s="14" t="s">
        <v>44</v>
      </c>
      <c r="C22" s="15">
        <f>'[16]Executive Orig'!C22+[16]Trading!C22+[16]Origination!C22+'[16]Mid Market'!C22+[16]Services!C22+[16]Fundamentals!C22</f>
        <v>75709.649999999965</v>
      </c>
      <c r="E22" s="20">
        <f t="shared" si="2"/>
        <v>121135.43999999994</v>
      </c>
      <c r="F22" s="15"/>
      <c r="G22" s="21">
        <f t="shared" si="3"/>
        <v>17966.155146067409</v>
      </c>
      <c r="H22" s="15"/>
      <c r="I22" s="16">
        <f t="shared" si="0"/>
        <v>4.8636887734477075E-3</v>
      </c>
      <c r="K22" t="s">
        <v>45</v>
      </c>
      <c r="L22" s="25">
        <v>97200</v>
      </c>
      <c r="M22">
        <v>0</v>
      </c>
      <c r="N22" s="25">
        <f t="shared" si="4"/>
        <v>0</v>
      </c>
      <c r="O22" s="15">
        <f t="shared" si="1"/>
        <v>1497.1795955056175</v>
      </c>
    </row>
    <row r="23" spans="1:18" x14ac:dyDescent="0.2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3693936.0191280902</v>
      </c>
      <c r="H23" s="29"/>
      <c r="I23" s="30">
        <f>SUM(I8:I22)</f>
        <v>1.0000000000000002</v>
      </c>
      <c r="K23" t="s">
        <v>48</v>
      </c>
      <c r="L23" s="25">
        <v>120000</v>
      </c>
      <c r="M23">
        <v>5</v>
      </c>
      <c r="N23" s="25">
        <f t="shared" si="4"/>
        <v>600000</v>
      </c>
      <c r="O23" s="28">
        <f>SUM(O8:O22)</f>
        <v>307828.0015940076</v>
      </c>
    </row>
    <row r="24" spans="1:18" x14ac:dyDescent="0.2">
      <c r="K24" t="s">
        <v>49</v>
      </c>
      <c r="L24" s="25">
        <v>156000</v>
      </c>
      <c r="M24">
        <v>4</v>
      </c>
      <c r="N24" s="25">
        <f t="shared" si="4"/>
        <v>624000</v>
      </c>
    </row>
    <row r="25" spans="1:18" x14ac:dyDescent="0.2">
      <c r="B25" s="27" t="s">
        <v>50</v>
      </c>
      <c r="C25" s="15"/>
      <c r="E25" s="31">
        <f>'[16]Executive Orig'!E25+[16]Trading!E25+[16]Origination!E25+'[16]Mid Market'!E25+[16]Services!E25+[16]Fundamentals!E25</f>
        <v>74</v>
      </c>
      <c r="F25" s="32"/>
      <c r="G25" s="31">
        <f>SUM(M16:M20,M23:M27)</f>
        <v>12</v>
      </c>
      <c r="H25" s="32"/>
      <c r="K25" t="s">
        <v>51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8" x14ac:dyDescent="0.2">
      <c r="C26" s="15"/>
      <c r="E26" s="15"/>
      <c r="F26" s="15"/>
      <c r="G26" s="15"/>
      <c r="H26" s="15"/>
      <c r="K26" t="s">
        <v>52</v>
      </c>
      <c r="L26" s="25">
        <v>216000</v>
      </c>
      <c r="M26">
        <v>2</v>
      </c>
      <c r="N26" s="25">
        <f t="shared" si="4"/>
        <v>432000</v>
      </c>
      <c r="O26" s="15"/>
    </row>
    <row r="27" spans="1:18" x14ac:dyDescent="0.2">
      <c r="B27" s="27" t="s">
        <v>53</v>
      </c>
      <c r="C27" s="15"/>
      <c r="E27" s="31">
        <f>'[16]Executive Orig'!E27+[16]Trading!E27+[16]Origination!E27+'[16]Mid Market'!E27+[16]Services!E27+[16]Fundamentals!E27</f>
        <v>15</v>
      </c>
      <c r="F27" s="32"/>
      <c r="G27" s="31">
        <f>+M21+M22</f>
        <v>0</v>
      </c>
      <c r="H27" s="32"/>
      <c r="K27" t="s">
        <v>54</v>
      </c>
      <c r="L27" s="25">
        <v>240000</v>
      </c>
      <c r="M27">
        <v>1</v>
      </c>
      <c r="N27" s="25">
        <f t="shared" si="4"/>
        <v>240000</v>
      </c>
      <c r="O27" s="31">
        <f>+U21+U22</f>
        <v>0</v>
      </c>
    </row>
    <row r="28" spans="1:18" x14ac:dyDescent="0.2">
      <c r="M28">
        <f>SUM(M16:M27)</f>
        <v>12</v>
      </c>
      <c r="N28" s="25">
        <f>SUM(N16:N27)*1.2</f>
        <v>2275200</v>
      </c>
    </row>
    <row r="29" spans="1:18" x14ac:dyDescent="0.2">
      <c r="B29" s="27" t="s">
        <v>55</v>
      </c>
      <c r="C29" s="15"/>
      <c r="E29" s="31">
        <f>+E27+E25</f>
        <v>89</v>
      </c>
      <c r="F29" s="32"/>
      <c r="G29" s="31">
        <f>+G27+G25</f>
        <v>12</v>
      </c>
      <c r="H29" s="32"/>
      <c r="I29" s="25"/>
      <c r="O29" s="31">
        <v>1</v>
      </c>
    </row>
    <row r="31" spans="1:18" x14ac:dyDescent="0.2">
      <c r="J31" s="33" t="s">
        <v>56</v>
      </c>
      <c r="K31" s="25"/>
      <c r="L31" s="25"/>
      <c r="M31" s="25"/>
    </row>
    <row r="32" spans="1:18" hidden="1" x14ac:dyDescent="0.2">
      <c r="B32" s="14" t="s">
        <v>22</v>
      </c>
      <c r="C32" s="15">
        <v>677322</v>
      </c>
      <c r="K32" s="25"/>
      <c r="L32" s="25"/>
      <c r="M32" s="25"/>
    </row>
    <row r="33" spans="10:14" x14ac:dyDescent="0.2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12</v>
      </c>
      <c r="N34" s="37">
        <f>+L34*M34</f>
        <v>570406.26337078644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scale="88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>
    <pageSetUpPr fitToPage="1"/>
  </sheetPr>
  <dimension ref="A1:AQ49"/>
  <sheetViews>
    <sheetView topLeftCell="A2" zoomScaleNormal="100" workbookViewId="0">
      <selection activeCell="P155" sqref="P155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2" width="0" hidden="1" customWidth="1"/>
  </cols>
  <sheetData>
    <row r="1" spans="1:43" ht="18" x14ac:dyDescent="0.25">
      <c r="B1" s="142" t="str">
        <f>'[2]Team Report'!B1</f>
        <v>Enron North America</v>
      </c>
      <c r="C1" s="142"/>
      <c r="D1" s="142"/>
      <c r="E1" s="142"/>
      <c r="F1" s="142"/>
      <c r="G1" s="142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42" t="s">
        <v>232</v>
      </c>
      <c r="C2" s="142"/>
      <c r="D2" s="142"/>
      <c r="E2" s="142"/>
      <c r="F2" s="142"/>
      <c r="G2" s="142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43" t="s">
        <v>0</v>
      </c>
      <c r="C3" s="143"/>
      <c r="D3" s="143"/>
      <c r="E3" s="143"/>
      <c r="F3" s="143"/>
      <c r="G3" s="143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1</v>
      </c>
      <c r="J5" s="8" t="s">
        <v>2</v>
      </c>
      <c r="K5" s="9" t="s">
        <v>3</v>
      </c>
    </row>
    <row r="6" spans="1:43" x14ac:dyDescent="0.2">
      <c r="C6" s="10">
        <v>37135</v>
      </c>
      <c r="E6" s="44" t="s">
        <v>63</v>
      </c>
      <c r="G6" s="44" t="s">
        <v>63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5</v>
      </c>
      <c r="E7" s="12" t="s">
        <v>6</v>
      </c>
      <c r="G7" s="12" t="s">
        <v>7</v>
      </c>
      <c r="H7" s="7"/>
      <c r="I7" s="17"/>
      <c r="J7" s="8"/>
      <c r="K7" s="9"/>
      <c r="O7" s="12" t="s">
        <v>7</v>
      </c>
      <c r="AK7" s="12"/>
    </row>
    <row r="8" spans="1:43" x14ac:dyDescent="0.2">
      <c r="A8" s="13" t="s">
        <v>9</v>
      </c>
      <c r="B8" s="14" t="s">
        <v>10</v>
      </c>
      <c r="C8" s="15">
        <f>+'[1]Natural Gas'!C8+[1]Ontario!C8+[1]Finance!C8+[1]Executive!C8+[1]Alberta!C8</f>
        <v>2855922.0300000003</v>
      </c>
      <c r="E8" s="15">
        <f>+'[1]Natural Gas'!E8+[1]Ontario!E8+[1]Finance!E8+[1]Executive!E8+[1]Alberta!E8</f>
        <v>3807896.0399999991</v>
      </c>
      <c r="G8" s="15">
        <f>(((+'Canada Trading'!G8+'Canada A&amp;A-Trading'!G8)*1.2)/1.2)*1.1</f>
        <v>660000</v>
      </c>
      <c r="H8" s="7" t="s">
        <v>10</v>
      </c>
      <c r="I8" s="17">
        <v>0</v>
      </c>
      <c r="J8" s="8"/>
      <c r="K8" s="18">
        <f>K28</f>
        <v>1128000</v>
      </c>
      <c r="O8" s="15">
        <f t="shared" ref="O8:O22" si="0">+G8/$G$29*$O$29</f>
        <v>55000</v>
      </c>
      <c r="AK8" s="32"/>
    </row>
    <row r="9" spans="1:43" x14ac:dyDescent="0.2">
      <c r="A9" s="13"/>
      <c r="B9" s="14" t="s">
        <v>11</v>
      </c>
      <c r="C9" s="15">
        <f>+'[1]Natural Gas'!C9+[1]Ontario!C9+[1]Finance!C9+[1]Executive!C9+[1]Alberta!C9</f>
        <v>0</v>
      </c>
      <c r="E9" s="15">
        <f>+'[1]Natural Gas'!E9+[1]Ontario!E9+[1]Finance!E9+[1]Executive!E9+[1]Alberta!E9</f>
        <v>0</v>
      </c>
      <c r="G9" s="15">
        <f>(((+'Canada Trading'!G9+'Canada A&amp;A-Trading'!G9)*1.2)/1.2)*1.1</f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89</v>
      </c>
      <c r="C10" s="15">
        <v>0</v>
      </c>
      <c r="E10" s="15">
        <v>0</v>
      </c>
      <c r="G10" s="15">
        <f>(((+'Canada Trading'!G10+'Canada A&amp;A-Trading'!G10)*1.2)/1.2)*1.1</f>
        <v>410640.00000000006</v>
      </c>
      <c r="H10" s="7"/>
      <c r="I10" s="17"/>
      <c r="J10" s="8"/>
      <c r="K10" s="9"/>
      <c r="O10" s="15">
        <f t="shared" si="0"/>
        <v>34220.000000000007</v>
      </c>
      <c r="AK10" s="32"/>
    </row>
    <row r="11" spans="1:43" x14ac:dyDescent="0.2">
      <c r="A11" s="13" t="s">
        <v>13</v>
      </c>
      <c r="B11" s="14" t="s">
        <v>14</v>
      </c>
      <c r="C11" s="15">
        <f>+'[1]Natural Gas'!C11+[1]Ontario!C11+[1]Finance!C11+[1]Executive!C10+[1]Alberta!C11</f>
        <v>312682.37</v>
      </c>
      <c r="E11" s="15">
        <f>+'[1]Natural Gas'!E11+[1]Ontario!E11+[1]Finance!E11+[1]Executive!E10+[1]Alberta!E11</f>
        <v>416909.82666666666</v>
      </c>
      <c r="G11" s="15">
        <f>(((+'Canada Trading'!G11+'Canada A&amp;A-Trading'!G11)*1.2)/1.2)*1.1</f>
        <v>159093.72</v>
      </c>
      <c r="H11" s="7" t="s">
        <v>15</v>
      </c>
      <c r="I11" s="19">
        <f>(E12+E13+E14+E15+E16+E17+E18+E19+E20+E21+E22)/E29</f>
        <v>31253.507839999998</v>
      </c>
      <c r="J11" s="8">
        <f>J28</f>
        <v>7</v>
      </c>
      <c r="K11" s="18">
        <f>I11*J11</f>
        <v>218774.55487999998</v>
      </c>
      <c r="O11" s="15">
        <f t="shared" si="0"/>
        <v>13257.81</v>
      </c>
      <c r="AK11" s="32"/>
    </row>
    <row r="12" spans="1:43" x14ac:dyDescent="0.2">
      <c r="A12" s="13" t="s">
        <v>16</v>
      </c>
      <c r="B12" s="14" t="s">
        <v>17</v>
      </c>
      <c r="C12" s="15">
        <f>+'[1]Natural Gas'!C12+[1]Ontario!C12+[1]Finance!C12+[1]Executive!C12+[1]Alberta!C12</f>
        <v>67320.12999999999</v>
      </c>
      <c r="E12" s="20">
        <f>(+'[1]Natural Gas'!E12+[1]Ontario!E12+[1]Finance!E12+[1]Executive!E12+[1]Alberta!E12)*1.2</f>
        <v>107712.20799999998</v>
      </c>
      <c r="G12" s="15">
        <f>(((+'Canada Trading'!G12+'Canada A&amp;A-Trading'!G12)*1.2+100000)/1.2)*1.1</f>
        <v>124842.02673066666</v>
      </c>
      <c r="H12" s="7"/>
      <c r="I12" s="17"/>
      <c r="J12" s="8"/>
      <c r="K12" s="9"/>
      <c r="O12" s="15">
        <f t="shared" si="0"/>
        <v>10403.502227555555</v>
      </c>
      <c r="AK12" s="32"/>
    </row>
    <row r="13" spans="1:43" ht="13.5" thickBot="1" x14ac:dyDescent="0.25">
      <c r="A13" s="13" t="s">
        <v>18</v>
      </c>
      <c r="B13" s="14" t="s">
        <v>19</v>
      </c>
      <c r="C13" s="15">
        <f>+'[1]Natural Gas'!C13+[1]Ontario!C13+[1]Finance!C13+[1]Executive!C13+[1]Alberta!C13</f>
        <v>297871.83999999997</v>
      </c>
      <c r="E13" s="20">
        <f>(+'[1]Natural Gas'!E13+[1]Ontario!E13+[1]Finance!E13+[1]Executive!E13+[1]Alberta!E13)*1.2</f>
        <v>476594.94399999996</v>
      </c>
      <c r="G13" s="15">
        <f>(((+'Canada Trading'!G13+'Canada A&amp;A-Trading'!G13)*1.2)/1.2)*1.1</f>
        <v>146791.24275200002</v>
      </c>
      <c r="H13" s="22" t="s">
        <v>20</v>
      </c>
      <c r="I13" s="47"/>
      <c r="J13" s="23"/>
      <c r="K13" s="24">
        <f>K8+K11</f>
        <v>1346774.55488</v>
      </c>
      <c r="O13" s="15">
        <f t="shared" si="0"/>
        <v>12232.603562666669</v>
      </c>
      <c r="AK13" s="32"/>
    </row>
    <row r="14" spans="1:43" x14ac:dyDescent="0.2">
      <c r="A14" s="13" t="s">
        <v>21</v>
      </c>
      <c r="B14" s="14" t="s">
        <v>22</v>
      </c>
      <c r="C14" s="15">
        <f>+'[1]Natural Gas'!C14+[1]Ontario!C14+[1]Finance!C14+[1]Executive!C14+[1]Alberta!C14</f>
        <v>505739.98</v>
      </c>
      <c r="E14" s="20">
        <f>(+'[1]Natural Gas'!E14+[1]Ontario!E14+[1]Finance!E14+[1]Executive!E14+[1]Alberta!E14)*1.2</f>
        <v>809183.96799999999</v>
      </c>
      <c r="G14" s="15">
        <f>(((+'Canada Trading'!G14+'Canada A&amp;A-Trading'!G14)*1.2)/1.2)*1.1</f>
        <v>249228.66214400003</v>
      </c>
      <c r="O14" s="15">
        <f t="shared" si="0"/>
        <v>20769.055178666669</v>
      </c>
      <c r="AK14" s="32"/>
    </row>
    <row r="15" spans="1:43" x14ac:dyDescent="0.2">
      <c r="A15" s="13" t="s">
        <v>23</v>
      </c>
      <c r="B15" s="14" t="s">
        <v>24</v>
      </c>
      <c r="C15" s="15">
        <f>+'[1]Natural Gas'!C15+[1]Ontario!C15+[1]Finance!C15+[1]Executive!C15+[1]Alberta!C15</f>
        <v>6427.4199999999992</v>
      </c>
      <c r="E15" s="20">
        <f>(+'[1]Natural Gas'!E15+[1]Ontario!E15+[1]Finance!E15+[1]Executive!E15+[1]Alberta!E15)*1.2</f>
        <v>10283.871999999998</v>
      </c>
      <c r="G15" s="15">
        <f>(((+'Canada Trading'!G15+'Canada A&amp;A-Trading'!G15)*1.2)/1.2)*1.1</f>
        <v>3167.4325759999997</v>
      </c>
      <c r="O15" s="15">
        <f t="shared" si="0"/>
        <v>263.95271466666662</v>
      </c>
      <c r="AK15" s="32"/>
    </row>
    <row r="16" spans="1:43" x14ac:dyDescent="0.2">
      <c r="A16" s="13" t="s">
        <v>25</v>
      </c>
      <c r="B16" s="14" t="s">
        <v>26</v>
      </c>
      <c r="C16" s="15">
        <f>+'[1]Natural Gas'!C16+[1]Ontario!C16+[1]Finance!C16+[1]Executive!C16+[1]Alberta!C16</f>
        <v>0</v>
      </c>
      <c r="E16" s="20">
        <f>(+'[1]Natural Gas'!E16+[1]Ontario!E16+[1]Finance!E16+[1]Executive!E16+[1]Alberta!E16)*1.2</f>
        <v>0</v>
      </c>
      <c r="G16" s="15">
        <f>(((+'Canada Trading'!G16+'Canada A&amp;A-Trading'!G16)*1.2)/1.2)*1.1</f>
        <v>0</v>
      </c>
      <c r="H16" t="s">
        <v>27</v>
      </c>
      <c r="I16" s="25">
        <v>33600</v>
      </c>
      <c r="J16">
        <v>0</v>
      </c>
      <c r="K16">
        <f t="shared" ref="K16:K27" si="1">I16*J16</f>
        <v>0</v>
      </c>
      <c r="O16" s="15">
        <f t="shared" si="0"/>
        <v>0</v>
      </c>
      <c r="AK16" s="32"/>
    </row>
    <row r="17" spans="1:37" x14ac:dyDescent="0.2">
      <c r="A17" s="13" t="s">
        <v>28</v>
      </c>
      <c r="B17" s="14" t="s">
        <v>29</v>
      </c>
      <c r="C17" s="15">
        <f>+'[1]Natural Gas'!C17+[1]Ontario!C17+[1]Finance!C17+[1]Executive!C17+[1]Alberta!C17</f>
        <v>1883.62</v>
      </c>
      <c r="E17" s="20">
        <f>(+'[1]Natural Gas'!E17+[1]Ontario!E17+[1]Finance!E17+[1]Executive!E17+[1]Alberta!E17)*1.2</f>
        <v>3013.7920000000004</v>
      </c>
      <c r="G17" s="15">
        <f>(((+'Canada Trading'!G17+'Canada A&amp;A-Trading'!G17)*1.2)/1.2)*1.1</f>
        <v>928.24793600000021</v>
      </c>
      <c r="H17" t="s">
        <v>30</v>
      </c>
      <c r="I17" s="25">
        <v>52800</v>
      </c>
      <c r="J17">
        <v>0</v>
      </c>
      <c r="K17">
        <f t="shared" si="1"/>
        <v>0</v>
      </c>
      <c r="O17" s="15">
        <f t="shared" si="0"/>
        <v>77.353994666666679</v>
      </c>
      <c r="AK17" s="32"/>
    </row>
    <row r="18" spans="1:37" x14ac:dyDescent="0.2">
      <c r="A18" s="13" t="s">
        <v>31</v>
      </c>
      <c r="B18" s="14" t="s">
        <v>32</v>
      </c>
      <c r="C18" s="15">
        <f>+'[1]Natural Gas'!C18+[1]Ontario!C18+[1]Finance!C18+[1]Executive!C18+[1]Alberta!C18</f>
        <v>19208.419999999998</v>
      </c>
      <c r="E18" s="20">
        <f>(+'[1]Natural Gas'!E18+[1]Ontario!E18+[1]Finance!E18+[1]Executive!E18+[1]Alberta!E18)*1.2</f>
        <v>30733.471999999998</v>
      </c>
      <c r="G18" s="15">
        <f>(((+'Canada Trading'!G18+'Canada A&amp;A-Trading'!G18)*1.2)/1.2)*1.1</f>
        <v>9465.9093760000014</v>
      </c>
      <c r="H18" t="s">
        <v>33</v>
      </c>
      <c r="I18" s="25">
        <v>54000</v>
      </c>
      <c r="J18">
        <v>0</v>
      </c>
      <c r="K18">
        <f t="shared" si="1"/>
        <v>0</v>
      </c>
      <c r="O18" s="15">
        <f t="shared" si="0"/>
        <v>788.82578133333345</v>
      </c>
      <c r="AK18" s="32"/>
    </row>
    <row r="19" spans="1:37" x14ac:dyDescent="0.2">
      <c r="A19" s="13" t="s">
        <v>34</v>
      </c>
      <c r="B19" s="14" t="s">
        <v>35</v>
      </c>
      <c r="C19" s="15">
        <f>+'[1]Natural Gas'!C19+[1]Ontario!C19+[1]Finance!C19+[1]Executive!C19+[1]Alberta!C19</f>
        <v>52344.84</v>
      </c>
      <c r="E19" s="20">
        <f>(+'[1]Natural Gas'!E19+[1]Ontario!E19+[1]Finance!E19+[1]Executive!E19+[1]Alberta!E19)*1.2</f>
        <v>83751.743999999992</v>
      </c>
      <c r="G19" s="15">
        <f>(((+'Canada Trading'!G19+'Canada A&amp;A-Trading'!G19)*1.2)/1.2)*1.1</f>
        <v>25795.537152000001</v>
      </c>
      <c r="H19" t="s">
        <v>36</v>
      </c>
      <c r="I19" s="25">
        <v>63000</v>
      </c>
      <c r="J19">
        <v>0</v>
      </c>
      <c r="K19">
        <f t="shared" si="1"/>
        <v>0</v>
      </c>
      <c r="O19" s="15">
        <f t="shared" si="0"/>
        <v>2149.6280959999999</v>
      </c>
      <c r="AK19" s="32"/>
    </row>
    <row r="20" spans="1:37" x14ac:dyDescent="0.2">
      <c r="A20" s="13" t="s">
        <v>37</v>
      </c>
      <c r="B20" s="14" t="s">
        <v>38</v>
      </c>
      <c r="C20" s="15">
        <f>+'[1]Natural Gas'!C20+[1]Ontario!C20+[1]Finance!C20+[1]Executive!C20+[1]Alberta!C20</f>
        <v>0</v>
      </c>
      <c r="E20" s="20">
        <f>(+'[1]Natural Gas'!E20+[1]Ontario!E20+[1]Finance!E20+[1]Executive!E20+[1]Alberta!E20)*1.2</f>
        <v>0</v>
      </c>
      <c r="G20" s="15">
        <f>(((+'Canada Trading'!G20+'Canada A&amp;A-Trading'!G20)*1.2)/1.2)*1.1</f>
        <v>0</v>
      </c>
      <c r="H20" t="s">
        <v>39</v>
      </c>
      <c r="I20" s="25">
        <v>78000</v>
      </c>
      <c r="J20">
        <v>0</v>
      </c>
      <c r="K20">
        <f t="shared" si="1"/>
        <v>0</v>
      </c>
      <c r="O20" s="15">
        <f t="shared" si="0"/>
        <v>0</v>
      </c>
      <c r="AK20" s="32"/>
    </row>
    <row r="21" spans="1:37" x14ac:dyDescent="0.2">
      <c r="A21" s="13" t="s">
        <v>40</v>
      </c>
      <c r="B21" s="14" t="s">
        <v>41</v>
      </c>
      <c r="C21" s="15">
        <f>+'[1]Natural Gas'!C21+[1]Ontario!C21+[1]Finance!C21+[1]Executive!C21+[1]Alberta!C21</f>
        <v>19769.170000000046</v>
      </c>
      <c r="E21" s="20">
        <f>(+'[1]Natural Gas'!E21+[1]Ontario!E21+[1]Finance!E21+[1]Executive!E21+[1]Alberta!E21)*1.2</f>
        <v>31630.672000000071</v>
      </c>
      <c r="G21" s="15">
        <f>(((+'Canada Trading'!G21+'Canada A&amp;A-Trading'!G21)*1.2)/1.2)*1.1</f>
        <v>9742.246976000024</v>
      </c>
      <c r="H21" t="s">
        <v>42</v>
      </c>
      <c r="I21" s="25">
        <v>66000</v>
      </c>
      <c r="J21">
        <v>0</v>
      </c>
      <c r="K21">
        <f t="shared" si="1"/>
        <v>0</v>
      </c>
      <c r="O21" s="15">
        <f t="shared" si="0"/>
        <v>811.85391466666863</v>
      </c>
      <c r="AK21" s="32"/>
    </row>
    <row r="22" spans="1:37" x14ac:dyDescent="0.2">
      <c r="A22" s="13" t="s">
        <v>43</v>
      </c>
      <c r="B22" s="14" t="s">
        <v>44</v>
      </c>
      <c r="C22" s="15">
        <f>+'[1]Natural Gas'!C22+[1]Ontario!C22+[1]Finance!C22+[1]Executive!C22+[1]Alberta!C22</f>
        <v>6106.7000000000089</v>
      </c>
      <c r="E22" s="20">
        <f>(+'[1]Natural Gas'!E22+[1]Ontario!E22+[1]Finance!E22+[1]Executive!E22+[1]Alberta!E22)*1.2</f>
        <v>9770.7200000000139</v>
      </c>
      <c r="G22" s="15">
        <f>(((+'Canada Trading'!G22+'Canada A&amp;A-Trading'!G22)*1.2)/1.2)*1.1</f>
        <v>3009.3817600000043</v>
      </c>
      <c r="H22" t="s">
        <v>45</v>
      </c>
      <c r="I22" s="25">
        <v>97200</v>
      </c>
      <c r="J22">
        <v>0</v>
      </c>
      <c r="K22">
        <f t="shared" si="1"/>
        <v>0</v>
      </c>
      <c r="O22" s="15">
        <f t="shared" si="0"/>
        <v>250.7818133333337</v>
      </c>
      <c r="AK22" s="32"/>
    </row>
    <row r="23" spans="1:37" x14ac:dyDescent="0.2">
      <c r="A23" s="26" t="s">
        <v>46</v>
      </c>
      <c r="B23" s="27" t="s">
        <v>47</v>
      </c>
      <c r="C23" s="28">
        <f>SUM(C8:C22)</f>
        <v>4145276.52</v>
      </c>
      <c r="E23" s="28">
        <f>SUM(E8:E22)</f>
        <v>5787481.2586666662</v>
      </c>
      <c r="G23" s="28">
        <f>SUM(G8:G22)</f>
        <v>1802704.4074026668</v>
      </c>
      <c r="H23" t="s">
        <v>48</v>
      </c>
      <c r="I23" s="25">
        <v>120000</v>
      </c>
      <c r="J23">
        <v>3</v>
      </c>
      <c r="K23">
        <f t="shared" si="1"/>
        <v>360000</v>
      </c>
      <c r="O23" s="28">
        <f>SUM(O8:O22)</f>
        <v>150225.36728355556</v>
      </c>
      <c r="AK23" s="29"/>
    </row>
    <row r="24" spans="1:37" x14ac:dyDescent="0.2">
      <c r="H24" t="s">
        <v>49</v>
      </c>
      <c r="I24" s="25">
        <v>156000</v>
      </c>
      <c r="J24">
        <v>2</v>
      </c>
      <c r="K24">
        <f t="shared" si="1"/>
        <v>312000</v>
      </c>
      <c r="AK24" s="8"/>
    </row>
    <row r="25" spans="1:37" x14ac:dyDescent="0.2">
      <c r="B25" s="27" t="s">
        <v>50</v>
      </c>
      <c r="C25" s="60"/>
      <c r="E25" s="61">
        <f>+'[1]Natural Gas'!E25+[1]Ontario!E25+[1]Finance!E25+[1]Executive!E25+[1]Alberta!E25</f>
        <v>30</v>
      </c>
      <c r="G25" s="61">
        <v>5</v>
      </c>
      <c r="H25" t="s">
        <v>51</v>
      </c>
      <c r="I25" s="25">
        <v>180000</v>
      </c>
      <c r="J25">
        <v>0</v>
      </c>
      <c r="K25">
        <f t="shared" si="1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52</v>
      </c>
      <c r="I26" s="25">
        <v>216000</v>
      </c>
      <c r="J26">
        <v>1</v>
      </c>
      <c r="K26">
        <f t="shared" si="1"/>
        <v>216000</v>
      </c>
      <c r="O26" s="15"/>
      <c r="AK26" s="32"/>
    </row>
    <row r="27" spans="1:37" x14ac:dyDescent="0.2">
      <c r="B27" s="27" t="s">
        <v>53</v>
      </c>
      <c r="C27" s="15"/>
      <c r="E27" s="61">
        <f>+'[1]Natural Gas'!E27+[1]Ontario!E27+[1]Finance!E27+[1]Executive!E27+[1]Alberta!E27</f>
        <v>20</v>
      </c>
      <c r="G27" s="61">
        <f>+'Canada Trading'!G27+'Canada A&amp;A-Trading'!G27</f>
        <v>7</v>
      </c>
      <c r="H27" t="s">
        <v>90</v>
      </c>
      <c r="I27" s="25">
        <v>240000</v>
      </c>
      <c r="J27">
        <v>1</v>
      </c>
      <c r="K27">
        <f t="shared" si="1"/>
        <v>240000</v>
      </c>
      <c r="O27" s="31">
        <f>+U21+U22</f>
        <v>0</v>
      </c>
      <c r="AK27" s="32"/>
    </row>
    <row r="28" spans="1:37" x14ac:dyDescent="0.2">
      <c r="J28">
        <f>SUM(J16:J27)</f>
        <v>7</v>
      </c>
      <c r="K28">
        <f>SUM(K16:K27)</f>
        <v>1128000</v>
      </c>
      <c r="AK28" s="8"/>
    </row>
    <row r="29" spans="1:37" x14ac:dyDescent="0.2">
      <c r="B29" s="27" t="s">
        <v>55</v>
      </c>
      <c r="C29" s="15"/>
      <c r="E29" s="31">
        <f>+E27+E25</f>
        <v>50</v>
      </c>
      <c r="F29" s="32"/>
      <c r="G29" s="31">
        <f>+G27+G25</f>
        <v>12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71</v>
      </c>
      <c r="B31" s="14" t="s">
        <v>91</v>
      </c>
      <c r="C31" s="15"/>
      <c r="E31" s="15"/>
      <c r="G31" s="33" t="s">
        <v>56</v>
      </c>
      <c r="H31" s="25"/>
      <c r="J31" s="25"/>
    </row>
    <row r="32" spans="1:37" hidden="1" x14ac:dyDescent="0.2">
      <c r="A32" s="13" t="s">
        <v>73</v>
      </c>
      <c r="B32" s="14"/>
      <c r="C32" s="15"/>
      <c r="E32" s="15"/>
      <c r="H32" s="25"/>
      <c r="J32" s="25"/>
    </row>
    <row r="33" spans="1:11" hidden="1" x14ac:dyDescent="0.2">
      <c r="A33" s="13" t="s">
        <v>75</v>
      </c>
      <c r="B33" s="14"/>
      <c r="C33" s="15"/>
      <c r="E33" s="15"/>
      <c r="G33" s="34" t="s">
        <v>57</v>
      </c>
      <c r="H33" s="35" t="s">
        <v>58</v>
      </c>
      <c r="I33" s="35" t="s">
        <v>59</v>
      </c>
      <c r="J33" s="35" t="s">
        <v>2</v>
      </c>
      <c r="K33" s="35" t="s">
        <v>60</v>
      </c>
    </row>
    <row r="34" spans="1:11" hidden="1" x14ac:dyDescent="0.2">
      <c r="A34" s="13" t="s">
        <v>77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7</v>
      </c>
      <c r="K34" s="37">
        <f>+I34*J34</f>
        <v>218774.55487999998</v>
      </c>
    </row>
    <row r="35" spans="1:11" hidden="1" x14ac:dyDescent="0.2">
      <c r="A35" s="13" t="s">
        <v>79</v>
      </c>
      <c r="B35" s="14"/>
      <c r="C35" s="15"/>
      <c r="E35" s="15"/>
    </row>
    <row r="36" spans="1:11" hidden="1" x14ac:dyDescent="0.2">
      <c r="A36" s="13" t="s">
        <v>81</v>
      </c>
      <c r="B36" s="14"/>
      <c r="C36" s="15"/>
      <c r="E36" s="15"/>
    </row>
    <row r="37" spans="1:11" hidden="1" x14ac:dyDescent="0.2">
      <c r="A37" s="13" t="s">
        <v>83</v>
      </c>
      <c r="B37" s="14"/>
      <c r="C37" s="15"/>
      <c r="E37" s="15"/>
    </row>
    <row r="38" spans="1:11" hidden="1" x14ac:dyDescent="0.2">
      <c r="A38" s="13" t="s">
        <v>85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AQ42"/>
  <sheetViews>
    <sheetView zoomScaleNormal="100" workbookViewId="0">
      <selection activeCell="B3" sqref="B3:H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5" max="15" width="10.28515625" customWidth="1"/>
    <col min="16" max="16" width="10.7109375" customWidth="1"/>
  </cols>
  <sheetData>
    <row r="1" spans="1:43" ht="18" x14ac:dyDescent="0.25">
      <c r="B1" s="142" t="str">
        <f>'[13]Team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42" t="s">
        <v>68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I4" s="39"/>
      <c r="J4" s="40"/>
      <c r="K4" s="40"/>
      <c r="L4" s="41"/>
    </row>
    <row r="5" spans="1:43" x14ac:dyDescent="0.2">
      <c r="I5" s="42"/>
      <c r="J5" s="17" t="s">
        <v>1</v>
      </c>
      <c r="K5" s="17" t="s">
        <v>2</v>
      </c>
      <c r="L5" s="43" t="s">
        <v>3</v>
      </c>
    </row>
    <row r="6" spans="1:43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P6" s="44"/>
    </row>
    <row r="7" spans="1:43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P7" s="12"/>
    </row>
    <row r="8" spans="1:43" x14ac:dyDescent="0.2">
      <c r="A8" s="13" t="s">
        <v>9</v>
      </c>
      <c r="B8" s="14" t="s">
        <v>10</v>
      </c>
      <c r="C8" s="15">
        <f>'[14]Central Trading'!C8+'[14]Central Origination'!C8+[14]Derivatives!C8+'[14]East Trading'!C8+'[14]East Origination'!C8+'[14]Financial Gas'!C8+[14]Structuring!C8+'[14]Texas Trading'!C8+'[14]Texas Origination'!C8+'[14]West Trading'!C8+'[14]West Origination'!C8+[14]Fundamentals!C8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234685</v>
      </c>
      <c r="I8" s="42" t="s">
        <v>10</v>
      </c>
      <c r="J8" s="17">
        <v>0</v>
      </c>
      <c r="K8" s="17"/>
      <c r="L8" s="43">
        <f>L30</f>
        <v>364320</v>
      </c>
      <c r="P8" s="15"/>
    </row>
    <row r="9" spans="1:43" hidden="1" x14ac:dyDescent="0.2">
      <c r="A9" s="13"/>
      <c r="B9" s="14" t="s">
        <v>11</v>
      </c>
      <c r="C9" s="15">
        <f>'[14]Central Trading'!C9+'[14]Central Origination'!C9+[14]Derivatives!C9+'[14]East Trading'!C9+'[14]East Origination'!C9+'[14]Financial Gas'!C9+[14]Structuring!C9+'[14]Texas Trading'!C9+'[14]Texas Origination'!C9+'[14]West Trading'!C9+'[14]West Origination'!C9+[14]Fundamentals!C9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P9" s="15"/>
    </row>
    <row r="10" spans="1:43" x14ac:dyDescent="0.2">
      <c r="A10" s="13"/>
      <c r="B10" s="14" t="s">
        <v>65</v>
      </c>
      <c r="C10" s="15">
        <f>'[14]Central Trading'!C10+'[14]Central Origination'!C10+[14]Derivatives!C10+'[14]East Trading'!C10+'[14]East Origination'!C10+'[14]Financial Gas'!C10+[14]Structuring!C10+'[14]Texas Trading'!C10+'[14]Texas Origination'!C10+'[14]West Trading'!C10+'[14]West Origination'!C10+[14]Fundamentals!C10</f>
        <v>3095252.76</v>
      </c>
      <c r="D10" s="15"/>
      <c r="E10" s="15">
        <f>('[14]Central Trading'!E9+'[14]Central Origination'!E10+[14]Derivatives!E10+'[14]East Trading'!E10+'[14]East Origination'!E10+'[14]Financial Gas'!E10+[14]Structuring!E10+'[14]Texas Trading'!E10+'[14]Texas Origination'!E10+'[14]West Trading'!E10+'[14]West Origination'!E10+[14]Fundamentals!E10)-4000000</f>
        <v>82420.999999999534</v>
      </c>
      <c r="G10" s="45">
        <f t="shared" si="0"/>
        <v>3.7797619139155266E-3</v>
      </c>
      <c r="H10" s="15">
        <v>0</v>
      </c>
      <c r="I10" s="42"/>
      <c r="J10" s="17"/>
      <c r="K10" s="17"/>
      <c r="L10" s="43"/>
      <c r="P10" s="15"/>
    </row>
    <row r="11" spans="1:43" x14ac:dyDescent="0.2">
      <c r="A11" s="13" t="s">
        <v>13</v>
      </c>
      <c r="B11" s="14" t="s">
        <v>14</v>
      </c>
      <c r="C11" s="15">
        <f>'[14]Central Trading'!C11+'[14]Central Origination'!C11+[14]Derivatives!C11+'[14]East Trading'!C11+'[14]East Origination'!C11+'[14]Financial Gas'!C11+[14]Structuring!C11+'[14]Texas Trading'!C11+'[14]Texas Origination'!C11+'[14]West Trading'!C11+'[14]West Origination'!C11+[14]Fundamentals!C11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v>45540</v>
      </c>
      <c r="I11" s="42" t="s">
        <v>15</v>
      </c>
      <c r="J11" s="17">
        <f>(E12+E13+E14+E15+E16+E17+E18+E19+E20+E21+E22)/E29</f>
        <v>48270.181250000009</v>
      </c>
      <c r="K11" s="17">
        <f>K28</f>
        <v>2</v>
      </c>
      <c r="L11" s="43">
        <f>J11*K11</f>
        <v>96540.362500000017</v>
      </c>
      <c r="P11" s="15"/>
    </row>
    <row r="12" spans="1:43" x14ac:dyDescent="0.2">
      <c r="A12" s="13" t="s">
        <v>16</v>
      </c>
      <c r="B12" s="14" t="s">
        <v>17</v>
      </c>
      <c r="C12" s="15">
        <f>'[14]Central Trading'!C12+'[14]Central Origination'!C12+[14]Derivatives!C12+'[14]East Trading'!C12+'[14]East Origination'!C12+'[14]Financial Gas'!C12+[14]Structuring!C12+'[14]Texas Trading'!C12+'[14]Texas Origination'!C12+'[14]West Trading'!C12+'[14]West Origination'!C12+[14]Fundamentals!C12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15000</v>
      </c>
      <c r="I12" s="42"/>
      <c r="J12" s="17"/>
      <c r="K12" s="17"/>
      <c r="L12" s="43"/>
      <c r="P12" s="15"/>
    </row>
    <row r="13" spans="1:43" ht="13.5" thickBot="1" x14ac:dyDescent="0.25">
      <c r="A13" s="13" t="s">
        <v>18</v>
      </c>
      <c r="B13" s="14" t="s">
        <v>19</v>
      </c>
      <c r="C13" s="15">
        <f>'[14]Central Trading'!C13+'[14]Central Origination'!C13+[14]Derivatives!C13+'[14]East Trading'!C13+'[14]East Origination'!C13+'[14]Financial Gas'!C13+[14]Structuring!C13+'[14]Texas Trading'!C13+'[14]Texas Origination'!C13+'[14]West Trading'!C13+'[14]West Origination'!C13+[14]Fundamentals!C13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50000</v>
      </c>
      <c r="I13" s="46" t="s">
        <v>20</v>
      </c>
      <c r="J13" s="47"/>
      <c r="K13" s="47"/>
      <c r="L13" s="48">
        <f>L8+L11</f>
        <v>460860.36250000005</v>
      </c>
      <c r="O13" s="49"/>
      <c r="P13" s="15"/>
    </row>
    <row r="14" spans="1:43" x14ac:dyDescent="0.2">
      <c r="A14" s="13" t="s">
        <v>21</v>
      </c>
      <c r="B14" s="14" t="s">
        <v>22</v>
      </c>
      <c r="C14" s="15">
        <f>'[14]Central Trading'!C14+'[14]Central Origination'!C14+[14]Derivatives!C14+'[14]East Trading'!C14+'[14]East Origination'!C14+'[14]Financial Gas'!C14+[14]Structuring!C14+'[14]Texas Trading'!C14+'[14]Texas Origination'!C14+'[14]West Trading'!C14+'[14]West Origination'!C14+[14]Fundamentals!C14-C32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P14" s="15"/>
    </row>
    <row r="15" spans="1:43" x14ac:dyDescent="0.2">
      <c r="A15" s="13" t="s">
        <v>23</v>
      </c>
      <c r="B15" s="14" t="s">
        <v>24</v>
      </c>
      <c r="C15" s="15">
        <f>'[14]Central Trading'!C15+'[14]Central Origination'!C15+[14]Derivatives!C15+'[14]East Trading'!C15+'[14]East Origination'!C15+'[14]Financial Gas'!C15+[14]Structuring!C15+'[14]Texas Trading'!C15+'[14]Texas Origination'!C15+'[14]West Trading'!C15+'[14]West Origination'!C15+[14]Fundamentals!C15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5000</v>
      </c>
      <c r="P15" s="15"/>
    </row>
    <row r="16" spans="1:43" x14ac:dyDescent="0.2">
      <c r="A16" s="13" t="s">
        <v>25</v>
      </c>
      <c r="B16" s="14" t="s">
        <v>26</v>
      </c>
      <c r="C16" s="15">
        <f>'[14]Central Trading'!C16+'[14]Central Origination'!C16+[14]Derivatives!C16+'[14]East Trading'!C16+'[14]East Origination'!C16+'[14]Financial Gas'!C16+[14]Structuring!C16+'[14]Texas Trading'!C16+'[14]Texas Origination'!C16+'[14]West Trading'!C16+'[14]West Origination'!C16+[14]Fundamentals!C16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P16" s="15"/>
    </row>
    <row r="17" spans="1:16" x14ac:dyDescent="0.2">
      <c r="A17" s="13" t="s">
        <v>28</v>
      </c>
      <c r="B17" s="14" t="s">
        <v>29</v>
      </c>
      <c r="C17" s="15">
        <f>'[14]Central Trading'!C17+'[14]Central Origination'!C17+[14]Derivatives!C17+'[14]East Trading'!C17+'[14]East Origination'!C17+'[14]Financial Gas'!C17+[14]Structuring!C17+'[14]Texas Trading'!C17+'[14]Texas Origination'!C17+'[14]West Trading'!C17+'[14]West Origination'!C17+[14]Fundamentals!C17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98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P17" s="15"/>
    </row>
    <row r="18" spans="1:16" x14ac:dyDescent="0.2">
      <c r="A18" s="13" t="s">
        <v>31</v>
      </c>
      <c r="B18" s="14" t="s">
        <v>32</v>
      </c>
      <c r="C18" s="15">
        <f>'[14]Central Trading'!C18+'[14]Central Origination'!C18+[14]Derivatives!C18+'[14]East Trading'!C18+'[14]East Origination'!C18+'[14]Financial Gas'!C18+[14]Structuring!C18+'[14]Texas Trading'!C18+'[14]Texas Origination'!C18+'[14]West Trading'!C18+'[14]West Origination'!C18+[14]Fundamentals!C18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25000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P18" s="15"/>
    </row>
    <row r="19" spans="1:16" x14ac:dyDescent="0.2">
      <c r="A19" s="13" t="s">
        <v>34</v>
      </c>
      <c r="B19" s="14" t="s">
        <v>35</v>
      </c>
      <c r="C19" s="15">
        <f>'[14]Central Trading'!C19+'[14]Central Origination'!C19+[14]Derivatives!C19+'[14]East Trading'!C19+'[14]East Origination'!C19+'[14]Financial Gas'!C19+[14]Structuring!C19+'[14]Texas Trading'!C19+'[14]Texas Origination'!C19+'[14]West Trading'!C19+'[14]West Origination'!C19+[14]Fundamentals!C19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15000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P19" s="15"/>
    </row>
    <row r="20" spans="1:16" x14ac:dyDescent="0.2">
      <c r="A20" s="13" t="s">
        <v>37</v>
      </c>
      <c r="B20" s="14" t="s">
        <v>38</v>
      </c>
      <c r="C20" s="15">
        <f>'[14]Central Trading'!C20+'[14]Central Origination'!C20+[14]Derivatives!C20+'[14]East Trading'!C20+'[14]East Origination'!C20+'[14]Financial Gas'!C20+[14]Structuring!C20+'[14]Texas Trading'!C20+'[14]Texas Origination'!C20+'[14]West Trading'!C20+'[14]West Origination'!C20+[14]Fundamentals!C20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2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P20" s="15"/>
    </row>
    <row r="21" spans="1:16" x14ac:dyDescent="0.2">
      <c r="A21" s="13" t="s">
        <v>40</v>
      </c>
      <c r="B21" s="14" t="s">
        <v>41</v>
      </c>
      <c r="C21" s="15">
        <f>'[14]Central Trading'!C21+'[14]Central Origination'!C21+[14]Derivatives!C21+'[14]East Trading'!C21+'[14]East Origination'!C21+'[14]Financial Gas'!C21+[14]Structuring!C21+'[14]Texas Trading'!C21+'[14]Texas Origination'!C21+'[14]West Trading'!C21+'[14]West Origination'!C21+[14]Fundamentals!C21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5000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O21" s="8"/>
      <c r="P21" s="32"/>
    </row>
    <row r="22" spans="1:16" x14ac:dyDescent="0.2">
      <c r="A22" s="13" t="s">
        <v>43</v>
      </c>
      <c r="B22" s="14" t="s">
        <v>44</v>
      </c>
      <c r="C22" s="15">
        <f>'[14]Central Trading'!C22+'[14]Central Origination'!C22+[14]Derivatives!C22+'[14]East Trading'!C22+'[14]East Origination'!C22+'[14]Financial Gas'!C22+[14]Structuring!C22+'[14]Texas Trading'!C22+'[14]Texas Origination'!C22+'[14]West Trading'!C22+'[14]West Origination'!C22+[14]Fundamentals!C22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O22" s="8"/>
      <c r="P22" s="32"/>
    </row>
    <row r="23" spans="1:16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395325</v>
      </c>
      <c r="I23" s="25" t="s">
        <v>48</v>
      </c>
      <c r="J23" s="25">
        <v>110000</v>
      </c>
      <c r="K23" s="25">
        <v>1</v>
      </c>
      <c r="L23" s="25">
        <f t="shared" si="1"/>
        <v>110000</v>
      </c>
      <c r="O23" s="8"/>
      <c r="P23" s="29"/>
    </row>
    <row r="24" spans="1:16" x14ac:dyDescent="0.2">
      <c r="I24" s="25" t="s">
        <v>49</v>
      </c>
      <c r="J24" s="25">
        <v>143000</v>
      </c>
      <c r="K24" s="25">
        <v>1</v>
      </c>
      <c r="L24" s="25">
        <f t="shared" si="1"/>
        <v>143000</v>
      </c>
      <c r="O24" s="8"/>
      <c r="P24" s="8"/>
    </row>
    <row r="25" spans="1:16" x14ac:dyDescent="0.2">
      <c r="B25" s="27" t="s">
        <v>50</v>
      </c>
      <c r="C25" s="15"/>
      <c r="E25" s="31">
        <f>'[14]Central Trading'!E25+'[14]Central Origination'!E25+[14]Derivatives!E25+'[14]East Trading'!E25+'[14]East Origination'!E25+'[14]Financial Gas'!E25+[14]Structuring!E25+'[14]Texas Trading'!E25+'[14]Texas Origination'!E25+'[14]West Trading'!E25+'[14]West Origination'!E25+[14]Fundamentals!E25</f>
        <v>108</v>
      </c>
      <c r="H25" s="31">
        <f>+K16+K17+K18+K19+K20+K23+K24+K25+K26+K27</f>
        <v>2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O25" s="8"/>
      <c r="P25" s="32"/>
    </row>
    <row r="26" spans="1:16" x14ac:dyDescent="0.2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1"/>
        <v>0</v>
      </c>
      <c r="O26" s="8"/>
      <c r="P26" s="32"/>
    </row>
    <row r="27" spans="1:16" x14ac:dyDescent="0.2">
      <c r="B27" s="27" t="s">
        <v>67</v>
      </c>
      <c r="C27" s="15"/>
      <c r="E27" s="31">
        <f>'[14]Central Trading'!E27+'[14]Central Origination'!E27+[14]Derivatives!E27+'[14]East Trading'!E27+'[14]East Origination'!E27+'[14]Financial Gas'!E27+[14]Structuring!E27+'[14]Texas Trading'!E27+'[14]Texas Origination'!E27+'[14]West Trading'!E27+'[14]West Origination'!E27+[14]Fundamentals!E27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O27" s="8"/>
      <c r="P27" s="32"/>
    </row>
    <row r="28" spans="1:16" x14ac:dyDescent="0.2">
      <c r="K28" s="25">
        <f>SUM(K16:K27)</f>
        <v>2</v>
      </c>
      <c r="L28" s="25">
        <f>SUM(L16:L27)*1.2</f>
        <v>303600</v>
      </c>
      <c r="O28" s="8"/>
      <c r="P28" s="8"/>
    </row>
    <row r="29" spans="1:16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2</v>
      </c>
      <c r="L29" s="52">
        <v>0.2</v>
      </c>
      <c r="O29" s="8"/>
      <c r="P29" s="32"/>
    </row>
    <row r="30" spans="1:16" hidden="1" x14ac:dyDescent="0.2">
      <c r="L30" s="25">
        <f>L28*1.2</f>
        <v>364320</v>
      </c>
      <c r="O30" s="8"/>
      <c r="P30" s="8"/>
    </row>
    <row r="31" spans="1:16" hidden="1" x14ac:dyDescent="0.2">
      <c r="H31" s="33" t="s">
        <v>56</v>
      </c>
      <c r="L31"/>
      <c r="O31" s="8"/>
      <c r="P31" s="8"/>
    </row>
    <row r="32" spans="1:16" hidden="1" x14ac:dyDescent="0.2">
      <c r="B32" s="14" t="s">
        <v>22</v>
      </c>
      <c r="C32" s="15">
        <v>254512</v>
      </c>
      <c r="L32"/>
      <c r="O32" s="8"/>
      <c r="P32" s="8"/>
    </row>
    <row r="33" spans="2:16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O33" s="8"/>
      <c r="P33" s="8"/>
    </row>
    <row r="34" spans="2:16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2</v>
      </c>
      <c r="L34" s="37">
        <f>+J34*K34</f>
        <v>96540.362500000017</v>
      </c>
      <c r="O34" s="8"/>
      <c r="P34" s="8"/>
    </row>
    <row r="35" spans="2:16" hidden="1" x14ac:dyDescent="0.2">
      <c r="O35" s="8"/>
      <c r="P35" s="8"/>
    </row>
    <row r="36" spans="2:16" hidden="1" x14ac:dyDescent="0.2">
      <c r="O36" s="8"/>
      <c r="P36" s="8"/>
    </row>
    <row r="37" spans="2:16" hidden="1" x14ac:dyDescent="0.2">
      <c r="O37" s="8"/>
      <c r="P37" s="8"/>
    </row>
    <row r="38" spans="2:16" hidden="1" x14ac:dyDescent="0.2">
      <c r="O38" s="8"/>
      <c r="P38" s="8"/>
    </row>
    <row r="39" spans="2:16" x14ac:dyDescent="0.2">
      <c r="O39" s="8"/>
      <c r="P39" s="8"/>
    </row>
    <row r="41" spans="2:16" x14ac:dyDescent="0.2">
      <c r="B41" t="s">
        <v>263</v>
      </c>
      <c r="H41" t="s">
        <v>49</v>
      </c>
    </row>
    <row r="42" spans="2:16" x14ac:dyDescent="0.2">
      <c r="B42" t="s">
        <v>264</v>
      </c>
      <c r="H42" t="s">
        <v>48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AQ49"/>
  <sheetViews>
    <sheetView topLeftCell="A2" zoomScaleNormal="100" workbookViewId="0">
      <selection activeCell="G10" sqref="G10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2" width="0" hidden="1" customWidth="1"/>
  </cols>
  <sheetData>
    <row r="1" spans="1:43" ht="18" x14ac:dyDescent="0.25">
      <c r="B1" s="142" t="str">
        <f>'[2]Team Report'!B1</f>
        <v>Enron North America</v>
      </c>
      <c r="C1" s="142"/>
      <c r="D1" s="142"/>
      <c r="E1" s="142"/>
      <c r="F1" s="142"/>
      <c r="G1" s="142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42" t="s">
        <v>232</v>
      </c>
      <c r="C2" s="142"/>
      <c r="D2" s="142"/>
      <c r="E2" s="142"/>
      <c r="F2" s="142"/>
      <c r="G2" s="142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43" t="s">
        <v>0</v>
      </c>
      <c r="C3" s="143"/>
      <c r="D3" s="143"/>
      <c r="E3" s="143"/>
      <c r="F3" s="143"/>
      <c r="G3" s="143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1</v>
      </c>
      <c r="J5" s="8" t="s">
        <v>2</v>
      </c>
      <c r="K5" s="9" t="s">
        <v>3</v>
      </c>
    </row>
    <row r="6" spans="1:43" x14ac:dyDescent="0.2">
      <c r="C6" s="10">
        <v>37135</v>
      </c>
      <c r="E6" s="44" t="s">
        <v>63</v>
      </c>
      <c r="G6" s="44" t="s">
        <v>63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5</v>
      </c>
      <c r="E7" s="12" t="s">
        <v>6</v>
      </c>
      <c r="G7" s="12" t="s">
        <v>7</v>
      </c>
      <c r="H7" s="7"/>
      <c r="I7" s="17"/>
      <c r="J7" s="8"/>
      <c r="K7" s="9"/>
      <c r="O7" s="12" t="s">
        <v>7</v>
      </c>
      <c r="AK7" s="12"/>
    </row>
    <row r="8" spans="1:43" x14ac:dyDescent="0.2">
      <c r="A8" s="13" t="s">
        <v>9</v>
      </c>
      <c r="B8" s="14" t="s">
        <v>10</v>
      </c>
      <c r="C8" s="15">
        <f>+'[1]Natural Gas'!C8+[1]Ontario!C8+[1]Finance!C8+[1]Executive!C8+[1]Alberta!C8</f>
        <v>2855922.0300000003</v>
      </c>
      <c r="E8" s="15">
        <f>+'[1]Natural Gas'!E8+[1]Ontario!E8+[1]Finance!E8+[1]Executive!E8+[1]Alberta!E8</f>
        <v>3807896.0399999991</v>
      </c>
      <c r="G8" s="15">
        <f>K28-G10-137496-390504</f>
        <v>600000</v>
      </c>
      <c r="H8" s="7" t="s">
        <v>10</v>
      </c>
      <c r="I8" s="17">
        <v>0</v>
      </c>
      <c r="J8" s="8"/>
      <c r="K8" s="18">
        <f>K28</f>
        <v>1128000</v>
      </c>
      <c r="O8" s="15">
        <f t="shared" ref="O8:O22" si="0">+G8/$G$29*$O$29</f>
        <v>85714.28571428571</v>
      </c>
      <c r="AK8" s="32"/>
    </row>
    <row r="9" spans="1:43" x14ac:dyDescent="0.2">
      <c r="A9" s="13"/>
      <c r="B9" s="14" t="s">
        <v>11</v>
      </c>
      <c r="C9" s="15">
        <f>+'[1]Natural Gas'!C9+[1]Ontario!C9+[1]Finance!C9+[1]Executive!C9+[1]Alberta!C9</f>
        <v>0</v>
      </c>
      <c r="E9" s="15">
        <f>+'[1]Natural Gas'!E9+[1]Ontario!E9+[1]Finance!E9+[1]Executive!E9+[1]Alberta!E9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89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x14ac:dyDescent="0.2">
      <c r="A11" s="13" t="s">
        <v>13</v>
      </c>
      <c r="B11" s="14" t="s">
        <v>14</v>
      </c>
      <c r="C11" s="15">
        <f>+'[1]Natural Gas'!C11+[1]Ontario!C11+[1]Finance!C11+[1]Executive!C10+[1]Alberta!C11</f>
        <v>312682.37</v>
      </c>
      <c r="E11" s="15">
        <f>+'[1]Natural Gas'!E11+[1]Ontario!E11+[1]Finance!E11+[1]Executive!E10+[1]Alberta!E11</f>
        <v>416909.82666666666</v>
      </c>
      <c r="G11" s="15">
        <f>G8*0.3105+52-96352</f>
        <v>90000</v>
      </c>
      <c r="H11" s="7" t="s">
        <v>15</v>
      </c>
      <c r="I11" s="19">
        <f>(E12+E13+E14+E15+E16+E17+E18+E19+E20+E21+E22)/E29</f>
        <v>31253.507839999998</v>
      </c>
      <c r="J11" s="8">
        <f>J28</f>
        <v>7</v>
      </c>
      <c r="K11" s="18">
        <f>I11*J11</f>
        <v>218774.55487999998</v>
      </c>
      <c r="O11" s="15">
        <f t="shared" si="0"/>
        <v>12857.142857142857</v>
      </c>
      <c r="AK11" s="32"/>
    </row>
    <row r="12" spans="1:43" x14ac:dyDescent="0.2">
      <c r="A12" s="13" t="s">
        <v>16</v>
      </c>
      <c r="B12" s="14" t="s">
        <v>17</v>
      </c>
      <c r="C12" s="15">
        <f>+'[1]Natural Gas'!C12+[1]Ontario!C12+[1]Finance!C12+[1]Executive!C12+[1]Alberta!C12</f>
        <v>67320.12999999999</v>
      </c>
      <c r="E12" s="20">
        <f>(+'[1]Natural Gas'!E12+[1]Ontario!E12+[1]Finance!E12+[1]Executive!E12+[1]Alberta!E12)*1.2</f>
        <v>107712.20799999998</v>
      </c>
      <c r="G12" s="21">
        <f t="shared" ref="G12:G22" si="1">(E12/$E$29)*$G$29</f>
        <v>15079.709119999998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18</v>
      </c>
      <c r="B13" s="14" t="s">
        <v>19</v>
      </c>
      <c r="C13" s="15">
        <f>+'[1]Natural Gas'!C13+[1]Ontario!C13+[1]Finance!C13+[1]Executive!C13+[1]Alberta!C13</f>
        <v>297871.83999999997</v>
      </c>
      <c r="E13" s="20">
        <f>(+'[1]Natural Gas'!E13+[1]Ontario!E13+[1]Finance!E13+[1]Executive!E13+[1]Alberta!E13)*1.2</f>
        <v>476594.94399999996</v>
      </c>
      <c r="G13" s="21">
        <f t="shared" si="1"/>
        <v>66723.292159999997</v>
      </c>
      <c r="H13" s="22" t="s">
        <v>20</v>
      </c>
      <c r="I13" s="47"/>
      <c r="J13" s="23"/>
      <c r="K13" s="24">
        <f>K8+K11</f>
        <v>1346774.55488</v>
      </c>
      <c r="O13" s="15">
        <f t="shared" si="0"/>
        <v>9531.8988799999988</v>
      </c>
      <c r="AK13" s="32"/>
    </row>
    <row r="14" spans="1:43" x14ac:dyDescent="0.2">
      <c r="A14" s="13" t="s">
        <v>21</v>
      </c>
      <c r="B14" s="14" t="s">
        <v>22</v>
      </c>
      <c r="C14" s="15">
        <f>+'[1]Natural Gas'!C14+[1]Ontario!C14+[1]Finance!C14+[1]Executive!C14+[1]Alberta!C14</f>
        <v>505739.98</v>
      </c>
      <c r="E14" s="20">
        <f>(+'[1]Natural Gas'!E14+[1]Ontario!E14+[1]Finance!E14+[1]Executive!E14+[1]Alberta!E14)*1.2</f>
        <v>809183.96799999999</v>
      </c>
      <c r="G14" s="21">
        <f t="shared" si="1"/>
        <v>113285.75552000001</v>
      </c>
      <c r="O14" s="15">
        <f t="shared" si="0"/>
        <v>16183.67936</v>
      </c>
      <c r="AK14" s="32"/>
    </row>
    <row r="15" spans="1:43" x14ac:dyDescent="0.2">
      <c r="A15" s="13" t="s">
        <v>23</v>
      </c>
      <c r="B15" s="14" t="s">
        <v>24</v>
      </c>
      <c r="C15" s="15">
        <f>+'[1]Natural Gas'!C15+[1]Ontario!C15+[1]Finance!C15+[1]Executive!C15+[1]Alberta!C15</f>
        <v>6427.4199999999992</v>
      </c>
      <c r="E15" s="20">
        <f>(+'[1]Natural Gas'!E15+[1]Ontario!E15+[1]Finance!E15+[1]Executive!E15+[1]Alberta!E15)*1.2</f>
        <v>10283.871999999998</v>
      </c>
      <c r="G15" s="21">
        <f t="shared" si="1"/>
        <v>1439.7420799999998</v>
      </c>
      <c r="O15" s="15">
        <f t="shared" si="0"/>
        <v>205.67743999999996</v>
      </c>
      <c r="AK15" s="32"/>
    </row>
    <row r="16" spans="1:43" x14ac:dyDescent="0.2">
      <c r="A16" s="13" t="s">
        <v>25</v>
      </c>
      <c r="B16" s="14" t="s">
        <v>26</v>
      </c>
      <c r="C16" s="15">
        <f>+'[1]Natural Gas'!C16+[1]Ontario!C16+[1]Finance!C16+[1]Executive!C16+[1]Alberta!C16</f>
        <v>0</v>
      </c>
      <c r="E16" s="20">
        <f>(+'[1]Natural Gas'!E16+[1]Ontario!E16+[1]Finance!E16+[1]Executive!E16+[1]Alberta!E16)*1.2</f>
        <v>0</v>
      </c>
      <c r="G16" s="21">
        <f t="shared" si="1"/>
        <v>0</v>
      </c>
      <c r="H16" t="s">
        <v>27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28</v>
      </c>
      <c r="B17" s="14" t="s">
        <v>29</v>
      </c>
      <c r="C17" s="15">
        <f>+'[1]Natural Gas'!C17+[1]Ontario!C17+[1]Finance!C17+[1]Executive!C17+[1]Alberta!C17</f>
        <v>1883.62</v>
      </c>
      <c r="E17" s="20">
        <f>(+'[1]Natural Gas'!E17+[1]Ontario!E17+[1]Finance!E17+[1]Executive!E17+[1]Alberta!E17)*1.2</f>
        <v>3013.7920000000004</v>
      </c>
      <c r="G17" s="21">
        <f t="shared" si="1"/>
        <v>421.93088000000006</v>
      </c>
      <c r="H17" t="s">
        <v>30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x14ac:dyDescent="0.2">
      <c r="A18" s="13" t="s">
        <v>31</v>
      </c>
      <c r="B18" s="14" t="s">
        <v>32</v>
      </c>
      <c r="C18" s="15">
        <f>+'[1]Natural Gas'!C18+[1]Ontario!C18+[1]Finance!C18+[1]Executive!C18+[1]Alberta!C18</f>
        <v>19208.419999999998</v>
      </c>
      <c r="E18" s="20">
        <f>(+'[1]Natural Gas'!E18+[1]Ontario!E18+[1]Finance!E18+[1]Executive!E18+[1]Alberta!E18)*1.2</f>
        <v>30733.471999999998</v>
      </c>
      <c r="G18" s="21">
        <f t="shared" si="1"/>
        <v>4302.6860800000004</v>
      </c>
      <c r="H18" t="s">
        <v>33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34</v>
      </c>
      <c r="B19" s="14" t="s">
        <v>35</v>
      </c>
      <c r="C19" s="15">
        <f>+'[1]Natural Gas'!C19+[1]Ontario!C19+[1]Finance!C19+[1]Executive!C19+[1]Alberta!C19</f>
        <v>52344.84</v>
      </c>
      <c r="E19" s="20">
        <f>(+'[1]Natural Gas'!E19+[1]Ontario!E19+[1]Finance!E19+[1]Executive!E19+[1]Alberta!E19)*1.2</f>
        <v>83751.743999999992</v>
      </c>
      <c r="G19" s="21">
        <f t="shared" si="1"/>
        <v>11725.24416</v>
      </c>
      <c r="H19" t="s">
        <v>36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x14ac:dyDescent="0.2">
      <c r="A20" s="13" t="s">
        <v>37</v>
      </c>
      <c r="B20" s="14" t="s">
        <v>38</v>
      </c>
      <c r="C20" s="15">
        <f>+'[1]Natural Gas'!C20+[1]Ontario!C20+[1]Finance!C20+[1]Executive!C20+[1]Alberta!C20</f>
        <v>0</v>
      </c>
      <c r="E20" s="20">
        <f>(+'[1]Natural Gas'!E20+[1]Ontario!E20+[1]Finance!E20+[1]Executive!E20+[1]Alberta!E20)*1.2</f>
        <v>0</v>
      </c>
      <c r="G20" s="21">
        <f t="shared" si="1"/>
        <v>0</v>
      </c>
      <c r="H20" t="s">
        <v>39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40</v>
      </c>
      <c r="B21" s="14" t="s">
        <v>41</v>
      </c>
      <c r="C21" s="15">
        <f>+'[1]Natural Gas'!C21+[1]Ontario!C21+[1]Finance!C21+[1]Executive!C21+[1]Alberta!C21</f>
        <v>19769.170000000046</v>
      </c>
      <c r="E21" s="20">
        <f>(+'[1]Natural Gas'!E21+[1]Ontario!E21+[1]Finance!E21+[1]Executive!E21+[1]Alberta!E21)*1.2</f>
        <v>31630.672000000071</v>
      </c>
      <c r="G21" s="21">
        <f t="shared" si="1"/>
        <v>4428.2940800000106</v>
      </c>
      <c r="H21" t="s">
        <v>42</v>
      </c>
      <c r="I21" s="25">
        <v>66000</v>
      </c>
      <c r="J21">
        <v>0</v>
      </c>
      <c r="K21">
        <f t="shared" si="2"/>
        <v>0</v>
      </c>
      <c r="O21" s="15">
        <f t="shared" si="0"/>
        <v>632.61344000000156</v>
      </c>
      <c r="AK21" s="32"/>
    </row>
    <row r="22" spans="1:37" x14ac:dyDescent="0.2">
      <c r="A22" s="13" t="s">
        <v>43</v>
      </c>
      <c r="B22" s="14" t="s">
        <v>44</v>
      </c>
      <c r="C22" s="15">
        <f>+'[1]Natural Gas'!C22+[1]Ontario!C22+[1]Finance!C22+[1]Executive!C22+[1]Alberta!C22</f>
        <v>6106.7000000000089</v>
      </c>
      <c r="E22" s="20">
        <f>(+'[1]Natural Gas'!E22+[1]Ontario!E22+[1]Finance!E22+[1]Executive!E22+[1]Alberta!E22)*1.2</f>
        <v>9770.7200000000139</v>
      </c>
      <c r="G22" s="21">
        <f t="shared" si="1"/>
        <v>1367.9008000000019</v>
      </c>
      <c r="H22" t="s">
        <v>45</v>
      </c>
      <c r="I22" s="25">
        <v>97200</v>
      </c>
      <c r="J22">
        <v>0</v>
      </c>
      <c r="K22">
        <f t="shared" si="2"/>
        <v>0</v>
      </c>
      <c r="O22" s="15">
        <f t="shared" si="0"/>
        <v>195.41440000000028</v>
      </c>
      <c r="AK22" s="32"/>
    </row>
    <row r="23" spans="1:37" x14ac:dyDescent="0.2">
      <c r="A23" s="26" t="s">
        <v>46</v>
      </c>
      <c r="B23" s="27" t="s">
        <v>47</v>
      </c>
      <c r="C23" s="28">
        <f>SUM(C8:C22)</f>
        <v>4145276.52</v>
      </c>
      <c r="E23" s="28">
        <f>SUM(E8:E22)</f>
        <v>5787481.2586666662</v>
      </c>
      <c r="G23" s="28">
        <f>SUM(G8:G22)</f>
        <v>908774.55487999995</v>
      </c>
      <c r="H23" t="s">
        <v>48</v>
      </c>
      <c r="I23" s="25">
        <v>120000</v>
      </c>
      <c r="J23">
        <v>3</v>
      </c>
      <c r="K23">
        <f t="shared" si="2"/>
        <v>360000</v>
      </c>
      <c r="O23" s="28">
        <f>SUM(O8:O22)</f>
        <v>129824.93641142856</v>
      </c>
      <c r="AK23" s="29"/>
    </row>
    <row r="24" spans="1:37" x14ac:dyDescent="0.2">
      <c r="H24" t="s">
        <v>49</v>
      </c>
      <c r="I24" s="25">
        <v>156000</v>
      </c>
      <c r="J24">
        <v>2</v>
      </c>
      <c r="K24">
        <f t="shared" si="2"/>
        <v>312000</v>
      </c>
      <c r="AK24" s="8"/>
    </row>
    <row r="25" spans="1:37" x14ac:dyDescent="0.2">
      <c r="B25" s="27" t="s">
        <v>50</v>
      </c>
      <c r="C25" s="60"/>
      <c r="E25" s="61">
        <f>+'[1]Natural Gas'!E25+[1]Ontario!E25+[1]Finance!E25+[1]Executive!E25+[1]Alberta!E25</f>
        <v>30</v>
      </c>
      <c r="G25" s="61">
        <f>SUM(J16:J20,J23:J27)</f>
        <v>7</v>
      </c>
      <c r="H25" t="s">
        <v>51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52</v>
      </c>
      <c r="I26" s="25">
        <v>216000</v>
      </c>
      <c r="J26">
        <v>1</v>
      </c>
      <c r="K26">
        <f t="shared" si="2"/>
        <v>216000</v>
      </c>
      <c r="O26" s="15"/>
      <c r="AK26" s="32"/>
    </row>
    <row r="27" spans="1:37" x14ac:dyDescent="0.2">
      <c r="B27" s="27" t="s">
        <v>53</v>
      </c>
      <c r="C27" s="15"/>
      <c r="E27" s="61">
        <f>+'[1]Natural Gas'!E27+[1]Ontario!E27+[1]Finance!E27+[1]Executive!E27+[1]Alberta!E27</f>
        <v>20</v>
      </c>
      <c r="G27" s="61">
        <f>SUM(J21:J22)</f>
        <v>0</v>
      </c>
      <c r="H27" t="s">
        <v>90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">
      <c r="J28">
        <f>SUM(J16:J27)</f>
        <v>7</v>
      </c>
      <c r="K28">
        <f>SUM(K16:K27)</f>
        <v>1128000</v>
      </c>
      <c r="AK28" s="8"/>
    </row>
    <row r="29" spans="1:37" x14ac:dyDescent="0.2">
      <c r="B29" s="27" t="s">
        <v>55</v>
      </c>
      <c r="C29" s="15"/>
      <c r="E29" s="31">
        <f>+E27+E25</f>
        <v>50</v>
      </c>
      <c r="F29" s="32"/>
      <c r="G29" s="31">
        <f>+G27+G25</f>
        <v>7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71</v>
      </c>
      <c r="B31" s="14" t="s">
        <v>91</v>
      </c>
      <c r="C31" s="15"/>
      <c r="E31" s="15"/>
      <c r="G31" s="33" t="s">
        <v>56</v>
      </c>
      <c r="H31" s="25"/>
      <c r="J31" s="25"/>
    </row>
    <row r="32" spans="1:37" hidden="1" x14ac:dyDescent="0.2">
      <c r="A32" s="13" t="s">
        <v>73</v>
      </c>
      <c r="B32" s="14"/>
      <c r="C32" s="15"/>
      <c r="E32" s="15"/>
      <c r="H32" s="25"/>
      <c r="J32" s="25"/>
    </row>
    <row r="33" spans="1:11" hidden="1" x14ac:dyDescent="0.2">
      <c r="A33" s="13" t="s">
        <v>75</v>
      </c>
      <c r="B33" s="14"/>
      <c r="C33" s="15"/>
      <c r="E33" s="15"/>
      <c r="G33" s="34" t="s">
        <v>57</v>
      </c>
      <c r="H33" s="35" t="s">
        <v>58</v>
      </c>
      <c r="I33" s="35" t="s">
        <v>59</v>
      </c>
      <c r="J33" s="35" t="s">
        <v>2</v>
      </c>
      <c r="K33" s="35" t="s">
        <v>60</v>
      </c>
    </row>
    <row r="34" spans="1:11" hidden="1" x14ac:dyDescent="0.2">
      <c r="A34" s="13" t="s">
        <v>77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7</v>
      </c>
      <c r="K34" s="37">
        <f>+I34*J34</f>
        <v>218774.55487999998</v>
      </c>
    </row>
    <row r="35" spans="1:11" hidden="1" x14ac:dyDescent="0.2">
      <c r="A35" s="13" t="s">
        <v>79</v>
      </c>
      <c r="B35" s="14"/>
      <c r="C35" s="15"/>
      <c r="E35" s="15"/>
    </row>
    <row r="36" spans="1:11" hidden="1" x14ac:dyDescent="0.2">
      <c r="A36" s="13" t="s">
        <v>81</v>
      </c>
      <c r="B36" s="14"/>
      <c r="C36" s="15"/>
      <c r="E36" s="15"/>
    </row>
    <row r="37" spans="1:11" hidden="1" x14ac:dyDescent="0.2">
      <c r="A37" s="13" t="s">
        <v>83</v>
      </c>
      <c r="B37" s="14"/>
      <c r="C37" s="15"/>
      <c r="E37" s="15"/>
    </row>
    <row r="38" spans="1:11" hidden="1" x14ac:dyDescent="0.2">
      <c r="A38" s="13" t="s">
        <v>85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pageSetUpPr fitToPage="1"/>
  </sheetPr>
  <dimension ref="A1:AQ49"/>
  <sheetViews>
    <sheetView topLeftCell="A2" zoomScaleNormal="100" workbookViewId="0">
      <selection activeCell="G10" sqref="G10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15" width="9.140625" hidden="1" customWidth="1"/>
    <col min="16" max="40" width="9.140625" customWidth="1"/>
  </cols>
  <sheetData>
    <row r="1" spans="1:43" ht="18" x14ac:dyDescent="0.25">
      <c r="B1" s="142" t="str">
        <f>'[2]Team Report'!B1</f>
        <v>Enron North America</v>
      </c>
      <c r="C1" s="142"/>
      <c r="D1" s="142"/>
      <c r="E1" s="142"/>
      <c r="F1" s="142"/>
      <c r="G1" s="142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42" t="s">
        <v>234</v>
      </c>
      <c r="C2" s="142"/>
      <c r="D2" s="142"/>
      <c r="E2" s="142"/>
      <c r="F2" s="142"/>
      <c r="G2" s="142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43" t="s">
        <v>0</v>
      </c>
      <c r="C3" s="143"/>
      <c r="D3" s="143"/>
      <c r="E3" s="143"/>
      <c r="F3" s="143"/>
      <c r="G3" s="143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1</v>
      </c>
      <c r="J5" s="8" t="s">
        <v>2</v>
      </c>
      <c r="K5" s="9" t="s">
        <v>3</v>
      </c>
    </row>
    <row r="6" spans="1:43" x14ac:dyDescent="0.2">
      <c r="C6" s="10">
        <v>37135</v>
      </c>
      <c r="E6" s="44" t="s">
        <v>63</v>
      </c>
      <c r="G6" s="44" t="s">
        <v>63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5</v>
      </c>
      <c r="E7" s="12" t="s">
        <v>6</v>
      </c>
      <c r="G7" s="12" t="s">
        <v>7</v>
      </c>
      <c r="H7" s="7"/>
      <c r="I7" s="17"/>
      <c r="J7" s="8"/>
      <c r="K7" s="9"/>
      <c r="O7" s="12" t="s">
        <v>7</v>
      </c>
      <c r="AK7" s="12"/>
    </row>
    <row r="8" spans="1:43" x14ac:dyDescent="0.2">
      <c r="A8" s="13" t="s">
        <v>9</v>
      </c>
      <c r="B8" s="14" t="s">
        <v>10</v>
      </c>
      <c r="C8" s="15">
        <f>+'[1]Natural Gas'!C8+[1]Ontario!C8+[1]Finance!C8+[1]Executive!C8+[1]Alberta!C8</f>
        <v>2855922.0300000003</v>
      </c>
      <c r="E8" s="15">
        <f>+'[1]Natural Gas'!E8+[1]Ontario!E8+[1]Finance!E8+[1]Executive!E8+[1]Alberta!E8</f>
        <v>3807896.0399999991</v>
      </c>
      <c r="G8" s="15">
        <v>0</v>
      </c>
      <c r="H8" s="7" t="s">
        <v>10</v>
      </c>
      <c r="I8" s="17">
        <v>0</v>
      </c>
      <c r="J8" s="8"/>
      <c r="K8" s="18">
        <f>K28</f>
        <v>591840</v>
      </c>
      <c r="O8" s="15">
        <f t="shared" ref="O8:O22" si="0">+G8/$G$29*$O$29</f>
        <v>0</v>
      </c>
      <c r="AK8" s="32"/>
    </row>
    <row r="9" spans="1:43" x14ac:dyDescent="0.2">
      <c r="A9" s="13"/>
      <c r="B9" s="14" t="s">
        <v>11</v>
      </c>
      <c r="C9" s="15">
        <f>+'[1]Natural Gas'!C9+[1]Ontario!C9+[1]Finance!C9+[1]Executive!C9+[1]Alberta!C9</f>
        <v>0</v>
      </c>
      <c r="E9" s="15">
        <f>+'[1]Natural Gas'!E9+[1]Ontario!E9+[1]Finance!E9+[1]Executive!E9+[1]Alberta!E9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89</v>
      </c>
      <c r="C10" s="15">
        <v>0</v>
      </c>
      <c r="E10" s="15">
        <v>0</v>
      </c>
      <c r="G10" s="15">
        <f>K22+K21-(188400/11*7)</f>
        <v>373309.09090909094</v>
      </c>
      <c r="H10" s="7"/>
      <c r="I10" s="17"/>
      <c r="J10" s="8"/>
      <c r="K10" s="9"/>
      <c r="O10" s="15">
        <f t="shared" si="0"/>
        <v>53329.870129870134</v>
      </c>
      <c r="AK10" s="122"/>
    </row>
    <row r="11" spans="1:43" x14ac:dyDescent="0.2">
      <c r="A11" s="13" t="s">
        <v>13</v>
      </c>
      <c r="B11" s="14" t="s">
        <v>14</v>
      </c>
      <c r="C11" s="15">
        <f>+'[1]Natural Gas'!C11+[1]Ontario!C11+[1]Finance!C11+[1]Executive!C10+[1]Alberta!C11</f>
        <v>312682.37</v>
      </c>
      <c r="E11" s="15">
        <f>+'[1]Natural Gas'!E11+[1]Ontario!E11+[1]Finance!E11+[1]Executive!E10+[1]Alberta!E11</f>
        <v>416909.82666666666</v>
      </c>
      <c r="G11" s="15">
        <f>G10*0.3105-(96300/11*7)</f>
        <v>54630.654545454556</v>
      </c>
      <c r="H11" s="7" t="s">
        <v>15</v>
      </c>
      <c r="I11" s="19">
        <f>(E12+E13+E14+E15+E16+E17+E18+E19+E20+E21+E22)/E29</f>
        <v>31253.507839999998</v>
      </c>
      <c r="J11" s="8">
        <f>J28</f>
        <v>7</v>
      </c>
      <c r="K11" s="18">
        <f>I11*J11</f>
        <v>218774.55487999998</v>
      </c>
      <c r="O11" s="15">
        <f t="shared" si="0"/>
        <v>7804.3792207792221</v>
      </c>
      <c r="AK11" s="32"/>
    </row>
    <row r="12" spans="1:43" x14ac:dyDescent="0.2">
      <c r="A12" s="13" t="s">
        <v>16</v>
      </c>
      <c r="B12" s="14" t="s">
        <v>17</v>
      </c>
      <c r="C12" s="15">
        <f>+'[1]Natural Gas'!C12+[1]Ontario!C12+[1]Finance!C12+[1]Executive!C12+[1]Alberta!C12</f>
        <v>67320.12999999999</v>
      </c>
      <c r="E12" s="20">
        <f>(+'[1]Natural Gas'!E12+[1]Ontario!E12+[1]Finance!E12+[1]Executive!E12+[1]Alberta!E12)*1.2</f>
        <v>107712.20799999998</v>
      </c>
      <c r="G12" s="21">
        <f t="shared" ref="G12:G22" si="1">(E12/$E$29)*$G$29</f>
        <v>15079.709119999998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18</v>
      </c>
      <c r="B13" s="14" t="s">
        <v>19</v>
      </c>
      <c r="C13" s="15">
        <f>+'[1]Natural Gas'!C13+[1]Ontario!C13+[1]Finance!C13+[1]Executive!C13+[1]Alberta!C13</f>
        <v>297871.83999999997</v>
      </c>
      <c r="E13" s="20">
        <f>(+'[1]Natural Gas'!E13+[1]Ontario!E13+[1]Finance!E13+[1]Executive!E13+[1]Alberta!E13)*1.2</f>
        <v>476594.94399999996</v>
      </c>
      <c r="G13" s="21">
        <f t="shared" si="1"/>
        <v>66723.292159999997</v>
      </c>
      <c r="H13" s="22" t="s">
        <v>20</v>
      </c>
      <c r="I13" s="47"/>
      <c r="J13" s="23"/>
      <c r="K13" s="24">
        <f>K8+K11</f>
        <v>810614.55487999995</v>
      </c>
      <c r="O13" s="15">
        <f t="shared" si="0"/>
        <v>9531.8988799999988</v>
      </c>
      <c r="AK13" s="32"/>
    </row>
    <row r="14" spans="1:43" x14ac:dyDescent="0.2">
      <c r="A14" s="13" t="s">
        <v>21</v>
      </c>
      <c r="B14" s="14" t="s">
        <v>22</v>
      </c>
      <c r="C14" s="15">
        <f>+'[1]Natural Gas'!C14+[1]Ontario!C14+[1]Finance!C14+[1]Executive!C14+[1]Alberta!C14</f>
        <v>505739.98</v>
      </c>
      <c r="E14" s="20">
        <f>(+'[1]Natural Gas'!E14+[1]Ontario!E14+[1]Finance!E14+[1]Executive!E14+[1]Alberta!E14)*1.2</f>
        <v>809183.96799999999</v>
      </c>
      <c r="G14" s="21">
        <f t="shared" si="1"/>
        <v>113285.75552000001</v>
      </c>
      <c r="O14" s="15">
        <f t="shared" si="0"/>
        <v>16183.67936</v>
      </c>
      <c r="AK14" s="32"/>
    </row>
    <row r="15" spans="1:43" x14ac:dyDescent="0.2">
      <c r="A15" s="13" t="s">
        <v>23</v>
      </c>
      <c r="B15" s="14" t="s">
        <v>24</v>
      </c>
      <c r="C15" s="15">
        <f>+'[1]Natural Gas'!C15+[1]Ontario!C15+[1]Finance!C15+[1]Executive!C15+[1]Alberta!C15</f>
        <v>6427.4199999999992</v>
      </c>
      <c r="E15" s="20">
        <f>(+'[1]Natural Gas'!E15+[1]Ontario!E15+[1]Finance!E15+[1]Executive!E15+[1]Alberta!E15)*1.2</f>
        <v>10283.871999999998</v>
      </c>
      <c r="G15" s="21">
        <f t="shared" si="1"/>
        <v>1439.7420799999998</v>
      </c>
      <c r="O15" s="15">
        <f t="shared" si="0"/>
        <v>205.67743999999996</v>
      </c>
      <c r="AK15" s="32"/>
    </row>
    <row r="16" spans="1:43" x14ac:dyDescent="0.2">
      <c r="A16" s="13" t="s">
        <v>25</v>
      </c>
      <c r="B16" s="14" t="s">
        <v>26</v>
      </c>
      <c r="C16" s="15">
        <f>+'[1]Natural Gas'!C16+[1]Ontario!C16+[1]Finance!C16+[1]Executive!C16+[1]Alberta!C16</f>
        <v>0</v>
      </c>
      <c r="E16" s="20">
        <f>(+'[1]Natural Gas'!E16+[1]Ontario!E16+[1]Finance!E16+[1]Executive!E16+[1]Alberta!E16)*1.2</f>
        <v>0</v>
      </c>
      <c r="G16" s="21">
        <f t="shared" si="1"/>
        <v>0</v>
      </c>
      <c r="H16" t="s">
        <v>27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28</v>
      </c>
      <c r="B17" s="14" t="s">
        <v>29</v>
      </c>
      <c r="C17" s="15">
        <f>+'[1]Natural Gas'!C17+[1]Ontario!C17+[1]Finance!C17+[1]Executive!C17+[1]Alberta!C17</f>
        <v>1883.62</v>
      </c>
      <c r="E17" s="20">
        <f>(+'[1]Natural Gas'!E17+[1]Ontario!E17+[1]Finance!E17+[1]Executive!E17+[1]Alberta!E17)*1.2</f>
        <v>3013.7920000000004</v>
      </c>
      <c r="G17" s="21">
        <f t="shared" si="1"/>
        <v>421.93088000000006</v>
      </c>
      <c r="H17" t="s">
        <v>30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x14ac:dyDescent="0.2">
      <c r="A18" s="13" t="s">
        <v>31</v>
      </c>
      <c r="B18" s="14" t="s">
        <v>32</v>
      </c>
      <c r="C18" s="15">
        <f>+'[1]Natural Gas'!C18+[1]Ontario!C18+[1]Finance!C18+[1]Executive!C18+[1]Alberta!C18</f>
        <v>19208.419999999998</v>
      </c>
      <c r="E18" s="20">
        <f>(+'[1]Natural Gas'!E18+[1]Ontario!E18+[1]Finance!E18+[1]Executive!E18+[1]Alberta!E18)*1.2</f>
        <v>30733.471999999998</v>
      </c>
      <c r="G18" s="21">
        <f t="shared" si="1"/>
        <v>4302.6860800000004</v>
      </c>
      <c r="H18" t="s">
        <v>33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34</v>
      </c>
      <c r="B19" s="14" t="s">
        <v>35</v>
      </c>
      <c r="C19" s="15">
        <f>+'[1]Natural Gas'!C19+[1]Ontario!C19+[1]Finance!C19+[1]Executive!C19+[1]Alberta!C19</f>
        <v>52344.84</v>
      </c>
      <c r="E19" s="20">
        <f>(+'[1]Natural Gas'!E19+[1]Ontario!E19+[1]Finance!E19+[1]Executive!E19+[1]Alberta!E19)*1.2</f>
        <v>83751.743999999992</v>
      </c>
      <c r="G19" s="21">
        <f t="shared" si="1"/>
        <v>11725.24416</v>
      </c>
      <c r="H19" t="s">
        <v>36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x14ac:dyDescent="0.2">
      <c r="A20" s="13" t="s">
        <v>37</v>
      </c>
      <c r="B20" s="14" t="s">
        <v>38</v>
      </c>
      <c r="C20" s="15">
        <f>+'[1]Natural Gas'!C20+[1]Ontario!C20+[1]Finance!C20+[1]Executive!C20+[1]Alberta!C20</f>
        <v>0</v>
      </c>
      <c r="E20" s="20">
        <f>(+'[1]Natural Gas'!E20+[1]Ontario!E20+[1]Finance!E20+[1]Executive!E20+[1]Alberta!E20)*1.2</f>
        <v>0</v>
      </c>
      <c r="G20" s="21">
        <f t="shared" si="1"/>
        <v>0</v>
      </c>
      <c r="H20" t="s">
        <v>39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40</v>
      </c>
      <c r="B21" s="14" t="s">
        <v>41</v>
      </c>
      <c r="C21" s="15">
        <f>+'[1]Natural Gas'!C21+[1]Ontario!C21+[1]Finance!C21+[1]Executive!C21+[1]Alberta!C21</f>
        <v>19769.170000000046</v>
      </c>
      <c r="E21" s="20">
        <f>(+'[1]Natural Gas'!E21+[1]Ontario!E21+[1]Finance!E21+[1]Executive!E21+[1]Alberta!E21)*1.2</f>
        <v>31630.672000000071</v>
      </c>
      <c r="G21" s="21">
        <f t="shared" si="1"/>
        <v>4428.2940800000106</v>
      </c>
      <c r="H21" t="s">
        <v>42</v>
      </c>
      <c r="I21" s="25">
        <v>66000</v>
      </c>
      <c r="J21">
        <v>6</v>
      </c>
      <c r="K21">
        <f t="shared" si="2"/>
        <v>396000</v>
      </c>
      <c r="O21" s="15">
        <f t="shared" si="0"/>
        <v>632.61344000000156</v>
      </c>
      <c r="AK21" s="32"/>
    </row>
    <row r="22" spans="1:37" x14ac:dyDescent="0.2">
      <c r="A22" s="13" t="s">
        <v>43</v>
      </c>
      <c r="B22" s="14" t="s">
        <v>44</v>
      </c>
      <c r="C22" s="15">
        <f>+'[1]Natural Gas'!C22+[1]Ontario!C22+[1]Finance!C22+[1]Executive!C22+[1]Alberta!C22</f>
        <v>6106.7000000000089</v>
      </c>
      <c r="E22" s="20">
        <f>(+'[1]Natural Gas'!E22+[1]Ontario!E22+[1]Finance!E22+[1]Executive!E22+[1]Alberta!E22)*1.2</f>
        <v>9770.7200000000139</v>
      </c>
      <c r="G22" s="21">
        <f t="shared" si="1"/>
        <v>1367.9008000000019</v>
      </c>
      <c r="H22" t="s">
        <v>45</v>
      </c>
      <c r="I22" s="25">
        <v>97200</v>
      </c>
      <c r="J22">
        <v>1</v>
      </c>
      <c r="K22">
        <f t="shared" si="2"/>
        <v>97200</v>
      </c>
      <c r="O22" s="15">
        <f t="shared" si="0"/>
        <v>195.41440000000028</v>
      </c>
      <c r="AK22" s="32"/>
    </row>
    <row r="23" spans="1:37" x14ac:dyDescent="0.2">
      <c r="A23" s="26" t="s">
        <v>46</v>
      </c>
      <c r="B23" s="27" t="s">
        <v>47</v>
      </c>
      <c r="C23" s="28">
        <f>SUM(C8:C22)</f>
        <v>4145276.52</v>
      </c>
      <c r="E23" s="28">
        <f>SUM(E8:E22)</f>
        <v>5787481.2586666662</v>
      </c>
      <c r="G23" s="28">
        <f>SUM(G8:G22)</f>
        <v>646714.30033454543</v>
      </c>
      <c r="H23" t="s">
        <v>48</v>
      </c>
      <c r="I23" s="25">
        <v>120000</v>
      </c>
      <c r="J23">
        <v>0</v>
      </c>
      <c r="K23">
        <f t="shared" si="2"/>
        <v>0</v>
      </c>
      <c r="O23" s="28">
        <f>SUM(O8:O22)</f>
        <v>92387.757190649354</v>
      </c>
      <c r="AK23" s="29"/>
    </row>
    <row r="24" spans="1:37" x14ac:dyDescent="0.2">
      <c r="H24" t="s">
        <v>49</v>
      </c>
      <c r="I24" s="25">
        <v>156000</v>
      </c>
      <c r="J24">
        <v>0</v>
      </c>
      <c r="K24">
        <f t="shared" si="2"/>
        <v>0</v>
      </c>
      <c r="AK24" s="8"/>
    </row>
    <row r="25" spans="1:37" x14ac:dyDescent="0.2">
      <c r="B25" s="27" t="s">
        <v>50</v>
      </c>
      <c r="C25" s="60"/>
      <c r="E25" s="61">
        <f>+'[1]Natural Gas'!E25+[1]Ontario!E25+[1]Finance!E25+[1]Executive!E25+[1]Alberta!E25</f>
        <v>30</v>
      </c>
      <c r="G25" s="61">
        <f>SUM(J16:J20,J23:J27)</f>
        <v>0</v>
      </c>
      <c r="H25" t="s">
        <v>51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52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x14ac:dyDescent="0.2">
      <c r="B27" s="27" t="s">
        <v>53</v>
      </c>
      <c r="C27" s="15"/>
      <c r="E27" s="61">
        <f>+'[1]Natural Gas'!E27+[1]Ontario!E27+[1]Finance!E27+[1]Executive!E27+[1]Alberta!E27</f>
        <v>20</v>
      </c>
      <c r="G27" s="61">
        <f>SUM(J21:J22)</f>
        <v>7</v>
      </c>
      <c r="H27" t="s">
        <v>90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7</v>
      </c>
      <c r="K28">
        <f>SUM(K16:K27)*1.2</f>
        <v>591840</v>
      </c>
      <c r="AK28" s="8"/>
    </row>
    <row r="29" spans="1:37" x14ac:dyDescent="0.2">
      <c r="B29" s="27" t="s">
        <v>55</v>
      </c>
      <c r="C29" s="15"/>
      <c r="E29" s="31">
        <f>+E27+E25</f>
        <v>50</v>
      </c>
      <c r="F29" s="32"/>
      <c r="G29" s="31">
        <f>+G27+G25</f>
        <v>7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71</v>
      </c>
      <c r="B31" s="14" t="s">
        <v>91</v>
      </c>
      <c r="C31" s="15"/>
      <c r="E31" s="15"/>
      <c r="G31" s="33" t="s">
        <v>56</v>
      </c>
      <c r="H31" s="25"/>
      <c r="J31" s="25"/>
    </row>
    <row r="32" spans="1:37" hidden="1" x14ac:dyDescent="0.2">
      <c r="A32" s="13" t="s">
        <v>73</v>
      </c>
      <c r="B32" s="14"/>
      <c r="C32" s="15"/>
      <c r="E32" s="15"/>
      <c r="H32" s="25"/>
      <c r="J32" s="25"/>
    </row>
    <row r="33" spans="1:11" hidden="1" x14ac:dyDescent="0.2">
      <c r="A33" s="13" t="s">
        <v>75</v>
      </c>
      <c r="B33" s="14"/>
      <c r="C33" s="15"/>
      <c r="E33" s="15"/>
      <c r="G33" s="34" t="s">
        <v>57</v>
      </c>
      <c r="H33" s="35" t="s">
        <v>58</v>
      </c>
      <c r="I33" s="35" t="s">
        <v>59</v>
      </c>
      <c r="J33" s="35" t="s">
        <v>2</v>
      </c>
      <c r="K33" s="35" t="s">
        <v>60</v>
      </c>
    </row>
    <row r="34" spans="1:11" hidden="1" x14ac:dyDescent="0.2">
      <c r="A34" s="13" t="s">
        <v>77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7</v>
      </c>
      <c r="K34" s="37">
        <f>+I34*J34</f>
        <v>218774.55487999998</v>
      </c>
    </row>
    <row r="35" spans="1:11" hidden="1" x14ac:dyDescent="0.2">
      <c r="A35" s="13" t="s">
        <v>79</v>
      </c>
      <c r="B35" s="14"/>
      <c r="C35" s="15"/>
      <c r="E35" s="15"/>
    </row>
    <row r="36" spans="1:11" hidden="1" x14ac:dyDescent="0.2">
      <c r="A36" s="13" t="s">
        <v>81</v>
      </c>
      <c r="B36" s="14"/>
      <c r="C36" s="15"/>
      <c r="E36" s="15"/>
    </row>
    <row r="37" spans="1:11" hidden="1" x14ac:dyDescent="0.2">
      <c r="A37" s="13" t="s">
        <v>83</v>
      </c>
      <c r="B37" s="14"/>
      <c r="C37" s="15"/>
      <c r="E37" s="15"/>
    </row>
    <row r="38" spans="1:11" hidden="1" x14ac:dyDescent="0.2">
      <c r="A38" s="13" t="s">
        <v>85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>
    <pageSetUpPr fitToPage="1"/>
  </sheetPr>
  <dimension ref="A1:AQ49"/>
  <sheetViews>
    <sheetView topLeftCell="A2" zoomScaleNormal="100" workbookViewId="0">
      <selection activeCell="P155" sqref="P155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34" width="9.140625" hidden="1" customWidth="1"/>
    <col min="35" max="44" width="9.140625" customWidth="1"/>
  </cols>
  <sheetData>
    <row r="1" spans="1:43" ht="18" x14ac:dyDescent="0.25">
      <c r="B1" s="142" t="str">
        <f>'[2]Team Report'!B1</f>
        <v>Enron North America</v>
      </c>
      <c r="C1" s="142"/>
      <c r="D1" s="142"/>
      <c r="E1" s="142"/>
      <c r="F1" s="142"/>
      <c r="G1" s="142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42" t="s">
        <v>233</v>
      </c>
      <c r="C2" s="142"/>
      <c r="D2" s="142"/>
      <c r="E2" s="142"/>
      <c r="F2" s="142"/>
      <c r="G2" s="142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43" t="s">
        <v>0</v>
      </c>
      <c r="C3" s="143"/>
      <c r="D3" s="143"/>
      <c r="E3" s="143"/>
      <c r="F3" s="143"/>
      <c r="G3" s="143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1</v>
      </c>
      <c r="J5" s="8" t="s">
        <v>2</v>
      </c>
      <c r="K5" s="9" t="s">
        <v>3</v>
      </c>
    </row>
    <row r="6" spans="1:43" x14ac:dyDescent="0.2">
      <c r="C6" s="10">
        <v>37135</v>
      </c>
      <c r="E6" s="44" t="s">
        <v>63</v>
      </c>
      <c r="G6" s="44" t="s">
        <v>63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5</v>
      </c>
      <c r="E7" s="12" t="s">
        <v>6</v>
      </c>
      <c r="G7" s="12" t="s">
        <v>7</v>
      </c>
      <c r="H7" s="7"/>
      <c r="I7" s="17"/>
      <c r="J7" s="8"/>
      <c r="K7" s="9"/>
      <c r="O7" s="12" t="s">
        <v>7</v>
      </c>
      <c r="AK7" s="12"/>
    </row>
    <row r="8" spans="1:43" x14ac:dyDescent="0.2">
      <c r="A8" s="13" t="s">
        <v>9</v>
      </c>
      <c r="B8" s="14" t="s">
        <v>10</v>
      </c>
      <c r="C8" s="15">
        <f>+'[1]Natural Gas'!C8+[1]Ontario!C8+[1]Finance!C8+[1]Executive!C8+[1]Alberta!C8</f>
        <v>2855922.0300000003</v>
      </c>
      <c r="E8" s="15">
        <f>+'[1]Natural Gas'!E8+[1]Ontario!E8+[1]Finance!E8+[1]Executive!E8+[1]Alberta!E8</f>
        <v>3807896.0399999991</v>
      </c>
      <c r="G8" s="15">
        <f>(((+'Canada Origination'!G8+'Canada A&amp;A-Orig'!G8)*1.2)/1.2)*1.1</f>
        <v>1650000.0000000002</v>
      </c>
      <c r="H8" s="7" t="s">
        <v>10</v>
      </c>
      <c r="I8" s="17">
        <v>0</v>
      </c>
      <c r="J8" s="8"/>
      <c r="K8" s="18">
        <f>K28</f>
        <v>1344000</v>
      </c>
      <c r="O8" s="15">
        <f t="shared" ref="O8:O22" si="0">+G8/$G$29*$O$29</f>
        <v>110000.00000000001</v>
      </c>
      <c r="AK8" s="32"/>
    </row>
    <row r="9" spans="1:43" x14ac:dyDescent="0.2">
      <c r="A9" s="13"/>
      <c r="B9" s="14" t="s">
        <v>11</v>
      </c>
      <c r="C9" s="15">
        <f>+'[1]Natural Gas'!C9+[1]Ontario!C9+[1]Finance!C9+[1]Executive!C9+[1]Alberta!C9</f>
        <v>0</v>
      </c>
      <c r="E9" s="15">
        <f>+'[1]Natural Gas'!E9+[1]Ontario!E9+[1]Finance!E9+[1]Executive!E9+[1]Alberta!E9</f>
        <v>0</v>
      </c>
      <c r="G9" s="15">
        <f>(((+'Canada Origination'!G9+'Canada A&amp;A-Orig'!G9)*1.2)/1.2)*1.1</f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89</v>
      </c>
      <c r="C10" s="15">
        <v>0</v>
      </c>
      <c r="E10" s="15">
        <v>0</v>
      </c>
      <c r="G10" s="15">
        <f>(((+'Canada Origination'!G10+'Canada A&amp;A-Orig'!G10)*1.2)/1.2)*1.1</f>
        <v>249360.00000000003</v>
      </c>
      <c r="H10" s="7"/>
      <c r="I10" s="17"/>
      <c r="J10" s="8"/>
      <c r="K10" s="9"/>
      <c r="O10" s="15">
        <f t="shared" si="0"/>
        <v>16624.000000000004</v>
      </c>
      <c r="AK10" s="32"/>
    </row>
    <row r="11" spans="1:43" x14ac:dyDescent="0.2">
      <c r="A11" s="13" t="s">
        <v>13</v>
      </c>
      <c r="B11" s="14" t="s">
        <v>14</v>
      </c>
      <c r="C11" s="15">
        <f>+'[1]Natural Gas'!C11+[1]Ontario!C11+[1]Finance!C11+[1]Executive!C10+[1]Alberta!C11</f>
        <v>312682.37</v>
      </c>
      <c r="E11" s="15">
        <f>+'[1]Natural Gas'!E11+[1]Ontario!E11+[1]Finance!E11+[1]Executive!E10+[1]Alberta!E11</f>
        <v>416909.82666666666</v>
      </c>
      <c r="G11" s="15">
        <f>(((+'Canada Origination'!G11+'Canada A&amp;A-Orig'!G11)*1.2)/1.2)*1.1</f>
        <v>286406.28000000003</v>
      </c>
      <c r="H11" s="7" t="s">
        <v>15</v>
      </c>
      <c r="I11" s="19">
        <f>(E12+E13+E14+E15+E16+E17+E18+E19+E20+E21+E22)/E29</f>
        <v>31253.507839999998</v>
      </c>
      <c r="J11" s="8">
        <f>J28</f>
        <v>9</v>
      </c>
      <c r="K11" s="18">
        <f>I11*J11</f>
        <v>281281.57055999996</v>
      </c>
      <c r="O11" s="15">
        <f t="shared" si="0"/>
        <v>19093.752</v>
      </c>
      <c r="AK11" s="32"/>
    </row>
    <row r="12" spans="1:43" x14ac:dyDescent="0.2">
      <c r="A12" s="13" t="s">
        <v>16</v>
      </c>
      <c r="B12" s="14" t="s">
        <v>17</v>
      </c>
      <c r="C12" s="15">
        <f>+'[1]Natural Gas'!C12+[1]Ontario!C12+[1]Finance!C12+[1]Executive!C12+[1]Alberta!C12</f>
        <v>67320.12999999999</v>
      </c>
      <c r="E12" s="20">
        <f>(+'[1]Natural Gas'!E12+[1]Ontario!E12+[1]Finance!E12+[1]Executive!E12+[1]Alberta!E12)*1.2</f>
        <v>107712.20799999998</v>
      </c>
      <c r="G12" s="15">
        <f>(((+'Canada Origination'!G12+'Canada A&amp;A-Orig'!G12)*1.2+100000)/1.2)*1.1</f>
        <v>122472.35815466668</v>
      </c>
      <c r="H12" s="7"/>
      <c r="I12" s="17"/>
      <c r="J12" s="8"/>
      <c r="K12" s="9"/>
      <c r="O12" s="15">
        <f t="shared" si="0"/>
        <v>8164.823876977779</v>
      </c>
      <c r="AK12" s="32"/>
    </row>
    <row r="13" spans="1:43" ht="13.5" thickBot="1" x14ac:dyDescent="0.25">
      <c r="A13" s="13" t="s">
        <v>18</v>
      </c>
      <c r="B13" s="14" t="s">
        <v>19</v>
      </c>
      <c r="C13" s="15">
        <f>+'[1]Natural Gas'!C13+[1]Ontario!C13+[1]Finance!C13+[1]Executive!C13+[1]Alberta!C13</f>
        <v>297871.83999999997</v>
      </c>
      <c r="E13" s="20">
        <f>(+'[1]Natural Gas'!E13+[1]Ontario!E13+[1]Finance!E13+[1]Executive!E13+[1]Alberta!E13)*1.2</f>
        <v>476594.94399999996</v>
      </c>
      <c r="G13" s="15">
        <f>(((+'Canada Origination'!G13+'Canada A&amp;A-Orig'!G13)*1.2)/1.2)*1.1</f>
        <v>136306.15398399998</v>
      </c>
      <c r="H13" s="22" t="s">
        <v>20</v>
      </c>
      <c r="I13" s="47"/>
      <c r="J13" s="23"/>
      <c r="K13" s="24">
        <f>K8+K11</f>
        <v>1625281.5705599999</v>
      </c>
      <c r="O13" s="15">
        <f t="shared" si="0"/>
        <v>9087.0769322666656</v>
      </c>
      <c r="AK13" s="32"/>
    </row>
    <row r="14" spans="1:43" x14ac:dyDescent="0.2">
      <c r="A14" s="13" t="s">
        <v>21</v>
      </c>
      <c r="B14" s="14" t="s">
        <v>22</v>
      </c>
      <c r="C14" s="15">
        <f>+'[1]Natural Gas'!C14+[1]Ontario!C14+[1]Finance!C14+[1]Executive!C14+[1]Alberta!C14</f>
        <v>505739.98</v>
      </c>
      <c r="E14" s="20">
        <f>(+'[1]Natural Gas'!E14+[1]Ontario!E14+[1]Finance!E14+[1]Executive!E14+[1]Alberta!E14)*1.2</f>
        <v>809183.96799999999</v>
      </c>
      <c r="G14" s="15">
        <f>(((+'Canada Origination'!G14+'Canada A&amp;A-Orig'!G14)*1.2)/1.2)*1.1</f>
        <v>231426.61484800003</v>
      </c>
      <c r="O14" s="15">
        <f t="shared" si="0"/>
        <v>15428.440989866669</v>
      </c>
      <c r="AK14" s="32"/>
    </row>
    <row r="15" spans="1:43" x14ac:dyDescent="0.2">
      <c r="A15" s="13" t="s">
        <v>23</v>
      </c>
      <c r="B15" s="14" t="s">
        <v>24</v>
      </c>
      <c r="C15" s="15">
        <f>+'[1]Natural Gas'!C15+[1]Ontario!C15+[1]Finance!C15+[1]Executive!C15+[1]Alberta!C15</f>
        <v>6427.4199999999992</v>
      </c>
      <c r="E15" s="20">
        <f>(+'[1]Natural Gas'!E15+[1]Ontario!E15+[1]Finance!E15+[1]Executive!E15+[1]Alberta!E15)*1.2</f>
        <v>10283.871999999998</v>
      </c>
      <c r="G15" s="15">
        <f>(((+'Canada Origination'!G15+'Canada A&amp;A-Orig'!G15)*1.2)/1.2)*1.1</f>
        <v>2941.1873919999998</v>
      </c>
      <c r="O15" s="15">
        <f t="shared" si="0"/>
        <v>196.07915946666665</v>
      </c>
      <c r="AK15" s="32"/>
    </row>
    <row r="16" spans="1:43" x14ac:dyDescent="0.2">
      <c r="A16" s="13" t="s">
        <v>25</v>
      </c>
      <c r="B16" s="14" t="s">
        <v>26</v>
      </c>
      <c r="C16" s="15">
        <f>+'[1]Natural Gas'!C16+[1]Ontario!C16+[1]Finance!C16+[1]Executive!C16+[1]Alberta!C16</f>
        <v>0</v>
      </c>
      <c r="E16" s="20">
        <f>(+'[1]Natural Gas'!E16+[1]Ontario!E16+[1]Finance!E16+[1]Executive!E16+[1]Alberta!E16)*1.2</f>
        <v>0</v>
      </c>
      <c r="G16" s="15">
        <f>(((+'Canada Origination'!G16+'Canada A&amp;A-Orig'!G16)*1.2)/1.2)*1.1</f>
        <v>0</v>
      </c>
      <c r="H16" t="s">
        <v>27</v>
      </c>
      <c r="I16" s="25">
        <v>33600</v>
      </c>
      <c r="J16">
        <v>0</v>
      </c>
      <c r="K16">
        <f t="shared" ref="K16:K27" si="1">I16*J16</f>
        <v>0</v>
      </c>
      <c r="O16" s="15">
        <f t="shared" si="0"/>
        <v>0</v>
      </c>
      <c r="AK16" s="32"/>
    </row>
    <row r="17" spans="1:37" x14ac:dyDescent="0.2">
      <c r="A17" s="13" t="s">
        <v>28</v>
      </c>
      <c r="B17" s="14" t="s">
        <v>29</v>
      </c>
      <c r="C17" s="15">
        <f>+'[1]Natural Gas'!C17+[1]Ontario!C17+[1]Finance!C17+[1]Executive!C17+[1]Alberta!C17</f>
        <v>1883.62</v>
      </c>
      <c r="E17" s="20">
        <f>(+'[1]Natural Gas'!E17+[1]Ontario!E17+[1]Finance!E17+[1]Executive!E17+[1]Alberta!E17)*1.2</f>
        <v>3013.7920000000004</v>
      </c>
      <c r="G17" s="15">
        <f>(((+'Canada Origination'!G17+'Canada A&amp;A-Orig'!G17)*1.2)/1.2)*1.1</f>
        <v>861.94451200000015</v>
      </c>
      <c r="H17" t="s">
        <v>30</v>
      </c>
      <c r="I17" s="25">
        <v>52800</v>
      </c>
      <c r="J17">
        <v>0</v>
      </c>
      <c r="K17">
        <f t="shared" si="1"/>
        <v>0</v>
      </c>
      <c r="O17" s="15">
        <f t="shared" si="0"/>
        <v>57.462967466666676</v>
      </c>
      <c r="AK17" s="32"/>
    </row>
    <row r="18" spans="1:37" x14ac:dyDescent="0.2">
      <c r="A18" s="13" t="s">
        <v>31</v>
      </c>
      <c r="B18" s="14" t="s">
        <v>32</v>
      </c>
      <c r="C18" s="15">
        <f>+'[1]Natural Gas'!C18+[1]Ontario!C18+[1]Finance!C18+[1]Executive!C18+[1]Alberta!C18</f>
        <v>19208.419999999998</v>
      </c>
      <c r="E18" s="20">
        <f>(+'[1]Natural Gas'!E18+[1]Ontario!E18+[1]Finance!E18+[1]Executive!E18+[1]Alberta!E18)*1.2</f>
        <v>30733.471999999998</v>
      </c>
      <c r="G18" s="15">
        <f>(((+'Canada Origination'!G18+'Canada A&amp;A-Orig'!G18)*1.2)/1.2)*1.1</f>
        <v>8789.7729920000002</v>
      </c>
      <c r="H18" t="s">
        <v>33</v>
      </c>
      <c r="I18" s="25">
        <v>54000</v>
      </c>
      <c r="J18">
        <v>0</v>
      </c>
      <c r="K18">
        <f t="shared" si="1"/>
        <v>0</v>
      </c>
      <c r="O18" s="15">
        <f t="shared" si="0"/>
        <v>585.9848661333333</v>
      </c>
      <c r="AK18" s="32"/>
    </row>
    <row r="19" spans="1:37" x14ac:dyDescent="0.2">
      <c r="A19" s="13" t="s">
        <v>34</v>
      </c>
      <c r="B19" s="14" t="s">
        <v>35</v>
      </c>
      <c r="C19" s="15">
        <f>+'[1]Natural Gas'!C19+[1]Ontario!C19+[1]Finance!C19+[1]Executive!C19+[1]Alberta!C19</f>
        <v>52344.84</v>
      </c>
      <c r="E19" s="20">
        <f>(+'[1]Natural Gas'!E19+[1]Ontario!E19+[1]Finance!E19+[1]Executive!E19+[1]Alberta!E19)*1.2</f>
        <v>83751.743999999992</v>
      </c>
      <c r="G19" s="15">
        <f>(((+'Canada Origination'!G19+'Canada A&amp;A-Orig'!G19)*1.2)/1.2)*1.1</f>
        <v>23952.998783999999</v>
      </c>
      <c r="H19" t="s">
        <v>36</v>
      </c>
      <c r="I19" s="25">
        <v>63000</v>
      </c>
      <c r="J19">
        <v>0</v>
      </c>
      <c r="K19">
        <f t="shared" si="1"/>
        <v>0</v>
      </c>
      <c r="O19" s="15">
        <f t="shared" si="0"/>
        <v>1596.8665856</v>
      </c>
      <c r="AK19" s="32"/>
    </row>
    <row r="20" spans="1:37" x14ac:dyDescent="0.2">
      <c r="A20" s="13" t="s">
        <v>37</v>
      </c>
      <c r="B20" s="14" t="s">
        <v>38</v>
      </c>
      <c r="C20" s="15">
        <f>+'[1]Natural Gas'!C20+[1]Ontario!C20+[1]Finance!C20+[1]Executive!C20+[1]Alberta!C20</f>
        <v>0</v>
      </c>
      <c r="E20" s="20">
        <f>(+'[1]Natural Gas'!E20+[1]Ontario!E20+[1]Finance!E20+[1]Executive!E20+[1]Alberta!E20)*1.2</f>
        <v>0</v>
      </c>
      <c r="G20" s="15">
        <f>(((+'Canada Origination'!G20+'Canada A&amp;A-Orig'!G20)*1.2)/1.2)*1.1</f>
        <v>0</v>
      </c>
      <c r="H20" t="s">
        <v>39</v>
      </c>
      <c r="I20" s="25">
        <v>78000</v>
      </c>
      <c r="J20">
        <v>0</v>
      </c>
      <c r="K20">
        <f t="shared" si="1"/>
        <v>0</v>
      </c>
      <c r="O20" s="15">
        <f t="shared" si="0"/>
        <v>0</v>
      </c>
      <c r="AK20" s="32"/>
    </row>
    <row r="21" spans="1:37" x14ac:dyDescent="0.2">
      <c r="A21" s="13" t="s">
        <v>40</v>
      </c>
      <c r="B21" s="14" t="s">
        <v>41</v>
      </c>
      <c r="C21" s="15">
        <f>+'[1]Natural Gas'!C21+[1]Ontario!C21+[1]Finance!C21+[1]Executive!C21+[1]Alberta!C21</f>
        <v>19769.170000000046</v>
      </c>
      <c r="E21" s="20">
        <f>(+'[1]Natural Gas'!E21+[1]Ontario!E21+[1]Finance!E21+[1]Executive!E21+[1]Alberta!E21)*1.2</f>
        <v>31630.672000000071</v>
      </c>
      <c r="G21" s="15">
        <f>(((+'Canada Origination'!G21+'Canada A&amp;A-Orig'!G21)*1.2)/1.2)*1.1</f>
        <v>9046.3721920000207</v>
      </c>
      <c r="H21" t="s">
        <v>42</v>
      </c>
      <c r="I21" s="25">
        <v>66000</v>
      </c>
      <c r="J21">
        <v>0</v>
      </c>
      <c r="K21">
        <f t="shared" si="1"/>
        <v>0</v>
      </c>
      <c r="O21" s="15">
        <f t="shared" si="0"/>
        <v>603.09147946666803</v>
      </c>
      <c r="AK21" s="32"/>
    </row>
    <row r="22" spans="1:37" x14ac:dyDescent="0.2">
      <c r="A22" s="13" t="s">
        <v>43</v>
      </c>
      <c r="B22" s="14" t="s">
        <v>44</v>
      </c>
      <c r="C22" s="15">
        <f>+'[1]Natural Gas'!C22+[1]Ontario!C22+[1]Finance!C22+[1]Executive!C22+[1]Alberta!C22</f>
        <v>6106.7000000000089</v>
      </c>
      <c r="E22" s="20">
        <f>(+'[1]Natural Gas'!E22+[1]Ontario!E22+[1]Finance!E22+[1]Executive!E22+[1]Alberta!E22)*1.2</f>
        <v>9770.7200000000139</v>
      </c>
      <c r="G22" s="15">
        <f>(((+'Canada Origination'!G22+'Canada A&amp;A-Orig'!G22)*1.2)/1.2)*1.1</f>
        <v>2794.4259200000042</v>
      </c>
      <c r="H22" t="s">
        <v>45</v>
      </c>
      <c r="I22" s="25">
        <v>97200</v>
      </c>
      <c r="J22">
        <v>0</v>
      </c>
      <c r="K22">
        <f t="shared" si="1"/>
        <v>0</v>
      </c>
      <c r="O22" s="15">
        <f t="shared" si="0"/>
        <v>186.29506133333362</v>
      </c>
      <c r="AK22" s="32"/>
    </row>
    <row r="23" spans="1:37" x14ac:dyDescent="0.2">
      <c r="A23" s="26" t="s">
        <v>46</v>
      </c>
      <c r="B23" s="27" t="s">
        <v>47</v>
      </c>
      <c r="C23" s="28">
        <f>SUM(C8:C22)</f>
        <v>4145276.52</v>
      </c>
      <c r="E23" s="28">
        <f>SUM(E8:E22)</f>
        <v>5787481.2586666662</v>
      </c>
      <c r="G23" s="28">
        <f>SUM(G8:G22)</f>
        <v>2724358.1087786667</v>
      </c>
      <c r="H23" t="s">
        <v>48</v>
      </c>
      <c r="I23" s="25">
        <v>120000</v>
      </c>
      <c r="J23">
        <v>5</v>
      </c>
      <c r="K23">
        <f t="shared" si="1"/>
        <v>600000</v>
      </c>
      <c r="O23" s="28">
        <f>SUM(O8:O22)</f>
        <v>181623.87391857782</v>
      </c>
      <c r="AK23" s="29"/>
    </row>
    <row r="24" spans="1:37" x14ac:dyDescent="0.2">
      <c r="H24" t="s">
        <v>49</v>
      </c>
      <c r="I24" s="25">
        <v>156000</v>
      </c>
      <c r="J24">
        <v>2</v>
      </c>
      <c r="K24">
        <f t="shared" si="1"/>
        <v>312000</v>
      </c>
      <c r="AK24" s="8"/>
    </row>
    <row r="25" spans="1:37" x14ac:dyDescent="0.2">
      <c r="B25" s="27" t="s">
        <v>50</v>
      </c>
      <c r="C25" s="60"/>
      <c r="E25" s="61">
        <f>+'[1]Natural Gas'!E25+[1]Ontario!E25+[1]Finance!E25+[1]Executive!E25+[1]Alberta!E25</f>
        <v>30</v>
      </c>
      <c r="G25" s="61">
        <v>11</v>
      </c>
      <c r="H25" t="s">
        <v>51</v>
      </c>
      <c r="I25" s="25">
        <v>180000</v>
      </c>
      <c r="J25">
        <v>0</v>
      </c>
      <c r="K25">
        <f t="shared" si="1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52</v>
      </c>
      <c r="I26" s="25">
        <v>216000</v>
      </c>
      <c r="J26">
        <v>2</v>
      </c>
      <c r="K26">
        <f t="shared" si="1"/>
        <v>432000</v>
      </c>
      <c r="O26" s="15"/>
      <c r="AK26" s="32"/>
    </row>
    <row r="27" spans="1:37" x14ac:dyDescent="0.2">
      <c r="B27" s="27" t="s">
        <v>53</v>
      </c>
      <c r="C27" s="15"/>
      <c r="E27" s="61">
        <f>+'[1]Natural Gas'!E27+[1]Ontario!E27+[1]Finance!E27+[1]Executive!E27+[1]Alberta!E27</f>
        <v>20</v>
      </c>
      <c r="G27" s="61">
        <f>+'Canada Origination'!G27+'Canada A&amp;A-Orig'!G27</f>
        <v>4</v>
      </c>
      <c r="H27" t="s">
        <v>90</v>
      </c>
      <c r="I27" s="25">
        <v>240000</v>
      </c>
      <c r="J27">
        <v>0</v>
      </c>
      <c r="K27">
        <f t="shared" si="1"/>
        <v>0</v>
      </c>
      <c r="O27" s="31">
        <f>+U21+U22</f>
        <v>0</v>
      </c>
      <c r="AK27" s="32"/>
    </row>
    <row r="28" spans="1:37" x14ac:dyDescent="0.2">
      <c r="J28">
        <f>SUM(J16:J27)</f>
        <v>9</v>
      </c>
      <c r="K28">
        <f>SUM(K16:K27)</f>
        <v>1344000</v>
      </c>
      <c r="AK28" s="8"/>
    </row>
    <row r="29" spans="1:37" x14ac:dyDescent="0.2">
      <c r="B29" s="27" t="s">
        <v>55</v>
      </c>
      <c r="C29" s="15"/>
      <c r="E29" s="31">
        <f>+E27+E25</f>
        <v>50</v>
      </c>
      <c r="F29" s="32"/>
      <c r="G29" s="31">
        <f>+G27+G25</f>
        <v>15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71</v>
      </c>
      <c r="B31" s="14" t="s">
        <v>91</v>
      </c>
      <c r="C31" s="15"/>
      <c r="E31" s="15"/>
      <c r="G31" s="33" t="s">
        <v>56</v>
      </c>
      <c r="H31" s="25"/>
      <c r="J31" s="25"/>
    </row>
    <row r="32" spans="1:37" hidden="1" x14ac:dyDescent="0.2">
      <c r="A32" s="13" t="s">
        <v>73</v>
      </c>
      <c r="B32" s="14"/>
      <c r="C32" s="15"/>
      <c r="E32" s="15"/>
      <c r="H32" s="25"/>
      <c r="J32" s="25"/>
    </row>
    <row r="33" spans="1:11" hidden="1" x14ac:dyDescent="0.2">
      <c r="A33" s="13" t="s">
        <v>75</v>
      </c>
      <c r="B33" s="14"/>
      <c r="C33" s="15"/>
      <c r="E33" s="15"/>
      <c r="G33" s="34" t="s">
        <v>57</v>
      </c>
      <c r="H33" s="35" t="s">
        <v>58</v>
      </c>
      <c r="I33" s="35" t="s">
        <v>59</v>
      </c>
      <c r="J33" s="35" t="s">
        <v>2</v>
      </c>
      <c r="K33" s="35" t="s">
        <v>60</v>
      </c>
    </row>
    <row r="34" spans="1:11" hidden="1" x14ac:dyDescent="0.2">
      <c r="A34" s="13" t="s">
        <v>77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9</v>
      </c>
      <c r="K34" s="37">
        <f>+I34*J34</f>
        <v>281281.57055999996</v>
      </c>
    </row>
    <row r="35" spans="1:11" hidden="1" x14ac:dyDescent="0.2">
      <c r="A35" s="13" t="s">
        <v>79</v>
      </c>
      <c r="B35" s="14"/>
      <c r="C35" s="15"/>
      <c r="E35" s="15"/>
    </row>
    <row r="36" spans="1:11" hidden="1" x14ac:dyDescent="0.2">
      <c r="A36" s="13" t="s">
        <v>81</v>
      </c>
      <c r="B36" s="14"/>
      <c r="C36" s="15"/>
      <c r="E36" s="15"/>
    </row>
    <row r="37" spans="1:11" hidden="1" x14ac:dyDescent="0.2">
      <c r="A37" s="13" t="s">
        <v>83</v>
      </c>
      <c r="B37" s="14"/>
      <c r="C37" s="15"/>
      <c r="E37" s="15"/>
    </row>
    <row r="38" spans="1:11" hidden="1" x14ac:dyDescent="0.2">
      <c r="A38" s="13" t="s">
        <v>85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AQ49"/>
  <sheetViews>
    <sheetView topLeftCell="A2" zoomScaleNormal="100" workbookViewId="0">
      <selection activeCell="G10" sqref="G10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34" width="9.140625" hidden="1" customWidth="1"/>
    <col min="35" max="44" width="9.140625" customWidth="1"/>
  </cols>
  <sheetData>
    <row r="1" spans="1:43" ht="18" x14ac:dyDescent="0.25">
      <c r="B1" s="142" t="str">
        <f>'[2]Team Report'!B1</f>
        <v>Enron North America</v>
      </c>
      <c r="C1" s="142"/>
      <c r="D1" s="142"/>
      <c r="E1" s="142"/>
      <c r="F1" s="142"/>
      <c r="G1" s="142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42" t="s">
        <v>233</v>
      </c>
      <c r="C2" s="142"/>
      <c r="D2" s="142"/>
      <c r="E2" s="142"/>
      <c r="F2" s="142"/>
      <c r="G2" s="142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43" t="s">
        <v>0</v>
      </c>
      <c r="C3" s="143"/>
      <c r="D3" s="143"/>
      <c r="E3" s="143"/>
      <c r="F3" s="143"/>
      <c r="G3" s="143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1</v>
      </c>
      <c r="J5" s="8" t="s">
        <v>2</v>
      </c>
      <c r="K5" s="9" t="s">
        <v>3</v>
      </c>
    </row>
    <row r="6" spans="1:43" x14ac:dyDescent="0.2">
      <c r="C6" s="10">
        <v>37135</v>
      </c>
      <c r="E6" s="44" t="s">
        <v>63</v>
      </c>
      <c r="G6" s="44" t="s">
        <v>63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5</v>
      </c>
      <c r="E7" s="12" t="s">
        <v>6</v>
      </c>
      <c r="G7" s="12" t="s">
        <v>7</v>
      </c>
      <c r="H7" s="7"/>
      <c r="I7" s="17"/>
      <c r="J7" s="8"/>
      <c r="K7" s="9"/>
      <c r="O7" s="12" t="s">
        <v>7</v>
      </c>
      <c r="AK7" s="12"/>
    </row>
    <row r="8" spans="1:43" x14ac:dyDescent="0.2">
      <c r="A8" s="13" t="s">
        <v>9</v>
      </c>
      <c r="B8" s="14" t="s">
        <v>10</v>
      </c>
      <c r="C8" s="15">
        <f>+'[1]Natural Gas'!C8+[1]Ontario!C8+[1]Finance!C8+[1]Executive!C8+[1]Alberta!C8</f>
        <v>2855922.0300000003</v>
      </c>
      <c r="E8" s="15">
        <f>+'[1]Natural Gas'!E8+[1]Ontario!E8+[1]Finance!E8+[1]Executive!E8+[1]Alberta!E8</f>
        <v>3807896.0399999991</v>
      </c>
      <c r="G8" s="15">
        <f>K28-G10-137496+293496</f>
        <v>1500000</v>
      </c>
      <c r="H8" s="7" t="s">
        <v>10</v>
      </c>
      <c r="I8" s="17">
        <v>0</v>
      </c>
      <c r="J8" s="8"/>
      <c r="K8" s="18">
        <f>K28</f>
        <v>1344000</v>
      </c>
      <c r="O8" s="15">
        <f t="shared" ref="O8:O22" si="0">+G8/$G$29*$O$29</f>
        <v>166666.66666666666</v>
      </c>
      <c r="AK8" s="32"/>
    </row>
    <row r="9" spans="1:43" x14ac:dyDescent="0.2">
      <c r="A9" s="13"/>
      <c r="B9" s="14" t="s">
        <v>11</v>
      </c>
      <c r="C9" s="15">
        <f>+'[1]Natural Gas'!C9+[1]Ontario!C9+[1]Finance!C9+[1]Executive!C9+[1]Alberta!C9</f>
        <v>0</v>
      </c>
      <c r="E9" s="15">
        <f>+'[1]Natural Gas'!E9+[1]Ontario!E9+[1]Finance!E9+[1]Executive!E9+[1]Alberta!E9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89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x14ac:dyDescent="0.2">
      <c r="A11" s="13" t="s">
        <v>13</v>
      </c>
      <c r="B11" s="14" t="s">
        <v>14</v>
      </c>
      <c r="C11" s="15">
        <f>+'[1]Natural Gas'!C11+[1]Ontario!C11+[1]Finance!C11+[1]Executive!C10+[1]Alberta!C11</f>
        <v>312682.37</v>
      </c>
      <c r="E11" s="15">
        <f>+'[1]Natural Gas'!E11+[1]Ontario!E11+[1]Finance!E11+[1]Executive!E10+[1]Alberta!E11</f>
        <v>416909.82666666666</v>
      </c>
      <c r="G11" s="15">
        <f>G8*0.3105+52-240802</f>
        <v>225000</v>
      </c>
      <c r="H11" s="7" t="s">
        <v>15</v>
      </c>
      <c r="I11" s="19">
        <f>(E12+E13+E14+E15+E16+E17+E18+E19+E20+E21+E22)/E29</f>
        <v>31253.507839999998</v>
      </c>
      <c r="J11" s="8">
        <f>J28</f>
        <v>9</v>
      </c>
      <c r="K11" s="18">
        <f>I11*J11</f>
        <v>281281.57055999996</v>
      </c>
      <c r="O11" s="15">
        <f t="shared" si="0"/>
        <v>25000</v>
      </c>
      <c r="AK11" s="32"/>
    </row>
    <row r="12" spans="1:43" x14ac:dyDescent="0.2">
      <c r="A12" s="13" t="s">
        <v>16</v>
      </c>
      <c r="B12" s="14" t="s">
        <v>17</v>
      </c>
      <c r="C12" s="15">
        <f>+'[1]Natural Gas'!C12+[1]Ontario!C12+[1]Finance!C12+[1]Executive!C12+[1]Alberta!C12</f>
        <v>67320.12999999999</v>
      </c>
      <c r="E12" s="20">
        <f>(+'[1]Natural Gas'!E12+[1]Ontario!E12+[1]Finance!E12+[1]Executive!E12+[1]Alberta!E12)*1.2</f>
        <v>107712.20799999998</v>
      </c>
      <c r="G12" s="21">
        <f>(E12/$E$29)*$G$29</f>
        <v>19388.197439999996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18</v>
      </c>
      <c r="B13" s="14" t="s">
        <v>19</v>
      </c>
      <c r="C13" s="15">
        <f>+'[1]Natural Gas'!C13+[1]Ontario!C13+[1]Finance!C13+[1]Executive!C13+[1]Alberta!C13</f>
        <v>297871.83999999997</v>
      </c>
      <c r="E13" s="20">
        <f>(+'[1]Natural Gas'!E13+[1]Ontario!E13+[1]Finance!E13+[1]Executive!E13+[1]Alberta!E13)*1.2</f>
        <v>476594.94399999996</v>
      </c>
      <c r="G13" s="21">
        <f t="shared" ref="G13:G22" si="1">(E13/$E$29)*$G$29</f>
        <v>85787.089919999984</v>
      </c>
      <c r="H13" s="22" t="s">
        <v>20</v>
      </c>
      <c r="I13" s="47"/>
      <c r="J13" s="23"/>
      <c r="K13" s="24">
        <f>K8+K11</f>
        <v>1625281.5705599999</v>
      </c>
      <c r="O13" s="15">
        <f t="shared" si="0"/>
        <v>9531.8988799999988</v>
      </c>
      <c r="AK13" s="32"/>
    </row>
    <row r="14" spans="1:43" x14ac:dyDescent="0.2">
      <c r="A14" s="13" t="s">
        <v>21</v>
      </c>
      <c r="B14" s="14" t="s">
        <v>22</v>
      </c>
      <c r="C14" s="15">
        <f>+'[1]Natural Gas'!C14+[1]Ontario!C14+[1]Finance!C14+[1]Executive!C14+[1]Alberta!C14</f>
        <v>505739.98</v>
      </c>
      <c r="E14" s="20">
        <f>(+'[1]Natural Gas'!E14+[1]Ontario!E14+[1]Finance!E14+[1]Executive!E14+[1]Alberta!E14)*1.2</f>
        <v>809183.96799999999</v>
      </c>
      <c r="G14" s="21">
        <f t="shared" si="1"/>
        <v>145653.11424</v>
      </c>
      <c r="O14" s="15">
        <f t="shared" si="0"/>
        <v>16183.67936</v>
      </c>
      <c r="AK14" s="32"/>
    </row>
    <row r="15" spans="1:43" x14ac:dyDescent="0.2">
      <c r="A15" s="13" t="s">
        <v>23</v>
      </c>
      <c r="B15" s="14" t="s">
        <v>24</v>
      </c>
      <c r="C15" s="15">
        <f>+'[1]Natural Gas'!C15+[1]Ontario!C15+[1]Finance!C15+[1]Executive!C15+[1]Alberta!C15</f>
        <v>6427.4199999999992</v>
      </c>
      <c r="E15" s="20">
        <f>(+'[1]Natural Gas'!E15+[1]Ontario!E15+[1]Finance!E15+[1]Executive!E15+[1]Alberta!E15)*1.2</f>
        <v>10283.871999999998</v>
      </c>
      <c r="G15" s="21">
        <f t="shared" si="1"/>
        <v>1851.0969599999996</v>
      </c>
      <c r="O15" s="15">
        <f t="shared" si="0"/>
        <v>205.67743999999996</v>
      </c>
      <c r="AK15" s="32"/>
    </row>
    <row r="16" spans="1:43" x14ac:dyDescent="0.2">
      <c r="A16" s="13" t="s">
        <v>25</v>
      </c>
      <c r="B16" s="14" t="s">
        <v>26</v>
      </c>
      <c r="C16" s="15">
        <f>+'[1]Natural Gas'!C16+[1]Ontario!C16+[1]Finance!C16+[1]Executive!C16+[1]Alberta!C16</f>
        <v>0</v>
      </c>
      <c r="E16" s="20">
        <f>(+'[1]Natural Gas'!E16+[1]Ontario!E16+[1]Finance!E16+[1]Executive!E16+[1]Alberta!E16)*1.2</f>
        <v>0</v>
      </c>
      <c r="G16" s="21">
        <f t="shared" si="1"/>
        <v>0</v>
      </c>
      <c r="H16" t="s">
        <v>27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28</v>
      </c>
      <c r="B17" s="14" t="s">
        <v>29</v>
      </c>
      <c r="C17" s="15">
        <f>+'[1]Natural Gas'!C17+[1]Ontario!C17+[1]Finance!C17+[1]Executive!C17+[1]Alberta!C17</f>
        <v>1883.62</v>
      </c>
      <c r="E17" s="20">
        <f>(+'[1]Natural Gas'!E17+[1]Ontario!E17+[1]Finance!E17+[1]Executive!E17+[1]Alberta!E17)*1.2</f>
        <v>3013.7920000000004</v>
      </c>
      <c r="G17" s="21">
        <f t="shared" si="1"/>
        <v>542.48256000000003</v>
      </c>
      <c r="H17" t="s">
        <v>30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60.275840000000002</v>
      </c>
      <c r="AK17" s="32"/>
    </row>
    <row r="18" spans="1:37" x14ac:dyDescent="0.2">
      <c r="A18" s="13" t="s">
        <v>31</v>
      </c>
      <c r="B18" s="14" t="s">
        <v>32</v>
      </c>
      <c r="C18" s="15">
        <f>+'[1]Natural Gas'!C18+[1]Ontario!C18+[1]Finance!C18+[1]Executive!C18+[1]Alberta!C18</f>
        <v>19208.419999999998</v>
      </c>
      <c r="E18" s="20">
        <f>(+'[1]Natural Gas'!E18+[1]Ontario!E18+[1]Finance!E18+[1]Executive!E18+[1]Alberta!E18)*1.2</f>
        <v>30733.471999999998</v>
      </c>
      <c r="G18" s="21">
        <f t="shared" si="1"/>
        <v>5532.0249599999997</v>
      </c>
      <c r="H18" t="s">
        <v>33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34</v>
      </c>
      <c r="B19" s="14" t="s">
        <v>35</v>
      </c>
      <c r="C19" s="15">
        <f>+'[1]Natural Gas'!C19+[1]Ontario!C19+[1]Finance!C19+[1]Executive!C19+[1]Alberta!C19</f>
        <v>52344.84</v>
      </c>
      <c r="E19" s="20">
        <f>(+'[1]Natural Gas'!E19+[1]Ontario!E19+[1]Finance!E19+[1]Executive!E19+[1]Alberta!E19)*1.2</f>
        <v>83751.743999999992</v>
      </c>
      <c r="G19" s="21">
        <f t="shared" si="1"/>
        <v>15075.313919999999</v>
      </c>
      <c r="H19" t="s">
        <v>36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x14ac:dyDescent="0.2">
      <c r="A20" s="13" t="s">
        <v>37</v>
      </c>
      <c r="B20" s="14" t="s">
        <v>38</v>
      </c>
      <c r="C20" s="15">
        <f>+'[1]Natural Gas'!C20+[1]Ontario!C20+[1]Finance!C20+[1]Executive!C20+[1]Alberta!C20</f>
        <v>0</v>
      </c>
      <c r="E20" s="20">
        <f>(+'[1]Natural Gas'!E20+[1]Ontario!E20+[1]Finance!E20+[1]Executive!E20+[1]Alberta!E20)*1.2</f>
        <v>0</v>
      </c>
      <c r="G20" s="21">
        <f t="shared" si="1"/>
        <v>0</v>
      </c>
      <c r="H20" t="s">
        <v>39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40</v>
      </c>
      <c r="B21" s="14" t="s">
        <v>41</v>
      </c>
      <c r="C21" s="15">
        <f>+'[1]Natural Gas'!C21+[1]Ontario!C21+[1]Finance!C21+[1]Executive!C21+[1]Alberta!C21</f>
        <v>19769.170000000046</v>
      </c>
      <c r="E21" s="20">
        <f>(+'[1]Natural Gas'!E21+[1]Ontario!E21+[1]Finance!E21+[1]Executive!E21+[1]Alberta!E21)*1.2</f>
        <v>31630.672000000071</v>
      </c>
      <c r="G21" s="21">
        <f t="shared" si="1"/>
        <v>5693.5209600000126</v>
      </c>
      <c r="H21" t="s">
        <v>42</v>
      </c>
      <c r="I21" s="25">
        <v>66000</v>
      </c>
      <c r="J21">
        <v>0</v>
      </c>
      <c r="K21">
        <f t="shared" si="2"/>
        <v>0</v>
      </c>
      <c r="O21" s="15">
        <f t="shared" si="0"/>
        <v>632.61344000000145</v>
      </c>
      <c r="AK21" s="32"/>
    </row>
    <row r="22" spans="1:37" x14ac:dyDescent="0.2">
      <c r="A22" s="13" t="s">
        <v>43</v>
      </c>
      <c r="B22" s="14" t="s">
        <v>44</v>
      </c>
      <c r="C22" s="15">
        <f>+'[1]Natural Gas'!C22+[1]Ontario!C22+[1]Finance!C22+[1]Executive!C22+[1]Alberta!C22</f>
        <v>6106.7000000000089</v>
      </c>
      <c r="E22" s="20">
        <f>(+'[1]Natural Gas'!E22+[1]Ontario!E22+[1]Finance!E22+[1]Executive!E22+[1]Alberta!E22)*1.2</f>
        <v>9770.7200000000139</v>
      </c>
      <c r="G22" s="21">
        <f t="shared" si="1"/>
        <v>1758.7296000000026</v>
      </c>
      <c r="H22" t="s">
        <v>45</v>
      </c>
      <c r="I22" s="25">
        <v>97200</v>
      </c>
      <c r="J22">
        <v>0</v>
      </c>
      <c r="K22">
        <f t="shared" si="2"/>
        <v>0</v>
      </c>
      <c r="O22" s="15">
        <f t="shared" si="0"/>
        <v>195.41440000000028</v>
      </c>
      <c r="AK22" s="32"/>
    </row>
    <row r="23" spans="1:37" x14ac:dyDescent="0.2">
      <c r="A23" s="26" t="s">
        <v>46</v>
      </c>
      <c r="B23" s="27" t="s">
        <v>47</v>
      </c>
      <c r="C23" s="28">
        <f>SUM(C8:C22)</f>
        <v>4145276.52</v>
      </c>
      <c r="E23" s="28">
        <f>SUM(E8:E22)</f>
        <v>5787481.2586666662</v>
      </c>
      <c r="G23" s="28">
        <f>SUM(G8:G22)</f>
        <v>2006281.5705600001</v>
      </c>
      <c r="H23" t="s">
        <v>48</v>
      </c>
      <c r="I23" s="25">
        <v>120000</v>
      </c>
      <c r="J23">
        <v>5</v>
      </c>
      <c r="K23">
        <f t="shared" si="2"/>
        <v>600000</v>
      </c>
      <c r="O23" s="28">
        <f>SUM(O8:O22)</f>
        <v>222920.17450666666</v>
      </c>
      <c r="AK23" s="29"/>
    </row>
    <row r="24" spans="1:37" x14ac:dyDescent="0.2">
      <c r="H24" t="s">
        <v>49</v>
      </c>
      <c r="I24" s="25">
        <v>156000</v>
      </c>
      <c r="J24">
        <v>2</v>
      </c>
      <c r="K24">
        <f t="shared" si="2"/>
        <v>312000</v>
      </c>
      <c r="AK24" s="8"/>
    </row>
    <row r="25" spans="1:37" x14ac:dyDescent="0.2">
      <c r="B25" s="27" t="s">
        <v>50</v>
      </c>
      <c r="C25" s="60"/>
      <c r="E25" s="61">
        <f>+'[1]Natural Gas'!E25+[1]Ontario!E25+[1]Finance!E25+[1]Executive!E25+[1]Alberta!E25</f>
        <v>30</v>
      </c>
      <c r="G25" s="61">
        <f>SUM(J16:J20,J23:J27)</f>
        <v>9</v>
      </c>
      <c r="H25" t="s">
        <v>51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52</v>
      </c>
      <c r="I26" s="25">
        <v>216000</v>
      </c>
      <c r="J26">
        <v>2</v>
      </c>
      <c r="K26">
        <f t="shared" si="2"/>
        <v>432000</v>
      </c>
      <c r="O26" s="15"/>
      <c r="AK26" s="32"/>
    </row>
    <row r="27" spans="1:37" x14ac:dyDescent="0.2">
      <c r="B27" s="27" t="s">
        <v>53</v>
      </c>
      <c r="C27" s="15"/>
      <c r="E27" s="61">
        <f>+'[1]Natural Gas'!E27+[1]Ontario!E27+[1]Finance!E27+[1]Executive!E27+[1]Alberta!E27</f>
        <v>20</v>
      </c>
      <c r="G27" s="61">
        <f>SUM(J21:J22)</f>
        <v>0</v>
      </c>
      <c r="H27" t="s">
        <v>90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9</v>
      </c>
      <c r="K28">
        <f>SUM(K16:K27)</f>
        <v>1344000</v>
      </c>
      <c r="AK28" s="8"/>
    </row>
    <row r="29" spans="1:37" x14ac:dyDescent="0.2">
      <c r="B29" s="27" t="s">
        <v>55</v>
      </c>
      <c r="C29" s="15"/>
      <c r="E29" s="31">
        <f>+E27+E25</f>
        <v>50</v>
      </c>
      <c r="F29" s="32"/>
      <c r="G29" s="31">
        <f>+G27+G25</f>
        <v>9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71</v>
      </c>
      <c r="B31" s="14" t="s">
        <v>91</v>
      </c>
      <c r="C31" s="15"/>
      <c r="E31" s="15"/>
      <c r="G31" s="33" t="s">
        <v>56</v>
      </c>
      <c r="H31" s="25"/>
      <c r="J31" s="25"/>
    </row>
    <row r="32" spans="1:37" hidden="1" x14ac:dyDescent="0.2">
      <c r="A32" s="13" t="s">
        <v>73</v>
      </c>
      <c r="B32" s="14"/>
      <c r="C32" s="15"/>
      <c r="E32" s="15"/>
      <c r="H32" s="25"/>
      <c r="J32" s="25"/>
    </row>
    <row r="33" spans="1:11" hidden="1" x14ac:dyDescent="0.2">
      <c r="A33" s="13" t="s">
        <v>75</v>
      </c>
      <c r="B33" s="14"/>
      <c r="C33" s="15"/>
      <c r="E33" s="15"/>
      <c r="G33" s="34" t="s">
        <v>57</v>
      </c>
      <c r="H33" s="35" t="s">
        <v>58</v>
      </c>
      <c r="I33" s="35" t="s">
        <v>59</v>
      </c>
      <c r="J33" s="35" t="s">
        <v>2</v>
      </c>
      <c r="K33" s="35" t="s">
        <v>60</v>
      </c>
    </row>
    <row r="34" spans="1:11" hidden="1" x14ac:dyDescent="0.2">
      <c r="A34" s="13" t="s">
        <v>77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9</v>
      </c>
      <c r="K34" s="37">
        <f>+I34*J34</f>
        <v>281281.57055999996</v>
      </c>
    </row>
    <row r="35" spans="1:11" hidden="1" x14ac:dyDescent="0.2">
      <c r="A35" s="13" t="s">
        <v>79</v>
      </c>
      <c r="B35" s="14"/>
      <c r="C35" s="15"/>
      <c r="E35" s="15"/>
    </row>
    <row r="36" spans="1:11" hidden="1" x14ac:dyDescent="0.2">
      <c r="A36" s="13" t="s">
        <v>81</v>
      </c>
      <c r="B36" s="14"/>
      <c r="C36" s="15"/>
      <c r="E36" s="15"/>
    </row>
    <row r="37" spans="1:11" hidden="1" x14ac:dyDescent="0.2">
      <c r="A37" s="13" t="s">
        <v>83</v>
      </c>
      <c r="B37" s="14"/>
      <c r="C37" s="15"/>
      <c r="E37" s="15"/>
    </row>
    <row r="38" spans="1:11" hidden="1" x14ac:dyDescent="0.2">
      <c r="A38" s="13" t="s">
        <v>85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S44"/>
  <sheetViews>
    <sheetView zoomScaleNormal="100" workbookViewId="0">
      <selection activeCell="A29" sqref="A29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13.85546875" customWidth="1"/>
    <col min="7" max="7" width="2.28515625" hidden="1" customWidth="1"/>
    <col min="8" max="8" width="4.42578125" hidden="1" customWidth="1"/>
    <col min="9" max="9" width="13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0" hidden="1" customWidth="1"/>
    <col min="15" max="15" width="9.140625" hidden="1" customWidth="1"/>
    <col min="16" max="20" width="0" hidden="1" customWidth="1"/>
  </cols>
  <sheetData>
    <row r="1" spans="1:45" ht="18" x14ac:dyDescent="0.25">
      <c r="B1" s="142" t="str">
        <f>'[8]Team Report'!B1</f>
        <v>Enron North America</v>
      </c>
      <c r="C1" s="142"/>
      <c r="D1" s="142"/>
      <c r="E1" s="142"/>
      <c r="F1" s="142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2" t="str">
        <f>'[8]Pull Sheet'!E9</f>
        <v>Office of the Chair</v>
      </c>
      <c r="C2" s="142"/>
      <c r="D2" s="142"/>
      <c r="E2" s="142"/>
      <c r="F2" s="142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42" t="s">
        <v>0</v>
      </c>
      <c r="C3" s="142"/>
      <c r="D3" s="142"/>
      <c r="E3" s="142"/>
      <c r="F3" s="142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47"/>
      <c r="K4" s="147"/>
      <c r="L4" s="147"/>
      <c r="M4" s="147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>
        <v>2002</v>
      </c>
      <c r="J6" s="7"/>
      <c r="K6" s="19" t="s">
        <v>1</v>
      </c>
      <c r="L6" s="19" t="s">
        <v>2</v>
      </c>
      <c r="M6" s="74" t="s">
        <v>107</v>
      </c>
      <c r="O6" s="44" t="s">
        <v>63</v>
      </c>
    </row>
    <row r="7" spans="1:45" x14ac:dyDescent="0.2">
      <c r="C7" s="12" t="s">
        <v>5</v>
      </c>
      <c r="E7" s="12" t="s">
        <v>69</v>
      </c>
      <c r="F7" s="12" t="s">
        <v>7</v>
      </c>
      <c r="J7" s="7"/>
      <c r="K7" s="17"/>
      <c r="L7" s="17"/>
      <c r="M7" s="43"/>
      <c r="O7" s="12" t="s">
        <v>7</v>
      </c>
    </row>
    <row r="8" spans="1:45" x14ac:dyDescent="0.2">
      <c r="A8" s="13" t="s">
        <v>9</v>
      </c>
      <c r="B8" s="14" t="s">
        <v>10</v>
      </c>
      <c r="C8" s="53">
        <f>'[8]Team Report'!BA25</f>
        <v>888807.72</v>
      </c>
      <c r="E8" s="15">
        <f t="shared" ref="E8:E22" si="0">(C8/9)*12</f>
        <v>1185076.96</v>
      </c>
      <c r="F8" s="15">
        <f>+M21</f>
        <v>1098000</v>
      </c>
      <c r="J8" s="7"/>
      <c r="K8" s="17"/>
      <c r="L8" s="17"/>
      <c r="M8" s="43"/>
      <c r="O8" s="15">
        <f>+F8/$F$29*$O$29</f>
        <v>183000</v>
      </c>
    </row>
    <row r="9" spans="1:45" hidden="1" x14ac:dyDescent="0.2">
      <c r="A9" s="13"/>
      <c r="B9" s="14" t="s">
        <v>11</v>
      </c>
      <c r="C9" s="15">
        <v>0</v>
      </c>
      <c r="E9" s="15">
        <f t="shared" si="0"/>
        <v>0</v>
      </c>
      <c r="F9" s="15"/>
      <c r="J9" s="7" t="s">
        <v>10</v>
      </c>
      <c r="K9" s="17">
        <v>0</v>
      </c>
      <c r="L9" s="17">
        <f>+L21</f>
        <v>6</v>
      </c>
      <c r="M9" s="43">
        <f>M21</f>
        <v>1098000</v>
      </c>
      <c r="O9" s="15">
        <f t="shared" ref="O9:O22" si="1">+F9/$F$29*$O$29</f>
        <v>0</v>
      </c>
    </row>
    <row r="10" spans="1:45" x14ac:dyDescent="0.2">
      <c r="A10" s="13"/>
      <c r="B10" s="14" t="s">
        <v>70</v>
      </c>
      <c r="C10" s="15">
        <v>0</v>
      </c>
      <c r="E10" s="15">
        <f t="shared" si="0"/>
        <v>0</v>
      </c>
      <c r="F10" s="15"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'[8]Team Report'!BA26</f>
        <v>249788.37</v>
      </c>
      <c r="E11" s="15">
        <f t="shared" si="0"/>
        <v>333051.15999999997</v>
      </c>
      <c r="F11" s="15">
        <f>+F8*0.2</f>
        <v>219600</v>
      </c>
      <c r="J11" s="7"/>
      <c r="K11" s="17"/>
      <c r="L11" s="17"/>
      <c r="M11" s="43"/>
      <c r="O11" s="15">
        <f t="shared" si="1"/>
        <v>36600</v>
      </c>
    </row>
    <row r="12" spans="1:45" x14ac:dyDescent="0.2">
      <c r="A12" s="13" t="s">
        <v>16</v>
      </c>
      <c r="B12" s="14" t="s">
        <v>17</v>
      </c>
      <c r="C12" s="15">
        <f>'[8]Team Report'!BA27</f>
        <v>180082.12999999998</v>
      </c>
      <c r="E12" s="21">
        <f t="shared" si="0"/>
        <v>240109.50666666665</v>
      </c>
      <c r="F12" s="21">
        <f>+E12/$E$29*$F$29</f>
        <v>288131.40799999994</v>
      </c>
      <c r="J12" s="7" t="s">
        <v>15</v>
      </c>
      <c r="K12" s="17">
        <f>(E12+E13+E14+E15+E16+E17+E18+E19+E20+E21+E22)/E29</f>
        <v>123221.09066666474</v>
      </c>
      <c r="L12" s="17">
        <f>+L21</f>
        <v>6</v>
      </c>
      <c r="M12" s="43">
        <f>K12*L12</f>
        <v>739326.54399998835</v>
      </c>
      <c r="O12" s="15">
        <f t="shared" si="1"/>
        <v>48021.901333333321</v>
      </c>
    </row>
    <row r="13" spans="1:45" x14ac:dyDescent="0.2">
      <c r="A13" s="13" t="s">
        <v>18</v>
      </c>
      <c r="B13" s="14" t="s">
        <v>19</v>
      </c>
      <c r="C13" s="15">
        <f>'[8]Team Report'!BA28</f>
        <v>201416.5</v>
      </c>
      <c r="E13" s="21">
        <f t="shared" si="0"/>
        <v>268555.33333333331</v>
      </c>
      <c r="F13" s="21">
        <f t="shared" ref="F13:F22" si="2">+E13/$E$29*$F$29</f>
        <v>322266.40000000002</v>
      </c>
      <c r="J13" s="7"/>
      <c r="K13" s="17"/>
      <c r="L13" s="17"/>
      <c r="M13" s="43"/>
      <c r="O13" s="15">
        <f t="shared" si="1"/>
        <v>53711.066666666673</v>
      </c>
    </row>
    <row r="14" spans="1:45" ht="13.5" thickBot="1" x14ac:dyDescent="0.25">
      <c r="A14" s="13" t="s">
        <v>21</v>
      </c>
      <c r="B14" s="14" t="s">
        <v>22</v>
      </c>
      <c r="C14" s="15">
        <v>0</v>
      </c>
      <c r="E14" s="21">
        <f t="shared" si="0"/>
        <v>0</v>
      </c>
      <c r="F14" s="21">
        <f t="shared" si="2"/>
        <v>0</v>
      </c>
      <c r="J14" s="22" t="s">
        <v>20</v>
      </c>
      <c r="K14" s="47"/>
      <c r="L14" s="47"/>
      <c r="M14" s="48">
        <f>SUM(M9:M12)</f>
        <v>1837326.5439999884</v>
      </c>
      <c r="O14" s="15">
        <f t="shared" si="1"/>
        <v>0</v>
      </c>
    </row>
    <row r="15" spans="1:45" x14ac:dyDescent="0.2">
      <c r="A15" s="13" t="s">
        <v>23</v>
      </c>
      <c r="B15" s="14" t="s">
        <v>24</v>
      </c>
      <c r="C15" s="15">
        <f>'[8]Team Report'!BA33</f>
        <v>10998.160000000003</v>
      </c>
      <c r="E15" s="21">
        <f t="shared" si="0"/>
        <v>14664.213333333337</v>
      </c>
      <c r="F15" s="21">
        <f t="shared" si="2"/>
        <v>17597.056000000004</v>
      </c>
      <c r="J15" s="8"/>
      <c r="K15" s="17"/>
      <c r="L15" s="17"/>
      <c r="M15" s="17"/>
      <c r="O15" s="15">
        <f t="shared" si="1"/>
        <v>2932.8426666666674</v>
      </c>
    </row>
    <row r="16" spans="1:45" x14ac:dyDescent="0.2">
      <c r="A16" s="13" t="s">
        <v>25</v>
      </c>
      <c r="B16" s="14" t="s">
        <v>26</v>
      </c>
      <c r="C16" s="15">
        <f>'[8]Team Report'!BA34</f>
        <v>0</v>
      </c>
      <c r="E16" s="21">
        <f t="shared" si="0"/>
        <v>0</v>
      </c>
      <c r="F16" s="21">
        <f t="shared" si="2"/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'[8]Team Report'!BA35</f>
        <v>25000</v>
      </c>
      <c r="E17" s="21">
        <f t="shared" si="0"/>
        <v>33333.333333333336</v>
      </c>
      <c r="F17" s="21">
        <f t="shared" si="2"/>
        <v>40000</v>
      </c>
      <c r="M17" s="17"/>
      <c r="O17" s="15">
        <f t="shared" si="1"/>
        <v>6666.666666666667</v>
      </c>
    </row>
    <row r="18" spans="1:15" x14ac:dyDescent="0.2">
      <c r="A18" s="13" t="s">
        <v>31</v>
      </c>
      <c r="B18" s="14" t="s">
        <v>32</v>
      </c>
      <c r="C18" s="15">
        <f>'[8]Team Report'!BA36</f>
        <v>2602.3200000000002</v>
      </c>
      <c r="E18" s="21">
        <f t="shared" si="0"/>
        <v>3469.76</v>
      </c>
      <c r="F18" s="21">
        <f t="shared" si="2"/>
        <v>4163.7119999999995</v>
      </c>
      <c r="J18" t="s">
        <v>30</v>
      </c>
      <c r="K18" s="25">
        <v>55000</v>
      </c>
      <c r="L18" s="25">
        <v>3</v>
      </c>
      <c r="M18" s="17">
        <f>K18*L18</f>
        <v>165000</v>
      </c>
      <c r="O18" s="15">
        <f t="shared" si="1"/>
        <v>693.95199999999988</v>
      </c>
    </row>
    <row r="19" spans="1:15" x14ac:dyDescent="0.2">
      <c r="A19" s="13" t="s">
        <v>34</v>
      </c>
      <c r="B19" s="14" t="s">
        <v>35</v>
      </c>
      <c r="C19" s="15">
        <f>'[8]Team Report'!BA37</f>
        <v>40643.17</v>
      </c>
      <c r="E19" s="21">
        <f t="shared" si="0"/>
        <v>54190.893333333326</v>
      </c>
      <c r="F19" s="21">
        <f t="shared" si="2"/>
        <v>65029.071999999986</v>
      </c>
      <c r="J19" t="s">
        <v>142</v>
      </c>
      <c r="K19" s="25">
        <v>250000</v>
      </c>
      <c r="L19" s="25">
        <v>1</v>
      </c>
      <c r="M19" s="17">
        <f>K19*L19</f>
        <v>250000</v>
      </c>
      <c r="O19" s="15">
        <f t="shared" si="1"/>
        <v>10838.178666666665</v>
      </c>
    </row>
    <row r="20" spans="1:15" x14ac:dyDescent="0.2">
      <c r="A20" s="13" t="s">
        <v>37</v>
      </c>
      <c r="B20" s="14" t="s">
        <v>38</v>
      </c>
      <c r="C20" s="15">
        <f>'[8]Team Report'!BA38</f>
        <v>1258.2</v>
      </c>
      <c r="E20" s="21">
        <f t="shared" si="0"/>
        <v>1677.6000000000001</v>
      </c>
      <c r="F20" s="21">
        <f t="shared" si="2"/>
        <v>2013.1200000000003</v>
      </c>
      <c r="J20" t="s">
        <v>90</v>
      </c>
      <c r="K20" s="25">
        <v>250000</v>
      </c>
      <c r="L20" s="25">
        <v>2</v>
      </c>
      <c r="M20" s="17">
        <f>K20*L20</f>
        <v>500000</v>
      </c>
      <c r="O20" s="15">
        <f t="shared" si="1"/>
        <v>335.52000000000004</v>
      </c>
    </row>
    <row r="21" spans="1:15" x14ac:dyDescent="0.2">
      <c r="A21" s="13" t="s">
        <v>40</v>
      </c>
      <c r="B21" s="14" t="s">
        <v>41</v>
      </c>
      <c r="C21" s="15">
        <f>'[8]Team Report'!BA42-C40</f>
        <v>-0.18000000715255737</v>
      </c>
      <c r="E21" s="21">
        <f t="shared" si="0"/>
        <v>-0.24000000953674316</v>
      </c>
      <c r="F21" s="21">
        <f t="shared" si="2"/>
        <v>-0.28800001144409182</v>
      </c>
      <c r="L21" s="25">
        <f>SUM(L18:L20)</f>
        <v>6</v>
      </c>
      <c r="M21" s="25">
        <f>SUM(M18:M20)*1.2</f>
        <v>1098000</v>
      </c>
      <c r="O21" s="15">
        <f t="shared" si="1"/>
        <v>-4.8000001907348634E-2</v>
      </c>
    </row>
    <row r="22" spans="1:15" x14ac:dyDescent="0.2">
      <c r="A22" s="13" t="s">
        <v>43</v>
      </c>
      <c r="B22" s="14" t="s">
        <v>44</v>
      </c>
      <c r="C22" s="15">
        <f>'[8]Team Report'!BA44</f>
        <v>78.789999999999992</v>
      </c>
      <c r="E22" s="21">
        <f t="shared" si="0"/>
        <v>105.05333333333331</v>
      </c>
      <c r="F22" s="21">
        <f t="shared" si="2"/>
        <v>126.06399999999996</v>
      </c>
      <c r="L22" s="52"/>
      <c r="M22" s="52"/>
      <c r="O22" s="15">
        <f t="shared" si="1"/>
        <v>21.010666666666662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1600675.1799999925</v>
      </c>
      <c r="E23" s="28">
        <f>SUM(E8:E22)</f>
        <v>2134233.5733333235</v>
      </c>
      <c r="F23" s="28">
        <f>SUM(F8:F22)</f>
        <v>2056926.5439999886</v>
      </c>
      <c r="O23" s="58">
        <f>SUM(O8:O22)</f>
        <v>342821.09066666476</v>
      </c>
    </row>
    <row r="25" spans="1:15" x14ac:dyDescent="0.2">
      <c r="B25" s="27" t="s">
        <v>50</v>
      </c>
      <c r="C25" s="55"/>
      <c r="E25" s="55">
        <v>5</v>
      </c>
      <c r="F25" s="79">
        <v>6</v>
      </c>
      <c r="I25" s="33" t="s">
        <v>56</v>
      </c>
      <c r="J25" s="25"/>
      <c r="M25"/>
      <c r="O25" s="31">
        <f>SUM(U16:U20,U23:U27)</f>
        <v>0</v>
      </c>
    </row>
    <row r="26" spans="1:15" x14ac:dyDescent="0.2">
      <c r="J26" s="25"/>
      <c r="M26"/>
      <c r="O26" s="15"/>
    </row>
    <row r="27" spans="1:15" x14ac:dyDescent="0.2">
      <c r="B27" s="27" t="s">
        <v>67</v>
      </c>
      <c r="C27" s="55"/>
      <c r="E27" s="55"/>
      <c r="F27" s="55"/>
      <c r="I27" s="34" t="s">
        <v>57</v>
      </c>
      <c r="J27" s="35" t="s">
        <v>58</v>
      </c>
      <c r="K27" s="35" t="s">
        <v>59</v>
      </c>
      <c r="L27" s="35" t="s">
        <v>2</v>
      </c>
      <c r="M27" s="35" t="s">
        <v>60</v>
      </c>
      <c r="O27" s="31">
        <f>SUM(U21:U22)</f>
        <v>0</v>
      </c>
    </row>
    <row r="28" spans="1:15" x14ac:dyDescent="0.2">
      <c r="I28" s="36">
        <f>SUM(E12:E22)</f>
        <v>616105.45333332371</v>
      </c>
      <c r="J28" s="56">
        <f>+E29</f>
        <v>5</v>
      </c>
      <c r="K28" s="37">
        <f>+I28/J28</f>
        <v>123221.09066666474</v>
      </c>
      <c r="L28" s="37">
        <f>+L12</f>
        <v>6</v>
      </c>
      <c r="M28" s="37">
        <f>+K28*L28</f>
        <v>739326.54399998835</v>
      </c>
    </row>
    <row r="29" spans="1:15" x14ac:dyDescent="0.2">
      <c r="B29" s="27" t="s">
        <v>55</v>
      </c>
      <c r="C29" s="55"/>
      <c r="E29" s="55">
        <f>SUM(E25:E28)</f>
        <v>5</v>
      </c>
      <c r="F29" s="55">
        <f>SUM(F25:F28)</f>
        <v>6</v>
      </c>
      <c r="K29"/>
      <c r="M29"/>
      <c r="O29" s="31">
        <v>1</v>
      </c>
    </row>
    <row r="30" spans="1:15" x14ac:dyDescent="0.2">
      <c r="B30" s="27"/>
      <c r="K30"/>
      <c r="M30"/>
    </row>
    <row r="31" spans="1:15" hidden="1" x14ac:dyDescent="0.2">
      <c r="A31" s="13" t="s">
        <v>71</v>
      </c>
      <c r="B31" s="14" t="s">
        <v>72</v>
      </c>
      <c r="C31" s="15">
        <f>'[8]Team Report'!BA29</f>
        <v>143473.75</v>
      </c>
      <c r="E31" s="15">
        <f t="shared" ref="E31:E38" si="3">(C31/9)*12</f>
        <v>191298.33333333331</v>
      </c>
      <c r="F31" s="15"/>
    </row>
    <row r="32" spans="1:15" hidden="1" x14ac:dyDescent="0.2">
      <c r="A32" s="13" t="s">
        <v>73</v>
      </c>
      <c r="B32" s="14" t="s">
        <v>74</v>
      </c>
      <c r="C32" s="15">
        <f>'[8]Team Report'!BA30</f>
        <v>0</v>
      </c>
      <c r="E32" s="15">
        <f t="shared" si="3"/>
        <v>0</v>
      </c>
      <c r="F32" s="15"/>
    </row>
    <row r="33" spans="1:14" hidden="1" x14ac:dyDescent="0.2">
      <c r="A33" s="13" t="s">
        <v>75</v>
      </c>
      <c r="B33" s="14" t="s">
        <v>76</v>
      </c>
      <c r="C33" s="15">
        <f>'[8]Team Report'!BA31</f>
        <v>0</v>
      </c>
      <c r="E33" s="15">
        <f t="shared" si="3"/>
        <v>0</v>
      </c>
      <c r="F33" s="15"/>
    </row>
    <row r="34" spans="1:14" hidden="1" x14ac:dyDescent="0.2">
      <c r="A34" s="13" t="s">
        <v>77</v>
      </c>
      <c r="B34" s="14" t="s">
        <v>78</v>
      </c>
      <c r="C34" s="15">
        <f>'[8]Team Report'!BA39</f>
        <v>0</v>
      </c>
      <c r="E34" s="15">
        <f t="shared" si="3"/>
        <v>0</v>
      </c>
      <c r="F34" s="15"/>
    </row>
    <row r="35" spans="1:14" hidden="1" x14ac:dyDescent="0.2">
      <c r="A35" s="13" t="s">
        <v>79</v>
      </c>
      <c r="B35" s="14" t="s">
        <v>80</v>
      </c>
      <c r="C35" s="15">
        <f>'[8]Team Report'!BA40</f>
        <v>47150.06</v>
      </c>
      <c r="E35" s="15">
        <f t="shared" si="3"/>
        <v>62866.746666666659</v>
      </c>
      <c r="F35" s="15"/>
    </row>
    <row r="36" spans="1:14" hidden="1" x14ac:dyDescent="0.2">
      <c r="A36" s="13" t="s">
        <v>81</v>
      </c>
      <c r="B36" s="14" t="s">
        <v>82</v>
      </c>
      <c r="C36" s="15">
        <f>'[8]Team Report'!BA41</f>
        <v>150417.00999999998</v>
      </c>
      <c r="E36" s="15">
        <f t="shared" si="3"/>
        <v>200556.01333333331</v>
      </c>
      <c r="F36" s="15"/>
    </row>
    <row r="37" spans="1:14" hidden="1" x14ac:dyDescent="0.2">
      <c r="A37" s="13" t="s">
        <v>83</v>
      </c>
      <c r="B37" s="14" t="s">
        <v>84</v>
      </c>
      <c r="C37" s="15">
        <f>'[8]Team Report'!BA43</f>
        <v>7417.54</v>
      </c>
      <c r="E37" s="15">
        <f t="shared" si="3"/>
        <v>9890.0533333333333</v>
      </c>
      <c r="F37" s="15"/>
    </row>
    <row r="38" spans="1:14" hidden="1" x14ac:dyDescent="0.2">
      <c r="A38" s="13" t="s">
        <v>85</v>
      </c>
      <c r="B38" s="14" t="s">
        <v>86</v>
      </c>
      <c r="C38" s="15">
        <f>'[8]Team Report'!BA45</f>
        <v>11194108.379999999</v>
      </c>
      <c r="E38" s="15">
        <f t="shared" si="3"/>
        <v>14925477.839999998</v>
      </c>
      <c r="F38" s="15"/>
    </row>
    <row r="39" spans="1:14" hidden="1" x14ac:dyDescent="0.2">
      <c r="A39" s="13" t="s">
        <v>21</v>
      </c>
      <c r="B39" s="14" t="s">
        <v>22</v>
      </c>
      <c r="C39" s="15">
        <v>24143776.43</v>
      </c>
      <c r="E39" s="15">
        <v>32191701.906666666</v>
      </c>
      <c r="F39" s="15"/>
    </row>
    <row r="40" spans="1:14" hidden="1" x14ac:dyDescent="0.2">
      <c r="B40" s="14" t="s">
        <v>41</v>
      </c>
      <c r="C40" s="15">
        <v>243106037</v>
      </c>
      <c r="E40" s="15"/>
      <c r="F40" s="15"/>
      <c r="N40" s="25"/>
    </row>
    <row r="44" spans="1:14" x14ac:dyDescent="0.2">
      <c r="C44" s="54">
        <f>C23+C31+C32+C33+C34+C35+C36+C37+C38</f>
        <v>13143241.919999991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63" bottom="0.48" header="0.76" footer="0.5"/>
  <pageSetup orientation="portrait" verticalDpi="196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>
    <pageSetUpPr fitToPage="1"/>
  </sheetPr>
  <dimension ref="A1:AQ49"/>
  <sheetViews>
    <sheetView topLeftCell="A2" zoomScaleNormal="100" workbookViewId="0">
      <selection activeCell="G10" sqref="G10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15" width="9.140625" hidden="1" customWidth="1"/>
    <col min="16" max="40" width="9.140625" customWidth="1"/>
  </cols>
  <sheetData>
    <row r="1" spans="1:43" ht="18" x14ac:dyDescent="0.25">
      <c r="B1" s="142" t="str">
        <f>'[2]Team Report'!B1</f>
        <v>Enron North America</v>
      </c>
      <c r="C1" s="142"/>
      <c r="D1" s="142"/>
      <c r="E1" s="142"/>
      <c r="F1" s="142"/>
      <c r="G1" s="142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42" t="s">
        <v>234</v>
      </c>
      <c r="C2" s="142"/>
      <c r="D2" s="142"/>
      <c r="E2" s="142"/>
      <c r="F2" s="142"/>
      <c r="G2" s="142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43" t="s">
        <v>0</v>
      </c>
      <c r="C3" s="143"/>
      <c r="D3" s="143"/>
      <c r="E3" s="143"/>
      <c r="F3" s="143"/>
      <c r="G3" s="143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1</v>
      </c>
      <c r="J5" s="8" t="s">
        <v>2</v>
      </c>
      <c r="K5" s="9" t="s">
        <v>3</v>
      </c>
    </row>
    <row r="6" spans="1:43" x14ac:dyDescent="0.2">
      <c r="C6" s="10">
        <v>37135</v>
      </c>
      <c r="E6" s="44" t="s">
        <v>63</v>
      </c>
      <c r="G6" s="44" t="s">
        <v>63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5</v>
      </c>
      <c r="E7" s="12" t="s">
        <v>6</v>
      </c>
      <c r="G7" s="12" t="s">
        <v>7</v>
      </c>
      <c r="H7" s="7"/>
      <c r="I7" s="17"/>
      <c r="J7" s="8"/>
      <c r="K7" s="9"/>
      <c r="O7" s="12" t="s">
        <v>7</v>
      </c>
      <c r="AK7" s="12"/>
    </row>
    <row r="8" spans="1:43" x14ac:dyDescent="0.2">
      <c r="A8" s="13" t="s">
        <v>9</v>
      </c>
      <c r="B8" s="14" t="s">
        <v>10</v>
      </c>
      <c r="C8" s="15">
        <f>+'[1]Natural Gas'!C8+[1]Ontario!C8+[1]Finance!C8+[1]Executive!C8+[1]Alberta!C8</f>
        <v>2855922.0300000003</v>
      </c>
      <c r="E8" s="15">
        <f>+'[1]Natural Gas'!E8+[1]Ontario!E8+[1]Finance!E8+[1]Executive!E8+[1]Alberta!E8</f>
        <v>3807896.0399999991</v>
      </c>
      <c r="G8" s="15">
        <v>0</v>
      </c>
      <c r="H8" s="7" t="s">
        <v>10</v>
      </c>
      <c r="I8" s="17">
        <v>0</v>
      </c>
      <c r="J8" s="8"/>
      <c r="K8" s="18">
        <f>K28</f>
        <v>354240</v>
      </c>
      <c r="O8" s="15">
        <f t="shared" ref="O8:O22" si="0">+G8/$G$29*$O$29</f>
        <v>0</v>
      </c>
      <c r="AK8" s="32"/>
    </row>
    <row r="9" spans="1:43" x14ac:dyDescent="0.2">
      <c r="A9" s="13"/>
      <c r="B9" s="14" t="s">
        <v>11</v>
      </c>
      <c r="C9" s="15">
        <f>+'[1]Natural Gas'!C9+[1]Ontario!C9+[1]Finance!C9+[1]Executive!C9+[1]Alberta!C9</f>
        <v>0</v>
      </c>
      <c r="E9" s="15">
        <f>+'[1]Natural Gas'!E9+[1]Ontario!E9+[1]Finance!E9+[1]Executive!E9+[1]Alberta!E9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89</v>
      </c>
      <c r="C10" s="15">
        <v>0</v>
      </c>
      <c r="E10" s="15">
        <v>0</v>
      </c>
      <c r="G10" s="15">
        <f>K22+K21-(188400/11*4)</f>
        <v>226690.90909090909</v>
      </c>
      <c r="H10" s="7"/>
      <c r="I10" s="17"/>
      <c r="J10" s="8"/>
      <c r="K10" s="9"/>
      <c r="O10" s="15">
        <f t="shared" si="0"/>
        <v>56672.727272727272</v>
      </c>
      <c r="AK10" s="122"/>
    </row>
    <row r="11" spans="1:43" x14ac:dyDescent="0.2">
      <c r="A11" s="13" t="s">
        <v>13</v>
      </c>
      <c r="B11" s="14" t="s">
        <v>14</v>
      </c>
      <c r="C11" s="15">
        <f>+'[1]Natural Gas'!C11+[1]Ontario!C11+[1]Finance!C11+[1]Executive!C10+[1]Alberta!C11</f>
        <v>312682.37</v>
      </c>
      <c r="E11" s="15">
        <f>+'[1]Natural Gas'!E11+[1]Ontario!E11+[1]Finance!E11+[1]Executive!E10+[1]Alberta!E11</f>
        <v>416909.82666666666</v>
      </c>
      <c r="G11" s="15">
        <f>G10*0.3105-(96300/11*4)</f>
        <v>35369.345454545452</v>
      </c>
      <c r="H11" s="7" t="s">
        <v>15</v>
      </c>
      <c r="I11" s="19">
        <f>(E12+E13+E14+E15+E16+E17+E18+E19+E20+E21+E22)/E29</f>
        <v>31253.507839999998</v>
      </c>
      <c r="J11" s="8">
        <f>J28</f>
        <v>4</v>
      </c>
      <c r="K11" s="18">
        <f>I11*J11</f>
        <v>125014.03135999999</v>
      </c>
      <c r="O11" s="15">
        <f t="shared" si="0"/>
        <v>8842.3363636363629</v>
      </c>
      <c r="AK11" s="32"/>
    </row>
    <row r="12" spans="1:43" x14ac:dyDescent="0.2">
      <c r="A12" s="13" t="s">
        <v>16</v>
      </c>
      <c r="B12" s="14" t="s">
        <v>17</v>
      </c>
      <c r="C12" s="15">
        <f>+'[1]Natural Gas'!C12+[1]Ontario!C12+[1]Finance!C12+[1]Executive!C12+[1]Alberta!C12</f>
        <v>67320.12999999999</v>
      </c>
      <c r="E12" s="20">
        <f>(+'[1]Natural Gas'!E12+[1]Ontario!E12+[1]Finance!E12+[1]Executive!E12+[1]Alberta!E12)*1.2</f>
        <v>107712.20799999998</v>
      </c>
      <c r="G12" s="21">
        <f t="shared" ref="G12:G22" si="1">(E12/$E$29)*$G$29</f>
        <v>8616.976639999999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18</v>
      </c>
      <c r="B13" s="14" t="s">
        <v>19</v>
      </c>
      <c r="C13" s="15">
        <f>+'[1]Natural Gas'!C13+[1]Ontario!C13+[1]Finance!C13+[1]Executive!C13+[1]Alberta!C13</f>
        <v>297871.83999999997</v>
      </c>
      <c r="E13" s="20">
        <f>(+'[1]Natural Gas'!E13+[1]Ontario!E13+[1]Finance!E13+[1]Executive!E13+[1]Alberta!E13)*1.2</f>
        <v>476594.94399999996</v>
      </c>
      <c r="G13" s="21">
        <f t="shared" si="1"/>
        <v>38127.595519999995</v>
      </c>
      <c r="H13" s="22" t="s">
        <v>20</v>
      </c>
      <c r="I13" s="47"/>
      <c r="J13" s="23"/>
      <c r="K13" s="24">
        <f>K8+K11</f>
        <v>479254.03136000002</v>
      </c>
      <c r="O13" s="15">
        <f t="shared" si="0"/>
        <v>9531.8988799999988</v>
      </c>
      <c r="AK13" s="32"/>
    </row>
    <row r="14" spans="1:43" x14ac:dyDescent="0.2">
      <c r="A14" s="13" t="s">
        <v>21</v>
      </c>
      <c r="B14" s="14" t="s">
        <v>22</v>
      </c>
      <c r="C14" s="15">
        <f>+'[1]Natural Gas'!C14+[1]Ontario!C14+[1]Finance!C14+[1]Executive!C14+[1]Alberta!C14</f>
        <v>505739.98</v>
      </c>
      <c r="E14" s="20">
        <f>(+'[1]Natural Gas'!E14+[1]Ontario!E14+[1]Finance!E14+[1]Executive!E14+[1]Alberta!E14)*1.2</f>
        <v>809183.96799999999</v>
      </c>
      <c r="G14" s="21">
        <f t="shared" si="1"/>
        <v>64734.71744</v>
      </c>
      <c r="O14" s="15">
        <f t="shared" si="0"/>
        <v>16183.67936</v>
      </c>
      <c r="AK14" s="32"/>
    </row>
    <row r="15" spans="1:43" x14ac:dyDescent="0.2">
      <c r="A15" s="13" t="s">
        <v>23</v>
      </c>
      <c r="B15" s="14" t="s">
        <v>24</v>
      </c>
      <c r="C15" s="15">
        <f>+'[1]Natural Gas'!C15+[1]Ontario!C15+[1]Finance!C15+[1]Executive!C15+[1]Alberta!C15</f>
        <v>6427.4199999999992</v>
      </c>
      <c r="E15" s="20">
        <f>(+'[1]Natural Gas'!E15+[1]Ontario!E15+[1]Finance!E15+[1]Executive!E15+[1]Alberta!E15)*1.2</f>
        <v>10283.871999999998</v>
      </c>
      <c r="G15" s="21">
        <f t="shared" si="1"/>
        <v>822.70975999999985</v>
      </c>
      <c r="O15" s="15">
        <f t="shared" si="0"/>
        <v>205.67743999999996</v>
      </c>
      <c r="AK15" s="32"/>
    </row>
    <row r="16" spans="1:43" x14ac:dyDescent="0.2">
      <c r="A16" s="13" t="s">
        <v>25</v>
      </c>
      <c r="B16" s="14" t="s">
        <v>26</v>
      </c>
      <c r="C16" s="15">
        <f>+'[1]Natural Gas'!C16+[1]Ontario!C16+[1]Finance!C16+[1]Executive!C16+[1]Alberta!C16</f>
        <v>0</v>
      </c>
      <c r="E16" s="20">
        <f>(+'[1]Natural Gas'!E16+[1]Ontario!E16+[1]Finance!E16+[1]Executive!E16+[1]Alberta!E16)*1.2</f>
        <v>0</v>
      </c>
      <c r="G16" s="21">
        <f t="shared" si="1"/>
        <v>0</v>
      </c>
      <c r="H16" t="s">
        <v>27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28</v>
      </c>
      <c r="B17" s="14" t="s">
        <v>29</v>
      </c>
      <c r="C17" s="15">
        <f>+'[1]Natural Gas'!C17+[1]Ontario!C17+[1]Finance!C17+[1]Executive!C17+[1]Alberta!C17</f>
        <v>1883.62</v>
      </c>
      <c r="E17" s="20">
        <f>(+'[1]Natural Gas'!E17+[1]Ontario!E17+[1]Finance!E17+[1]Executive!E17+[1]Alberta!E17)*1.2</f>
        <v>3013.7920000000004</v>
      </c>
      <c r="G17" s="21">
        <f t="shared" si="1"/>
        <v>241.10336000000004</v>
      </c>
      <c r="H17" t="s">
        <v>30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x14ac:dyDescent="0.2">
      <c r="A18" s="13" t="s">
        <v>31</v>
      </c>
      <c r="B18" s="14" t="s">
        <v>32</v>
      </c>
      <c r="C18" s="15">
        <f>+'[1]Natural Gas'!C18+[1]Ontario!C18+[1]Finance!C18+[1]Executive!C18+[1]Alberta!C18</f>
        <v>19208.419999999998</v>
      </c>
      <c r="E18" s="20">
        <f>(+'[1]Natural Gas'!E18+[1]Ontario!E18+[1]Finance!E18+[1]Executive!E18+[1]Alberta!E18)*1.2</f>
        <v>30733.471999999998</v>
      </c>
      <c r="G18" s="21">
        <f t="shared" si="1"/>
        <v>2458.67776</v>
      </c>
      <c r="H18" t="s">
        <v>33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34</v>
      </c>
      <c r="B19" s="14" t="s">
        <v>35</v>
      </c>
      <c r="C19" s="15">
        <f>+'[1]Natural Gas'!C19+[1]Ontario!C19+[1]Finance!C19+[1]Executive!C19+[1]Alberta!C19</f>
        <v>52344.84</v>
      </c>
      <c r="E19" s="20">
        <f>(+'[1]Natural Gas'!E19+[1]Ontario!E19+[1]Finance!E19+[1]Executive!E19+[1]Alberta!E19)*1.2</f>
        <v>83751.743999999992</v>
      </c>
      <c r="G19" s="21">
        <f t="shared" si="1"/>
        <v>6700.1395199999997</v>
      </c>
      <c r="H19" t="s">
        <v>36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x14ac:dyDescent="0.2">
      <c r="A20" s="13" t="s">
        <v>37</v>
      </c>
      <c r="B20" s="14" t="s">
        <v>38</v>
      </c>
      <c r="C20" s="15">
        <f>+'[1]Natural Gas'!C20+[1]Ontario!C20+[1]Finance!C20+[1]Executive!C20+[1]Alberta!C20</f>
        <v>0</v>
      </c>
      <c r="E20" s="20">
        <f>(+'[1]Natural Gas'!E20+[1]Ontario!E20+[1]Finance!E20+[1]Executive!E20+[1]Alberta!E20)*1.2</f>
        <v>0</v>
      </c>
      <c r="G20" s="21">
        <f t="shared" si="1"/>
        <v>0</v>
      </c>
      <c r="H20" t="s">
        <v>39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40</v>
      </c>
      <c r="B21" s="14" t="s">
        <v>41</v>
      </c>
      <c r="C21" s="15">
        <f>+'[1]Natural Gas'!C21+[1]Ontario!C21+[1]Finance!C21+[1]Executive!C21+[1]Alberta!C21</f>
        <v>19769.170000000046</v>
      </c>
      <c r="E21" s="20">
        <f>(+'[1]Natural Gas'!E21+[1]Ontario!E21+[1]Finance!E21+[1]Executive!E21+[1]Alberta!E21)*1.2</f>
        <v>31630.672000000071</v>
      </c>
      <c r="G21" s="21">
        <f t="shared" si="1"/>
        <v>2530.4537600000058</v>
      </c>
      <c r="H21" t="s">
        <v>42</v>
      </c>
      <c r="I21" s="25">
        <v>66000</v>
      </c>
      <c r="J21">
        <v>3</v>
      </c>
      <c r="K21">
        <f t="shared" si="2"/>
        <v>198000</v>
      </c>
      <c r="O21" s="15">
        <f t="shared" si="0"/>
        <v>632.61344000000145</v>
      </c>
      <c r="AK21" s="32"/>
    </row>
    <row r="22" spans="1:37" x14ac:dyDescent="0.2">
      <c r="A22" s="13" t="s">
        <v>43</v>
      </c>
      <c r="B22" s="14" t="s">
        <v>44</v>
      </c>
      <c r="C22" s="15">
        <f>+'[1]Natural Gas'!C22+[1]Ontario!C22+[1]Finance!C22+[1]Executive!C22+[1]Alberta!C22</f>
        <v>6106.7000000000089</v>
      </c>
      <c r="E22" s="20">
        <f>(+'[1]Natural Gas'!E22+[1]Ontario!E22+[1]Finance!E22+[1]Executive!E22+[1]Alberta!E22)*1.2</f>
        <v>9770.7200000000139</v>
      </c>
      <c r="G22" s="21">
        <f t="shared" si="1"/>
        <v>781.65760000000114</v>
      </c>
      <c r="H22" t="s">
        <v>45</v>
      </c>
      <c r="I22" s="25">
        <v>97200</v>
      </c>
      <c r="J22">
        <v>1</v>
      </c>
      <c r="K22">
        <f t="shared" si="2"/>
        <v>97200</v>
      </c>
      <c r="O22" s="15">
        <f t="shared" si="0"/>
        <v>195.41440000000028</v>
      </c>
      <c r="AK22" s="32"/>
    </row>
    <row r="23" spans="1:37" x14ac:dyDescent="0.2">
      <c r="A23" s="26" t="s">
        <v>46</v>
      </c>
      <c r="B23" s="27" t="s">
        <v>47</v>
      </c>
      <c r="C23" s="28">
        <f>SUM(C8:C22)</f>
        <v>4145276.52</v>
      </c>
      <c r="E23" s="28">
        <f>SUM(E8:E22)</f>
        <v>5787481.2586666662</v>
      </c>
      <c r="G23" s="28">
        <f>SUM(G8:G22)</f>
        <v>387074.28590545448</v>
      </c>
      <c r="H23" t="s">
        <v>48</v>
      </c>
      <c r="I23" s="25">
        <v>120000</v>
      </c>
      <c r="J23">
        <v>0</v>
      </c>
      <c r="K23">
        <f t="shared" si="2"/>
        <v>0</v>
      </c>
      <c r="O23" s="28">
        <f>SUM(O8:O22)</f>
        <v>96768.571476363621</v>
      </c>
      <c r="AK23" s="29"/>
    </row>
    <row r="24" spans="1:37" x14ac:dyDescent="0.2">
      <c r="H24" t="s">
        <v>49</v>
      </c>
      <c r="I24" s="25">
        <v>156000</v>
      </c>
      <c r="J24">
        <v>0</v>
      </c>
      <c r="K24">
        <f t="shared" si="2"/>
        <v>0</v>
      </c>
      <c r="AK24" s="8"/>
    </row>
    <row r="25" spans="1:37" x14ac:dyDescent="0.2">
      <c r="B25" s="27" t="s">
        <v>50</v>
      </c>
      <c r="C25" s="60"/>
      <c r="E25" s="61">
        <f>+'[1]Natural Gas'!E25+[1]Ontario!E25+[1]Finance!E25+[1]Executive!E25+[1]Alberta!E25</f>
        <v>30</v>
      </c>
      <c r="G25" s="61">
        <f>SUM(J16:J20,J23:J27)</f>
        <v>0</v>
      </c>
      <c r="H25" t="s">
        <v>51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52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x14ac:dyDescent="0.2">
      <c r="B27" s="27" t="s">
        <v>53</v>
      </c>
      <c r="C27" s="15"/>
      <c r="E27" s="61">
        <f>+'[1]Natural Gas'!E27+[1]Ontario!E27+[1]Finance!E27+[1]Executive!E27+[1]Alberta!E27</f>
        <v>20</v>
      </c>
      <c r="G27" s="61">
        <f>SUM(J21:J22)</f>
        <v>4</v>
      </c>
      <c r="H27" t="s">
        <v>90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4</v>
      </c>
      <c r="K28">
        <f>SUM(K16:K27)*1.2</f>
        <v>354240</v>
      </c>
      <c r="AK28" s="8"/>
    </row>
    <row r="29" spans="1:37" x14ac:dyDescent="0.2">
      <c r="B29" s="27" t="s">
        <v>55</v>
      </c>
      <c r="C29" s="15"/>
      <c r="E29" s="31">
        <f>+E27+E25</f>
        <v>50</v>
      </c>
      <c r="F29" s="32"/>
      <c r="G29" s="31">
        <f>+G27+G25</f>
        <v>4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71</v>
      </c>
      <c r="B31" s="14" t="s">
        <v>91</v>
      </c>
      <c r="C31" s="15"/>
      <c r="E31" s="15"/>
      <c r="G31" s="33" t="s">
        <v>56</v>
      </c>
      <c r="H31" s="25"/>
      <c r="J31" s="25"/>
    </row>
    <row r="32" spans="1:37" hidden="1" x14ac:dyDescent="0.2">
      <c r="A32" s="13" t="s">
        <v>73</v>
      </c>
      <c r="B32" s="14"/>
      <c r="C32" s="15"/>
      <c r="E32" s="15"/>
      <c r="H32" s="25"/>
      <c r="J32" s="25"/>
    </row>
    <row r="33" spans="1:11" hidden="1" x14ac:dyDescent="0.2">
      <c r="A33" s="13" t="s">
        <v>75</v>
      </c>
      <c r="B33" s="14"/>
      <c r="C33" s="15"/>
      <c r="E33" s="15"/>
      <c r="G33" s="34" t="s">
        <v>57</v>
      </c>
      <c r="H33" s="35" t="s">
        <v>58</v>
      </c>
      <c r="I33" s="35" t="s">
        <v>59</v>
      </c>
      <c r="J33" s="35" t="s">
        <v>2</v>
      </c>
      <c r="K33" s="35" t="s">
        <v>60</v>
      </c>
    </row>
    <row r="34" spans="1:11" hidden="1" x14ac:dyDescent="0.2">
      <c r="A34" s="13" t="s">
        <v>77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4</v>
      </c>
      <c r="K34" s="37">
        <f>+I34*J34</f>
        <v>125014.03135999999</v>
      </c>
    </row>
    <row r="35" spans="1:11" hidden="1" x14ac:dyDescent="0.2">
      <c r="A35" s="13" t="s">
        <v>79</v>
      </c>
      <c r="B35" s="14"/>
      <c r="C35" s="15"/>
      <c r="E35" s="15"/>
    </row>
    <row r="36" spans="1:11" hidden="1" x14ac:dyDescent="0.2">
      <c r="A36" s="13" t="s">
        <v>81</v>
      </c>
      <c r="B36" s="14"/>
      <c r="C36" s="15"/>
      <c r="E36" s="15"/>
    </row>
    <row r="37" spans="1:11" hidden="1" x14ac:dyDescent="0.2">
      <c r="A37" s="13" t="s">
        <v>83</v>
      </c>
      <c r="B37" s="14"/>
      <c r="C37" s="15"/>
      <c r="E37" s="15"/>
    </row>
    <row r="38" spans="1:11" hidden="1" x14ac:dyDescent="0.2">
      <c r="A38" s="13" t="s">
        <v>85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pageSetUpPr fitToPage="1"/>
  </sheetPr>
  <dimension ref="A1:AQ49"/>
  <sheetViews>
    <sheetView topLeftCell="A2" zoomScaleNormal="100" workbookViewId="0">
      <selection activeCell="G10" sqref="G10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34" width="9.140625" hidden="1" customWidth="1"/>
    <col min="35" max="40" width="9.140625" customWidth="1"/>
  </cols>
  <sheetData>
    <row r="1" spans="1:43" ht="18" x14ac:dyDescent="0.25">
      <c r="B1" s="142" t="str">
        <f>'[2]Team Report'!B1</f>
        <v>Enron North America</v>
      </c>
      <c r="C1" s="142"/>
      <c r="D1" s="142"/>
      <c r="E1" s="142"/>
      <c r="F1" s="142"/>
      <c r="G1" s="142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42" t="s">
        <v>234</v>
      </c>
      <c r="C2" s="142"/>
      <c r="D2" s="142"/>
      <c r="E2" s="142"/>
      <c r="F2" s="142"/>
      <c r="G2" s="142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43" t="s">
        <v>0</v>
      </c>
      <c r="C3" s="143"/>
      <c r="D3" s="143"/>
      <c r="E3" s="143"/>
      <c r="F3" s="143"/>
      <c r="G3" s="143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1</v>
      </c>
      <c r="J5" s="8" t="s">
        <v>2</v>
      </c>
      <c r="K5" s="9" t="s">
        <v>3</v>
      </c>
    </row>
    <row r="6" spans="1:43" x14ac:dyDescent="0.2">
      <c r="C6" s="10">
        <v>37135</v>
      </c>
      <c r="E6" s="44" t="s">
        <v>63</v>
      </c>
      <c r="G6" s="44" t="s">
        <v>63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5</v>
      </c>
      <c r="E7" s="12" t="s">
        <v>6</v>
      </c>
      <c r="G7" s="12" t="s">
        <v>7</v>
      </c>
      <c r="H7" s="7"/>
      <c r="I7" s="17"/>
      <c r="J7" s="8"/>
      <c r="K7" s="9"/>
      <c r="O7" s="12" t="s">
        <v>7</v>
      </c>
      <c r="AK7" s="12"/>
    </row>
    <row r="8" spans="1:43" x14ac:dyDescent="0.2">
      <c r="A8" s="13" t="s">
        <v>9</v>
      </c>
      <c r="B8" s="14" t="s">
        <v>10</v>
      </c>
      <c r="C8" s="15">
        <f>+'[1]Natural Gas'!C8+[1]Ontario!C8+[1]Finance!C8+[1]Executive!C8+[1]Alberta!C8</f>
        <v>2855922.0300000003</v>
      </c>
      <c r="E8" s="15">
        <f>+'[1]Natural Gas'!E8+[1]Ontario!E8+[1]Finance!E8+[1]Executive!E8+[1]Alberta!E8</f>
        <v>3807896.0399999991</v>
      </c>
      <c r="G8" s="15">
        <v>0</v>
      </c>
      <c r="H8" s="7" t="s">
        <v>10</v>
      </c>
      <c r="I8" s="17">
        <v>0</v>
      </c>
      <c r="J8" s="8"/>
      <c r="K8" s="18">
        <f>K28</f>
        <v>946080</v>
      </c>
      <c r="O8" s="15">
        <f t="shared" ref="O8:O22" si="0">+G8/$G$29*$O$29</f>
        <v>0</v>
      </c>
      <c r="AK8" s="32"/>
    </row>
    <row r="9" spans="1:43" x14ac:dyDescent="0.2">
      <c r="A9" s="13"/>
      <c r="B9" s="14" t="s">
        <v>11</v>
      </c>
      <c r="C9" s="15">
        <f>+'[1]Natural Gas'!C9+[1]Ontario!C9+[1]Finance!C9+[1]Executive!C9+[1]Alberta!C9</f>
        <v>0</v>
      </c>
      <c r="E9" s="15">
        <f>+'[1]Natural Gas'!E9+[1]Ontario!E9+[1]Finance!E9+[1]Executive!E9+[1]Alberta!E9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89</v>
      </c>
      <c r="C10" s="15">
        <v>0</v>
      </c>
      <c r="E10" s="15">
        <v>0</v>
      </c>
      <c r="G10" s="15">
        <f>K22+K21-188400</f>
        <v>600000</v>
      </c>
      <c r="H10" s="7"/>
      <c r="I10" s="17"/>
      <c r="J10" s="8"/>
      <c r="K10" s="9"/>
      <c r="O10" s="15">
        <f t="shared" si="0"/>
        <v>54545.454545454544</v>
      </c>
      <c r="AK10" s="122"/>
    </row>
    <row r="11" spans="1:43" x14ac:dyDescent="0.2">
      <c r="A11" s="13" t="s">
        <v>13</v>
      </c>
      <c r="B11" s="14" t="s">
        <v>14</v>
      </c>
      <c r="C11" s="15">
        <f>+'[1]Natural Gas'!C11+[1]Ontario!C11+[1]Finance!C11+[1]Executive!C10+[1]Alberta!C11</f>
        <v>312682.37</v>
      </c>
      <c r="E11" s="15">
        <f>+'[1]Natural Gas'!E11+[1]Ontario!E11+[1]Finance!E11+[1]Executive!E10+[1]Alberta!E11</f>
        <v>416909.82666666666</v>
      </c>
      <c r="G11" s="15">
        <f>G10*0.3105-96300</f>
        <v>90000</v>
      </c>
      <c r="H11" s="7" t="s">
        <v>15</v>
      </c>
      <c r="I11" s="19">
        <f>(E12+E13+E14+E15+E16+E17+E18+E19+E20+E21+E22)/E29</f>
        <v>31253.507839999998</v>
      </c>
      <c r="J11" s="8">
        <f>J28</f>
        <v>11</v>
      </c>
      <c r="K11" s="18">
        <f>I11*J11</f>
        <v>343788.58623999998</v>
      </c>
      <c r="O11" s="15">
        <f t="shared" si="0"/>
        <v>8181.818181818182</v>
      </c>
      <c r="AK11" s="32"/>
    </row>
    <row r="12" spans="1:43" x14ac:dyDescent="0.2">
      <c r="A12" s="13" t="s">
        <v>16</v>
      </c>
      <c r="B12" s="14" t="s">
        <v>17</v>
      </c>
      <c r="C12" s="15">
        <f>+'[1]Natural Gas'!C12+[1]Ontario!C12+[1]Finance!C12+[1]Executive!C12+[1]Alberta!C12</f>
        <v>67320.12999999999</v>
      </c>
      <c r="E12" s="20">
        <f>(+'[1]Natural Gas'!E12+[1]Ontario!E12+[1]Finance!E12+[1]Executive!E12+[1]Alberta!E12)*1.2</f>
        <v>107712.20799999998</v>
      </c>
      <c r="G12" s="21">
        <f t="shared" ref="G12:G22" si="1">(E12/$E$29)*$G$29</f>
        <v>23696.685759999997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18</v>
      </c>
      <c r="B13" s="14" t="s">
        <v>19</v>
      </c>
      <c r="C13" s="15">
        <f>+'[1]Natural Gas'!C13+[1]Ontario!C13+[1]Finance!C13+[1]Executive!C13+[1]Alberta!C13</f>
        <v>297871.83999999997</v>
      </c>
      <c r="E13" s="20">
        <f>(+'[1]Natural Gas'!E13+[1]Ontario!E13+[1]Finance!E13+[1]Executive!E13+[1]Alberta!E13)*1.2</f>
        <v>476594.94399999996</v>
      </c>
      <c r="G13" s="21">
        <f t="shared" si="1"/>
        <v>104850.88767999999</v>
      </c>
      <c r="H13" s="22" t="s">
        <v>20</v>
      </c>
      <c r="I13" s="47"/>
      <c r="J13" s="23"/>
      <c r="K13" s="24">
        <f>K8+K11</f>
        <v>1289868.5862400001</v>
      </c>
      <c r="O13" s="15">
        <f t="shared" si="0"/>
        <v>9531.8988799999988</v>
      </c>
      <c r="AK13" s="32"/>
    </row>
    <row r="14" spans="1:43" x14ac:dyDescent="0.2">
      <c r="A14" s="13" t="s">
        <v>21</v>
      </c>
      <c r="B14" s="14" t="s">
        <v>22</v>
      </c>
      <c r="C14" s="15">
        <f>+'[1]Natural Gas'!C14+[1]Ontario!C14+[1]Finance!C14+[1]Executive!C14+[1]Alberta!C14</f>
        <v>505739.98</v>
      </c>
      <c r="E14" s="20">
        <f>(+'[1]Natural Gas'!E14+[1]Ontario!E14+[1]Finance!E14+[1]Executive!E14+[1]Alberta!E14)*1.2</f>
        <v>809183.96799999999</v>
      </c>
      <c r="G14" s="21">
        <f t="shared" si="1"/>
        <v>178020.47296000001</v>
      </c>
      <c r="O14" s="15">
        <f t="shared" si="0"/>
        <v>16183.679360000002</v>
      </c>
      <c r="AK14" s="32"/>
    </row>
    <row r="15" spans="1:43" x14ac:dyDescent="0.2">
      <c r="A15" s="13" t="s">
        <v>23</v>
      </c>
      <c r="B15" s="14" t="s">
        <v>24</v>
      </c>
      <c r="C15" s="15">
        <f>+'[1]Natural Gas'!C15+[1]Ontario!C15+[1]Finance!C15+[1]Executive!C15+[1]Alberta!C15</f>
        <v>6427.4199999999992</v>
      </c>
      <c r="E15" s="20">
        <f>(+'[1]Natural Gas'!E15+[1]Ontario!E15+[1]Finance!E15+[1]Executive!E15+[1]Alberta!E15)*1.2</f>
        <v>10283.871999999998</v>
      </c>
      <c r="G15" s="21">
        <f t="shared" si="1"/>
        <v>2262.4518399999997</v>
      </c>
      <c r="O15" s="15">
        <f t="shared" si="0"/>
        <v>205.67743999999996</v>
      </c>
      <c r="AK15" s="32"/>
    </row>
    <row r="16" spans="1:43" x14ac:dyDescent="0.2">
      <c r="A16" s="13" t="s">
        <v>25</v>
      </c>
      <c r="B16" s="14" t="s">
        <v>26</v>
      </c>
      <c r="C16" s="15">
        <f>+'[1]Natural Gas'!C16+[1]Ontario!C16+[1]Finance!C16+[1]Executive!C16+[1]Alberta!C16</f>
        <v>0</v>
      </c>
      <c r="E16" s="20">
        <f>(+'[1]Natural Gas'!E16+[1]Ontario!E16+[1]Finance!E16+[1]Executive!E16+[1]Alberta!E16)*1.2</f>
        <v>0</v>
      </c>
      <c r="G16" s="21">
        <f t="shared" si="1"/>
        <v>0</v>
      </c>
      <c r="H16" t="s">
        <v>27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28</v>
      </c>
      <c r="B17" s="14" t="s">
        <v>29</v>
      </c>
      <c r="C17" s="15">
        <f>+'[1]Natural Gas'!C17+[1]Ontario!C17+[1]Finance!C17+[1]Executive!C17+[1]Alberta!C17</f>
        <v>1883.62</v>
      </c>
      <c r="E17" s="20">
        <f>(+'[1]Natural Gas'!E17+[1]Ontario!E17+[1]Finance!E17+[1]Executive!E17+[1]Alberta!E17)*1.2</f>
        <v>3013.7920000000004</v>
      </c>
      <c r="G17" s="21">
        <f t="shared" si="1"/>
        <v>663.03424000000007</v>
      </c>
      <c r="H17" t="s">
        <v>30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x14ac:dyDescent="0.2">
      <c r="A18" s="13" t="s">
        <v>31</v>
      </c>
      <c r="B18" s="14" t="s">
        <v>32</v>
      </c>
      <c r="C18" s="15">
        <f>+'[1]Natural Gas'!C18+[1]Ontario!C18+[1]Finance!C18+[1]Executive!C18+[1]Alberta!C18</f>
        <v>19208.419999999998</v>
      </c>
      <c r="E18" s="20">
        <f>(+'[1]Natural Gas'!E18+[1]Ontario!E18+[1]Finance!E18+[1]Executive!E18+[1]Alberta!E18)*1.2</f>
        <v>30733.471999999998</v>
      </c>
      <c r="G18" s="21">
        <f t="shared" si="1"/>
        <v>6761.36384</v>
      </c>
      <c r="H18" t="s">
        <v>33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34</v>
      </c>
      <c r="B19" s="14" t="s">
        <v>35</v>
      </c>
      <c r="C19" s="15">
        <f>+'[1]Natural Gas'!C19+[1]Ontario!C19+[1]Finance!C19+[1]Executive!C19+[1]Alberta!C19</f>
        <v>52344.84</v>
      </c>
      <c r="E19" s="20">
        <f>(+'[1]Natural Gas'!E19+[1]Ontario!E19+[1]Finance!E19+[1]Executive!E19+[1]Alberta!E19)*1.2</f>
        <v>83751.743999999992</v>
      </c>
      <c r="G19" s="21">
        <f t="shared" si="1"/>
        <v>18425.383679999999</v>
      </c>
      <c r="H19" t="s">
        <v>36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x14ac:dyDescent="0.2">
      <c r="A20" s="13" t="s">
        <v>37</v>
      </c>
      <c r="B20" s="14" t="s">
        <v>38</v>
      </c>
      <c r="C20" s="15">
        <f>+'[1]Natural Gas'!C20+[1]Ontario!C20+[1]Finance!C20+[1]Executive!C20+[1]Alberta!C20</f>
        <v>0</v>
      </c>
      <c r="E20" s="20">
        <f>(+'[1]Natural Gas'!E20+[1]Ontario!E20+[1]Finance!E20+[1]Executive!E20+[1]Alberta!E20)*1.2</f>
        <v>0</v>
      </c>
      <c r="G20" s="21">
        <f t="shared" si="1"/>
        <v>0</v>
      </c>
      <c r="H20" t="s">
        <v>39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40</v>
      </c>
      <c r="B21" s="14" t="s">
        <v>41</v>
      </c>
      <c r="C21" s="15">
        <f>+'[1]Natural Gas'!C21+[1]Ontario!C21+[1]Finance!C21+[1]Executive!C21+[1]Alberta!C21</f>
        <v>19769.170000000046</v>
      </c>
      <c r="E21" s="20">
        <f>(+'[1]Natural Gas'!E21+[1]Ontario!E21+[1]Finance!E21+[1]Executive!E21+[1]Alberta!E21)*1.2</f>
        <v>31630.672000000071</v>
      </c>
      <c r="G21" s="21">
        <f t="shared" si="1"/>
        <v>6958.7478400000164</v>
      </c>
      <c r="H21" t="s">
        <v>42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x14ac:dyDescent="0.2">
      <c r="A22" s="13" t="s">
        <v>43</v>
      </c>
      <c r="B22" s="14" t="s">
        <v>44</v>
      </c>
      <c r="C22" s="15">
        <f>+'[1]Natural Gas'!C22+[1]Ontario!C22+[1]Finance!C22+[1]Executive!C22+[1]Alberta!C22</f>
        <v>6106.7000000000089</v>
      </c>
      <c r="E22" s="20">
        <f>(+'[1]Natural Gas'!E22+[1]Ontario!E22+[1]Finance!E22+[1]Executive!E22+[1]Alberta!E22)*1.2</f>
        <v>9770.7200000000139</v>
      </c>
      <c r="G22" s="21">
        <f t="shared" si="1"/>
        <v>2149.5584000000031</v>
      </c>
      <c r="H22" t="s">
        <v>45</v>
      </c>
      <c r="I22" s="25">
        <v>97200</v>
      </c>
      <c r="J22">
        <v>2</v>
      </c>
      <c r="K22">
        <f t="shared" si="2"/>
        <v>194400</v>
      </c>
      <c r="O22" s="15">
        <f t="shared" si="0"/>
        <v>195.41440000000028</v>
      </c>
      <c r="AK22" s="32"/>
    </row>
    <row r="23" spans="1:37" x14ac:dyDescent="0.2">
      <c r="A23" s="26" t="s">
        <v>46</v>
      </c>
      <c r="B23" s="27" t="s">
        <v>47</v>
      </c>
      <c r="C23" s="28">
        <f>SUM(C8:C22)</f>
        <v>4145276.52</v>
      </c>
      <c r="E23" s="28">
        <f>SUM(E8:E22)</f>
        <v>5787481.2586666662</v>
      </c>
      <c r="G23" s="28">
        <f>SUM(G8:G22)</f>
        <v>1033788.5862399999</v>
      </c>
      <c r="H23" t="s">
        <v>48</v>
      </c>
      <c r="I23" s="25">
        <v>120000</v>
      </c>
      <c r="J23">
        <v>0</v>
      </c>
      <c r="K23">
        <f t="shared" si="2"/>
        <v>0</v>
      </c>
      <c r="O23" s="28">
        <f>SUM(O8:O22)</f>
        <v>93980.780567272741</v>
      </c>
      <c r="AK23" s="29"/>
    </row>
    <row r="24" spans="1:37" x14ac:dyDescent="0.2">
      <c r="H24" t="s">
        <v>49</v>
      </c>
      <c r="I24" s="25">
        <v>156000</v>
      </c>
      <c r="J24">
        <v>0</v>
      </c>
      <c r="K24">
        <f t="shared" si="2"/>
        <v>0</v>
      </c>
      <c r="AK24" s="8"/>
    </row>
    <row r="25" spans="1:37" x14ac:dyDescent="0.2">
      <c r="B25" s="27" t="s">
        <v>50</v>
      </c>
      <c r="C25" s="60"/>
      <c r="E25" s="61">
        <f>+'[1]Natural Gas'!E25+[1]Ontario!E25+[1]Finance!E25+[1]Executive!E25+[1]Alberta!E25</f>
        <v>30</v>
      </c>
      <c r="G25" s="61">
        <f>SUM(J16:J20,J23:J27)</f>
        <v>0</v>
      </c>
      <c r="H25" t="s">
        <v>51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52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x14ac:dyDescent="0.2">
      <c r="B27" s="27" t="s">
        <v>53</v>
      </c>
      <c r="C27" s="15"/>
      <c r="E27" s="61">
        <f>+'[1]Natural Gas'!E27+[1]Ontario!E27+[1]Finance!E27+[1]Executive!E27+[1]Alberta!E27</f>
        <v>20</v>
      </c>
      <c r="G27" s="61">
        <f>SUM(J21:J22)</f>
        <v>11</v>
      </c>
      <c r="H27" t="s">
        <v>90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11</v>
      </c>
      <c r="K28">
        <f>SUM(K16:K27)*1.2</f>
        <v>946080</v>
      </c>
      <c r="AK28" s="8"/>
    </row>
    <row r="29" spans="1:37" x14ac:dyDescent="0.2">
      <c r="B29" s="27" t="s">
        <v>55</v>
      </c>
      <c r="C29" s="15"/>
      <c r="E29" s="31">
        <f>+E27+E25</f>
        <v>50</v>
      </c>
      <c r="F29" s="32"/>
      <c r="G29" s="31">
        <f>+G27+G25</f>
        <v>11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71</v>
      </c>
      <c r="B31" s="14" t="s">
        <v>91</v>
      </c>
      <c r="C31" s="15"/>
      <c r="E31" s="15"/>
      <c r="G31" s="33" t="s">
        <v>56</v>
      </c>
      <c r="H31" s="25"/>
      <c r="J31" s="25"/>
    </row>
    <row r="32" spans="1:37" hidden="1" x14ac:dyDescent="0.2">
      <c r="A32" s="13" t="s">
        <v>73</v>
      </c>
      <c r="B32" s="14"/>
      <c r="C32" s="15"/>
      <c r="E32" s="15"/>
      <c r="H32" s="25"/>
      <c r="J32" s="25"/>
    </row>
    <row r="33" spans="1:11" hidden="1" x14ac:dyDescent="0.2">
      <c r="A33" s="13" t="s">
        <v>75</v>
      </c>
      <c r="B33" s="14"/>
      <c r="C33" s="15"/>
      <c r="E33" s="15"/>
      <c r="G33" s="34" t="s">
        <v>57</v>
      </c>
      <c r="H33" s="35" t="s">
        <v>58</v>
      </c>
      <c r="I33" s="35" t="s">
        <v>59</v>
      </c>
      <c r="J33" s="35" t="s">
        <v>2</v>
      </c>
      <c r="K33" s="35" t="s">
        <v>60</v>
      </c>
    </row>
    <row r="34" spans="1:11" hidden="1" x14ac:dyDescent="0.2">
      <c r="A34" s="13" t="s">
        <v>77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11</v>
      </c>
      <c r="K34" s="37">
        <f>+I34*J34</f>
        <v>343788.58623999998</v>
      </c>
    </row>
    <row r="35" spans="1:11" hidden="1" x14ac:dyDescent="0.2">
      <c r="A35" s="13" t="s">
        <v>79</v>
      </c>
      <c r="B35" s="14"/>
      <c r="C35" s="15"/>
      <c r="E35" s="15"/>
    </row>
    <row r="36" spans="1:11" hidden="1" x14ac:dyDescent="0.2">
      <c r="A36" s="13" t="s">
        <v>81</v>
      </c>
      <c r="B36" s="14"/>
      <c r="C36" s="15"/>
      <c r="E36" s="15"/>
    </row>
    <row r="37" spans="1:11" hidden="1" x14ac:dyDescent="0.2">
      <c r="A37" s="13" t="s">
        <v>83</v>
      </c>
      <c r="B37" s="14"/>
      <c r="C37" s="15"/>
      <c r="E37" s="15"/>
    </row>
    <row r="38" spans="1:11" hidden="1" x14ac:dyDescent="0.2">
      <c r="A38" s="13" t="s">
        <v>85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S44"/>
  <sheetViews>
    <sheetView zoomScaleNormal="100" workbookViewId="0">
      <selection activeCell="F21" sqref="F21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13.85546875" customWidth="1"/>
    <col min="7" max="7" width="2.28515625" customWidth="1"/>
    <col min="8" max="8" width="4.42578125" customWidth="1"/>
    <col min="9" max="9" width="13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5" width="9.140625" hidden="1" customWidth="1"/>
  </cols>
  <sheetData>
    <row r="1" spans="1:45" ht="18" x14ac:dyDescent="0.25">
      <c r="B1" s="142" t="str">
        <f>'[8]Team Report'!B1</f>
        <v>Enron North America</v>
      </c>
      <c r="C1" s="142"/>
      <c r="D1" s="142"/>
      <c r="E1" s="142"/>
      <c r="F1" s="142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2" t="str">
        <f>'[8]Pull Sheet'!E9</f>
        <v>Office of the Chair</v>
      </c>
      <c r="C2" s="142"/>
      <c r="D2" s="142"/>
      <c r="E2" s="142"/>
      <c r="F2" s="142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42" t="s">
        <v>0</v>
      </c>
      <c r="C3" s="142"/>
      <c r="D3" s="142"/>
      <c r="E3" s="142"/>
      <c r="F3" s="142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47"/>
      <c r="K4" s="147"/>
      <c r="L4" s="147"/>
      <c r="M4" s="147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>
        <v>2002</v>
      </c>
      <c r="J6" s="7"/>
      <c r="K6" s="19" t="s">
        <v>1</v>
      </c>
      <c r="L6" s="19" t="s">
        <v>2</v>
      </c>
      <c r="M6" s="74" t="s">
        <v>107</v>
      </c>
      <c r="O6" s="44" t="s">
        <v>63</v>
      </c>
    </row>
    <row r="7" spans="1:45" x14ac:dyDescent="0.2">
      <c r="C7" s="12" t="s">
        <v>5</v>
      </c>
      <c r="E7" s="12" t="s">
        <v>69</v>
      </c>
      <c r="F7" s="12" t="s">
        <v>7</v>
      </c>
      <c r="J7" s="7"/>
      <c r="K7" s="17"/>
      <c r="L7" s="17"/>
      <c r="M7" s="43"/>
      <c r="O7" s="12" t="s">
        <v>7</v>
      </c>
    </row>
    <row r="8" spans="1:45" x14ac:dyDescent="0.2">
      <c r="A8" s="13" t="s">
        <v>9</v>
      </c>
      <c r="B8" s="14" t="s">
        <v>10</v>
      </c>
      <c r="C8" s="53">
        <f>'[8]Team Report'!BA25</f>
        <v>888807.72</v>
      </c>
      <c r="E8" s="15">
        <f t="shared" ref="E8:E22" si="0">(C8/9)*12</f>
        <v>1185076.96</v>
      </c>
      <c r="F8" s="15">
        <f>(((+M21)*1.2)/1.2)*1.1</f>
        <v>990000.00000000012</v>
      </c>
      <c r="J8" s="7"/>
      <c r="K8" s="17"/>
      <c r="L8" s="17"/>
      <c r="M8" s="43"/>
      <c r="O8" s="15">
        <f t="shared" ref="O8:O22" si="1">+F8/$F$29*$O$29</f>
        <v>330000.00000000006</v>
      </c>
    </row>
    <row r="9" spans="1:45" hidden="1" x14ac:dyDescent="0.2">
      <c r="A9" s="13"/>
      <c r="B9" s="14" t="s">
        <v>11</v>
      </c>
      <c r="C9" s="15">
        <v>0</v>
      </c>
      <c r="E9" s="15">
        <f t="shared" si="0"/>
        <v>0</v>
      </c>
      <c r="F9" s="15">
        <v>0</v>
      </c>
      <c r="J9" s="7" t="s">
        <v>10</v>
      </c>
      <c r="K9" s="17">
        <v>0</v>
      </c>
      <c r="L9" s="17">
        <f>+L21</f>
        <v>3</v>
      </c>
      <c r="M9" s="43">
        <f>M21</f>
        <v>900000</v>
      </c>
      <c r="O9" s="15">
        <f t="shared" si="1"/>
        <v>0</v>
      </c>
    </row>
    <row r="10" spans="1:45" x14ac:dyDescent="0.2">
      <c r="A10" s="13"/>
      <c r="B10" s="14" t="s">
        <v>70</v>
      </c>
      <c r="C10" s="15">
        <v>0</v>
      </c>
      <c r="E10" s="15">
        <f t="shared" si="0"/>
        <v>0</v>
      </c>
      <c r="F10" s="15"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'[8]Team Report'!BA26</f>
        <v>249788.37</v>
      </c>
      <c r="E11" s="15">
        <f t="shared" si="0"/>
        <v>333051.15999999997</v>
      </c>
      <c r="F11" s="15">
        <f>(((+F8*0.2)*1.2)/1.2)*1.1</f>
        <v>217800.00000000006</v>
      </c>
      <c r="J11" s="7"/>
      <c r="K11" s="17"/>
      <c r="L11" s="17"/>
      <c r="M11" s="43"/>
      <c r="O11" s="15">
        <f t="shared" si="1"/>
        <v>72600.000000000015</v>
      </c>
    </row>
    <row r="12" spans="1:45" x14ac:dyDescent="0.2">
      <c r="A12" s="13" t="s">
        <v>16</v>
      </c>
      <c r="B12" s="14" t="s">
        <v>17</v>
      </c>
      <c r="C12" s="15">
        <f>'[8]Team Report'!BA27</f>
        <v>180082.12999999998</v>
      </c>
      <c r="E12" s="21">
        <f t="shared" si="0"/>
        <v>240109.50666666665</v>
      </c>
      <c r="F12" s="21">
        <v>282081</v>
      </c>
      <c r="J12" s="7" t="s">
        <v>15</v>
      </c>
      <c r="K12" s="17">
        <f>(E12+E13+E14+E15+E16+E17+E18+E19+E20+E21+E22)/E29</f>
        <v>123221.09066666474</v>
      </c>
      <c r="L12" s="17">
        <f>+L21</f>
        <v>3</v>
      </c>
      <c r="M12" s="43">
        <f>K12*L12</f>
        <v>369663.27199999418</v>
      </c>
      <c r="O12" s="15">
        <f t="shared" si="1"/>
        <v>94027</v>
      </c>
    </row>
    <row r="13" spans="1:45" x14ac:dyDescent="0.2">
      <c r="A13" s="13" t="s">
        <v>18</v>
      </c>
      <c r="B13" s="14" t="s">
        <v>19</v>
      </c>
      <c r="C13" s="15">
        <f>'[8]Team Report'!BA28</f>
        <v>201416.5</v>
      </c>
      <c r="E13" s="21">
        <f t="shared" si="0"/>
        <v>268555.33333333331</v>
      </c>
      <c r="F13" s="21">
        <v>315499</v>
      </c>
      <c r="J13" s="7"/>
      <c r="K13" s="17"/>
      <c r="L13" s="17"/>
      <c r="M13" s="43"/>
      <c r="O13" s="15">
        <f t="shared" si="1"/>
        <v>105166.33333333333</v>
      </c>
    </row>
    <row r="14" spans="1:45" ht="13.5" thickBot="1" x14ac:dyDescent="0.25">
      <c r="A14" s="13" t="s">
        <v>21</v>
      </c>
      <c r="B14" s="14" t="s">
        <v>22</v>
      </c>
      <c r="C14" s="15">
        <v>0</v>
      </c>
      <c r="E14" s="21">
        <f t="shared" si="0"/>
        <v>0</v>
      </c>
      <c r="F14" s="21">
        <f>(((+E14/$E$29*$F$29)*1.2)/1.2)*1.1</f>
        <v>0</v>
      </c>
      <c r="J14" s="22" t="s">
        <v>20</v>
      </c>
      <c r="K14" s="47"/>
      <c r="L14" s="47"/>
      <c r="M14" s="48">
        <f>SUM(M9:M12)</f>
        <v>1269663.2719999943</v>
      </c>
      <c r="O14" s="15">
        <f t="shared" si="1"/>
        <v>0</v>
      </c>
    </row>
    <row r="15" spans="1:45" x14ac:dyDescent="0.2">
      <c r="A15" s="13" t="s">
        <v>23</v>
      </c>
      <c r="B15" s="14" t="s">
        <v>24</v>
      </c>
      <c r="C15" s="15">
        <f>'[8]Team Report'!BA33</f>
        <v>10998.160000000003</v>
      </c>
      <c r="E15" s="21">
        <f t="shared" si="0"/>
        <v>14664.213333333337</v>
      </c>
      <c r="F15" s="21">
        <f>(((+E15/$E$29*$F$29)*1.2)/1.2)*1.1</f>
        <v>9678.3808000000026</v>
      </c>
      <c r="J15" s="8"/>
      <c r="K15" s="17"/>
      <c r="L15" s="17"/>
      <c r="M15" s="17"/>
      <c r="O15" s="15">
        <f t="shared" si="1"/>
        <v>3226.1269333333344</v>
      </c>
    </row>
    <row r="16" spans="1:45" x14ac:dyDescent="0.2">
      <c r="A16" s="13" t="s">
        <v>25</v>
      </c>
      <c r="B16" s="14" t="s">
        <v>26</v>
      </c>
      <c r="C16" s="15">
        <f>'[8]Team Report'!BA34</f>
        <v>0</v>
      </c>
      <c r="E16" s="21">
        <f t="shared" si="0"/>
        <v>0</v>
      </c>
      <c r="F16" s="21">
        <f>(((+E16/$E$29*$F$29)*1.2)/1.2)*1.1</f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'[8]Team Report'!BA35</f>
        <v>25000</v>
      </c>
      <c r="E17" s="21">
        <f t="shared" si="0"/>
        <v>33333.333333333336</v>
      </c>
      <c r="F17" s="21">
        <v>44000</v>
      </c>
      <c r="M17" s="17"/>
      <c r="O17" s="15">
        <f t="shared" si="1"/>
        <v>14666.666666666666</v>
      </c>
    </row>
    <row r="18" spans="1:15" x14ac:dyDescent="0.2">
      <c r="A18" s="13" t="s">
        <v>31</v>
      </c>
      <c r="B18" s="14" t="s">
        <v>32</v>
      </c>
      <c r="C18" s="15">
        <f>'[8]Team Report'!BA36</f>
        <v>2602.3200000000002</v>
      </c>
      <c r="E18" s="21">
        <f t="shared" si="0"/>
        <v>3469.76</v>
      </c>
      <c r="F18" s="21">
        <f>(((+E18/$E$29*$F$29)*1.2)/1.2)*1.1</f>
        <v>2290.0416</v>
      </c>
      <c r="J18" t="s">
        <v>30</v>
      </c>
      <c r="K18" s="25">
        <v>55000</v>
      </c>
      <c r="L18" s="25">
        <v>0</v>
      </c>
      <c r="M18" s="17">
        <f>K18*L18</f>
        <v>0</v>
      </c>
      <c r="O18" s="15">
        <f t="shared" si="1"/>
        <v>763.34720000000004</v>
      </c>
    </row>
    <row r="19" spans="1:15" x14ac:dyDescent="0.2">
      <c r="A19" s="13" t="s">
        <v>34</v>
      </c>
      <c r="B19" s="14" t="s">
        <v>35</v>
      </c>
      <c r="C19" s="15">
        <f>'[8]Team Report'!BA37</f>
        <v>40643.17</v>
      </c>
      <c r="E19" s="21">
        <f t="shared" si="0"/>
        <v>54190.893333333326</v>
      </c>
      <c r="F19" s="21">
        <v>51861</v>
      </c>
      <c r="J19" t="s">
        <v>142</v>
      </c>
      <c r="K19" s="25">
        <v>250000</v>
      </c>
      <c r="L19" s="25">
        <v>1</v>
      </c>
      <c r="M19" s="17">
        <f>K19*L19</f>
        <v>250000</v>
      </c>
      <c r="O19" s="15">
        <f t="shared" si="1"/>
        <v>17287</v>
      </c>
    </row>
    <row r="20" spans="1:15" x14ac:dyDescent="0.2">
      <c r="A20" s="13" t="s">
        <v>37</v>
      </c>
      <c r="B20" s="14" t="s">
        <v>38</v>
      </c>
      <c r="C20" s="15">
        <f>'[8]Team Report'!BA38</f>
        <v>1258.2</v>
      </c>
      <c r="E20" s="21">
        <f t="shared" si="0"/>
        <v>1677.6000000000001</v>
      </c>
      <c r="F20" s="21">
        <f>(((+E20/$E$29*$F$29)*1.2)/1.2)*1.1</f>
        <v>1107.2160000000001</v>
      </c>
      <c r="J20" t="s">
        <v>90</v>
      </c>
      <c r="K20" s="25">
        <v>250000</v>
      </c>
      <c r="L20" s="25">
        <v>2</v>
      </c>
      <c r="M20" s="17">
        <f>K20*L20</f>
        <v>500000</v>
      </c>
      <c r="O20" s="15">
        <f t="shared" si="1"/>
        <v>369.07200000000006</v>
      </c>
    </row>
    <row r="21" spans="1:15" x14ac:dyDescent="0.2">
      <c r="A21" s="13" t="s">
        <v>40</v>
      </c>
      <c r="B21" s="14" t="s">
        <v>41</v>
      </c>
      <c r="C21" s="15">
        <f>'[8]Team Report'!BA42-C40</f>
        <v>-0.18000000715255737</v>
      </c>
      <c r="E21" s="21">
        <f t="shared" si="0"/>
        <v>-0.24000000953674316</v>
      </c>
      <c r="F21" s="21">
        <f>(((+E21/$E$29*$F$29)*1.2)/1.2)*1.1</f>
        <v>-0.15840000629425052</v>
      </c>
      <c r="L21" s="25">
        <f>SUM(L18:L20)</f>
        <v>3</v>
      </c>
      <c r="M21" s="25">
        <f>SUM(M18:M20)*1.2</f>
        <v>900000</v>
      </c>
      <c r="O21" s="15">
        <f t="shared" si="1"/>
        <v>-5.2800002098083505E-2</v>
      </c>
    </row>
    <row r="22" spans="1:15" x14ac:dyDescent="0.2">
      <c r="A22" s="13" t="s">
        <v>43</v>
      </c>
      <c r="B22" s="14" t="s">
        <v>44</v>
      </c>
      <c r="C22" s="15">
        <f>'[8]Team Report'!BA44</f>
        <v>78.789999999999992</v>
      </c>
      <c r="E22" s="21">
        <f t="shared" si="0"/>
        <v>105.05333333333331</v>
      </c>
      <c r="F22" s="21">
        <f>(((+E22/$E$29*$F$29)*1.2)/1.2)*1.1</f>
        <v>69.335199999999986</v>
      </c>
      <c r="L22" s="52"/>
      <c r="M22" s="52"/>
      <c r="O22" s="15">
        <f t="shared" si="1"/>
        <v>23.11173333333333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1600675.1799999925</v>
      </c>
      <c r="E23" s="28">
        <f>SUM(E8:E22)</f>
        <v>2134233.5733333235</v>
      </c>
      <c r="F23" s="28">
        <f>SUM(F8:F22)</f>
        <v>1914385.815199994</v>
      </c>
      <c r="O23" s="58">
        <f>SUM(O8:O22)</f>
        <v>638128.60506666463</v>
      </c>
    </row>
    <row r="25" spans="1:15" x14ac:dyDescent="0.2">
      <c r="B25" s="27" t="s">
        <v>50</v>
      </c>
      <c r="C25" s="55"/>
      <c r="E25" s="55">
        <v>5</v>
      </c>
      <c r="F25" s="79">
        <f>SUM(L18:L20)</f>
        <v>3</v>
      </c>
      <c r="I25" s="33" t="s">
        <v>56</v>
      </c>
      <c r="J25" s="25"/>
      <c r="M25"/>
      <c r="O25" s="31">
        <f>SUM(U16:U20,U23:U27)</f>
        <v>0</v>
      </c>
    </row>
    <row r="26" spans="1:15" x14ac:dyDescent="0.2">
      <c r="J26" s="25"/>
      <c r="M26"/>
      <c r="O26" s="15"/>
    </row>
    <row r="27" spans="1:15" x14ac:dyDescent="0.2">
      <c r="B27" s="27" t="s">
        <v>67</v>
      </c>
      <c r="C27" s="55"/>
      <c r="E27" s="55"/>
      <c r="F27" s="55"/>
      <c r="I27" s="34" t="s">
        <v>57</v>
      </c>
      <c r="J27" s="35" t="s">
        <v>58</v>
      </c>
      <c r="K27" s="35" t="s">
        <v>59</v>
      </c>
      <c r="L27" s="35" t="s">
        <v>2</v>
      </c>
      <c r="M27" s="35" t="s">
        <v>60</v>
      </c>
      <c r="O27" s="31">
        <f>SUM(U21:U22)</f>
        <v>0</v>
      </c>
    </row>
    <row r="28" spans="1:15" x14ac:dyDescent="0.2">
      <c r="I28" s="36">
        <f>SUM(E12:E22)</f>
        <v>616105.45333332371</v>
      </c>
      <c r="J28" s="56">
        <f>+E29</f>
        <v>5</v>
      </c>
      <c r="K28" s="37">
        <f>+I28/J28</f>
        <v>123221.09066666474</v>
      </c>
      <c r="L28" s="37">
        <f>+L12</f>
        <v>3</v>
      </c>
      <c r="M28" s="37">
        <f>+K28*L28</f>
        <v>369663.27199999418</v>
      </c>
    </row>
    <row r="29" spans="1:15" x14ac:dyDescent="0.2">
      <c r="B29" s="27" t="s">
        <v>55</v>
      </c>
      <c r="C29" s="55"/>
      <c r="E29" s="55">
        <f>SUM(E25:E28)</f>
        <v>5</v>
      </c>
      <c r="F29" s="55">
        <f>SUM(F25:F28)</f>
        <v>3</v>
      </c>
      <c r="K29"/>
      <c r="M29"/>
      <c r="O29" s="31">
        <v>1</v>
      </c>
    </row>
    <row r="30" spans="1:15" x14ac:dyDescent="0.2">
      <c r="B30" s="27"/>
      <c r="K30"/>
      <c r="M30"/>
    </row>
    <row r="31" spans="1:15" hidden="1" x14ac:dyDescent="0.2">
      <c r="A31" s="13" t="s">
        <v>71</v>
      </c>
      <c r="B31" s="14" t="s">
        <v>72</v>
      </c>
      <c r="C31" s="15">
        <f>'[8]Team Report'!BA29</f>
        <v>143473.75</v>
      </c>
      <c r="E31" s="15">
        <f t="shared" ref="E31:E38" si="2">(C31/9)*12</f>
        <v>191298.33333333331</v>
      </c>
      <c r="F31" s="15"/>
    </row>
    <row r="32" spans="1:15" hidden="1" x14ac:dyDescent="0.2">
      <c r="A32" s="13" t="s">
        <v>73</v>
      </c>
      <c r="B32" s="14" t="s">
        <v>74</v>
      </c>
      <c r="C32" s="15">
        <f>'[8]Team Report'!BA30</f>
        <v>0</v>
      </c>
      <c r="E32" s="15">
        <f t="shared" si="2"/>
        <v>0</v>
      </c>
      <c r="F32" s="15"/>
    </row>
    <row r="33" spans="1:14" hidden="1" x14ac:dyDescent="0.2">
      <c r="A33" s="13" t="s">
        <v>75</v>
      </c>
      <c r="B33" s="14" t="s">
        <v>76</v>
      </c>
      <c r="C33" s="15">
        <f>'[8]Team Report'!BA31</f>
        <v>0</v>
      </c>
      <c r="E33" s="15">
        <f t="shared" si="2"/>
        <v>0</v>
      </c>
      <c r="F33" s="15"/>
    </row>
    <row r="34" spans="1:14" hidden="1" x14ac:dyDescent="0.2">
      <c r="A34" s="13" t="s">
        <v>77</v>
      </c>
      <c r="B34" s="14" t="s">
        <v>78</v>
      </c>
      <c r="C34" s="15">
        <f>'[8]Team Report'!BA39</f>
        <v>0</v>
      </c>
      <c r="E34" s="15">
        <f t="shared" si="2"/>
        <v>0</v>
      </c>
      <c r="F34" s="15"/>
    </row>
    <row r="35" spans="1:14" hidden="1" x14ac:dyDescent="0.2">
      <c r="A35" s="13" t="s">
        <v>79</v>
      </c>
      <c r="B35" s="14" t="s">
        <v>80</v>
      </c>
      <c r="C35" s="15">
        <f>'[8]Team Report'!BA40</f>
        <v>47150.06</v>
      </c>
      <c r="E35" s="15">
        <f t="shared" si="2"/>
        <v>62866.746666666659</v>
      </c>
      <c r="F35" s="15"/>
    </row>
    <row r="36" spans="1:14" hidden="1" x14ac:dyDescent="0.2">
      <c r="A36" s="13" t="s">
        <v>81</v>
      </c>
      <c r="B36" s="14" t="s">
        <v>82</v>
      </c>
      <c r="C36" s="15">
        <f>'[8]Team Report'!BA41</f>
        <v>150417.00999999998</v>
      </c>
      <c r="E36" s="15">
        <f t="shared" si="2"/>
        <v>200556.01333333331</v>
      </c>
      <c r="F36" s="15"/>
    </row>
    <row r="37" spans="1:14" hidden="1" x14ac:dyDescent="0.2">
      <c r="A37" s="13" t="s">
        <v>83</v>
      </c>
      <c r="B37" s="14" t="s">
        <v>84</v>
      </c>
      <c r="C37" s="15">
        <f>'[8]Team Report'!BA43</f>
        <v>7417.54</v>
      </c>
      <c r="E37" s="15">
        <f t="shared" si="2"/>
        <v>9890.0533333333333</v>
      </c>
      <c r="F37" s="15"/>
    </row>
    <row r="38" spans="1:14" hidden="1" x14ac:dyDescent="0.2">
      <c r="A38" s="13" t="s">
        <v>85</v>
      </c>
      <c r="B38" s="14" t="s">
        <v>86</v>
      </c>
      <c r="C38" s="15">
        <f>'[8]Team Report'!BA45</f>
        <v>11194108.379999999</v>
      </c>
      <c r="E38" s="15">
        <f t="shared" si="2"/>
        <v>14925477.839999998</v>
      </c>
      <c r="F38" s="15"/>
    </row>
    <row r="39" spans="1:14" hidden="1" x14ac:dyDescent="0.2">
      <c r="A39" s="13" t="s">
        <v>21</v>
      </c>
      <c r="B39" s="14" t="s">
        <v>22</v>
      </c>
      <c r="C39" s="15">
        <v>24143776.43</v>
      </c>
      <c r="E39" s="15">
        <v>32191701.906666666</v>
      </c>
      <c r="F39" s="15"/>
    </row>
    <row r="40" spans="1:14" hidden="1" x14ac:dyDescent="0.2">
      <c r="B40" s="14" t="s">
        <v>41</v>
      </c>
      <c r="C40" s="15">
        <v>243106037</v>
      </c>
      <c r="E40" s="15"/>
      <c r="F40" s="15"/>
      <c r="N40" s="25"/>
    </row>
    <row r="44" spans="1:14" x14ac:dyDescent="0.2">
      <c r="C44" s="54">
        <f>C23+C31+C32+C33+C34+C35+C36+C37+C38</f>
        <v>13143241.919999991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63" bottom="0.48" header="0.76" footer="0.5"/>
  <pageSetup orientation="portrait" verticalDpi="196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AS43"/>
  <sheetViews>
    <sheetView zoomScaleNormal="100" workbookViewId="0">
      <selection activeCell="F8" sqref="F8:F21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13.85546875" customWidth="1"/>
    <col min="7" max="7" width="2.28515625" customWidth="1"/>
    <col min="8" max="8" width="4.42578125" customWidth="1"/>
    <col min="9" max="9" width="13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5" width="9.140625" hidden="1" customWidth="1"/>
  </cols>
  <sheetData>
    <row r="1" spans="1:45" ht="18" x14ac:dyDescent="0.25">
      <c r="B1" s="142" t="str">
        <f>'[8]Team Report'!B1</f>
        <v>Enron North America</v>
      </c>
      <c r="C1" s="142"/>
      <c r="D1" s="142"/>
      <c r="E1" s="142"/>
      <c r="F1" s="142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2" t="s">
        <v>291</v>
      </c>
      <c r="C2" s="142"/>
      <c r="D2" s="142"/>
      <c r="E2" s="142"/>
      <c r="F2" s="142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42" t="s">
        <v>0</v>
      </c>
      <c r="C3" s="142"/>
      <c r="D3" s="142"/>
      <c r="E3" s="142"/>
      <c r="F3" s="142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47"/>
      <c r="K4" s="147"/>
      <c r="L4" s="147"/>
      <c r="M4" s="147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>
        <v>2002</v>
      </c>
      <c r="J6" s="7"/>
      <c r="K6" s="19" t="s">
        <v>1</v>
      </c>
      <c r="L6" s="19" t="s">
        <v>2</v>
      </c>
      <c r="M6" s="74" t="s">
        <v>107</v>
      </c>
      <c r="O6" s="44" t="s">
        <v>63</v>
      </c>
    </row>
    <row r="7" spans="1:45" x14ac:dyDescent="0.2">
      <c r="C7" s="12" t="s">
        <v>5</v>
      </c>
      <c r="E7" s="12" t="s">
        <v>69</v>
      </c>
      <c r="F7" s="12" t="s">
        <v>7</v>
      </c>
      <c r="J7" s="7"/>
      <c r="K7" s="17"/>
      <c r="L7" s="17"/>
      <c r="M7" s="43"/>
      <c r="O7" s="12" t="s">
        <v>7</v>
      </c>
    </row>
    <row r="8" spans="1:45" x14ac:dyDescent="0.2">
      <c r="A8" s="13" t="s">
        <v>9</v>
      </c>
      <c r="B8" s="14" t="s">
        <v>10</v>
      </c>
      <c r="C8" s="53">
        <f>'[8]Team Report'!BA25</f>
        <v>888807.72</v>
      </c>
      <c r="E8" s="15">
        <f t="shared" ref="E8:E21" si="0">(C8/9)*12</f>
        <v>1185076.96</v>
      </c>
      <c r="F8" s="140">
        <f>((+M20)*1.2)*0.917</f>
        <v>217879.2</v>
      </c>
      <c r="J8" s="7"/>
      <c r="K8" s="17"/>
      <c r="L8" s="17"/>
      <c r="M8" s="43"/>
      <c r="O8" s="15">
        <f t="shared" ref="O8:O21" si="1">+F8/$F$28*$O$28</f>
        <v>72626.400000000009</v>
      </c>
    </row>
    <row r="9" spans="1:45" x14ac:dyDescent="0.2">
      <c r="A9" s="13"/>
      <c r="B9" s="14" t="s">
        <v>70</v>
      </c>
      <c r="C9" s="15">
        <v>0</v>
      </c>
      <c r="E9" s="15">
        <f t="shared" si="0"/>
        <v>0</v>
      </c>
      <c r="F9" s="140">
        <v>0</v>
      </c>
      <c r="J9" s="7"/>
      <c r="K9" s="17"/>
      <c r="L9" s="17"/>
      <c r="M9" s="43"/>
      <c r="O9" s="15">
        <f t="shared" si="1"/>
        <v>0</v>
      </c>
    </row>
    <row r="10" spans="1:45" x14ac:dyDescent="0.2">
      <c r="A10" s="13" t="s">
        <v>13</v>
      </c>
      <c r="B10" s="14" t="s">
        <v>14</v>
      </c>
      <c r="C10" s="15">
        <f>'[8]Team Report'!BA26</f>
        <v>249788.37</v>
      </c>
      <c r="E10" s="15">
        <f t="shared" si="0"/>
        <v>333051.15999999997</v>
      </c>
      <c r="F10" s="140">
        <f>((+F8*0.2)*1.2)*0.917</f>
        <v>47950.854336000004</v>
      </c>
      <c r="J10" s="7"/>
      <c r="K10" s="17"/>
      <c r="L10" s="17"/>
      <c r="M10" s="43"/>
      <c r="O10" s="15">
        <f t="shared" si="1"/>
        <v>15983.618112000002</v>
      </c>
    </row>
    <row r="11" spans="1:45" x14ac:dyDescent="0.2">
      <c r="A11" s="13" t="s">
        <v>16</v>
      </c>
      <c r="B11" s="14" t="s">
        <v>17</v>
      </c>
      <c r="C11" s="15">
        <f>'[8]Team Report'!BA27</f>
        <v>180082.12999999998</v>
      </c>
      <c r="E11" s="21">
        <f t="shared" si="0"/>
        <v>240109.50666666665</v>
      </c>
      <c r="F11" s="140">
        <f>((+E11/$E$28*$F$28*0.2)*1.2)*0.917</f>
        <v>31705.980136319995</v>
      </c>
      <c r="J11" s="7" t="s">
        <v>15</v>
      </c>
      <c r="K11" s="17">
        <f>(E11+E12+E13+E14+E15+E16+E17+E18+E19+E20+E21)/E28</f>
        <v>123221.09066666474</v>
      </c>
      <c r="L11" s="17">
        <f>+L20</f>
        <v>3</v>
      </c>
      <c r="M11" s="43">
        <f>K11*L11</f>
        <v>369663.27199999418</v>
      </c>
      <c r="O11" s="15">
        <f t="shared" si="1"/>
        <v>10568.660045439998</v>
      </c>
    </row>
    <row r="12" spans="1:45" x14ac:dyDescent="0.2">
      <c r="A12" s="13" t="s">
        <v>18</v>
      </c>
      <c r="B12" s="14" t="s">
        <v>19</v>
      </c>
      <c r="C12" s="15">
        <f>'[8]Team Report'!BA28</f>
        <v>201416.5</v>
      </c>
      <c r="E12" s="21">
        <f t="shared" si="0"/>
        <v>268555.33333333331</v>
      </c>
      <c r="F12" s="140">
        <f>((+E12/$E$28*$F$28*0.2)*1.2)*0.917</f>
        <v>35462.194656</v>
      </c>
      <c r="J12" s="7"/>
      <c r="K12" s="17"/>
      <c r="L12" s="17"/>
      <c r="M12" s="43"/>
      <c r="O12" s="15">
        <f t="shared" si="1"/>
        <v>11820.731551999999</v>
      </c>
    </row>
    <row r="13" spans="1:45" ht="13.5" thickBot="1" x14ac:dyDescent="0.25">
      <c r="A13" s="13" t="s">
        <v>21</v>
      </c>
      <c r="B13" s="14" t="s">
        <v>22</v>
      </c>
      <c r="C13" s="15">
        <v>0</v>
      </c>
      <c r="E13" s="21">
        <f t="shared" si="0"/>
        <v>0</v>
      </c>
      <c r="F13" s="140">
        <f>((+E13/$E$28*$F$28)*1.2)*0.917</f>
        <v>0</v>
      </c>
      <c r="J13" s="22" t="s">
        <v>20</v>
      </c>
      <c r="K13" s="47"/>
      <c r="L13" s="47"/>
      <c r="M13" s="48">
        <f>SUM(M9:M11)</f>
        <v>369663.27199999418</v>
      </c>
      <c r="O13" s="15">
        <f t="shared" si="1"/>
        <v>0</v>
      </c>
    </row>
    <row r="14" spans="1:45" x14ac:dyDescent="0.2">
      <c r="A14" s="13" t="s">
        <v>23</v>
      </c>
      <c r="B14" s="14" t="s">
        <v>24</v>
      </c>
      <c r="C14" s="15">
        <f>'[8]Team Report'!BA33</f>
        <v>10998.160000000003</v>
      </c>
      <c r="E14" s="21">
        <f t="shared" si="0"/>
        <v>14664.213333333337</v>
      </c>
      <c r="F14" s="140">
        <f>((+E14/$E$28*$F$28)*1.2)*0.917</f>
        <v>9681.9002112000016</v>
      </c>
      <c r="J14" s="8"/>
      <c r="K14" s="17"/>
      <c r="L14" s="17"/>
      <c r="M14" s="17"/>
      <c r="O14" s="15">
        <f t="shared" si="1"/>
        <v>3227.3000704000005</v>
      </c>
    </row>
    <row r="15" spans="1:45" x14ac:dyDescent="0.2">
      <c r="A15" s="13" t="s">
        <v>25</v>
      </c>
      <c r="B15" s="14" t="s">
        <v>26</v>
      </c>
      <c r="C15" s="15">
        <f>'[8]Team Report'!BA34</f>
        <v>0</v>
      </c>
      <c r="E15" s="21">
        <f t="shared" si="0"/>
        <v>0</v>
      </c>
      <c r="F15" s="140">
        <f>((+E15/$E$28*$F$28)*1.2)*0.917</f>
        <v>0</v>
      </c>
      <c r="J15" s="8"/>
      <c r="K15" s="17"/>
      <c r="L15" s="78"/>
      <c r="M15" s="17"/>
      <c r="O15" s="15">
        <f t="shared" si="1"/>
        <v>0</v>
      </c>
    </row>
    <row r="16" spans="1:45" x14ac:dyDescent="0.2">
      <c r="A16" s="13" t="s">
        <v>28</v>
      </c>
      <c r="B16" s="14" t="s">
        <v>29</v>
      </c>
      <c r="C16" s="15">
        <f>'[8]Team Report'!BA35</f>
        <v>25000</v>
      </c>
      <c r="E16" s="21">
        <f t="shared" si="0"/>
        <v>33333.333333333336</v>
      </c>
      <c r="F16" s="140">
        <v>0</v>
      </c>
      <c r="M16" s="17"/>
      <c r="O16" s="15">
        <f t="shared" si="1"/>
        <v>0</v>
      </c>
    </row>
    <row r="17" spans="1:15" x14ac:dyDescent="0.2">
      <c r="A17" s="13" t="s">
        <v>31</v>
      </c>
      <c r="B17" s="14" t="s">
        <v>32</v>
      </c>
      <c r="C17" s="15">
        <f>'[8]Team Report'!BA36</f>
        <v>2602.3200000000002</v>
      </c>
      <c r="E17" s="21">
        <f t="shared" si="0"/>
        <v>3469.76</v>
      </c>
      <c r="F17" s="140">
        <f>((+E17/$E$28*$F$28)*1.2)*0.917</f>
        <v>2290.8743423999999</v>
      </c>
      <c r="J17" t="s">
        <v>30</v>
      </c>
      <c r="K17" s="25">
        <v>55000</v>
      </c>
      <c r="L17" s="25">
        <v>3</v>
      </c>
      <c r="M17" s="17">
        <f>K17*L17</f>
        <v>165000</v>
      </c>
      <c r="O17" s="15">
        <f t="shared" si="1"/>
        <v>763.62478079999994</v>
      </c>
    </row>
    <row r="18" spans="1:15" x14ac:dyDescent="0.2">
      <c r="A18" s="13" t="s">
        <v>34</v>
      </c>
      <c r="B18" s="14" t="s">
        <v>35</v>
      </c>
      <c r="C18" s="15">
        <f>'[8]Team Report'!BA37</f>
        <v>40643.17</v>
      </c>
      <c r="E18" s="21">
        <f t="shared" si="0"/>
        <v>54190.893333333326</v>
      </c>
      <c r="F18" s="140">
        <f>((+E18/$E$28*$F$28*0.5)*1.2)*0.917</f>
        <v>17889.497707199997</v>
      </c>
      <c r="J18" t="s">
        <v>142</v>
      </c>
      <c r="K18" s="25">
        <v>250000</v>
      </c>
      <c r="L18" s="25">
        <v>0</v>
      </c>
      <c r="M18" s="17">
        <f>K18*L18</f>
        <v>0</v>
      </c>
      <c r="O18" s="15">
        <f t="shared" si="1"/>
        <v>5963.1659023999991</v>
      </c>
    </row>
    <row r="19" spans="1:15" x14ac:dyDescent="0.2">
      <c r="A19" s="13" t="s">
        <v>37</v>
      </c>
      <c r="B19" s="14" t="s">
        <v>38</v>
      </c>
      <c r="C19" s="15">
        <f>'[8]Team Report'!BA38</f>
        <v>1258.2</v>
      </c>
      <c r="E19" s="21">
        <f t="shared" si="0"/>
        <v>1677.6000000000001</v>
      </c>
      <c r="F19" s="140">
        <f>((+E19/$E$28*$F$28)*1.2)*0.917</f>
        <v>1107.6186240000002</v>
      </c>
      <c r="J19" t="s">
        <v>90</v>
      </c>
      <c r="K19" s="25">
        <v>250000</v>
      </c>
      <c r="L19" s="25">
        <v>0</v>
      </c>
      <c r="M19" s="17">
        <f>K19*L19</f>
        <v>0</v>
      </c>
      <c r="O19" s="15">
        <f t="shared" si="1"/>
        <v>369.20620800000006</v>
      </c>
    </row>
    <row r="20" spans="1:15" x14ac:dyDescent="0.2">
      <c r="A20" s="13" t="s">
        <v>40</v>
      </c>
      <c r="B20" s="14" t="s">
        <v>41</v>
      </c>
      <c r="C20" s="15">
        <f>'[8]Team Report'!BA42-C39</f>
        <v>-0.18000000715255737</v>
      </c>
      <c r="E20" s="21">
        <f t="shared" si="0"/>
        <v>-0.24000000953674316</v>
      </c>
      <c r="F20" s="140">
        <f>((+E20/$E$28*$F$28)*1.2)*0.917</f>
        <v>-0.15845760629653932</v>
      </c>
      <c r="L20" s="25">
        <f>SUM(L17:L19)</f>
        <v>3</v>
      </c>
      <c r="M20" s="25">
        <f>SUM(M17:M19)*1.2</f>
        <v>198000</v>
      </c>
      <c r="O20" s="15">
        <f t="shared" si="1"/>
        <v>-5.2819202098846441E-2</v>
      </c>
    </row>
    <row r="21" spans="1:15" x14ac:dyDescent="0.2">
      <c r="A21" s="13" t="s">
        <v>43</v>
      </c>
      <c r="B21" s="14" t="s">
        <v>44</v>
      </c>
      <c r="C21" s="15">
        <f>'[8]Team Report'!BA44</f>
        <v>78.789999999999992</v>
      </c>
      <c r="E21" s="21">
        <f t="shared" si="0"/>
        <v>105.05333333333331</v>
      </c>
      <c r="F21" s="140">
        <f>((+E21/$E$28*$F$28)*1.2)*0.917</f>
        <v>69.360412799999978</v>
      </c>
      <c r="L21" s="52"/>
      <c r="M21" s="52"/>
      <c r="O21" s="15">
        <f t="shared" si="1"/>
        <v>23.120137599999993</v>
      </c>
    </row>
    <row r="22" spans="1:15" ht="13.5" thickBot="1" x14ac:dyDescent="0.25">
      <c r="A22" s="26" t="s">
        <v>46</v>
      </c>
      <c r="B22" s="27" t="s">
        <v>47</v>
      </c>
      <c r="C22" s="28">
        <f>SUM(C8:C21)</f>
        <v>1600675.1799999925</v>
      </c>
      <c r="E22" s="28">
        <f>SUM(E8:E21)</f>
        <v>2134233.5733333235</v>
      </c>
      <c r="F22" s="28">
        <f>SUM(F8:F21)</f>
        <v>364037.32196831371</v>
      </c>
      <c r="O22" s="58">
        <f>SUM(O8:O21)</f>
        <v>121345.7739894379</v>
      </c>
    </row>
    <row r="24" spans="1:15" x14ac:dyDescent="0.2">
      <c r="B24" s="27" t="s">
        <v>50</v>
      </c>
      <c r="C24" s="55"/>
      <c r="E24" s="55">
        <v>5</v>
      </c>
      <c r="F24" s="79">
        <f>SUM(L17:L19)</f>
        <v>3</v>
      </c>
      <c r="I24" s="33" t="s">
        <v>56</v>
      </c>
      <c r="J24" s="25"/>
      <c r="M24"/>
      <c r="O24" s="31">
        <f>SUM(U15:U19,U22:U26)</f>
        <v>0</v>
      </c>
    </row>
    <row r="25" spans="1:15" x14ac:dyDescent="0.2">
      <c r="J25" s="25"/>
      <c r="M25"/>
      <c r="O25" s="15"/>
    </row>
    <row r="26" spans="1:15" x14ac:dyDescent="0.2">
      <c r="B26" s="27" t="s">
        <v>67</v>
      </c>
      <c r="C26" s="55"/>
      <c r="E26" s="55"/>
      <c r="F26" s="55"/>
      <c r="I26" s="34" t="s">
        <v>57</v>
      </c>
      <c r="J26" s="35" t="s">
        <v>58</v>
      </c>
      <c r="K26" s="35" t="s">
        <v>59</v>
      </c>
      <c r="L26" s="35" t="s">
        <v>2</v>
      </c>
      <c r="M26" s="35" t="s">
        <v>60</v>
      </c>
      <c r="O26" s="31">
        <f>SUM(U20:U21)</f>
        <v>0</v>
      </c>
    </row>
    <row r="27" spans="1:15" x14ac:dyDescent="0.2">
      <c r="I27" s="36">
        <f>SUM(E11:E21)</f>
        <v>616105.45333332371</v>
      </c>
      <c r="J27" s="56">
        <f>+E28</f>
        <v>5</v>
      </c>
      <c r="K27" s="37">
        <f>+I27/J27</f>
        <v>123221.09066666474</v>
      </c>
      <c r="L27" s="37">
        <f>+L11</f>
        <v>3</v>
      </c>
      <c r="M27" s="37">
        <f>+K27*L27</f>
        <v>369663.27199999418</v>
      </c>
    </row>
    <row r="28" spans="1:15" x14ac:dyDescent="0.2">
      <c r="B28" s="27" t="s">
        <v>55</v>
      </c>
      <c r="C28" s="55"/>
      <c r="E28" s="55">
        <f>SUM(E24:E27)</f>
        <v>5</v>
      </c>
      <c r="F28" s="55">
        <f>SUM(F24:F27)</f>
        <v>3</v>
      </c>
      <c r="K28"/>
      <c r="M28"/>
      <c r="O28" s="31">
        <v>1</v>
      </c>
    </row>
    <row r="29" spans="1:15" x14ac:dyDescent="0.2">
      <c r="B29" s="27"/>
      <c r="K29"/>
      <c r="M29"/>
    </row>
    <row r="30" spans="1:15" hidden="1" x14ac:dyDescent="0.2">
      <c r="A30" s="13" t="s">
        <v>71</v>
      </c>
      <c r="B30" s="14" t="s">
        <v>72</v>
      </c>
      <c r="C30" s="15">
        <f>'[8]Team Report'!BA29</f>
        <v>143473.75</v>
      </c>
      <c r="E30" s="15">
        <f t="shared" ref="E30:E37" si="2">(C30/9)*12</f>
        <v>191298.33333333331</v>
      </c>
      <c r="F30" s="15"/>
    </row>
    <row r="31" spans="1:15" hidden="1" x14ac:dyDescent="0.2">
      <c r="A31" s="13" t="s">
        <v>73</v>
      </c>
      <c r="B31" s="14" t="s">
        <v>74</v>
      </c>
      <c r="C31" s="15">
        <f>'[8]Team Report'!BA30</f>
        <v>0</v>
      </c>
      <c r="E31" s="15">
        <f t="shared" si="2"/>
        <v>0</v>
      </c>
      <c r="F31" s="15"/>
    </row>
    <row r="32" spans="1:15" hidden="1" x14ac:dyDescent="0.2">
      <c r="A32" s="13" t="s">
        <v>75</v>
      </c>
      <c r="B32" s="14" t="s">
        <v>76</v>
      </c>
      <c r="C32" s="15">
        <f>'[8]Team Report'!BA31</f>
        <v>0</v>
      </c>
      <c r="E32" s="15">
        <f t="shared" si="2"/>
        <v>0</v>
      </c>
      <c r="F32" s="15"/>
    </row>
    <row r="33" spans="1:14" hidden="1" x14ac:dyDescent="0.2">
      <c r="A33" s="13" t="s">
        <v>77</v>
      </c>
      <c r="B33" s="14" t="s">
        <v>78</v>
      </c>
      <c r="C33" s="15">
        <f>'[8]Team Report'!BA39</f>
        <v>0</v>
      </c>
      <c r="E33" s="15">
        <f t="shared" si="2"/>
        <v>0</v>
      </c>
      <c r="F33" s="15"/>
    </row>
    <row r="34" spans="1:14" hidden="1" x14ac:dyDescent="0.2">
      <c r="A34" s="13" t="s">
        <v>79</v>
      </c>
      <c r="B34" s="14" t="s">
        <v>80</v>
      </c>
      <c r="C34" s="15">
        <f>'[8]Team Report'!BA40</f>
        <v>47150.06</v>
      </c>
      <c r="E34" s="15">
        <f t="shared" si="2"/>
        <v>62866.746666666659</v>
      </c>
      <c r="F34" s="15"/>
    </row>
    <row r="35" spans="1:14" hidden="1" x14ac:dyDescent="0.2">
      <c r="A35" s="13" t="s">
        <v>81</v>
      </c>
      <c r="B35" s="14" t="s">
        <v>82</v>
      </c>
      <c r="C35" s="15">
        <f>'[8]Team Report'!BA41</f>
        <v>150417.00999999998</v>
      </c>
      <c r="E35" s="15">
        <f t="shared" si="2"/>
        <v>200556.01333333331</v>
      </c>
      <c r="F35" s="15"/>
    </row>
    <row r="36" spans="1:14" hidden="1" x14ac:dyDescent="0.2">
      <c r="A36" s="13" t="s">
        <v>83</v>
      </c>
      <c r="B36" s="14" t="s">
        <v>84</v>
      </c>
      <c r="C36" s="15">
        <f>'[8]Team Report'!BA43</f>
        <v>7417.54</v>
      </c>
      <c r="E36" s="15">
        <f t="shared" si="2"/>
        <v>9890.0533333333333</v>
      </c>
      <c r="F36" s="15"/>
    </row>
    <row r="37" spans="1:14" hidden="1" x14ac:dyDescent="0.2">
      <c r="A37" s="13" t="s">
        <v>85</v>
      </c>
      <c r="B37" s="14" t="s">
        <v>86</v>
      </c>
      <c r="C37" s="15">
        <f>'[8]Team Report'!BA45</f>
        <v>11194108.379999999</v>
      </c>
      <c r="E37" s="15">
        <f t="shared" si="2"/>
        <v>14925477.839999998</v>
      </c>
      <c r="F37" s="15"/>
    </row>
    <row r="38" spans="1:14" hidden="1" x14ac:dyDescent="0.2">
      <c r="A38" s="13" t="s">
        <v>21</v>
      </c>
      <c r="B38" s="14" t="s">
        <v>22</v>
      </c>
      <c r="C38" s="15">
        <v>24143776.43</v>
      </c>
      <c r="E38" s="15">
        <v>32191701.906666666</v>
      </c>
      <c r="F38" s="15"/>
    </row>
    <row r="39" spans="1:14" hidden="1" x14ac:dyDescent="0.2">
      <c r="B39" s="14" t="s">
        <v>41</v>
      </c>
      <c r="C39" s="15">
        <v>243106037</v>
      </c>
      <c r="E39" s="15"/>
      <c r="F39" s="15"/>
      <c r="N39" s="25"/>
    </row>
    <row r="43" spans="1:14" x14ac:dyDescent="0.2">
      <c r="C43" s="54">
        <f>C22+C30+C31+C32+C33+C34+C35+C36+C37</f>
        <v>13143241.919999991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63" bottom="0.48" header="0.76" footer="0.5"/>
  <pageSetup orientation="portrait" verticalDpi="196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R38"/>
  <sheetViews>
    <sheetView zoomScaleNormal="100" workbookViewId="0">
      <selection activeCell="F8" sqref="F8:F21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2" t="s">
        <v>227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'[11]Central Trading'!C8+'[11]Central Origination'!C8+[11]Derivatives!C8+'[11]East Trading'!C8+'[11]East Origination'!C8+'[11]Financial Gas'!C8+[11]Structuring!C8+'[11]Texas Trading'!C8+'[11]Texas Origination'!C8+'[11]West Trading'!C8+'[11]West Origination'!C8+[11]Fundamentals!C8</f>
        <v>8647857.6600000001</v>
      </c>
      <c r="E8" s="15">
        <f>((C8/9)*12)</f>
        <v>11530476.880000001</v>
      </c>
      <c r="G8" s="45">
        <f t="shared" ref="G8:G22" si="0">E8/$E$22</f>
        <v>0.5287785559542808</v>
      </c>
      <c r="H8" s="140">
        <f>((L27-H9)*1.2)*0.917</f>
        <v>766934.78399999999</v>
      </c>
      <c r="I8" s="42" t="s">
        <v>10</v>
      </c>
      <c r="J8" s="17">
        <v>0</v>
      </c>
      <c r="K8" s="17"/>
      <c r="L8" s="43">
        <f>L29</f>
        <v>836352</v>
      </c>
      <c r="Q8" s="15"/>
    </row>
    <row r="9" spans="1:44" x14ac:dyDescent="0.2">
      <c r="A9" s="13"/>
      <c r="B9" s="14" t="s">
        <v>65</v>
      </c>
      <c r="C9" s="15">
        <f>'[11]Central Trading'!C10+'[11]Central Origination'!C10+[11]Derivatives!C10+'[11]East Trading'!C10+'[11]East Origination'!C10+'[11]Financial Gas'!C10+[11]Structuring!C10+'[11]Texas Trading'!C10+'[11]Texas Origination'!C10+'[11]West Trading'!C10+'[11]West Origination'!C10+[11]Fundamentals!C10</f>
        <v>3095252.76</v>
      </c>
      <c r="D9" s="15"/>
      <c r="E9" s="15">
        <f>('[11]Central Trading'!E9+'[11]Central Origination'!E10+[11]Derivatives!E10+'[11]East Trading'!E10+'[11]East Origination'!E10+'[11]Financial Gas'!E10+[11]Structuring!E10+'[11]Texas Trading'!E10+'[11]Texas Origination'!E10+'[11]West Trading'!E10+'[11]West Origination'!E10+[11]Fundamentals!E10)-4000000</f>
        <v>82420.999999999534</v>
      </c>
      <c r="G9" s="45">
        <f t="shared" si="0"/>
        <v>3.7797619139155266E-3</v>
      </c>
      <c r="H9" s="140">
        <f>((L20+L21)*1.2)*0.917</f>
        <v>0</v>
      </c>
      <c r="I9" s="42"/>
      <c r="J9" s="17"/>
      <c r="K9" s="17"/>
      <c r="L9" s="43"/>
      <c r="Q9" s="15"/>
    </row>
    <row r="10" spans="1:44" x14ac:dyDescent="0.2">
      <c r="A10" s="13" t="s">
        <v>13</v>
      </c>
      <c r="B10" s="14" t="s">
        <v>14</v>
      </c>
      <c r="C10" s="15">
        <f>'[11]Central Trading'!C11+'[11]Central Origination'!C11+[11]Derivatives!C11+'[11]East Trading'!C11+'[11]East Origination'!C11+'[11]Financial Gas'!C11+[11]Structuring!C11+'[11]Texas Trading'!C11+'[11]Texas Origination'!C11+'[11]West Trading'!C11+'[11]West Origination'!C11+[11]Fundamentals!C11</f>
        <v>1852307.95</v>
      </c>
      <c r="E10" s="15">
        <f>((C10/9)*12)</f>
        <v>2469743.9333333331</v>
      </c>
      <c r="G10" s="45">
        <f t="shared" si="0"/>
        <v>0.11326050468129861</v>
      </c>
      <c r="H10" s="140">
        <f>((L29-L27)*1.2)*0.917</f>
        <v>153386.95680000001</v>
      </c>
      <c r="I10" s="42" t="s">
        <v>15</v>
      </c>
      <c r="J10" s="17">
        <f>(E11+E12+E13+E14+E15+E16+E17+E18+E19+E20+E21)/E28</f>
        <v>48270.181250000009</v>
      </c>
      <c r="K10" s="17">
        <f>K27</f>
        <v>12</v>
      </c>
      <c r="L10" s="43">
        <f>J10*K10</f>
        <v>579242.17500000005</v>
      </c>
      <c r="Q10" s="15"/>
    </row>
    <row r="11" spans="1:44" x14ac:dyDescent="0.2">
      <c r="A11" s="13" t="s">
        <v>16</v>
      </c>
      <c r="B11" s="14" t="s">
        <v>17</v>
      </c>
      <c r="C11" s="15">
        <f>'[11]Central Trading'!C12+'[11]Central Origination'!C12+[11]Derivatives!C12+'[11]East Trading'!C12+'[11]East Origination'!C12+'[11]Financial Gas'!C12+[11]Structuring!C12+'[11]Texas Trading'!C12+'[11]Texas Origination'!C12+'[11]West Trading'!C12+'[11]West Origination'!C12+[11]Fundamentals!C12</f>
        <v>1114496.8499999996</v>
      </c>
      <c r="E11" s="20">
        <f>((C11/9)*12)-500000</f>
        <v>985995.79999999958</v>
      </c>
      <c r="G11" s="45">
        <f t="shared" si="0"/>
        <v>4.5216988050626544E-2</v>
      </c>
      <c r="H11" s="140">
        <v>26409.599999999999</v>
      </c>
      <c r="I11" s="42"/>
      <c r="J11" s="17"/>
      <c r="K11" s="17"/>
      <c r="L11" s="43"/>
      <c r="Q11" s="15"/>
    </row>
    <row r="12" spans="1:44" ht="13.5" thickBot="1" x14ac:dyDescent="0.25">
      <c r="A12" s="13" t="s">
        <v>18</v>
      </c>
      <c r="B12" s="14" t="s">
        <v>19</v>
      </c>
      <c r="C12" s="15">
        <f>'[11]Central Trading'!C13+'[11]Central Origination'!C13+[11]Derivatives!C13+'[11]East Trading'!C13+'[11]East Origination'!C13+'[11]Financial Gas'!C13+[11]Structuring!C13+'[11]Texas Trading'!C13+'[11]Texas Origination'!C13+'[11]West Trading'!C13+'[11]West Origination'!C13+[11]Fundamentals!C13</f>
        <v>1408194.83</v>
      </c>
      <c r="E12" s="20">
        <f>((C12/9)*12)-500000-500000</f>
        <v>877593.10666666692</v>
      </c>
      <c r="G12" s="45">
        <f t="shared" si="0"/>
        <v>4.02457262165406E-2</v>
      </c>
      <c r="H12" s="140">
        <v>16506</v>
      </c>
      <c r="I12" s="46" t="s">
        <v>20</v>
      </c>
      <c r="J12" s="47"/>
      <c r="K12" s="47"/>
      <c r="L12" s="48">
        <f>L8+L10</f>
        <v>1415594.175</v>
      </c>
      <c r="N12" s="25"/>
      <c r="P12" s="49"/>
      <c r="Q12" s="15"/>
    </row>
    <row r="13" spans="1:44" x14ac:dyDescent="0.2">
      <c r="A13" s="13" t="s">
        <v>21</v>
      </c>
      <c r="B13" s="14" t="s">
        <v>22</v>
      </c>
      <c r="C13" s="15">
        <f>'[11]Central Trading'!C14+'[11]Central Origination'!C14+[11]Derivatives!C14+'[11]East Trading'!C14+'[11]East Origination'!C14+'[11]Financial Gas'!C14+[11]Structuring!C14+'[11]Texas Trading'!C14+'[11]Texas Origination'!C14+'[11]West Trading'!C14+'[11]West Origination'!C14+[11]Fundamentals!C14-C31</f>
        <v>0.2400000000197906</v>
      </c>
      <c r="E13" s="20">
        <f>(C13/9)*12</f>
        <v>0.32000000002638745</v>
      </c>
      <c r="G13" s="45">
        <f t="shared" si="0"/>
        <v>1.4674947071167709E-8</v>
      </c>
      <c r="H13" s="140">
        <f>(((E13/$E$28)*$K$10)*1.2)*0.917</f>
        <v>2.6409600002177753E-2</v>
      </c>
      <c r="Q13" s="15"/>
    </row>
    <row r="14" spans="1:44" x14ac:dyDescent="0.2">
      <c r="A14" s="13" t="s">
        <v>23</v>
      </c>
      <c r="B14" s="14" t="s">
        <v>24</v>
      </c>
      <c r="C14" s="15">
        <f>'[11]Central Trading'!C15+'[11]Central Origination'!C15+[11]Derivatives!C15+'[11]East Trading'!C15+'[11]East Origination'!C15+'[11]Financial Gas'!C15+[11]Structuring!C15+'[11]Texas Trading'!C15+'[11]Texas Origination'!C15+'[11]West Trading'!C15+'[11]West Origination'!C15+[11]Fundamentals!C15</f>
        <v>160813</v>
      </c>
      <c r="E14" s="20">
        <f>((C14/9)*12)-75000</f>
        <v>139417.33333333331</v>
      </c>
      <c r="G14" s="45">
        <f t="shared" si="0"/>
        <v>6.3935687103165682E-3</v>
      </c>
      <c r="H14" s="140">
        <v>22008</v>
      </c>
      <c r="Q14" s="15"/>
    </row>
    <row r="15" spans="1:44" x14ac:dyDescent="0.2">
      <c r="A15" s="13" t="s">
        <v>25</v>
      </c>
      <c r="B15" s="14" t="s">
        <v>26</v>
      </c>
      <c r="C15" s="15">
        <f>'[11]Central Trading'!C16+'[11]Central Origination'!C16+[11]Derivatives!C16+'[11]East Trading'!C16+'[11]East Origination'!C16+'[11]Financial Gas'!C16+[11]Structuring!C16+'[11]Texas Trading'!C16+'[11]Texas Origination'!C16+'[11]West Trading'!C16+'[11]West Origination'!C16+[11]Fundamentals!C16</f>
        <v>0</v>
      </c>
      <c r="E15" s="20">
        <f>(C15/9)*12</f>
        <v>0</v>
      </c>
      <c r="G15" s="45">
        <f t="shared" si="0"/>
        <v>0</v>
      </c>
      <c r="H15" s="140">
        <f>(((E15/$E$28)*$K$10)*1.2)*0.917</f>
        <v>0</v>
      </c>
      <c r="I15" s="50" t="s">
        <v>66</v>
      </c>
      <c r="J15" s="25">
        <v>33000</v>
      </c>
      <c r="K15" s="25">
        <f>1-1</f>
        <v>0</v>
      </c>
      <c r="L15" s="25">
        <f t="shared" ref="L15:L26" si="1">J15*K15</f>
        <v>0</v>
      </c>
      <c r="Q15" s="15"/>
    </row>
    <row r="16" spans="1:44" x14ac:dyDescent="0.2">
      <c r="A16" s="13" t="s">
        <v>28</v>
      </c>
      <c r="B16" s="14" t="s">
        <v>29</v>
      </c>
      <c r="C16" s="15">
        <f>'[11]Central Trading'!C17+'[11]Central Origination'!C17+[11]Derivatives!C17+'[11]East Trading'!C17+'[11]East Origination'!C17+'[11]Financial Gas'!C17+[11]Structuring!C17+'[11]Texas Trading'!C17+'[11]Texas Origination'!C17+'[11]West Trading'!C17+'[11]West Origination'!C17+[11]Fundamentals!C17</f>
        <v>5900</v>
      </c>
      <c r="E16" s="20">
        <f>((C16/9)*12)</f>
        <v>7866.6666666666661</v>
      </c>
      <c r="G16" s="45">
        <f t="shared" si="0"/>
        <v>3.60759115469791E-4</v>
      </c>
      <c r="H16" s="140">
        <v>0</v>
      </c>
      <c r="I16" s="25" t="s">
        <v>30</v>
      </c>
      <c r="J16" s="25">
        <v>48400</v>
      </c>
      <c r="K16" s="25">
        <f>12</f>
        <v>12</v>
      </c>
      <c r="L16" s="25">
        <f t="shared" si="1"/>
        <v>580800</v>
      </c>
      <c r="Q16" s="15"/>
    </row>
    <row r="17" spans="1:17" x14ac:dyDescent="0.2">
      <c r="A17" s="13" t="s">
        <v>31</v>
      </c>
      <c r="B17" s="14" t="s">
        <v>32</v>
      </c>
      <c r="C17" s="15">
        <f>'[11]Central Trading'!C18+'[11]Central Origination'!C18+[11]Derivatives!C18+'[11]East Trading'!C18+'[11]East Origination'!C18+'[11]Financial Gas'!C18+[11]Structuring!C18+'[11]Texas Trading'!C18+'[11]Texas Origination'!C18+'[11]West Trading'!C18+'[11]West Origination'!C18+[11]Fundamentals!C18</f>
        <v>350904.92000000004</v>
      </c>
      <c r="E17" s="20">
        <f>((C17/9)*12)-250000-75000</f>
        <v>142873.22666666668</v>
      </c>
      <c r="G17" s="45">
        <f t="shared" si="0"/>
        <v>6.552053247023089E-3</v>
      </c>
      <c r="H17" s="140">
        <v>0</v>
      </c>
      <c r="I17" s="25" t="s">
        <v>33</v>
      </c>
      <c r="J17" s="25">
        <v>49500</v>
      </c>
      <c r="K17" s="25">
        <v>0</v>
      </c>
      <c r="L17" s="25">
        <f t="shared" si="1"/>
        <v>0</v>
      </c>
      <c r="Q17" s="15"/>
    </row>
    <row r="18" spans="1:17" x14ac:dyDescent="0.2">
      <c r="A18" s="13" t="s">
        <v>34</v>
      </c>
      <c r="B18" s="14" t="s">
        <v>35</v>
      </c>
      <c r="C18" s="15">
        <f>'[11]Central Trading'!C19+'[11]Central Origination'!C19+[11]Derivatives!C19+'[11]East Trading'!C19+'[11]East Origination'!C19+'[11]Financial Gas'!C19+[11]Structuring!C19+'[11]Texas Trading'!C19+'[11]Texas Origination'!C19+'[11]West Trading'!C19+'[11]West Origination'!C19+[11]Fundamentals!C19</f>
        <v>277960.32000000001</v>
      </c>
      <c r="E18" s="20">
        <f>((C18/9)*12)-75000-75000-50000-25000</f>
        <v>145613.76000000001</v>
      </c>
      <c r="G18" s="45">
        <f t="shared" si="0"/>
        <v>6.6777319395547171E-3</v>
      </c>
      <c r="H18" s="140">
        <v>11004</v>
      </c>
      <c r="I18" s="25" t="s">
        <v>36</v>
      </c>
      <c r="J18" s="25">
        <v>57750</v>
      </c>
      <c r="K18" s="25">
        <v>0</v>
      </c>
      <c r="L18" s="25">
        <f t="shared" si="1"/>
        <v>0</v>
      </c>
      <c r="Q18" s="15"/>
    </row>
    <row r="19" spans="1:17" x14ac:dyDescent="0.2">
      <c r="A19" s="13" t="s">
        <v>37</v>
      </c>
      <c r="B19" s="14" t="s">
        <v>38</v>
      </c>
      <c r="C19" s="15">
        <f>'[11]Central Trading'!C20+'[11]Central Origination'!C20+[11]Derivatives!C20+'[11]East Trading'!C20+'[11]East Origination'!C20+'[11]Financial Gas'!C20+[11]Structuring!C20+'[11]Texas Trading'!C20+'[11]Texas Origination'!C20+'[11]West Trading'!C20+'[11]West Origination'!C20+[11]Fundamentals!C20</f>
        <v>16</v>
      </c>
      <c r="E19" s="20">
        <f>((C19/9)*12)</f>
        <v>21.333333333333332</v>
      </c>
      <c r="G19" s="45">
        <f t="shared" si="0"/>
        <v>9.7832980466383997E-7</v>
      </c>
      <c r="H19" s="140">
        <v>0</v>
      </c>
      <c r="I19" s="25" t="s">
        <v>39</v>
      </c>
      <c r="J19" s="25">
        <v>71500</v>
      </c>
      <c r="K19" s="25">
        <v>0</v>
      </c>
      <c r="L19" s="25">
        <f t="shared" si="1"/>
        <v>0</v>
      </c>
      <c r="Q19" s="15"/>
    </row>
    <row r="20" spans="1:17" x14ac:dyDescent="0.2">
      <c r="A20" s="13" t="s">
        <v>40</v>
      </c>
      <c r="B20" s="14" t="s">
        <v>41</v>
      </c>
      <c r="C20" s="15">
        <f>'[11]Central Trading'!C21+'[11]Central Origination'!C21+[11]Derivatives!C21+'[11]East Trading'!C21+'[11]East Origination'!C21+'[11]Financial Gas'!C21+[11]Structuring!C21+'[11]Texas Trading'!C21+'[11]Texas Origination'!C21+'[11]West Trading'!C21+'[11]West Origination'!C21+[11]Fundamentals!C21</f>
        <v>192038.90999999986</v>
      </c>
      <c r="E20" s="20">
        <f>((C20/9)*12)-75000</f>
        <v>181051.87999999983</v>
      </c>
      <c r="G20" s="45">
        <f t="shared" si="0"/>
        <v>8.302896112238476E-3</v>
      </c>
      <c r="H20" s="140">
        <v>5502</v>
      </c>
      <c r="I20" s="25" t="s">
        <v>42</v>
      </c>
      <c r="J20" s="25">
        <v>60500</v>
      </c>
      <c r="K20" s="25">
        <v>0</v>
      </c>
      <c r="L20" s="25">
        <f t="shared" si="1"/>
        <v>0</v>
      </c>
      <c r="P20" s="8"/>
      <c r="Q20" s="32"/>
    </row>
    <row r="21" spans="1:17" x14ac:dyDescent="0.2">
      <c r="A21" s="13" t="s">
        <v>43</v>
      </c>
      <c r="B21" s="14" t="s">
        <v>44</v>
      </c>
      <c r="C21" s="15">
        <f>'[11]Central Trading'!C22+'[11]Central Origination'!C22+[11]Derivatives!C22+'[11]East Trading'!C22+'[11]East Origination'!C22+'[11]Financial Gas'!C22+[11]Structuring!C22+'[11]Texas Trading'!C22+'[11]Texas Origination'!C22+'[11]West Trading'!C22+'[11]West Origination'!C22+[11]Fundamentals!C22</f>
        <v>4757096.6800000016</v>
      </c>
      <c r="E21" s="20">
        <f>((C21/9)*12)-1000000-100000</f>
        <v>5242795.573333336</v>
      </c>
      <c r="G21" s="45">
        <f t="shared" si="0"/>
        <v>0.2404304610539835</v>
      </c>
      <c r="H21" s="140">
        <f>(((E21/$E$28)*$K$10-393210)*1.2)*0.917</f>
        <v>-0.36533279980220834</v>
      </c>
      <c r="I21" s="25" t="s">
        <v>45</v>
      </c>
      <c r="J21" s="25">
        <v>89100</v>
      </c>
      <c r="K21" s="25">
        <v>0</v>
      </c>
      <c r="L21" s="25">
        <f t="shared" si="1"/>
        <v>0</v>
      </c>
      <c r="P21" s="8"/>
      <c r="Q21" s="32"/>
    </row>
    <row r="22" spans="1:17" x14ac:dyDescent="0.2">
      <c r="A22" s="26" t="s">
        <v>46</v>
      </c>
      <c r="B22" s="27" t="s">
        <v>47</v>
      </c>
      <c r="C22" s="28">
        <f>SUM(C8:C21)</f>
        <v>21862840.119999997</v>
      </c>
      <c r="E22" s="28">
        <f>SUM(E8:E21)</f>
        <v>21805870.813333336</v>
      </c>
      <c r="G22" s="51">
        <f t="shared" si="0"/>
        <v>1</v>
      </c>
      <c r="H22" s="28">
        <f>SUM(H8:H21)</f>
        <v>1001751.0018768002</v>
      </c>
      <c r="I22" s="25" t="s">
        <v>48</v>
      </c>
      <c r="J22" s="25">
        <v>110000</v>
      </c>
      <c r="K22" s="25">
        <v>0</v>
      </c>
      <c r="L22" s="25">
        <f t="shared" si="1"/>
        <v>0</v>
      </c>
      <c r="P22" s="8"/>
      <c r="Q22" s="29"/>
    </row>
    <row r="23" spans="1:17" x14ac:dyDescent="0.2">
      <c r="I23" s="25" t="s">
        <v>49</v>
      </c>
      <c r="J23" s="25">
        <v>143000</v>
      </c>
      <c r="K23" s="25">
        <v>0</v>
      </c>
      <c r="L23" s="25">
        <f t="shared" si="1"/>
        <v>0</v>
      </c>
      <c r="P23" s="8"/>
      <c r="Q23" s="8"/>
    </row>
    <row r="24" spans="1:17" x14ac:dyDescent="0.2">
      <c r="B24" s="27" t="s">
        <v>50</v>
      </c>
      <c r="C24" s="15"/>
      <c r="E24" s="31">
        <f>'[11]Central Trading'!E25+'[11]Central Origination'!E25+[11]Derivatives!E25+'[11]East Trading'!E25+'[11]East Origination'!E25+'[11]Financial Gas'!E25+[11]Structuring!E25+'[11]Texas Trading'!E25+'[11]Texas Origination'!E25+'[11]West Trading'!E25+'[11]West Origination'!E25+[11]Fundamentals!E25</f>
        <v>108</v>
      </c>
      <c r="H24" s="31">
        <f>+K15+K16+K17+K18+K19+K22+K23+K24+K25+K26</f>
        <v>12</v>
      </c>
      <c r="I24" s="25" t="s">
        <v>51</v>
      </c>
      <c r="J24" s="25">
        <v>165000</v>
      </c>
      <c r="K24" s="25">
        <v>0</v>
      </c>
      <c r="L24" s="25">
        <f t="shared" si="1"/>
        <v>0</v>
      </c>
      <c r="P24" s="8"/>
      <c r="Q24" s="32"/>
    </row>
    <row r="25" spans="1:17" x14ac:dyDescent="0.2">
      <c r="C25" s="15"/>
      <c r="E25" s="15"/>
      <c r="H25" s="15"/>
      <c r="I25" s="25" t="s">
        <v>52</v>
      </c>
      <c r="J25" s="25">
        <v>198000</v>
      </c>
      <c r="K25" s="25">
        <v>0</v>
      </c>
      <c r="L25" s="25">
        <f t="shared" si="1"/>
        <v>0</v>
      </c>
      <c r="P25" s="8"/>
      <c r="Q25" s="32"/>
    </row>
    <row r="26" spans="1:17" x14ac:dyDescent="0.2">
      <c r="B26" s="27" t="s">
        <v>67</v>
      </c>
      <c r="C26" s="15"/>
      <c r="E26" s="31">
        <f>'[11]Central Trading'!E27+'[11]Central Origination'!E27+[11]Derivatives!E27+'[11]East Trading'!E27+'[11]East Origination'!E27+'[11]Financial Gas'!E27+[11]Structuring!E27+'[11]Texas Trading'!E27+'[11]Texas Origination'!E27+'[11]West Trading'!E27+'[11]West Origination'!E27+[11]Fundamentals!E27</f>
        <v>52</v>
      </c>
      <c r="H26" s="31">
        <f>+K20+K21</f>
        <v>0</v>
      </c>
      <c r="I26" s="25" t="s">
        <v>54</v>
      </c>
      <c r="J26" s="25">
        <v>220000</v>
      </c>
      <c r="K26" s="25">
        <v>0</v>
      </c>
      <c r="L26" s="25">
        <f t="shared" si="1"/>
        <v>0</v>
      </c>
      <c r="P26" s="8"/>
      <c r="Q26" s="32"/>
    </row>
    <row r="27" spans="1:17" x14ac:dyDescent="0.2">
      <c r="K27" s="25">
        <f>SUM(K15:K26)</f>
        <v>12</v>
      </c>
      <c r="L27" s="25">
        <f>SUM(L15:L26)*1.2</f>
        <v>696960</v>
      </c>
      <c r="P27" s="8"/>
      <c r="Q27" s="8"/>
    </row>
    <row r="28" spans="1:17" x14ac:dyDescent="0.2">
      <c r="B28" s="27" t="s">
        <v>55</v>
      </c>
      <c r="C28" s="15"/>
      <c r="E28" s="31">
        <f>SUM(E24:E26)</f>
        <v>160</v>
      </c>
      <c r="G28" s="25"/>
      <c r="H28" s="31">
        <f>SUM(H24:H26)</f>
        <v>12</v>
      </c>
      <c r="L28" s="52">
        <v>0.2</v>
      </c>
      <c r="P28" s="8"/>
      <c r="Q28" s="32"/>
    </row>
    <row r="29" spans="1:17" hidden="1" x14ac:dyDescent="0.2">
      <c r="L29" s="25">
        <f>L27*1.2</f>
        <v>836352</v>
      </c>
      <c r="P29" s="8"/>
      <c r="Q29" s="8"/>
    </row>
    <row r="30" spans="1:17" hidden="1" x14ac:dyDescent="0.2">
      <c r="H30" s="33" t="s">
        <v>56</v>
      </c>
      <c r="L30"/>
      <c r="P30" s="8"/>
      <c r="Q30" s="8"/>
    </row>
    <row r="31" spans="1:17" hidden="1" x14ac:dyDescent="0.2">
      <c r="B31" s="14" t="s">
        <v>22</v>
      </c>
      <c r="C31" s="15">
        <v>254512</v>
      </c>
      <c r="L31"/>
      <c r="P31" s="8"/>
      <c r="Q31" s="8"/>
    </row>
    <row r="32" spans="1:17" hidden="1" x14ac:dyDescent="0.2">
      <c r="H32" s="34" t="s">
        <v>57</v>
      </c>
      <c r="I32" s="35" t="s">
        <v>58</v>
      </c>
      <c r="J32" s="35" t="s">
        <v>59</v>
      </c>
      <c r="K32" s="35" t="s">
        <v>2</v>
      </c>
      <c r="L32" s="35" t="s">
        <v>60</v>
      </c>
      <c r="P32" s="8"/>
      <c r="Q32" s="8"/>
    </row>
    <row r="33" spans="8:17" hidden="1" x14ac:dyDescent="0.2">
      <c r="H33" s="36">
        <f>SUM(E11:E21)</f>
        <v>7723229.0000000019</v>
      </c>
      <c r="I33" s="37">
        <f>+E28</f>
        <v>160</v>
      </c>
      <c r="J33" s="37">
        <f>+H33/I33</f>
        <v>48270.181250000009</v>
      </c>
      <c r="K33" s="37">
        <f>+K10</f>
        <v>12</v>
      </c>
      <c r="L33" s="37">
        <f>+J33*K33</f>
        <v>579242.17500000005</v>
      </c>
      <c r="P33" s="8"/>
      <c r="Q33" s="8"/>
    </row>
    <row r="34" spans="8:17" hidden="1" x14ac:dyDescent="0.2"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x14ac:dyDescent="0.2">
      <c r="P38" s="8"/>
      <c r="Q38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AP39"/>
  <sheetViews>
    <sheetView zoomScale="80" zoomScaleNormal="100" workbookViewId="0">
      <selection activeCell="M8" sqref="M8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7.710937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5" max="15" width="10.7109375" customWidth="1"/>
  </cols>
  <sheetData>
    <row r="1" spans="1:42" ht="18" x14ac:dyDescent="0.25">
      <c r="B1" s="142" t="str">
        <f>'[13]Team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18" x14ac:dyDescent="0.25">
      <c r="B2" s="142" t="s">
        <v>267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18.75" thickBot="1" x14ac:dyDescent="0.3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x14ac:dyDescent="0.2">
      <c r="I4" s="39"/>
      <c r="J4" s="40"/>
      <c r="K4" s="40"/>
      <c r="L4" s="41"/>
    </row>
    <row r="5" spans="1:42" x14ac:dyDescent="0.2">
      <c r="I5" s="42"/>
      <c r="J5" s="17" t="s">
        <v>1</v>
      </c>
      <c r="K5" s="17" t="s">
        <v>2</v>
      </c>
      <c r="L5" s="43" t="s">
        <v>3</v>
      </c>
    </row>
    <row r="6" spans="1:42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O6" s="44"/>
    </row>
    <row r="7" spans="1:42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O7" s="12"/>
    </row>
    <row r="8" spans="1:42" x14ac:dyDescent="0.2">
      <c r="A8" s="13" t="s">
        <v>9</v>
      </c>
      <c r="B8" s="14" t="s">
        <v>10</v>
      </c>
      <c r="C8" s="15">
        <f>'[14]Central Trading'!C8+'[14]Central Origination'!C8+[14]Derivatives!C8+'[14]East Trading'!C8+'[14]East Origination'!C8+'[14]Financial Gas'!C8+[14]Structuring!C8+'[14]Texas Trading'!C8+'[14]Texas Origination'!C8+'[14]West Trading'!C8+'[14]West Origination'!C8+[14]Fundamentals!C8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1512720</v>
      </c>
      <c r="O8" s="15"/>
    </row>
    <row r="9" spans="1:42" hidden="1" x14ac:dyDescent="0.2">
      <c r="A9" s="13"/>
      <c r="B9" s="14" t="s">
        <v>11</v>
      </c>
      <c r="C9" s="15">
        <f>'[14]Central Trading'!C9+'[14]Central Origination'!C9+[14]Derivatives!C9+'[14]East Trading'!C9+'[14]East Origination'!C9+'[14]Financial Gas'!C9+[14]Structuring!C9+'[14]Texas Trading'!C9+'[14]Texas Origination'!C9+'[14]West Trading'!C9+'[14]West Origination'!C9+[14]Fundamentals!C9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O9" s="15"/>
    </row>
    <row r="10" spans="1:42" x14ac:dyDescent="0.2">
      <c r="A10" s="13"/>
      <c r="B10" s="14" t="s">
        <v>65</v>
      </c>
      <c r="C10" s="15">
        <f>'[14]Central Trading'!C10+'[14]Central Origination'!C10+[14]Derivatives!C10+'[14]East Trading'!C10+'[14]East Origination'!C10+'[14]Financial Gas'!C10+[14]Structuring!C10+'[14]Texas Trading'!C10+'[14]Texas Origination'!C10+'[14]West Trading'!C10+'[14]West Origination'!C10+[14]Fundamentals!C10</f>
        <v>3095252.76</v>
      </c>
      <c r="D10" s="15"/>
      <c r="E10" s="15">
        <f>('[14]Central Trading'!E9+'[14]Central Origination'!E10+[14]Derivatives!E10+'[14]East Trading'!E10+'[14]East Origination'!E10+'[14]Financial Gas'!E10+[14]Structuring!E10+'[14]Texas Trading'!E10+'[14]Texas Origination'!E10+'[14]West Trading'!E10+'[14]West Origination'!E10+[14]Fundamentals!E10)-4000000</f>
        <v>82420.999999999534</v>
      </c>
      <c r="G10" s="45">
        <f t="shared" si="0"/>
        <v>3.7797619139155266E-3</v>
      </c>
      <c r="H10" s="15">
        <v>75000</v>
      </c>
      <c r="I10" s="42"/>
      <c r="J10" s="17"/>
      <c r="K10" s="17"/>
      <c r="L10" s="43"/>
      <c r="O10" s="15"/>
    </row>
    <row r="11" spans="1:42" x14ac:dyDescent="0.2">
      <c r="A11" s="13" t="s">
        <v>13</v>
      </c>
      <c r="B11" s="14" t="s">
        <v>14</v>
      </c>
      <c r="C11" s="15">
        <f>'[14]Central Trading'!C11+'[14]Central Origination'!C11+[14]Derivatives!C11+'[14]East Trading'!C11+'[14]East Origination'!C11+'[14]Financial Gas'!C11+[14]Structuring!C11+'[14]Texas Trading'!C11+'[14]Texas Origination'!C11+'[14]West Trading'!C11+'[14]West Origination'!C11+[14]Fundamentals!C11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</f>
        <v>15000</v>
      </c>
      <c r="I11" s="42" t="s">
        <v>15</v>
      </c>
      <c r="J11" s="17">
        <f>(E12+E13+E14+E15+E16+E17+E18+E19+E20+E21+E22)/E29</f>
        <v>48270.181250000009</v>
      </c>
      <c r="K11" s="17">
        <f>K28</f>
        <v>8</v>
      </c>
      <c r="L11" s="43">
        <f>J11*K11</f>
        <v>386161.45000000007</v>
      </c>
      <c r="O11" s="15"/>
    </row>
    <row r="12" spans="1:42" x14ac:dyDescent="0.2">
      <c r="A12" s="13" t="s">
        <v>16</v>
      </c>
      <c r="B12" s="14" t="s">
        <v>17</v>
      </c>
      <c r="C12" s="15">
        <f>'[14]Central Trading'!C12+'[14]Central Origination'!C12+[14]Derivatives!C12+'[14]East Trading'!C12+'[14]East Origination'!C12+'[14]Financial Gas'!C12+[14]Structuring!C12+'[14]Texas Trading'!C12+'[14]Texas Origination'!C12+'[14]West Trading'!C12+'[14]West Origination'!C12+[14]Fundamentals!C12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3125</v>
      </c>
      <c r="I12" s="42"/>
      <c r="J12" s="17"/>
      <c r="K12" s="17"/>
      <c r="L12" s="43"/>
      <c r="O12" s="15"/>
    </row>
    <row r="13" spans="1:42" ht="13.5" thickBot="1" x14ac:dyDescent="0.25">
      <c r="A13" s="13" t="s">
        <v>18</v>
      </c>
      <c r="B13" s="14" t="s">
        <v>19</v>
      </c>
      <c r="C13" s="15">
        <f>'[14]Central Trading'!C13+'[14]Central Origination'!C13+[14]Derivatives!C13+'[14]East Trading'!C13+'[14]East Origination'!C13+'[14]Financial Gas'!C13+[14]Structuring!C13+'[14]Texas Trading'!C13+'[14]Texas Origination'!C13+'[14]West Trading'!C13+'[14]West Origination'!C13+[14]Fundamentals!C13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3125</v>
      </c>
      <c r="I13" s="46" t="s">
        <v>20</v>
      </c>
      <c r="J13" s="47"/>
      <c r="K13" s="47"/>
      <c r="L13" s="48">
        <f>L8+L11</f>
        <v>1898881.4500000002</v>
      </c>
      <c r="O13" s="15"/>
    </row>
    <row r="14" spans="1:42" x14ac:dyDescent="0.2">
      <c r="A14" s="13" t="s">
        <v>21</v>
      </c>
      <c r="B14" s="14" t="s">
        <v>22</v>
      </c>
      <c r="C14" s="15">
        <f>'[14]Central Trading'!C14+'[14]Central Origination'!C14+[14]Derivatives!C14+'[14]East Trading'!C14+'[14]East Origination'!C14+'[14]Financial Gas'!C14+[14]Structuring!C14+'[14]Texas Trading'!C14+'[14]Texas Origination'!C14+'[14]West Trading'!C14+'[14]West Origination'!C14+[14]Fundamentals!C14-C32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O14" s="15"/>
    </row>
    <row r="15" spans="1:42" x14ac:dyDescent="0.2">
      <c r="A15" s="13" t="s">
        <v>23</v>
      </c>
      <c r="B15" s="14" t="s">
        <v>24</v>
      </c>
      <c r="C15" s="15">
        <f>'[14]Central Trading'!C15+'[14]Central Origination'!C15+[14]Derivatives!C15+'[14]East Trading'!C15+'[14]East Origination'!C15+'[14]Financial Gas'!C15+[14]Structuring!C15+'[14]Texas Trading'!C15+'[14]Texas Origination'!C15+'[14]West Trading'!C15+'[14]West Origination'!C15+[14]Fundamentals!C15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2500</v>
      </c>
      <c r="O15" s="15"/>
    </row>
    <row r="16" spans="1:42" x14ac:dyDescent="0.2">
      <c r="A16" s="13" t="s">
        <v>25</v>
      </c>
      <c r="B16" s="14" t="s">
        <v>26</v>
      </c>
      <c r="C16" s="15">
        <f>'[14]Central Trading'!C16+'[14]Central Origination'!C16+[14]Derivatives!C16+'[14]East Trading'!C16+'[14]East Origination'!C16+'[14]Financial Gas'!C16+[14]Structuring!C16+'[14]Texas Trading'!C16+'[14]Texas Origination'!C16+'[14]West Trading'!C16+'[14]West Origination'!C16+[14]Fundamentals!C16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O16" s="15"/>
    </row>
    <row r="17" spans="1:15" x14ac:dyDescent="0.2">
      <c r="A17" s="13" t="s">
        <v>28</v>
      </c>
      <c r="B17" s="14" t="s">
        <v>29</v>
      </c>
      <c r="C17" s="15">
        <f>'[14]Central Trading'!C17+'[14]Central Origination'!C17+[14]Derivatives!C17+'[14]East Trading'!C17+'[14]East Origination'!C17+'[14]Financial Gas'!C17+[14]Structuring!C17+'[14]Texas Trading'!C17+'[14]Texas Origination'!C17+'[14]West Trading'!C17+'[14]West Origination'!C17+[14]Fundamentals!C17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62.5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O17" s="15"/>
    </row>
    <row r="18" spans="1:15" x14ac:dyDescent="0.2">
      <c r="A18" s="13" t="s">
        <v>31</v>
      </c>
      <c r="B18" s="14" t="s">
        <v>32</v>
      </c>
      <c r="C18" s="15">
        <f>'[14]Central Trading'!C18+'[14]Central Origination'!C18+[14]Derivatives!C18+'[14]East Trading'!C18+'[14]East Origination'!C18+'[14]Financial Gas'!C18+[14]Structuring!C18+'[14]Texas Trading'!C18+'[14]Texas Origination'!C18+'[14]West Trading'!C18+'[14]West Origination'!C18+[14]Fundamentals!C18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O18" s="15"/>
    </row>
    <row r="19" spans="1:15" x14ac:dyDescent="0.2">
      <c r="A19" s="13" t="s">
        <v>34</v>
      </c>
      <c r="B19" s="14" t="s">
        <v>35</v>
      </c>
      <c r="C19" s="15">
        <f>'[14]Central Trading'!C19+'[14]Central Origination'!C19+[14]Derivatives!C19+'[14]East Trading'!C19+'[14]East Origination'!C19+'[14]Financial Gas'!C19+[14]Structuring!C19+'[14]Texas Trading'!C19+'[14]Texas Origination'!C19+'[14]West Trading'!C19+'[14]West Origination'!C19+[14]Fundamentals!C19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12500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O19" s="15"/>
    </row>
    <row r="20" spans="1:15" x14ac:dyDescent="0.2">
      <c r="A20" s="13" t="s">
        <v>37</v>
      </c>
      <c r="B20" s="14" t="s">
        <v>38</v>
      </c>
      <c r="C20" s="15">
        <f>'[14]Central Trading'!C20+'[14]Central Origination'!C20+[14]Derivatives!C20+'[14]East Trading'!C20+'[14]East Origination'!C20+'[14]Financial Gas'!C20+[14]Structuring!C20+'[14]Texas Trading'!C20+'[14]Texas Origination'!C20+'[14]West Trading'!C20+'[14]West Origination'!C20+[14]Fundamentals!C20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0.125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O20" s="15"/>
    </row>
    <row r="21" spans="1:15" x14ac:dyDescent="0.2">
      <c r="A21" s="13" t="s">
        <v>40</v>
      </c>
      <c r="B21" s="14" t="s">
        <v>41</v>
      </c>
      <c r="C21" s="15">
        <f>'[14]Central Trading'!C21+'[14]Central Origination'!C21+[14]Derivatives!C21+'[14]East Trading'!C21+'[14]East Origination'!C21+'[14]Financial Gas'!C21+[14]Structuring!C21+'[14]Texas Trading'!C21+'[14]Texas Origination'!C21+'[14]West Trading'!C21+'[14]West Origination'!C21+[14]Fundamentals!C21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3125</v>
      </c>
      <c r="I21" s="25" t="s">
        <v>42</v>
      </c>
      <c r="J21" s="25">
        <v>60500</v>
      </c>
      <c r="K21" s="25">
        <v>1</v>
      </c>
      <c r="L21" s="25">
        <f t="shared" si="1"/>
        <v>60500</v>
      </c>
      <c r="O21" s="32"/>
    </row>
    <row r="22" spans="1:15" x14ac:dyDescent="0.2">
      <c r="A22" s="13" t="s">
        <v>43</v>
      </c>
      <c r="B22" s="14" t="s">
        <v>44</v>
      </c>
      <c r="C22" s="15">
        <f>'[14]Central Trading'!C22+'[14]Central Origination'!C22+[14]Derivatives!C22+'[14]East Trading'!C22+'[14]East Origination'!C22+'[14]Financial Gas'!C22+[14]Structuring!C22+'[14]Texas Trading'!C22+'[14]Texas Origination'!C22+'[14]West Trading'!C22+'[14]West Origination'!C22+[14]Fundamentals!C22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O22" s="32"/>
    </row>
    <row r="23" spans="1:15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114437.625</v>
      </c>
      <c r="I23" s="25" t="s">
        <v>48</v>
      </c>
      <c r="J23" s="25">
        <v>110000</v>
      </c>
      <c r="K23" s="25">
        <v>2</v>
      </c>
      <c r="L23" s="25">
        <f t="shared" si="1"/>
        <v>220000</v>
      </c>
      <c r="O23" s="29"/>
    </row>
    <row r="24" spans="1:15" x14ac:dyDescent="0.2">
      <c r="I24" s="25" t="s">
        <v>49</v>
      </c>
      <c r="J24" s="25">
        <v>143000</v>
      </c>
      <c r="K24" s="25">
        <v>4</v>
      </c>
      <c r="L24" s="25">
        <f t="shared" si="1"/>
        <v>572000</v>
      </c>
      <c r="O24" s="8"/>
    </row>
    <row r="25" spans="1:15" x14ac:dyDescent="0.2">
      <c r="B25" s="27" t="s">
        <v>50</v>
      </c>
      <c r="C25" s="15"/>
      <c r="E25" s="31">
        <f>'[14]Central Trading'!E25+'[14]Central Origination'!E25+[14]Derivatives!E25+'[14]East Trading'!E25+'[14]East Origination'!E25+'[14]Financial Gas'!E25+[14]Structuring!E25+'[14]Texas Trading'!E25+'[14]Texas Origination'!E25+'[14]West Trading'!E25+'[14]West Origination'!E25+[14]Fundamentals!E25</f>
        <v>108</v>
      </c>
      <c r="H25" s="31">
        <v>0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O25" s="32"/>
    </row>
    <row r="26" spans="1:15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O26" s="32"/>
    </row>
    <row r="27" spans="1:15" x14ac:dyDescent="0.2">
      <c r="B27" s="27" t="s">
        <v>67</v>
      </c>
      <c r="C27" s="15"/>
      <c r="E27" s="31">
        <f>'[14]Central Trading'!E27+'[14]Central Origination'!E27+[14]Derivatives!E27+'[14]East Trading'!E27+'[14]East Origination'!E27+'[14]Financial Gas'!E27+[14]Structuring!E27+'[14]Texas Trading'!E27+'[14]Texas Origination'!E27+'[14]West Trading'!E27+'[14]West Origination'!E27+[14]Fundamentals!E27</f>
        <v>52</v>
      </c>
      <c r="H27" s="31">
        <f>+K21+K22</f>
        <v>1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O27" s="32"/>
    </row>
    <row r="28" spans="1:15" x14ac:dyDescent="0.2">
      <c r="K28" s="25">
        <f>SUM(K16:K27)</f>
        <v>8</v>
      </c>
      <c r="L28" s="25">
        <f>SUM(L16:L27)*1.2</f>
        <v>1260600</v>
      </c>
      <c r="O28" s="8"/>
    </row>
    <row r="29" spans="1:15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1</v>
      </c>
      <c r="L29" s="52">
        <v>0.2</v>
      </c>
      <c r="O29" s="32"/>
    </row>
    <row r="30" spans="1:15" hidden="1" x14ac:dyDescent="0.2">
      <c r="L30" s="25">
        <f>L28*1.2</f>
        <v>1512720</v>
      </c>
      <c r="O30" s="8"/>
    </row>
    <row r="31" spans="1:15" hidden="1" x14ac:dyDescent="0.2">
      <c r="H31" s="33" t="s">
        <v>56</v>
      </c>
      <c r="L31"/>
      <c r="O31" s="8"/>
    </row>
    <row r="32" spans="1:15" hidden="1" x14ac:dyDescent="0.2">
      <c r="B32" s="14" t="s">
        <v>22</v>
      </c>
      <c r="C32" s="15">
        <v>254512</v>
      </c>
      <c r="L32"/>
      <c r="O32" s="8"/>
    </row>
    <row r="33" spans="8:15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O33" s="8"/>
    </row>
    <row r="34" spans="8:15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8</v>
      </c>
      <c r="L34" s="37">
        <f>+J34*K34</f>
        <v>386161.45000000007</v>
      </c>
      <c r="O34" s="8"/>
    </row>
    <row r="35" spans="8:15" hidden="1" x14ac:dyDescent="0.2">
      <c r="O35" s="8"/>
    </row>
    <row r="36" spans="8:15" hidden="1" x14ac:dyDescent="0.2">
      <c r="O36" s="8"/>
    </row>
    <row r="37" spans="8:15" hidden="1" x14ac:dyDescent="0.2">
      <c r="O37" s="8"/>
    </row>
    <row r="38" spans="8:15" hidden="1" x14ac:dyDescent="0.2">
      <c r="O38" s="8"/>
    </row>
    <row r="39" spans="8:15" x14ac:dyDescent="0.2">
      <c r="O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AS33"/>
  <sheetViews>
    <sheetView zoomScaleNormal="100" workbookViewId="0">
      <selection activeCell="F8" sqref="F8:F21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28" width="9.140625" hidden="1" customWidth="1"/>
  </cols>
  <sheetData>
    <row r="1" spans="1:45" ht="18" x14ac:dyDescent="0.2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2" t="s">
        <v>228</v>
      </c>
      <c r="C2" s="142"/>
      <c r="D2" s="142"/>
      <c r="E2" s="142"/>
      <c r="F2" s="142"/>
      <c r="G2" s="142"/>
      <c r="H2" s="14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43" t="s">
        <v>0</v>
      </c>
      <c r="C3" s="143"/>
      <c r="D3" s="143"/>
      <c r="E3" s="143"/>
      <c r="F3" s="143"/>
      <c r="G3" s="143"/>
      <c r="H3" s="14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x14ac:dyDescent="0.2">
      <c r="A8" s="13" t="s">
        <v>9</v>
      </c>
      <c r="B8" s="14" t="s">
        <v>10</v>
      </c>
      <c r="C8" s="15">
        <f>'[10]Ercot Trading'!C8+'[10]Ercot Origination'!C8+'[10]Southeast Trading'!C8+'[10]Southeast Origination'!C8+'[10]Midwest Trading'!C8+'[10]Midwest Origination'!C8+'[10]Northeast Trading'!C8+'[10]Northeast Origination'!C8+'[10]Management Book'!C8+[10]Structuring_Fund!C8+[10]Services!C8+[10]Options!C8</f>
        <v>6640774.8000000017</v>
      </c>
      <c r="E8" s="15">
        <f>(C8/9)*12</f>
        <v>8854366.4000000022</v>
      </c>
      <c r="F8" s="140">
        <f>((M15+M16+M17+M18+M19+M22+M23+M25)*1.2)*0.917</f>
        <v>116202.24000000001</v>
      </c>
      <c r="H8" s="16">
        <f t="shared" ref="H8:H21" si="0">E8/$E$22</f>
        <v>0.46834013153909193</v>
      </c>
      <c r="J8" s="7" t="s">
        <v>10</v>
      </c>
      <c r="K8" s="17">
        <v>0</v>
      </c>
      <c r="L8" s="8"/>
      <c r="M8" s="18">
        <f>M27*1.2</f>
        <v>126720</v>
      </c>
      <c r="O8" s="15">
        <f t="shared" ref="O8:O21" si="1">+F8/$F$28*$O$28</f>
        <v>58101.120000000003</v>
      </c>
    </row>
    <row r="9" spans="1:45" x14ac:dyDescent="0.2">
      <c r="A9" s="13"/>
      <c r="B9" s="14" t="s">
        <v>12</v>
      </c>
      <c r="C9" s="15">
        <f>'[10]Ercot Trading'!C10+'[10]Ercot Origination'!C10+'[10]Southeast Trading'!C10+'[10]Southeast Origination'!C10+'[10]Midwest Trading'!C10+'[10]Midwest Origination'!C10+'[10]Northeast Trading'!C10+'[10]Northeast Origination'!C10+'[10]Management Book'!C10+[10]Structuring_Fund!C10+[10]Services!C10+[10]Options!C10</f>
        <v>2652510</v>
      </c>
      <c r="E9" s="15">
        <f>(C9/9)*12</f>
        <v>3536680</v>
      </c>
      <c r="F9" s="140">
        <f>((M20+M21)*1.2)*0.917</f>
        <v>0</v>
      </c>
      <c r="H9" s="16">
        <f t="shared" si="0"/>
        <v>0.18706806355016833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 t="s">
        <v>13</v>
      </c>
      <c r="B10" s="14" t="s">
        <v>14</v>
      </c>
      <c r="C10" s="15">
        <f>'[10]Ercot Trading'!C11+'[10]Ercot Origination'!C11+'[10]Southeast Trading'!C11+'[10]Southeast Origination'!C11+'[10]Midwest Trading'!C11+'[10]Midwest Origination'!C11+'[10]Northeast Trading'!C11+'[10]Northeast Origination'!C11+'[10]Management Book'!C11+[10]Structuring_Fund!C11+[10]Services!C11+[10]Options!C11</f>
        <v>1536343.4600000002</v>
      </c>
      <c r="E10" s="15">
        <f>(C10/9)*12</f>
        <v>2048457.9466666668</v>
      </c>
      <c r="F10" s="140">
        <f>((M27*0.2)*1.2)*0.917</f>
        <v>23240.448</v>
      </c>
      <c r="H10" s="16">
        <f t="shared" si="0"/>
        <v>0.10835050424321323</v>
      </c>
      <c r="J10" s="7" t="s">
        <v>15</v>
      </c>
      <c r="K10" s="17">
        <f>(E11+E12+E13+E14+E15+E16+E17+E18+E19+E20+E21)/E28</f>
        <v>31676.181900709213</v>
      </c>
      <c r="L10" s="8">
        <f>L27</f>
        <v>2</v>
      </c>
      <c r="M10" s="18">
        <f>K10*L10</f>
        <v>63352.363801418425</v>
      </c>
      <c r="O10" s="15">
        <f t="shared" si="1"/>
        <v>11620.224</v>
      </c>
    </row>
    <row r="11" spans="1:45" x14ac:dyDescent="0.2">
      <c r="A11" s="13" t="s">
        <v>16</v>
      </c>
      <c r="B11" s="14" t="s">
        <v>17</v>
      </c>
      <c r="C11" s="15">
        <f>'[10]Ercot Trading'!C12+'[10]Ercot Origination'!C12+'[10]Southeast Trading'!C12+'[10]Southeast Origination'!C12+'[10]Midwest Trading'!C12+'[10]Midwest Origination'!C12+'[10]Northeast Trading'!C12+'[10]Northeast Origination'!C12+'[10]Management Book'!C12+[10]Structuring_Fund!C12+[10]Services!C12+[10]Options!C12</f>
        <v>556457.20000000007</v>
      </c>
      <c r="E11" s="20">
        <f t="shared" ref="E11:E21" si="2">(C11/9)*12*1.2</f>
        <v>890331.52</v>
      </c>
      <c r="F11" s="140">
        <f t="shared" ref="F11:F21" si="3">((E11/$E$28*$L$10)*1.2)*0.917</f>
        <v>13896.749001531914</v>
      </c>
      <c r="H11" s="16">
        <f t="shared" si="0"/>
        <v>4.709292143028998E-2</v>
      </c>
      <c r="J11" s="7"/>
      <c r="K11" s="8"/>
      <c r="L11" s="8"/>
      <c r="M11" s="9"/>
      <c r="O11" s="15">
        <f t="shared" si="1"/>
        <v>6948.3745007659572</v>
      </c>
    </row>
    <row r="12" spans="1:45" ht="13.5" thickBot="1" x14ac:dyDescent="0.25">
      <c r="A12" s="13" t="s">
        <v>18</v>
      </c>
      <c r="B12" s="14" t="s">
        <v>19</v>
      </c>
      <c r="C12" s="15">
        <f>'[10]Ercot Trading'!C13+'[10]Ercot Origination'!C13+'[10]Southeast Trading'!C13+'[10]Southeast Origination'!C13+'[10]Midwest Trading'!C13+'[10]Midwest Origination'!C13+'[10]Northeast Trading'!C13+'[10]Northeast Origination'!C13+'[10]Management Book'!C13+[10]Structuring_Fund!C13+[10]Services!C13+[10]Options!C13</f>
        <v>1014365.41</v>
      </c>
      <c r="E12" s="20">
        <f t="shared" si="2"/>
        <v>1622984.656</v>
      </c>
      <c r="F12" s="140">
        <f t="shared" si="3"/>
        <v>25332.373268970212</v>
      </c>
      <c r="H12" s="16">
        <f t="shared" si="0"/>
        <v>8.5845650940869989E-2</v>
      </c>
      <c r="J12" s="22" t="s">
        <v>20</v>
      </c>
      <c r="K12" s="23"/>
      <c r="L12" s="23"/>
      <c r="M12" s="24">
        <f>M8+M10</f>
        <v>190072.36380141843</v>
      </c>
      <c r="O12" s="15">
        <f t="shared" si="1"/>
        <v>12666.186634485106</v>
      </c>
    </row>
    <row r="13" spans="1:45" x14ac:dyDescent="0.2">
      <c r="A13" s="13" t="s">
        <v>21</v>
      </c>
      <c r="B13" s="14" t="s">
        <v>22</v>
      </c>
      <c r="C13" s="15">
        <f>'[10]Ercot Trading'!C14+'[10]Ercot Origination'!C14+'[10]Southeast Trading'!C14+'[10]Southeast Origination'!C14+'[10]Midwest Trading'!C14+'[10]Midwest Origination'!C14+'[10]Northeast Trading'!C14+'[10]Northeast Origination'!C14+'[10]Management Book'!C14+[10]Structuring_Fund!C14+[10]Services!C14+[10]Options!C14-C31</f>
        <v>0.38000000012107193</v>
      </c>
      <c r="E13" s="20">
        <f t="shared" si="2"/>
        <v>0.60800000019371503</v>
      </c>
      <c r="F13" s="140">
        <f t="shared" si="3"/>
        <v>9.4899744711087093E-3</v>
      </c>
      <c r="H13" s="16">
        <f t="shared" si="0"/>
        <v>3.2159364905713901E-8</v>
      </c>
      <c r="N13" s="49"/>
      <c r="O13" s="15">
        <f t="shared" si="1"/>
        <v>4.7449872355543547E-3</v>
      </c>
    </row>
    <row r="14" spans="1:45" x14ac:dyDescent="0.2">
      <c r="A14" s="13" t="s">
        <v>23</v>
      </c>
      <c r="B14" s="14" t="s">
        <v>24</v>
      </c>
      <c r="C14" s="15">
        <f>'[10]Ercot Trading'!C15+'[10]Ercot Origination'!C15+'[10]Southeast Trading'!C15+'[10]Southeast Origination'!C15+'[10]Midwest Trading'!C15+'[10]Midwest Origination'!C15+'[10]Northeast Trading'!C15+'[10]Northeast Origination'!C15+'[10]Management Book'!C15+[10]Structuring_Fund!C15+[10]Services!C15+[10]Options!C15</f>
        <v>93227.13</v>
      </c>
      <c r="E14" s="20">
        <f t="shared" si="2"/>
        <v>149163.408</v>
      </c>
      <c r="F14" s="140">
        <f t="shared" si="3"/>
        <v>2328.2186406127657</v>
      </c>
      <c r="H14" s="16">
        <f t="shared" si="0"/>
        <v>7.8898033995452484E-3</v>
      </c>
      <c r="K14" s="25"/>
      <c r="O14" s="15">
        <f t="shared" si="1"/>
        <v>1164.1093203063829</v>
      </c>
    </row>
    <row r="15" spans="1:45" x14ac:dyDescent="0.2">
      <c r="A15" s="13" t="s">
        <v>25</v>
      </c>
      <c r="B15" s="14" t="s">
        <v>26</v>
      </c>
      <c r="C15" s="15">
        <f>'[10]Ercot Trading'!C16+'[10]Ercot Origination'!C16+'[10]Southeast Trading'!C16+'[10]Southeast Origination'!C16+'[10]Midwest Trading'!C16+'[10]Midwest Origination'!C16+'[10]Northeast Trading'!C16+'[10]Northeast Origination'!C16+'[10]Management Book'!C16+[10]Structuring_Fund!C16+[10]Services!C16+[10]Options!C16</f>
        <v>0</v>
      </c>
      <c r="E15" s="20">
        <f t="shared" si="2"/>
        <v>0</v>
      </c>
      <c r="F15" s="140">
        <f t="shared" si="3"/>
        <v>0</v>
      </c>
      <c r="H15" s="16">
        <f t="shared" si="0"/>
        <v>0</v>
      </c>
      <c r="J15" t="s">
        <v>27</v>
      </c>
      <c r="K15" s="25">
        <v>33600</v>
      </c>
      <c r="L15">
        <v>0</v>
      </c>
      <c r="M15" s="25">
        <f t="shared" ref="M15:M26" si="4">K15*L15</f>
        <v>0</v>
      </c>
      <c r="O15" s="15">
        <f t="shared" si="1"/>
        <v>0</v>
      </c>
    </row>
    <row r="16" spans="1:45" x14ac:dyDescent="0.2">
      <c r="A16" s="13" t="s">
        <v>28</v>
      </c>
      <c r="B16" s="14" t="s">
        <v>29</v>
      </c>
      <c r="C16" s="15">
        <f>'[10]Ercot Trading'!C17+'[10]Ercot Origination'!C17+'[10]Southeast Trading'!C17+'[10]Southeast Origination'!C17+'[10]Midwest Trading'!C17+'[10]Midwest Origination'!C17+'[10]Northeast Trading'!C17+'[10]Northeast Origination'!C17+'[10]Management Book'!C17+[10]Structuring_Fund!C17+[10]Services!C17+[10]Options!C17</f>
        <v>5300</v>
      </c>
      <c r="E16" s="20">
        <f t="shared" si="2"/>
        <v>8480</v>
      </c>
      <c r="F16" s="140">
        <f t="shared" si="3"/>
        <v>132.36017021276595</v>
      </c>
      <c r="H16" s="16">
        <f t="shared" si="0"/>
        <v>4.4853851038415335E-4</v>
      </c>
      <c r="J16" t="s">
        <v>30</v>
      </c>
      <c r="K16" s="25">
        <v>52800</v>
      </c>
      <c r="L16">
        <v>2</v>
      </c>
      <c r="M16" s="25">
        <f t="shared" si="4"/>
        <v>105600</v>
      </c>
      <c r="O16" s="15">
        <f t="shared" si="1"/>
        <v>66.180085106382975</v>
      </c>
    </row>
    <row r="17" spans="1:15" x14ac:dyDescent="0.2">
      <c r="A17" s="13" t="s">
        <v>31</v>
      </c>
      <c r="B17" s="14" t="s">
        <v>32</v>
      </c>
      <c r="C17" s="15">
        <f>'[10]Ercot Trading'!C18+'[10]Ercot Origination'!C18+'[10]Southeast Trading'!C18+'[10]Southeast Origination'!C18+'[10]Midwest Trading'!C18+'[10]Midwest Origination'!C18+'[10]Northeast Trading'!C18+'[10]Northeast Origination'!C18+'[10]Management Book'!C18+[10]Structuring_Fund!C18+[10]Services!C18+[10]Options!C18</f>
        <v>287.28999999999655</v>
      </c>
      <c r="E17" s="20">
        <f t="shared" si="2"/>
        <v>459.66399999999447</v>
      </c>
      <c r="F17" s="140">
        <f t="shared" si="3"/>
        <v>7.1746704340424667</v>
      </c>
      <c r="H17" s="16">
        <f t="shared" si="0"/>
        <v>2.4313326160049407E-5</v>
      </c>
      <c r="J17" t="s">
        <v>33</v>
      </c>
      <c r="K17" s="25">
        <v>54000</v>
      </c>
      <c r="L17">
        <v>0</v>
      </c>
      <c r="M17" s="25">
        <f t="shared" si="4"/>
        <v>0</v>
      </c>
      <c r="O17" s="15">
        <f t="shared" si="1"/>
        <v>3.5873352170212334</v>
      </c>
    </row>
    <row r="18" spans="1:15" x14ac:dyDescent="0.2">
      <c r="A18" s="13" t="s">
        <v>34</v>
      </c>
      <c r="B18" s="14" t="s">
        <v>35</v>
      </c>
      <c r="C18" s="15">
        <f>'[10]Ercot Trading'!C19+'[10]Ercot Origination'!C19+'[10]Southeast Trading'!C19+'[10]Southeast Origination'!C19+'[10]Midwest Trading'!C19+'[10]Midwest Origination'!C19+'[10]Northeast Trading'!C19+'[10]Northeast Origination'!C19+'[10]Management Book'!C19+[10]Structuring_Fund!C19+[10]Services!C19+[10]Options!C19</f>
        <v>487149.2</v>
      </c>
      <c r="E18" s="20">
        <f t="shared" si="2"/>
        <v>779438.72000000009</v>
      </c>
      <c r="F18" s="140">
        <f t="shared" si="3"/>
        <v>12165.877553021277</v>
      </c>
      <c r="H18" s="16">
        <f t="shared" si="0"/>
        <v>4.1227391792987171E-2</v>
      </c>
      <c r="J18" t="s">
        <v>36</v>
      </c>
      <c r="K18" s="25">
        <v>63000</v>
      </c>
      <c r="L18">
        <v>0</v>
      </c>
      <c r="M18" s="25">
        <f t="shared" si="4"/>
        <v>0</v>
      </c>
      <c r="O18" s="15">
        <f t="shared" si="1"/>
        <v>6082.9387765106385</v>
      </c>
    </row>
    <row r="19" spans="1:15" x14ac:dyDescent="0.2">
      <c r="A19" s="13" t="s">
        <v>37</v>
      </c>
      <c r="B19" s="14" t="s">
        <v>38</v>
      </c>
      <c r="C19" s="15">
        <f>'[10]Ercot Trading'!C20+'[10]Ercot Origination'!C20+'[10]Southeast Trading'!C20+'[10]Southeast Origination'!C20+'[10]Midwest Trading'!C20+'[10]Midwest Origination'!C20+'[10]Northeast Trading'!C20+'[10]Northeast Origination'!C20+'[10]Management Book'!C20+[10]Structuring_Fund!C20+[10]Services!C20+[10]Options!C20</f>
        <v>78.180000000000007</v>
      </c>
      <c r="E19" s="20">
        <f t="shared" si="2"/>
        <v>125.08800000000001</v>
      </c>
      <c r="F19" s="140">
        <f t="shared" si="3"/>
        <v>1.9524373787234044</v>
      </c>
      <c r="H19" s="16">
        <f t="shared" si="0"/>
        <v>6.6163661777043607E-6</v>
      </c>
      <c r="J19" t="s">
        <v>39</v>
      </c>
      <c r="K19" s="25">
        <v>78000</v>
      </c>
      <c r="L19">
        <v>0</v>
      </c>
      <c r="M19" s="25">
        <f t="shared" si="4"/>
        <v>0</v>
      </c>
      <c r="O19" s="15">
        <f t="shared" si="1"/>
        <v>0.9762186893617022</v>
      </c>
    </row>
    <row r="20" spans="1:15" x14ac:dyDescent="0.2">
      <c r="A20" s="13" t="s">
        <v>40</v>
      </c>
      <c r="B20" s="14" t="s">
        <v>41</v>
      </c>
      <c r="C20" s="15">
        <f>'[10]Ercot Trading'!C21+'[10]Ercot Origination'!C21+'[10]Southeast Trading'!C21+'[10]Southeast Origination'!C21+'[10]Midwest Trading'!C21+'[10]Midwest Origination'!C21+'[10]Northeast Trading'!C21+'[10]Northeast Origination'!C21+'[10]Management Book'!C21+[10]Structuring_Fund!C21+[10]Services!C21+[10]Options!C21</f>
        <v>633408.5</v>
      </c>
      <c r="E20" s="20">
        <f t="shared" si="2"/>
        <v>1013453.5999999999</v>
      </c>
      <c r="F20" s="140">
        <f t="shared" si="3"/>
        <v>15818.501297021274</v>
      </c>
      <c r="H20" s="16">
        <f t="shared" si="0"/>
        <v>5.3605302840502071E-2</v>
      </c>
      <c r="J20" t="s">
        <v>42</v>
      </c>
      <c r="K20" s="25">
        <v>66000</v>
      </c>
      <c r="L20">
        <v>0</v>
      </c>
      <c r="M20" s="25">
        <f t="shared" si="4"/>
        <v>0</v>
      </c>
      <c r="O20" s="15">
        <f t="shared" si="1"/>
        <v>7909.2506485106369</v>
      </c>
    </row>
    <row r="21" spans="1:15" x14ac:dyDescent="0.2">
      <c r="A21" s="13" t="s">
        <v>43</v>
      </c>
      <c r="B21" s="14" t="s">
        <v>44</v>
      </c>
      <c r="C21" s="15">
        <f>'[10]Ercot Trading'!C22+'[10]Ercot Origination'!C22+'[10]Southeast Trading'!C22+'[10]Southeast Origination'!C22+'[10]Midwest Trading'!C22+'[10]Midwest Origination'!C22+'[10]Northeast Trading'!C22+'[10]Northeast Origination'!C22+'[10]Management Book'!C22+[10]Structuring_Fund!C22+[10]Services!C22+[10]Options!C22</f>
        <v>1190.24</v>
      </c>
      <c r="E21" s="20">
        <f t="shared" si="2"/>
        <v>1904.384</v>
      </c>
      <c r="F21" s="140">
        <f t="shared" si="3"/>
        <v>29.724597923404257</v>
      </c>
      <c r="H21" s="16">
        <f t="shared" si="0"/>
        <v>1.007299012452141E-4</v>
      </c>
      <c r="J21" t="s">
        <v>45</v>
      </c>
      <c r="K21" s="25">
        <v>97200</v>
      </c>
      <c r="L21">
        <v>0</v>
      </c>
      <c r="M21" s="25">
        <f t="shared" si="4"/>
        <v>0</v>
      </c>
      <c r="O21" s="15">
        <f t="shared" si="1"/>
        <v>14.862298961702129</v>
      </c>
    </row>
    <row r="22" spans="1:15" ht="13.5" thickBot="1" x14ac:dyDescent="0.25">
      <c r="A22" s="26" t="s">
        <v>46</v>
      </c>
      <c r="B22" s="27" t="s">
        <v>47</v>
      </c>
      <c r="C22" s="28">
        <f>SUM(C8:C21)</f>
        <v>13621091.790000001</v>
      </c>
      <c r="E22" s="28">
        <f>SUM(E8:E21)</f>
        <v>18905845.99466667</v>
      </c>
      <c r="F22" s="58">
        <f>SUM(F8:F21)</f>
        <v>209155.62912708084</v>
      </c>
      <c r="H22" s="30">
        <f>SUM(H8:H21)</f>
        <v>1</v>
      </c>
      <c r="J22" t="s">
        <v>48</v>
      </c>
      <c r="K22" s="25">
        <v>120000</v>
      </c>
      <c r="L22">
        <v>0</v>
      </c>
      <c r="M22" s="25">
        <f t="shared" si="4"/>
        <v>0</v>
      </c>
      <c r="O22" s="58">
        <f>SUM(O8:O21)</f>
        <v>104577.81456354042</v>
      </c>
    </row>
    <row r="23" spans="1:15" x14ac:dyDescent="0.2">
      <c r="J23" t="s">
        <v>49</v>
      </c>
      <c r="K23" s="25">
        <v>156000</v>
      </c>
      <c r="L23">
        <v>0</v>
      </c>
      <c r="M23" s="25">
        <f t="shared" si="4"/>
        <v>0</v>
      </c>
    </row>
    <row r="24" spans="1:15" x14ac:dyDescent="0.2">
      <c r="B24" s="27" t="s">
        <v>50</v>
      </c>
      <c r="C24" s="15"/>
      <c r="E24" s="31">
        <f>'[10]Ercot Trading'!E25+'[10]Ercot Origination'!E25+'[10]Southeast Trading'!E25+'[10]Southeast Origination'!E25+'[10]Midwest Trading'!E25+'[10]Midwest Origination'!E25+'[10]Northeast Trading'!E25+'[10]Northeast Origination'!E25+'[10]Management Book'!E25+[10]Structuring_Fund!E25+[10]Services!E25+[10]Options!E25</f>
        <v>91</v>
      </c>
      <c r="F24" s="31">
        <f>SUM(L15:L19,L22:L26)</f>
        <v>2</v>
      </c>
      <c r="J24" t="s">
        <v>51</v>
      </c>
      <c r="K24" s="25">
        <v>180000</v>
      </c>
      <c r="L24">
        <v>0</v>
      </c>
      <c r="M24" s="25">
        <f t="shared" si="4"/>
        <v>0</v>
      </c>
      <c r="O24" s="31">
        <f>SUM(U15:U19,U22:U26)</f>
        <v>0</v>
      </c>
    </row>
    <row r="25" spans="1:15" x14ac:dyDescent="0.2">
      <c r="C25" s="15"/>
      <c r="E25" s="15"/>
      <c r="F25" s="15"/>
      <c r="J25" t="s">
        <v>52</v>
      </c>
      <c r="K25" s="25">
        <v>216000</v>
      </c>
      <c r="L25">
        <v>0</v>
      </c>
      <c r="M25" s="25">
        <f t="shared" si="4"/>
        <v>0</v>
      </c>
      <c r="O25" s="15"/>
    </row>
    <row r="26" spans="1:15" x14ac:dyDescent="0.2">
      <c r="B26" s="27" t="s">
        <v>53</v>
      </c>
      <c r="C26" s="15"/>
      <c r="E26" s="31">
        <f>'[10]Ercot Trading'!E27+'[10]Ercot Origination'!E27+'[10]Southeast Trading'!E27+'[10]Southeast Origination'!E27+'[10]Midwest Trading'!E27+'[10]Midwest Origination'!E27+'[10]Northeast Trading'!E27+'[10]Northeast Origination'!E27+'[10]Management Book'!E27+[10]Structuring_Fund!E27+[10]Services!E27+[10]Options!E27</f>
        <v>50</v>
      </c>
      <c r="F26" s="31">
        <f>SUM(L20:L21)</f>
        <v>0</v>
      </c>
      <c r="J26" t="s">
        <v>54</v>
      </c>
      <c r="K26" s="25">
        <v>240000</v>
      </c>
      <c r="L26">
        <v>0</v>
      </c>
      <c r="M26" s="25">
        <f t="shared" si="4"/>
        <v>0</v>
      </c>
      <c r="O26" s="31">
        <f>SUM(U20:U21)</f>
        <v>0</v>
      </c>
    </row>
    <row r="27" spans="1:15" x14ac:dyDescent="0.2">
      <c r="B27" s="27"/>
      <c r="L27">
        <f>SUM(L15:L26)</f>
        <v>2</v>
      </c>
      <c r="M27" s="25">
        <f>SUM(M15:M26)</f>
        <v>105600</v>
      </c>
    </row>
    <row r="28" spans="1:15" x14ac:dyDescent="0.2">
      <c r="B28" s="27" t="s">
        <v>55</v>
      </c>
      <c r="E28" s="59">
        <f>SUM(E24:E26)</f>
        <v>141</v>
      </c>
      <c r="F28" s="31">
        <f>SUM(F24:F26)</f>
        <v>2</v>
      </c>
      <c r="H28" s="25"/>
      <c r="O28" s="31">
        <v>1</v>
      </c>
    </row>
    <row r="30" spans="1:15" x14ac:dyDescent="0.2">
      <c r="I30" s="33" t="s">
        <v>56</v>
      </c>
      <c r="J30" s="25"/>
      <c r="K30" s="25"/>
      <c r="L30" s="25"/>
    </row>
    <row r="31" spans="1:15" hidden="1" x14ac:dyDescent="0.2">
      <c r="B31" s="14" t="s">
        <v>22</v>
      </c>
      <c r="C31" s="15">
        <v>524067</v>
      </c>
      <c r="J31" s="25"/>
      <c r="K31" s="25"/>
      <c r="L31" s="25"/>
    </row>
    <row r="32" spans="1:15" x14ac:dyDescent="0.2">
      <c r="I32" s="34" t="s">
        <v>57</v>
      </c>
      <c r="J32" s="35" t="s">
        <v>58</v>
      </c>
      <c r="K32" s="35" t="s">
        <v>59</v>
      </c>
      <c r="L32" s="35" t="s">
        <v>2</v>
      </c>
      <c r="M32" s="35" t="s">
        <v>60</v>
      </c>
    </row>
    <row r="33" spans="9:13" x14ac:dyDescent="0.2">
      <c r="I33" s="36">
        <f>SUM(E11:E21)</f>
        <v>4466341.6479999991</v>
      </c>
      <c r="J33" s="37">
        <f>+E28</f>
        <v>141</v>
      </c>
      <c r="K33" s="37">
        <f>+I33/J33</f>
        <v>31676.181900709213</v>
      </c>
      <c r="L33" s="37">
        <f>+L10</f>
        <v>2</v>
      </c>
      <c r="M33" s="37">
        <f>+K33*L33</f>
        <v>63352.363801418425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AU33"/>
  <sheetViews>
    <sheetView topLeftCell="A4" zoomScaleNormal="100" workbookViewId="0">
      <selection activeCell="F8" sqref="F8:F21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4.140625" customWidth="1"/>
    <col min="8" max="8" width="2.5703125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16" width="18" hidden="1" customWidth="1"/>
    <col min="17" max="17" width="24.140625" hidden="1" customWidth="1"/>
    <col min="18" max="18" width="0" hidden="1" customWidth="1"/>
  </cols>
  <sheetData>
    <row r="1" spans="1:47" ht="18" x14ac:dyDescent="0.25">
      <c r="B1" s="142" t="str">
        <f>'[15]Team Report'!B1</f>
        <v>Enron North America</v>
      </c>
      <c r="C1" s="142"/>
      <c r="D1" s="144"/>
      <c r="E1" s="144"/>
      <c r="F1" s="144"/>
      <c r="G1" s="144"/>
      <c r="H1" s="144"/>
      <c r="I1" s="14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42" t="s">
        <v>231</v>
      </c>
      <c r="C2" s="142"/>
      <c r="D2" s="144"/>
      <c r="E2" s="144"/>
      <c r="F2" s="144"/>
      <c r="G2" s="144"/>
      <c r="H2" s="144"/>
      <c r="I2" s="14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45" t="s">
        <v>0</v>
      </c>
      <c r="C3" s="145"/>
      <c r="D3" s="146"/>
      <c r="E3" s="146"/>
      <c r="F3" s="146"/>
      <c r="G3" s="146"/>
      <c r="H3" s="146"/>
      <c r="I3" s="146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1</v>
      </c>
      <c r="M5" s="8" t="s">
        <v>2</v>
      </c>
      <c r="N5" s="9" t="s">
        <v>3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47" x14ac:dyDescent="0.2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47" x14ac:dyDescent="0.2">
      <c r="A8" s="13" t="s">
        <v>9</v>
      </c>
      <c r="B8" s="14" t="s">
        <v>10</v>
      </c>
      <c r="C8" s="15">
        <f>'[16]Executive Orig'!C8+[16]Trading!C8+[16]Origination!C8+'[16]Mid Market'!C8+[16]Services!C8+[16]Fundamentals!C8</f>
        <v>4789958.9899999993</v>
      </c>
      <c r="E8" s="15">
        <f>(C8/9)*12</f>
        <v>6386611.9866666663</v>
      </c>
      <c r="F8" s="15"/>
      <c r="G8" s="140">
        <f>((SUM(N15:N19,N22:N26))*1.2)*0.917</f>
        <v>327479.04000000004</v>
      </c>
      <c r="H8" s="15"/>
      <c r="I8" s="16">
        <f t="shared" ref="I8:I21" si="0">+G8/$G$22</f>
        <v>0.64145915796797903</v>
      </c>
      <c r="K8" s="7" t="s">
        <v>10</v>
      </c>
      <c r="L8" s="17">
        <v>0</v>
      </c>
      <c r="M8" s="8">
        <v>64</v>
      </c>
      <c r="N8" s="18">
        <f>N27</f>
        <v>357120</v>
      </c>
      <c r="O8" s="15">
        <f t="shared" ref="O8:O21" si="1">+G8/$G$28*$O$28</f>
        <v>54579.840000000004</v>
      </c>
    </row>
    <row r="9" spans="1:47" x14ac:dyDescent="0.2">
      <c r="B9" s="14" t="s">
        <v>12</v>
      </c>
      <c r="C9" s="15">
        <f>'[16]Executive Orig'!C10+[16]Trading!C10+[16]Origination!C10+'[16]Mid Market'!C10+[16]Services!C10+[16]Fundamentals!C10</f>
        <v>804567</v>
      </c>
      <c r="E9" s="15">
        <f>(C9/9)*12</f>
        <v>1072756</v>
      </c>
      <c r="F9" s="15"/>
      <c r="G9" s="140">
        <f>((+N20+N21)*1.2)*0.917</f>
        <v>0</v>
      </c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A10" s="13" t="s">
        <v>13</v>
      </c>
      <c r="B10" s="14" t="s">
        <v>14</v>
      </c>
      <c r="C10" s="15">
        <f>'[16]Executive Orig'!C11+[16]Trading!C11+[16]Origination!C11+'[16]Mid Market'!C11+[16]Services!C11+[16]Fundamentals!C11</f>
        <v>1096068.21</v>
      </c>
      <c r="E10" s="15">
        <f>(C10/9)*12</f>
        <v>1461424.2799999998</v>
      </c>
      <c r="F10" s="15"/>
      <c r="G10" s="140">
        <f>((+G8*0.2+(N20+N21)*0.2)*1.2)*0.917</f>
        <v>72071.587123200006</v>
      </c>
      <c r="H10" s="15"/>
      <c r="I10" s="16">
        <f t="shared" si="0"/>
        <v>0.1411723314855928</v>
      </c>
      <c r="K10" s="7" t="s">
        <v>15</v>
      </c>
      <c r="L10" s="19">
        <f>(E11+E12+E13+E14+E15+E16+E17+E18+E19+E20+E21)/E28</f>
        <v>47533.855280898868</v>
      </c>
      <c r="M10" s="8">
        <f>M27</f>
        <v>6</v>
      </c>
      <c r="N10" s="18">
        <f>L10*M10</f>
        <v>285203.13168539322</v>
      </c>
      <c r="O10" s="15">
        <f t="shared" si="1"/>
        <v>12011.931187200002</v>
      </c>
    </row>
    <row r="11" spans="1:47" x14ac:dyDescent="0.2">
      <c r="A11" s="13" t="s">
        <v>16</v>
      </c>
      <c r="B11" s="14" t="s">
        <v>17</v>
      </c>
      <c r="C11" s="15">
        <f>'[16]Executive Orig'!C12+[16]Trading!C12+[16]Origination!C12+'[16]Mid Market'!C12+[16]Services!C12+[16]Fundamentals!C12</f>
        <v>658117.68000000005</v>
      </c>
      <c r="E11" s="20">
        <f t="shared" ref="E11:E21" si="2">((C11/9)*12)*1.2</f>
        <v>1052988.2880000002</v>
      </c>
      <c r="F11" s="15"/>
      <c r="G11" s="140">
        <v>11004</v>
      </c>
      <c r="H11" s="15"/>
      <c r="I11" s="16">
        <f t="shared" si="0"/>
        <v>2.1554407189784238E-2</v>
      </c>
      <c r="K11" s="7"/>
      <c r="L11" s="8"/>
      <c r="M11" s="8"/>
      <c r="N11" s="9"/>
      <c r="O11" s="15">
        <f t="shared" si="1"/>
        <v>1834</v>
      </c>
      <c r="P11" s="123"/>
      <c r="Q11" s="123"/>
      <c r="R11" s="123"/>
    </row>
    <row r="12" spans="1:47" ht="13.5" thickBot="1" x14ac:dyDescent="0.25">
      <c r="A12" s="13" t="s">
        <v>18</v>
      </c>
      <c r="B12" s="14" t="s">
        <v>19</v>
      </c>
      <c r="C12" s="15">
        <f>'[16]Executive Orig'!C13+[16]Trading!C13+[16]Origination!C13+'[16]Mid Market'!C13+[16]Services!C13+[16]Fundamentals!C13</f>
        <v>719773.79999999993</v>
      </c>
      <c r="E12" s="20">
        <f t="shared" si="2"/>
        <v>1151638.0799999998</v>
      </c>
      <c r="F12" s="15"/>
      <c r="G12" s="140">
        <v>11004</v>
      </c>
      <c r="H12" s="15"/>
      <c r="I12" s="16">
        <f t="shared" si="0"/>
        <v>2.1554407189784238E-2</v>
      </c>
      <c r="K12" s="22" t="s">
        <v>20</v>
      </c>
      <c r="L12" s="23"/>
      <c r="M12" s="23"/>
      <c r="N12" s="24">
        <f>N8+N10</f>
        <v>642323.13168539316</v>
      </c>
      <c r="O12" s="15">
        <f t="shared" si="1"/>
        <v>1834</v>
      </c>
      <c r="P12" s="123"/>
      <c r="Q12" s="123"/>
      <c r="R12" s="123"/>
    </row>
    <row r="13" spans="1:47" x14ac:dyDescent="0.2">
      <c r="A13" s="13" t="s">
        <v>21</v>
      </c>
      <c r="B13" s="14" t="s">
        <v>22</v>
      </c>
      <c r="C13" s="15">
        <f>'[16]Executive Orig'!C14+[16]Trading!C14+[16]Origination!C14+'[16]Mid Market'!C14+[16]Services!C14+[16]Fundamentals!C14-C31</f>
        <v>0.23999999975785613</v>
      </c>
      <c r="E13" s="20">
        <f t="shared" si="2"/>
        <v>0.38399999961256975</v>
      </c>
      <c r="F13" s="15"/>
      <c r="G13" s="140">
        <v>44016</v>
      </c>
      <c r="H13" s="15"/>
      <c r="I13" s="16">
        <f t="shared" si="0"/>
        <v>8.6217628759136952E-2</v>
      </c>
      <c r="O13" s="15">
        <f t="shared" si="1"/>
        <v>7336</v>
      </c>
      <c r="P13" s="123"/>
      <c r="Q13" s="123"/>
      <c r="R13" s="123"/>
    </row>
    <row r="14" spans="1:47" x14ac:dyDescent="0.2">
      <c r="A14" s="13" t="s">
        <v>23</v>
      </c>
      <c r="B14" s="14" t="s">
        <v>24</v>
      </c>
      <c r="C14" s="15">
        <f>'[16]Executive Orig'!C15+[16]Trading!C15+[16]Origination!C15+'[16]Mid Market'!C15+[16]Services!C15+[16]Fundamentals!C15</f>
        <v>128890.14</v>
      </c>
      <c r="E14" s="20">
        <f t="shared" si="2"/>
        <v>206224.22400000002</v>
      </c>
      <c r="F14" s="15"/>
      <c r="G14" s="140">
        <v>19014.912</v>
      </c>
      <c r="H14" s="15"/>
      <c r="I14" s="16">
        <f t="shared" si="0"/>
        <v>3.7246015623947165E-2</v>
      </c>
      <c r="O14" s="15">
        <f t="shared" si="1"/>
        <v>3169.152</v>
      </c>
      <c r="P14" s="123"/>
      <c r="Q14" s="123"/>
      <c r="R14" s="123"/>
    </row>
    <row r="15" spans="1:47" x14ac:dyDescent="0.2">
      <c r="A15" s="13" t="s">
        <v>25</v>
      </c>
      <c r="B15" s="14" t="s">
        <v>26</v>
      </c>
      <c r="C15" s="15">
        <f>'[16]Executive Orig'!C16+[16]Trading!C16+[16]Origination!C16+'[16]Mid Market'!C16+[16]Services!C16+[16]Fundamentals!C16</f>
        <v>0</v>
      </c>
      <c r="E15" s="20">
        <f t="shared" si="2"/>
        <v>0</v>
      </c>
      <c r="F15" s="15"/>
      <c r="G15" s="140">
        <f>((+E15/$E$28*$M$10)*1.2)*0.917</f>
        <v>0</v>
      </c>
      <c r="H15" s="15"/>
      <c r="I15" s="16">
        <f t="shared" si="0"/>
        <v>0</v>
      </c>
      <c r="K15" t="s">
        <v>27</v>
      </c>
      <c r="L15" s="25">
        <v>33600</v>
      </c>
      <c r="M15">
        <v>1</v>
      </c>
      <c r="N15" s="25">
        <f t="shared" ref="N15:N26" si="3">L15*M15</f>
        <v>33600</v>
      </c>
      <c r="O15" s="15">
        <f t="shared" si="1"/>
        <v>0</v>
      </c>
      <c r="P15" s="123"/>
      <c r="Q15" s="123"/>
      <c r="R15" s="123"/>
    </row>
    <row r="16" spans="1:47" x14ac:dyDescent="0.2">
      <c r="A16" s="13" t="s">
        <v>28</v>
      </c>
      <c r="B16" s="14" t="s">
        <v>29</v>
      </c>
      <c r="C16" s="15">
        <f>'[16]Executive Orig'!C17+[16]Trading!C17+[16]Origination!C17+'[16]Mid Market'!C17+[16]Services!C17+[16]Fundamentals!C17</f>
        <v>11300</v>
      </c>
      <c r="E16" s="20">
        <f t="shared" si="2"/>
        <v>18080</v>
      </c>
      <c r="F16" s="15"/>
      <c r="G16" s="140">
        <v>0</v>
      </c>
      <c r="H16" s="15"/>
      <c r="I16" s="16">
        <f t="shared" si="0"/>
        <v>0</v>
      </c>
      <c r="K16" t="s">
        <v>30</v>
      </c>
      <c r="L16" s="25">
        <v>52800</v>
      </c>
      <c r="M16">
        <f>5</f>
        <v>5</v>
      </c>
      <c r="N16" s="25">
        <f t="shared" si="3"/>
        <v>264000</v>
      </c>
      <c r="O16" s="15">
        <f t="shared" si="1"/>
        <v>0</v>
      </c>
      <c r="P16" s="123"/>
      <c r="Q16" s="123"/>
      <c r="R16" s="123"/>
    </row>
    <row r="17" spans="1:15" x14ac:dyDescent="0.2">
      <c r="A17" s="13" t="s">
        <v>31</v>
      </c>
      <c r="B17" s="14" t="s">
        <v>32</v>
      </c>
      <c r="C17" s="15">
        <f>'[16]Executive Orig'!C18+[16]Trading!C18+[16]Origination!C18+'[16]Mid Market'!C18+[16]Services!C18+[16]Fundamentals!C18</f>
        <v>327447.74000000005</v>
      </c>
      <c r="E17" s="20">
        <f t="shared" si="2"/>
        <v>523916.38400000002</v>
      </c>
      <c r="F17" s="15"/>
      <c r="G17" s="140">
        <f>((+(75*12*6))*1.2)*0.917</f>
        <v>5942.16</v>
      </c>
      <c r="H17" s="15"/>
      <c r="I17" s="16">
        <f t="shared" si="0"/>
        <v>1.1639379882483487E-2</v>
      </c>
      <c r="K17" t="s">
        <v>33</v>
      </c>
      <c r="L17" s="25">
        <v>54000</v>
      </c>
      <c r="M17">
        <v>0</v>
      </c>
      <c r="N17" s="25">
        <f t="shared" si="3"/>
        <v>0</v>
      </c>
      <c r="O17" s="15">
        <f t="shared" si="1"/>
        <v>990.36</v>
      </c>
    </row>
    <row r="18" spans="1:15" x14ac:dyDescent="0.2">
      <c r="A18" s="13" t="s">
        <v>34</v>
      </c>
      <c r="B18" s="14" t="s">
        <v>35</v>
      </c>
      <c r="C18" s="15">
        <f>'[16]Executive Orig'!C19+[16]Trading!C19+[16]Origination!C19+'[16]Mid Market'!C19+[16]Services!C19+[16]Fundamentals!C19</f>
        <v>155845.37</v>
      </c>
      <c r="E18" s="20">
        <f t="shared" si="2"/>
        <v>249352.59199999998</v>
      </c>
      <c r="F18" s="15"/>
      <c r="G18" s="140">
        <v>5502</v>
      </c>
      <c r="H18" s="15"/>
      <c r="I18" s="16">
        <f t="shared" si="0"/>
        <v>1.0777203594892119E-2</v>
      </c>
      <c r="K18" t="s">
        <v>36</v>
      </c>
      <c r="L18" s="25">
        <v>63000</v>
      </c>
      <c r="M18">
        <v>0</v>
      </c>
      <c r="N18" s="25">
        <f t="shared" si="3"/>
        <v>0</v>
      </c>
      <c r="O18" s="15">
        <f t="shared" si="1"/>
        <v>917</v>
      </c>
    </row>
    <row r="19" spans="1:15" x14ac:dyDescent="0.2">
      <c r="A19" s="13" t="s">
        <v>37</v>
      </c>
      <c r="B19" s="14" t="s">
        <v>38</v>
      </c>
      <c r="C19" s="15">
        <f>'[16]Executive Orig'!C20+[16]Trading!C20+[16]Origination!C20+'[16]Mid Market'!C20+[16]Services!C20+[16]Fundamentals!C20</f>
        <v>116.15</v>
      </c>
      <c r="E19" s="20">
        <f t="shared" si="2"/>
        <v>185.84</v>
      </c>
      <c r="F19" s="15"/>
      <c r="G19" s="140">
        <v>0</v>
      </c>
      <c r="H19" s="15"/>
      <c r="I19" s="16">
        <f t="shared" si="0"/>
        <v>0</v>
      </c>
      <c r="K19" t="s">
        <v>39</v>
      </c>
      <c r="L19" s="25">
        <v>78000</v>
      </c>
      <c r="M19">
        <v>0</v>
      </c>
      <c r="N19" s="25">
        <f t="shared" si="3"/>
        <v>0</v>
      </c>
      <c r="O19" s="15">
        <f t="shared" si="1"/>
        <v>0</v>
      </c>
    </row>
    <row r="20" spans="1:15" x14ac:dyDescent="0.2">
      <c r="A20" s="13" t="s">
        <v>40</v>
      </c>
      <c r="B20" s="14" t="s">
        <v>41</v>
      </c>
      <c r="C20" s="15">
        <f>'[16]Executive Orig'!C21+[16]Trading!C21+[16]Origination!C21+'[16]Mid Market'!C21+[16]Services!C21+[16]Fundamentals!C21</f>
        <v>566869.93000000017</v>
      </c>
      <c r="E20" s="20">
        <f t="shared" si="2"/>
        <v>906991.88800000027</v>
      </c>
      <c r="F20" s="15"/>
      <c r="G20" s="140">
        <v>5502</v>
      </c>
      <c r="H20" s="15"/>
      <c r="I20" s="16">
        <f t="shared" si="0"/>
        <v>1.0777203594892119E-2</v>
      </c>
      <c r="K20" t="s">
        <v>42</v>
      </c>
      <c r="L20" s="25">
        <v>66000</v>
      </c>
      <c r="M20">
        <v>0</v>
      </c>
      <c r="N20" s="25">
        <f t="shared" si="3"/>
        <v>0</v>
      </c>
      <c r="O20" s="15">
        <f t="shared" si="1"/>
        <v>917</v>
      </c>
    </row>
    <row r="21" spans="1:15" x14ac:dyDescent="0.2">
      <c r="A21" s="13" t="s">
        <v>43</v>
      </c>
      <c r="B21" s="14" t="s">
        <v>44</v>
      </c>
      <c r="C21" s="15">
        <f>'[16]Executive Orig'!C22+[16]Trading!C22+[16]Origination!C22+'[16]Mid Market'!C22+[16]Services!C22+[16]Fundamentals!C22</f>
        <v>75709.649999999965</v>
      </c>
      <c r="E21" s="20">
        <f t="shared" si="2"/>
        <v>121135.43999999994</v>
      </c>
      <c r="F21" s="15"/>
      <c r="G21" s="140">
        <f>((+E21/$E$28*$M$10)*1.2)*0.917</f>
        <v>8986.3441466966251</v>
      </c>
      <c r="H21" s="15"/>
      <c r="I21" s="16">
        <f t="shared" si="0"/>
        <v>1.7602264711507928E-2</v>
      </c>
      <c r="K21" t="s">
        <v>45</v>
      </c>
      <c r="L21" s="25">
        <v>97200</v>
      </c>
      <c r="M21">
        <v>0</v>
      </c>
      <c r="N21" s="25">
        <f t="shared" si="3"/>
        <v>0</v>
      </c>
      <c r="O21" s="15">
        <f t="shared" si="1"/>
        <v>1497.7240244494376</v>
      </c>
    </row>
    <row r="22" spans="1:15" x14ac:dyDescent="0.2">
      <c r="A22" s="26" t="s">
        <v>46</v>
      </c>
      <c r="B22" s="27" t="s">
        <v>47</v>
      </c>
      <c r="C22" s="28">
        <f>SUM(C8:C21)</f>
        <v>9334664.8999999966</v>
      </c>
      <c r="E22" s="28">
        <f>SUM(E8:E21)</f>
        <v>13151305.386666665</v>
      </c>
      <c r="F22" s="29"/>
      <c r="G22" s="28">
        <f>SUM(G8:G21)</f>
        <v>510522.04326989665</v>
      </c>
      <c r="H22" s="29"/>
      <c r="I22" s="30">
        <f>SUM(I8:I21)</f>
        <v>1</v>
      </c>
      <c r="K22" t="s">
        <v>48</v>
      </c>
      <c r="L22" s="25">
        <v>120000</v>
      </c>
      <c r="M22">
        <v>0</v>
      </c>
      <c r="N22" s="25">
        <f t="shared" si="3"/>
        <v>0</v>
      </c>
      <c r="O22" s="28">
        <f>SUM(O8:O21)</f>
        <v>85087.007211649441</v>
      </c>
    </row>
    <row r="23" spans="1:15" x14ac:dyDescent="0.2">
      <c r="K23" t="s">
        <v>49</v>
      </c>
      <c r="L23" s="25">
        <v>156000</v>
      </c>
      <c r="M23">
        <v>0</v>
      </c>
      <c r="N23" s="25">
        <f t="shared" si="3"/>
        <v>0</v>
      </c>
    </row>
    <row r="24" spans="1:15" x14ac:dyDescent="0.2">
      <c r="B24" s="27" t="s">
        <v>50</v>
      </c>
      <c r="C24" s="15"/>
      <c r="E24" s="31">
        <f>'[16]Executive Orig'!E25+[16]Trading!E25+[16]Origination!E25+'[16]Mid Market'!E25+[16]Services!E25+[16]Fundamentals!E25</f>
        <v>74</v>
      </c>
      <c r="F24" s="32"/>
      <c r="G24" s="31">
        <f>SUM(M15:M19,M22:M26)</f>
        <v>6</v>
      </c>
      <c r="H24" s="32"/>
      <c r="K24" t="s">
        <v>51</v>
      </c>
      <c r="L24" s="25">
        <v>180000</v>
      </c>
      <c r="M24">
        <v>0</v>
      </c>
      <c r="N24" s="25">
        <f t="shared" si="3"/>
        <v>0</v>
      </c>
      <c r="O24" s="31">
        <f>SUM(U15:U19,U22:U26)</f>
        <v>0</v>
      </c>
    </row>
    <row r="25" spans="1:15" x14ac:dyDescent="0.2">
      <c r="C25" s="15"/>
      <c r="E25" s="15"/>
      <c r="F25" s="15"/>
      <c r="G25" s="15"/>
      <c r="H25" s="15"/>
      <c r="K25" t="s">
        <v>52</v>
      </c>
      <c r="L25" s="25">
        <v>216000</v>
      </c>
      <c r="M25">
        <v>0</v>
      </c>
      <c r="N25" s="25">
        <f t="shared" si="3"/>
        <v>0</v>
      </c>
      <c r="O25" s="15"/>
    </row>
    <row r="26" spans="1:15" x14ac:dyDescent="0.2">
      <c r="B26" s="27" t="s">
        <v>53</v>
      </c>
      <c r="C26" s="15"/>
      <c r="E26" s="31">
        <f>'[16]Executive Orig'!E27+[16]Trading!E27+[16]Origination!E27+'[16]Mid Market'!E27+[16]Services!E27+[16]Fundamentals!E27</f>
        <v>15</v>
      </c>
      <c r="F26" s="32"/>
      <c r="G26" s="31">
        <f>+M20+M21</f>
        <v>0</v>
      </c>
      <c r="H26" s="32"/>
      <c r="K26" t="s">
        <v>54</v>
      </c>
      <c r="L26" s="25">
        <v>240000</v>
      </c>
      <c r="M26">
        <v>0</v>
      </c>
      <c r="N26" s="25">
        <f t="shared" si="3"/>
        <v>0</v>
      </c>
      <c r="O26" s="31">
        <f>+U20+U21</f>
        <v>0</v>
      </c>
    </row>
    <row r="27" spans="1:15" x14ac:dyDescent="0.2">
      <c r="M27">
        <f>SUM(M15:M26)</f>
        <v>6</v>
      </c>
      <c r="N27" s="25">
        <f>SUM(N15:N26)*1.2</f>
        <v>357120</v>
      </c>
    </row>
    <row r="28" spans="1:15" x14ac:dyDescent="0.2">
      <c r="B28" s="27" t="s">
        <v>55</v>
      </c>
      <c r="C28" s="15"/>
      <c r="E28" s="31">
        <f>+E26+E24</f>
        <v>89</v>
      </c>
      <c r="F28" s="32"/>
      <c r="G28" s="31">
        <f>+G26+G24</f>
        <v>6</v>
      </c>
      <c r="H28" s="32"/>
      <c r="I28" s="25"/>
      <c r="O28" s="31">
        <v>1</v>
      </c>
    </row>
    <row r="30" spans="1:15" x14ac:dyDescent="0.2">
      <c r="J30" s="33" t="s">
        <v>56</v>
      </c>
      <c r="K30" s="25"/>
      <c r="L30" s="25"/>
      <c r="M30" s="25"/>
    </row>
    <row r="31" spans="1:15" hidden="1" x14ac:dyDescent="0.2">
      <c r="B31" s="14" t="s">
        <v>22</v>
      </c>
      <c r="C31" s="15">
        <v>677322</v>
      </c>
      <c r="K31" s="25"/>
      <c r="L31" s="25"/>
      <c r="M31" s="25"/>
    </row>
    <row r="32" spans="1:15" x14ac:dyDescent="0.2">
      <c r="J32" s="34" t="s">
        <v>57</v>
      </c>
      <c r="K32" s="35" t="s">
        <v>58</v>
      </c>
      <c r="L32" s="35" t="s">
        <v>59</v>
      </c>
      <c r="M32" s="35" t="s">
        <v>2</v>
      </c>
      <c r="N32" s="35" t="s">
        <v>60</v>
      </c>
    </row>
    <row r="33" spans="10:14" x14ac:dyDescent="0.2">
      <c r="J33" s="36">
        <f>SUM(E11:E21)</f>
        <v>4230513.1199999992</v>
      </c>
      <c r="K33" s="37">
        <f>+E28</f>
        <v>89</v>
      </c>
      <c r="L33" s="37">
        <f>+J33/K33</f>
        <v>47533.855280898868</v>
      </c>
      <c r="M33" s="37">
        <f>+M10</f>
        <v>6</v>
      </c>
      <c r="N33" s="37">
        <f>+L33*M33</f>
        <v>285203.13168539322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scale="99"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R62"/>
  <sheetViews>
    <sheetView zoomScaleNormal="100" workbookViewId="0">
      <selection activeCell="F8" sqref="F8:F21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2.42578125" customWidth="1"/>
    <col min="8" max="8" width="13.5703125" hidden="1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6" width="9.140625" hidden="1" customWidth="1"/>
    <col min="17" max="54" width="0" hidden="1" customWidth="1"/>
  </cols>
  <sheetData>
    <row r="1" spans="1:44" ht="18" x14ac:dyDescent="0.25">
      <c r="B1" s="142" t="str">
        <f>'[21]Team Report'!B1</f>
        <v>Enron North America</v>
      </c>
      <c r="C1" s="142"/>
      <c r="D1" s="142"/>
      <c r="E1" s="142"/>
      <c r="F1" s="142"/>
      <c r="G1" s="142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2" t="s">
        <v>116</v>
      </c>
      <c r="C2" s="142"/>
      <c r="D2" s="142"/>
      <c r="E2" s="142"/>
      <c r="F2" s="142"/>
      <c r="G2" s="142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3" t="s">
        <v>0</v>
      </c>
      <c r="C3" s="143"/>
      <c r="D3" s="143"/>
      <c r="E3" s="143"/>
      <c r="F3" s="143"/>
      <c r="G3" s="14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1</v>
      </c>
      <c r="K5" s="8" t="s">
        <v>2</v>
      </c>
      <c r="L5" s="9" t="s">
        <v>3</v>
      </c>
    </row>
    <row r="6" spans="1:44" x14ac:dyDescent="0.2">
      <c r="C6" s="10">
        <v>37135</v>
      </c>
      <c r="E6" s="44" t="s">
        <v>61</v>
      </c>
      <c r="G6" s="44" t="s">
        <v>63</v>
      </c>
      <c r="I6" s="7"/>
      <c r="J6" s="8"/>
      <c r="K6" s="8"/>
      <c r="L6" s="9"/>
      <c r="O6" s="11">
        <v>2002</v>
      </c>
    </row>
    <row r="7" spans="1:44" x14ac:dyDescent="0.2">
      <c r="C7" s="12" t="s">
        <v>5</v>
      </c>
      <c r="E7" s="12" t="s">
        <v>6</v>
      </c>
      <c r="G7" s="12" t="s">
        <v>7</v>
      </c>
      <c r="I7" s="7"/>
      <c r="J7" s="8"/>
      <c r="K7" s="8"/>
      <c r="L7" s="9"/>
      <c r="O7" s="12" t="s">
        <v>7</v>
      </c>
    </row>
    <row r="8" spans="1:44" x14ac:dyDescent="0.2">
      <c r="A8" s="13" t="s">
        <v>9</v>
      </c>
      <c r="B8" s="14" t="s">
        <v>10</v>
      </c>
      <c r="C8" s="53">
        <f>'[21]Team Report'!BA25</f>
        <v>10228335.790000001</v>
      </c>
      <c r="E8" s="15">
        <f t="shared" ref="E8:E13" si="0">(C8/9)*12</f>
        <v>13637781.053333335</v>
      </c>
      <c r="G8" s="140">
        <f>((L27+46200)*1.2)*0.917</f>
        <v>1865178</v>
      </c>
      <c r="I8" s="7" t="s">
        <v>10</v>
      </c>
      <c r="J8" s="17">
        <v>0</v>
      </c>
      <c r="K8" s="8"/>
      <c r="L8" s="18">
        <f>L27*1.2</f>
        <v>1978560</v>
      </c>
      <c r="O8" s="15">
        <f t="shared" ref="O8:O21" si="1">+G8/$G$28*$O$28</f>
        <v>186517.8</v>
      </c>
    </row>
    <row r="9" spans="1:44" x14ac:dyDescent="0.2">
      <c r="A9" s="13"/>
      <c r="B9" s="14" t="s">
        <v>70</v>
      </c>
      <c r="C9" s="15">
        <v>0</v>
      </c>
      <c r="E9" s="15">
        <f t="shared" si="0"/>
        <v>0</v>
      </c>
      <c r="G9" s="140">
        <v>0</v>
      </c>
      <c r="I9" s="7"/>
      <c r="J9" s="8"/>
      <c r="K9" s="8"/>
      <c r="L9" s="9"/>
      <c r="O9" s="15">
        <f t="shared" si="1"/>
        <v>0</v>
      </c>
    </row>
    <row r="10" spans="1:44" x14ac:dyDescent="0.2">
      <c r="A10" s="13" t="s">
        <v>13</v>
      </c>
      <c r="B10" s="14" t="s">
        <v>14</v>
      </c>
      <c r="C10" s="15">
        <f>'[21]Team Report'!BA26</f>
        <v>1877442.13</v>
      </c>
      <c r="E10" s="15">
        <f t="shared" si="0"/>
        <v>2503256.1733333333</v>
      </c>
      <c r="G10" s="140">
        <f>((L31-L27+9240)*1.2)*0.917</f>
        <v>373035.60000000003</v>
      </c>
      <c r="I10" s="7" t="s">
        <v>15</v>
      </c>
      <c r="J10" s="19">
        <f>(E11+E12+E13+E14+E15+E16+E17+E18+E19+E20+E21)/E28</f>
        <v>22231.734294294292</v>
      </c>
      <c r="K10" s="8">
        <f>K27</f>
        <v>10</v>
      </c>
      <c r="L10" s="18">
        <f>J10*K10</f>
        <v>222317.34294294292</v>
      </c>
      <c r="O10" s="15">
        <f t="shared" si="1"/>
        <v>37303.560000000005</v>
      </c>
    </row>
    <row r="11" spans="1:44" x14ac:dyDescent="0.2">
      <c r="A11" s="13" t="s">
        <v>16</v>
      </c>
      <c r="B11" s="14" t="s">
        <v>17</v>
      </c>
      <c r="C11" s="15">
        <f>'[21]Team Report'!BA27</f>
        <v>405632.98</v>
      </c>
      <c r="E11" s="15">
        <f t="shared" si="0"/>
        <v>540843.97333333339</v>
      </c>
      <c r="G11" s="140">
        <f>(((E11/$E$28)*$K$10+51275)*1.2)*0.917</f>
        <v>110039.65038342342</v>
      </c>
      <c r="I11" s="7"/>
      <c r="J11" s="8"/>
      <c r="K11" s="8"/>
      <c r="L11" s="9"/>
      <c r="O11" s="15">
        <f t="shared" si="1"/>
        <v>11003.965038342341</v>
      </c>
    </row>
    <row r="12" spans="1:44" ht="13.5" thickBot="1" x14ac:dyDescent="0.25">
      <c r="A12" s="13" t="s">
        <v>18</v>
      </c>
      <c r="B12" s="14" t="s">
        <v>19</v>
      </c>
      <c r="C12" s="15">
        <f>'[21]Team Report'!BA28</f>
        <v>648740.16999999993</v>
      </c>
      <c r="E12" s="15">
        <f t="shared" si="0"/>
        <v>864986.8933333332</v>
      </c>
      <c r="G12" s="140">
        <f>(((E12/$E$28)*$K$10+522073)*1.2)*0.917</f>
        <v>660239.7217607206</v>
      </c>
      <c r="I12" s="22" t="s">
        <v>20</v>
      </c>
      <c r="J12" s="23"/>
      <c r="K12" s="23"/>
      <c r="L12" s="24">
        <f>L8+L10</f>
        <v>2200877.3429429429</v>
      </c>
      <c r="N12">
        <v>1893527</v>
      </c>
      <c r="O12" s="15">
        <f t="shared" si="1"/>
        <v>66023.972176072057</v>
      </c>
      <c r="P12" s="49">
        <f>N12-L12</f>
        <v>-307350.34294294287</v>
      </c>
    </row>
    <row r="13" spans="1:44" x14ac:dyDescent="0.2">
      <c r="A13" s="13" t="s">
        <v>21</v>
      </c>
      <c r="B13" s="14" t="s">
        <v>22</v>
      </c>
      <c r="C13" s="15">
        <v>0</v>
      </c>
      <c r="E13" s="15">
        <f t="shared" si="0"/>
        <v>0</v>
      </c>
      <c r="G13" s="140">
        <v>3851400</v>
      </c>
      <c r="J13"/>
      <c r="K13"/>
      <c r="L13"/>
      <c r="O13" s="15">
        <f t="shared" si="1"/>
        <v>385140</v>
      </c>
    </row>
    <row r="14" spans="1:44" x14ac:dyDescent="0.2">
      <c r="A14" s="13" t="s">
        <v>23</v>
      </c>
      <c r="B14" s="14" t="s">
        <v>24</v>
      </c>
      <c r="C14" s="15">
        <f>'[21]Team Report'!BA33</f>
        <v>76876.320000000007</v>
      </c>
      <c r="E14" s="15">
        <f>(C14/9)*12-25000</f>
        <v>77501.760000000009</v>
      </c>
      <c r="G14" s="140">
        <f>(((E14/$E$28)*$K$10)*1.2)*0.917</f>
        <v>7683.1474508108113</v>
      </c>
      <c r="J14"/>
      <c r="K14"/>
      <c r="L14"/>
      <c r="O14" s="15">
        <f t="shared" si="1"/>
        <v>768.31474508108113</v>
      </c>
    </row>
    <row r="15" spans="1:44" x14ac:dyDescent="0.2">
      <c r="A15" s="13" t="s">
        <v>25</v>
      </c>
      <c r="B15" s="14" t="s">
        <v>26</v>
      </c>
      <c r="C15" s="15">
        <f>'[21]Team Report'!BA34</f>
        <v>0</v>
      </c>
      <c r="E15" s="15">
        <f>(C15/9)*12</f>
        <v>0</v>
      </c>
      <c r="G15" s="140">
        <f>(((E15/$E$28)*$K$10)*1.2)*0.917</f>
        <v>0</v>
      </c>
      <c r="I15" t="s">
        <v>27</v>
      </c>
      <c r="J15" s="25">
        <v>28000</v>
      </c>
      <c r="K15">
        <v>0</v>
      </c>
      <c r="L15" s="25">
        <f t="shared" ref="L15:L26" si="2">J15*K15</f>
        <v>0</v>
      </c>
      <c r="O15" s="15">
        <f t="shared" si="1"/>
        <v>0</v>
      </c>
    </row>
    <row r="16" spans="1:44" x14ac:dyDescent="0.2">
      <c r="A16" s="13" t="s">
        <v>28</v>
      </c>
      <c r="B16" s="14" t="s">
        <v>29</v>
      </c>
      <c r="C16" s="15">
        <f>'[21]Team Report'!BA35</f>
        <v>0</v>
      </c>
      <c r="E16" s="15">
        <f>(C16/9)*12</f>
        <v>0</v>
      </c>
      <c r="G16" s="140">
        <f>(((E16/$E$28)*$K$10)*1.2)*0.917</f>
        <v>0</v>
      </c>
      <c r="I16" t="s">
        <v>30</v>
      </c>
      <c r="J16" s="25">
        <v>36000</v>
      </c>
      <c r="K16">
        <v>0</v>
      </c>
      <c r="L16" s="25">
        <f t="shared" si="2"/>
        <v>0</v>
      </c>
      <c r="O16" s="15">
        <f t="shared" si="1"/>
        <v>0</v>
      </c>
    </row>
    <row r="17" spans="1:15" x14ac:dyDescent="0.2">
      <c r="A17" s="13" t="s">
        <v>31</v>
      </c>
      <c r="B17" s="14" t="s">
        <v>32</v>
      </c>
      <c r="C17" s="15">
        <f>'[21]Team Report'!BA36</f>
        <v>5744.1</v>
      </c>
      <c r="E17" s="15">
        <f>(C17/9)*12</f>
        <v>7658.8</v>
      </c>
      <c r="G17" s="140">
        <f>(((E17/$E$28)*$K$10+49310)*1.2)*0.917</f>
        <v>55019.980172972973</v>
      </c>
      <c r="I17" t="s">
        <v>117</v>
      </c>
      <c r="J17" s="25">
        <v>48000</v>
      </c>
      <c r="K17">
        <v>0</v>
      </c>
      <c r="L17" s="25">
        <f t="shared" si="2"/>
        <v>0</v>
      </c>
      <c r="O17" s="15">
        <f t="shared" si="1"/>
        <v>5501.9980172972973</v>
      </c>
    </row>
    <row r="18" spans="1:15" x14ac:dyDescent="0.2">
      <c r="A18" s="13" t="s">
        <v>34</v>
      </c>
      <c r="B18" s="14" t="s">
        <v>35</v>
      </c>
      <c r="C18" s="15">
        <f>'[21]Team Report'!BA37</f>
        <v>67058.599999999991</v>
      </c>
      <c r="E18" s="15">
        <f>(C18/9)*12-25000</f>
        <v>64411.466666666645</v>
      </c>
      <c r="G18" s="140">
        <f>(((E18/$E$28)*$K$10)*1.2)*0.917</f>
        <v>6385.4394522522516</v>
      </c>
      <c r="I18" t="s">
        <v>36</v>
      </c>
      <c r="J18" s="25">
        <v>52500</v>
      </c>
      <c r="K18">
        <v>0</v>
      </c>
      <c r="L18" s="25">
        <f t="shared" si="2"/>
        <v>0</v>
      </c>
      <c r="O18" s="15">
        <f t="shared" si="1"/>
        <v>638.54394522522512</v>
      </c>
    </row>
    <row r="19" spans="1:15" x14ac:dyDescent="0.2">
      <c r="A19" s="13" t="s">
        <v>37</v>
      </c>
      <c r="B19" s="14" t="s">
        <v>38</v>
      </c>
      <c r="C19" s="15">
        <f>'[21]Team Report'!BA38</f>
        <v>0</v>
      </c>
      <c r="E19" s="15">
        <f>(C19/9)*12</f>
        <v>0</v>
      </c>
      <c r="G19" s="140">
        <f>(((E19/$E$28)*$K$10)*1.2)*0.917</f>
        <v>0</v>
      </c>
      <c r="I19" t="s">
        <v>39</v>
      </c>
      <c r="J19" s="25">
        <v>65000</v>
      </c>
      <c r="K19">
        <v>0</v>
      </c>
      <c r="L19" s="25">
        <f t="shared" si="2"/>
        <v>0</v>
      </c>
      <c r="O19" s="15">
        <f t="shared" si="1"/>
        <v>0</v>
      </c>
    </row>
    <row r="20" spans="1:15" x14ac:dyDescent="0.2">
      <c r="A20" s="13" t="s">
        <v>40</v>
      </c>
      <c r="B20" s="14" t="s">
        <v>41</v>
      </c>
      <c r="C20" s="15">
        <f>'[21]Team Report'!BA42</f>
        <v>842429.76</v>
      </c>
      <c r="E20" s="15">
        <f>(C20/9)*12-200000-19525</f>
        <v>903714.68000000017</v>
      </c>
      <c r="G20" s="140">
        <f>(((E20/$E$28)*$K$10)*1.2)*0.917</f>
        <v>89589.876925405435</v>
      </c>
      <c r="I20" t="s">
        <v>42</v>
      </c>
      <c r="J20" s="25">
        <v>55000</v>
      </c>
      <c r="K20">
        <v>0</v>
      </c>
      <c r="L20" s="25">
        <f t="shared" si="2"/>
        <v>0</v>
      </c>
      <c r="O20" s="15">
        <f t="shared" si="1"/>
        <v>8958.9876925405442</v>
      </c>
    </row>
    <row r="21" spans="1:15" x14ac:dyDescent="0.2">
      <c r="A21" s="13" t="s">
        <v>43</v>
      </c>
      <c r="B21" s="14" t="s">
        <v>44</v>
      </c>
      <c r="C21" s="15">
        <f>'[21]Team Report'!BA44</f>
        <v>6453.6999999999989</v>
      </c>
      <c r="E21" s="15">
        <f>(C21/9)*12</f>
        <v>8604.9333333333325</v>
      </c>
      <c r="G21" s="140">
        <f>(((E21/$E$28)*$K$10)*1.2)*0.917</f>
        <v>853.05122882882881</v>
      </c>
      <c r="I21" t="s">
        <v>45</v>
      </c>
      <c r="J21" s="25">
        <v>81000</v>
      </c>
      <c r="K21">
        <v>0</v>
      </c>
      <c r="L21" s="25">
        <f t="shared" si="2"/>
        <v>0</v>
      </c>
      <c r="O21" s="15">
        <f t="shared" si="1"/>
        <v>85.305122882882884</v>
      </c>
    </row>
    <row r="22" spans="1:15" x14ac:dyDescent="0.2">
      <c r="A22" s="26" t="s">
        <v>46</v>
      </c>
      <c r="B22" s="27" t="s">
        <v>47</v>
      </c>
      <c r="C22" s="28">
        <f>SUM(C8:C21)</f>
        <v>14158713.550000001</v>
      </c>
      <c r="E22" s="28">
        <f>SUM(E8:E21)</f>
        <v>18608759.733333334</v>
      </c>
      <c r="G22" s="28">
        <f>SUM(G8:G21)</f>
        <v>7019424.4673744142</v>
      </c>
      <c r="I22" t="s">
        <v>48</v>
      </c>
      <c r="J22" s="25">
        <f>80000</f>
        <v>80000</v>
      </c>
      <c r="K22">
        <v>1</v>
      </c>
      <c r="L22" s="25">
        <f t="shared" si="2"/>
        <v>80000</v>
      </c>
      <c r="O22" s="28">
        <f>SUM(O8:O21)</f>
        <v>701942.44673744135</v>
      </c>
    </row>
    <row r="23" spans="1:15" x14ac:dyDescent="0.2">
      <c r="I23" t="s">
        <v>49</v>
      </c>
      <c r="J23" s="25">
        <f>115000*1.2</f>
        <v>138000</v>
      </c>
      <c r="K23">
        <v>3</v>
      </c>
      <c r="L23" s="25">
        <f t="shared" si="2"/>
        <v>414000</v>
      </c>
    </row>
    <row r="24" spans="1:15" x14ac:dyDescent="0.2">
      <c r="B24" s="27" t="s">
        <v>50</v>
      </c>
      <c r="C24" s="55"/>
      <c r="E24" s="55">
        <v>111</v>
      </c>
      <c r="G24" s="55">
        <f>+K27</f>
        <v>10</v>
      </c>
      <c r="I24" t="s">
        <v>51</v>
      </c>
      <c r="J24" s="25">
        <f>140000</f>
        <v>140000</v>
      </c>
      <c r="K24">
        <v>4</v>
      </c>
      <c r="L24" s="25">
        <f t="shared" si="2"/>
        <v>560000</v>
      </c>
      <c r="O24" s="31">
        <f>SUM(U15:U19,U22:U26)</f>
        <v>0</v>
      </c>
    </row>
    <row r="25" spans="1:15" x14ac:dyDescent="0.2">
      <c r="I25" t="s">
        <v>52</v>
      </c>
      <c r="J25" s="25">
        <f>160000</f>
        <v>160000</v>
      </c>
      <c r="K25">
        <v>2</v>
      </c>
      <c r="L25" s="25">
        <f t="shared" si="2"/>
        <v>320000</v>
      </c>
      <c r="O25" s="15"/>
    </row>
    <row r="26" spans="1:15" x14ac:dyDescent="0.2">
      <c r="B26" s="27" t="s">
        <v>67</v>
      </c>
      <c r="C26" s="55"/>
      <c r="E26" s="55"/>
      <c r="G26" s="55"/>
      <c r="I26" t="s">
        <v>54</v>
      </c>
      <c r="J26" s="25">
        <f>288000</f>
        <v>288000</v>
      </c>
      <c r="K26">
        <v>0</v>
      </c>
      <c r="L26" s="25">
        <f t="shared" si="2"/>
        <v>0</v>
      </c>
      <c r="O26" s="31">
        <f>+U20+U21</f>
        <v>0</v>
      </c>
    </row>
    <row r="27" spans="1:15" x14ac:dyDescent="0.2">
      <c r="J27"/>
      <c r="K27">
        <f>SUM(K15:K26)</f>
        <v>10</v>
      </c>
      <c r="L27" s="25">
        <f>SUM(L15:L26)*1.2</f>
        <v>1648800</v>
      </c>
    </row>
    <row r="28" spans="1:15" x14ac:dyDescent="0.2">
      <c r="B28" s="27" t="s">
        <v>55</v>
      </c>
      <c r="C28" s="55"/>
      <c r="E28" s="55">
        <f>SUM(E24:E27)</f>
        <v>111</v>
      </c>
      <c r="G28" s="55">
        <f>SUM(G24:G27)</f>
        <v>10</v>
      </c>
      <c r="O28" s="31">
        <v>1</v>
      </c>
    </row>
    <row r="29" spans="1:15" x14ac:dyDescent="0.2">
      <c r="B29" s="27"/>
      <c r="I29" t="s">
        <v>102</v>
      </c>
      <c r="L29" s="52">
        <v>0.2</v>
      </c>
    </row>
    <row r="30" spans="1:15" hidden="1" x14ac:dyDescent="0.2">
      <c r="A30" s="13" t="s">
        <v>71</v>
      </c>
      <c r="B30" s="14" t="s">
        <v>72</v>
      </c>
      <c r="C30" s="15">
        <f>'[21]Team Report'!BA29</f>
        <v>-24140467.679999996</v>
      </c>
      <c r="E30" s="15">
        <f t="shared" ref="E30:E37" si="3">(C30/9)*12</f>
        <v>-32187290.239999995</v>
      </c>
    </row>
    <row r="31" spans="1:15" hidden="1" x14ac:dyDescent="0.2">
      <c r="A31" s="13" t="s">
        <v>73</v>
      </c>
      <c r="B31" s="14" t="s">
        <v>74</v>
      </c>
      <c r="C31" s="15">
        <f>'[21]Team Report'!BA30</f>
        <v>0</v>
      </c>
      <c r="E31" s="15">
        <f t="shared" si="3"/>
        <v>0</v>
      </c>
      <c r="L31" s="25">
        <f>L27*1.2</f>
        <v>1978560</v>
      </c>
    </row>
    <row r="32" spans="1:15" hidden="1" x14ac:dyDescent="0.2">
      <c r="A32" s="13" t="s">
        <v>75</v>
      </c>
      <c r="B32" s="14" t="s">
        <v>76</v>
      </c>
      <c r="C32" s="15">
        <f>'[21]Team Report'!BA31</f>
        <v>0</v>
      </c>
      <c r="E32" s="15">
        <f t="shared" si="3"/>
        <v>0</v>
      </c>
    </row>
    <row r="33" spans="1:13" hidden="1" x14ac:dyDescent="0.2">
      <c r="A33" s="13" t="s">
        <v>77</v>
      </c>
      <c r="B33" s="14" t="s">
        <v>78</v>
      </c>
      <c r="C33" s="15">
        <f>'[21]Team Report'!BA39</f>
        <v>0</v>
      </c>
      <c r="E33" s="15">
        <f t="shared" si="3"/>
        <v>0</v>
      </c>
      <c r="I33" s="33" t="s">
        <v>56</v>
      </c>
    </row>
    <row r="34" spans="1:13" hidden="1" x14ac:dyDescent="0.2">
      <c r="A34" s="13" t="s">
        <v>79</v>
      </c>
      <c r="B34" s="14" t="s">
        <v>80</v>
      </c>
      <c r="C34" s="15">
        <f>'[21]Team Report'!BA40</f>
        <v>164920.93000000002</v>
      </c>
      <c r="E34" s="15">
        <f t="shared" si="3"/>
        <v>219894.57333333336</v>
      </c>
    </row>
    <row r="35" spans="1:13" hidden="1" x14ac:dyDescent="0.2">
      <c r="A35" s="13" t="s">
        <v>81</v>
      </c>
      <c r="B35" s="14" t="s">
        <v>82</v>
      </c>
      <c r="C35" s="15">
        <f>'[21]Team Report'!BA41</f>
        <v>945381.27</v>
      </c>
      <c r="E35" s="15">
        <f t="shared" si="3"/>
        <v>1260508.3600000001</v>
      </c>
      <c r="I35" s="34" t="s">
        <v>118</v>
      </c>
    </row>
    <row r="36" spans="1:13" hidden="1" x14ac:dyDescent="0.2">
      <c r="A36" s="13" t="s">
        <v>83</v>
      </c>
      <c r="B36" s="14" t="s">
        <v>84</v>
      </c>
      <c r="C36" s="15">
        <f>'[21]Team Report'!BA43</f>
        <v>-5121278.5200000005</v>
      </c>
      <c r="E36" s="15">
        <f t="shared" si="3"/>
        <v>-6828371.3600000013</v>
      </c>
      <c r="L36"/>
    </row>
    <row r="37" spans="1:13" hidden="1" x14ac:dyDescent="0.2">
      <c r="A37" s="13" t="s">
        <v>85</v>
      </c>
      <c r="B37" s="14" t="s">
        <v>86</v>
      </c>
      <c r="C37" s="15">
        <f>'[21]Team Report'!BA45</f>
        <v>0</v>
      </c>
      <c r="E37" s="15">
        <f t="shared" si="3"/>
        <v>0</v>
      </c>
      <c r="L37"/>
    </row>
    <row r="38" spans="1:13" hidden="1" x14ac:dyDescent="0.2">
      <c r="A38" s="13" t="s">
        <v>21</v>
      </c>
      <c r="B38" s="14" t="s">
        <v>22</v>
      </c>
      <c r="C38" s="15">
        <v>24143776.43</v>
      </c>
      <c r="E38" s="15">
        <v>32191701.906666666</v>
      </c>
      <c r="J38" s="35"/>
      <c r="K38" s="35"/>
      <c r="L38"/>
      <c r="M38" s="35"/>
    </row>
    <row r="39" spans="1:13" hidden="1" x14ac:dyDescent="0.2">
      <c r="H39" s="36"/>
      <c r="I39" s="56"/>
      <c r="J39" s="37"/>
      <c r="K39" s="37"/>
      <c r="L39" s="37"/>
      <c r="M39" s="25"/>
    </row>
    <row r="40" spans="1:13" hidden="1" x14ac:dyDescent="0.2">
      <c r="J40"/>
      <c r="L40"/>
    </row>
    <row r="41" spans="1:13" hidden="1" x14ac:dyDescent="0.2">
      <c r="J41"/>
      <c r="L41"/>
    </row>
    <row r="42" spans="1:13" hidden="1" x14ac:dyDescent="0.2"/>
    <row r="43" spans="1:13" hidden="1" x14ac:dyDescent="0.2">
      <c r="C43" s="54">
        <f>C22+C30+C31+C32+C33+C34+C35+C36+C37</f>
        <v>-13992730.449999996</v>
      </c>
    </row>
    <row r="44" spans="1:13" hidden="1" x14ac:dyDescent="0.2"/>
    <row r="45" spans="1:13" hidden="1" x14ac:dyDescent="0.2"/>
    <row r="46" spans="1:13" hidden="1" x14ac:dyDescent="0.2"/>
    <row r="47" spans="1:13" hidden="1" x14ac:dyDescent="0.2"/>
    <row r="48" spans="1:13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R37"/>
  <sheetViews>
    <sheetView topLeftCell="A3" zoomScaleNormal="100" workbookViewId="0">
      <selection activeCell="F8" sqref="F8:F21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0" hidden="1" customWidth="1"/>
  </cols>
  <sheetData>
    <row r="1" spans="1:44" ht="18" x14ac:dyDescent="0.2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2" t="s">
        <v>194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 t="s">
        <v>63</v>
      </c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 t="s">
        <v>7</v>
      </c>
    </row>
    <row r="8" spans="1:44" x14ac:dyDescent="0.2">
      <c r="A8" s="13" t="s">
        <v>9</v>
      </c>
      <c r="B8" s="14" t="s">
        <v>10</v>
      </c>
      <c r="C8" s="15">
        <f>'[11]Central Trading'!C8+'[11]Central Origination'!C8+[11]Derivatives!C8+'[11]East Trading'!C8+'[11]East Origination'!C8+'[11]Financial Gas'!C8+[11]Structuring!C8+'[11]Texas Trading'!C8+'[11]Texas Origination'!C8+'[11]West Trading'!C8+'[11]West Origination'!C8+[11]Fundamentals!C8</f>
        <v>8647857.6600000001</v>
      </c>
      <c r="E8" s="15">
        <f>((C8/9)*12)</f>
        <v>11530476.880000001</v>
      </c>
      <c r="G8" s="45">
        <f t="shared" ref="G8:G22" si="0">E8/$E$22</f>
        <v>0.5287785559542808</v>
      </c>
      <c r="H8" s="140">
        <f>((+'[22]Competitive Ana'!F8+'[22]Gas - Fund'!H8+'[22]East - Fund'!F8+'[22]West - Fund'!G8)*1.2)*0.917</f>
        <v>1993242.5520000001</v>
      </c>
      <c r="I8" s="42" t="s">
        <v>10</v>
      </c>
      <c r="J8" s="17">
        <v>0</v>
      </c>
      <c r="K8" s="17"/>
      <c r="L8" s="43">
        <f>L29</f>
        <v>2208096</v>
      </c>
      <c r="Q8" s="15">
        <f t="shared" ref="Q8:Q21" si="1">+H8/$H$28*$Q$28</f>
        <v>60401.289454545462</v>
      </c>
    </row>
    <row r="9" spans="1:44" x14ac:dyDescent="0.2">
      <c r="A9" s="13"/>
      <c r="B9" s="14" t="s">
        <v>65</v>
      </c>
      <c r="C9" s="15">
        <f>'[11]Central Trading'!C10+'[11]Central Origination'!C10+[11]Derivatives!C10+'[11]East Trading'!C10+'[11]East Origination'!C10+'[11]Financial Gas'!C10+[11]Structuring!C10+'[11]Texas Trading'!C10+'[11]Texas Origination'!C10+'[11]West Trading'!C10+'[11]West Origination'!C10+[11]Fundamentals!C10</f>
        <v>3095252.76</v>
      </c>
      <c r="D9" s="15"/>
      <c r="E9" s="15">
        <f>('[11]Central Trading'!E9+'[11]Central Origination'!E10+[11]Derivatives!E10+'[11]East Trading'!E10+'[11]East Origination'!E10+'[11]Financial Gas'!E10+[11]Structuring!E10+'[11]Texas Trading'!E10+'[11]Texas Origination'!E10+'[11]West Trading'!E10+'[11]West Origination'!E10+[11]Fundamentals!E10)-4000000</f>
        <v>82420.999999999534</v>
      </c>
      <c r="G9" s="45">
        <f t="shared" si="0"/>
        <v>3.7797619139155266E-3</v>
      </c>
      <c r="H9" s="140">
        <f>((+'[22]Competitive Ana'!F10+'[22]Gas - Fund'!H10+'[22]East - Fund'!F10+'[22]West - Fund'!G10)*1.2)*0.917</f>
        <v>1396957.8</v>
      </c>
      <c r="I9" s="42"/>
      <c r="J9" s="17"/>
      <c r="K9" s="17"/>
      <c r="L9" s="43"/>
      <c r="Q9" s="15">
        <f t="shared" si="1"/>
        <v>42332.05454545455</v>
      </c>
    </row>
    <row r="10" spans="1:44" x14ac:dyDescent="0.2">
      <c r="A10" s="13" t="s">
        <v>13</v>
      </c>
      <c r="B10" s="14" t="s">
        <v>14</v>
      </c>
      <c r="C10" s="15">
        <f>'[11]Central Trading'!C11+'[11]Central Origination'!C11+[11]Derivatives!C11+'[11]East Trading'!C11+'[11]East Origination'!C11+'[11]Financial Gas'!C11+[11]Structuring!C11+'[11]Texas Trading'!C11+'[11]Texas Origination'!C11+'[11]West Trading'!C11+'[11]West Origination'!C11+[11]Fundamentals!C11</f>
        <v>1852307.95</v>
      </c>
      <c r="E10" s="15">
        <f>((C10/9)*12)</f>
        <v>2469743.9333333331</v>
      </c>
      <c r="G10" s="45">
        <f t="shared" si="0"/>
        <v>0.11326050468129861</v>
      </c>
      <c r="H10" s="140">
        <f>((+'[22]Competitive Ana'!F11+'[22]Gas - Fund'!H11+'[22]East - Fund'!F11+'[22]West - Fund'!G11)*1.2)*0.917</f>
        <v>678040.07039999997</v>
      </c>
      <c r="I10" s="42" t="s">
        <v>15</v>
      </c>
      <c r="J10" s="17">
        <f>(E11+E12+E13+E14+E15+E16+E17+E18+E19+E20+E21)/E28</f>
        <v>48270.181250000009</v>
      </c>
      <c r="K10" s="17">
        <f>K27</f>
        <v>17</v>
      </c>
      <c r="L10" s="43">
        <f>J10*K10</f>
        <v>820593.08125000016</v>
      </c>
      <c r="Q10" s="15">
        <f t="shared" si="1"/>
        <v>20546.668799999999</v>
      </c>
    </row>
    <row r="11" spans="1:44" x14ac:dyDescent="0.2">
      <c r="A11" s="13" t="s">
        <v>16</v>
      </c>
      <c r="B11" s="14" t="s">
        <v>17</v>
      </c>
      <c r="C11" s="15">
        <f>'[11]Central Trading'!C12+'[11]Central Origination'!C12+[11]Derivatives!C12+'[11]East Trading'!C12+'[11]East Origination'!C12+'[11]Financial Gas'!C12+[11]Structuring!C12+'[11]Texas Trading'!C12+'[11]Texas Origination'!C12+'[11]West Trading'!C12+'[11]West Origination'!C12+[11]Fundamentals!C12</f>
        <v>1114496.8499999996</v>
      </c>
      <c r="E11" s="20">
        <f>((C11/9)*12)-500000</f>
        <v>985995.79999999958</v>
      </c>
      <c r="G11" s="45">
        <f t="shared" si="0"/>
        <v>4.5216988050626544E-2</v>
      </c>
      <c r="H11" s="140">
        <f>((+'[22]Competitive Ana'!F12+'[22]Gas - Fund'!H12+'[22]East - Fund'!F12+'[22]West - Fund'!G12)*1.2)*0.917</f>
        <v>197558.64048336167</v>
      </c>
      <c r="I11" s="42"/>
      <c r="J11" s="17"/>
      <c r="K11" s="17"/>
      <c r="L11" s="43"/>
      <c r="Q11" s="15">
        <f t="shared" si="1"/>
        <v>5986.6254691927779</v>
      </c>
    </row>
    <row r="12" spans="1:44" ht="13.5" thickBot="1" x14ac:dyDescent="0.25">
      <c r="A12" s="13" t="s">
        <v>18</v>
      </c>
      <c r="B12" s="14" t="s">
        <v>19</v>
      </c>
      <c r="C12" s="15">
        <f>'[11]Central Trading'!C13+'[11]Central Origination'!C13+[11]Derivatives!C13+'[11]East Trading'!C13+'[11]East Origination'!C13+'[11]Financial Gas'!C13+[11]Structuring!C13+'[11]Texas Trading'!C13+'[11]Texas Origination'!C13+'[11]West Trading'!C13+'[11]West Origination'!C13+[11]Fundamentals!C13</f>
        <v>1408194.83</v>
      </c>
      <c r="E12" s="20">
        <f>((C12/9)*12)-500000-500000</f>
        <v>877593.10666666692</v>
      </c>
      <c r="G12" s="45">
        <f t="shared" si="0"/>
        <v>4.02457262165406E-2</v>
      </c>
      <c r="H12" s="140">
        <f>((+'[22]Competitive Ana'!F13+'[22]Gas - Fund'!H13+'[22]East - Fund'!F13+'[22]West - Fund'!G13)*1.2)*0.917</f>
        <v>264727.40828079579</v>
      </c>
      <c r="I12" s="46" t="s">
        <v>20</v>
      </c>
      <c r="J12" s="47"/>
      <c r="K12" s="47"/>
      <c r="L12" s="48">
        <f>L8+L10</f>
        <v>3028689.0812500003</v>
      </c>
      <c r="N12" s="25">
        <v>24109311.029375006</v>
      </c>
      <c r="P12" s="49">
        <f>N12-L12</f>
        <v>21080621.948125005</v>
      </c>
      <c r="Q12" s="15">
        <f t="shared" si="1"/>
        <v>8022.0426751756304</v>
      </c>
    </row>
    <row r="13" spans="1:44" x14ac:dyDescent="0.2">
      <c r="A13" s="13" t="s">
        <v>21</v>
      </c>
      <c r="B13" s="14" t="s">
        <v>22</v>
      </c>
      <c r="C13" s="15">
        <f>'[11]Central Trading'!C14+'[11]Central Origination'!C14+[11]Derivatives!C14+'[11]East Trading'!C14+'[11]East Origination'!C14+'[11]Financial Gas'!C14+[11]Structuring!C14+'[11]Texas Trading'!C14+'[11]Texas Origination'!C14+'[11]West Trading'!C14+'[11]West Origination'!C14+[11]Fundamentals!C14-C31</f>
        <v>0.2400000000197906</v>
      </c>
      <c r="E13" s="20">
        <f>(C13/9)*12</f>
        <v>0.32000000002638745</v>
      </c>
      <c r="G13" s="45">
        <f t="shared" si="0"/>
        <v>1.4674947071167709E-8</v>
      </c>
      <c r="H13" s="140">
        <f>((+'[22]Competitive Ana'!F14+'[22]Gas - Fund'!H14+'[22]East - Fund'!F14+'[22]West - Fund'!G14)*1.2)*0.917</f>
        <v>2239974.2503752001</v>
      </c>
      <c r="Q13" s="15">
        <f t="shared" si="1"/>
        <v>67878.007587127271</v>
      </c>
    </row>
    <row r="14" spans="1:44" x14ac:dyDescent="0.2">
      <c r="A14" s="13" t="s">
        <v>23</v>
      </c>
      <c r="B14" s="14" t="s">
        <v>24</v>
      </c>
      <c r="C14" s="15">
        <f>'[11]Central Trading'!C15+'[11]Central Origination'!C15+[11]Derivatives!C15+'[11]East Trading'!C15+'[11]East Origination'!C15+'[11]Financial Gas'!C15+[11]Structuring!C15+'[11]Texas Trading'!C15+'[11]Texas Origination'!C15+'[11]West Trading'!C15+'[11]West Origination'!C15+[11]Fundamentals!C15</f>
        <v>160813</v>
      </c>
      <c r="E14" s="20">
        <f>((C14/9)*12)-75000</f>
        <v>139417.33333333331</v>
      </c>
      <c r="G14" s="45">
        <f t="shared" si="0"/>
        <v>6.3935687103165682E-3</v>
      </c>
      <c r="H14" s="140">
        <f>((+'[22]Competitive Ana'!F15+'[22]Gas - Fund'!H15+'[22]East - Fund'!F15+'[22]West - Fund'!G15)*1.2)*0.917</f>
        <v>50943.794807144681</v>
      </c>
      <c r="Q14" s="15">
        <f t="shared" si="1"/>
        <v>1543.751357792263</v>
      </c>
    </row>
    <row r="15" spans="1:44" x14ac:dyDescent="0.2">
      <c r="A15" s="13" t="s">
        <v>25</v>
      </c>
      <c r="B15" s="14" t="s">
        <v>26</v>
      </c>
      <c r="C15" s="15">
        <f>'[11]Central Trading'!C16+'[11]Central Origination'!C16+[11]Derivatives!C16+'[11]East Trading'!C16+'[11]East Origination'!C16+'[11]Financial Gas'!C16+[11]Structuring!C16+'[11]Texas Trading'!C16+'[11]Texas Origination'!C16+'[11]West Trading'!C16+'[11]West Origination'!C16+[11]Fundamentals!C16</f>
        <v>0</v>
      </c>
      <c r="E15" s="20">
        <f>(C15/9)*12</f>
        <v>0</v>
      </c>
      <c r="G15" s="45">
        <f t="shared" si="0"/>
        <v>0</v>
      </c>
      <c r="H15" s="140">
        <f>((+'[22]Competitive Ana'!F16+'[22]Gas - Fund'!H16+'[22]East - Fund'!F16+'[22]West - Fund'!G16)*1.2)*0.917</f>
        <v>0</v>
      </c>
      <c r="I15" s="50" t="s">
        <v>66</v>
      </c>
      <c r="J15" s="25">
        <v>33000</v>
      </c>
      <c r="K15" s="25">
        <v>1</v>
      </c>
      <c r="L15" s="25">
        <f t="shared" ref="L15:L26" si="2">J15*K15</f>
        <v>33000</v>
      </c>
      <c r="Q15" s="15">
        <f t="shared" si="1"/>
        <v>0</v>
      </c>
    </row>
    <row r="16" spans="1:44" x14ac:dyDescent="0.2">
      <c r="A16" s="13" t="s">
        <v>28</v>
      </c>
      <c r="B16" s="14" t="s">
        <v>29</v>
      </c>
      <c r="C16" s="15">
        <f>'[11]Central Trading'!C17+'[11]Central Origination'!C17+[11]Derivatives!C17+'[11]East Trading'!C17+'[11]East Origination'!C17+'[11]Financial Gas'!C17+[11]Structuring!C17+'[11]Texas Trading'!C17+'[11]Texas Origination'!C17+'[11]West Trading'!C17+'[11]West Origination'!C17+[11]Fundamentals!C17</f>
        <v>5900</v>
      </c>
      <c r="E16" s="20">
        <f>((C16/9)*12)</f>
        <v>7866.6666666666661</v>
      </c>
      <c r="G16" s="45">
        <f t="shared" si="0"/>
        <v>3.60759115469791E-4</v>
      </c>
      <c r="H16" s="140">
        <f>((+'[22]Competitive Ana'!F17+'[22]Gas - Fund'!H17+'[22]East - Fund'!F17+'[22]West - Fund'!G17)*1.2)*0.917</f>
        <v>1220.7025957446808</v>
      </c>
      <c r="I16" s="25" t="s">
        <v>30</v>
      </c>
      <c r="J16" s="25">
        <v>48400</v>
      </c>
      <c r="K16" s="25">
        <v>0</v>
      </c>
      <c r="L16" s="25">
        <f t="shared" si="2"/>
        <v>0</v>
      </c>
      <c r="Q16" s="15">
        <f t="shared" si="1"/>
        <v>36.990987749838816</v>
      </c>
    </row>
    <row r="17" spans="1:17" x14ac:dyDescent="0.2">
      <c r="A17" s="13" t="s">
        <v>31</v>
      </c>
      <c r="B17" s="14" t="s">
        <v>32</v>
      </c>
      <c r="C17" s="15">
        <f>'[11]Central Trading'!C18+'[11]Central Origination'!C18+[11]Derivatives!C18+'[11]East Trading'!C18+'[11]East Origination'!C18+'[11]Financial Gas'!C18+[11]Structuring!C18+'[11]Texas Trading'!C18+'[11]Texas Origination'!C18+'[11]West Trading'!C18+'[11]West Origination'!C18+[11]Fundamentals!C18</f>
        <v>350904.92000000004</v>
      </c>
      <c r="E17" s="20">
        <f>((C17/9)*12)-250000-75000</f>
        <v>142873.22666666668</v>
      </c>
      <c r="G17" s="45">
        <f t="shared" si="0"/>
        <v>6.552053247023089E-3</v>
      </c>
      <c r="H17" s="140">
        <f>((+'[22]Competitive Ana'!F18+'[22]Gas - Fund'!H18+'[22]East - Fund'!F18+'[22]West - Fund'!G18)*1.2)*0.917</f>
        <v>20988.582401119143</v>
      </c>
      <c r="I17" s="25" t="s">
        <v>33</v>
      </c>
      <c r="J17" s="25">
        <v>49500</v>
      </c>
      <c r="K17" s="25">
        <v>0</v>
      </c>
      <c r="L17" s="25">
        <f t="shared" si="2"/>
        <v>0</v>
      </c>
      <c r="Q17" s="15">
        <f t="shared" si="1"/>
        <v>636.01764851876192</v>
      </c>
    </row>
    <row r="18" spans="1:17" x14ac:dyDescent="0.2">
      <c r="A18" s="13" t="s">
        <v>34</v>
      </c>
      <c r="B18" s="14" t="s">
        <v>35</v>
      </c>
      <c r="C18" s="15">
        <f>'[11]Central Trading'!C19+'[11]Central Origination'!C19+[11]Derivatives!C19+'[11]East Trading'!C19+'[11]East Origination'!C19+'[11]Financial Gas'!C19+[11]Structuring!C19+'[11]Texas Trading'!C19+'[11]Texas Origination'!C19+'[11]West Trading'!C19+'[11]West Origination'!C19+[11]Fundamentals!C19</f>
        <v>277960.32000000001</v>
      </c>
      <c r="E18" s="20">
        <f>((C18/9)*12)-75000-75000-50000-25000</f>
        <v>145613.76000000001</v>
      </c>
      <c r="G18" s="45">
        <f t="shared" si="0"/>
        <v>6.6777319395547171E-3</v>
      </c>
      <c r="H18" s="140">
        <f>((+'[22]Competitive Ana'!F19+'[22]Gas - Fund'!H19+'[22]East - Fund'!F19+'[22]West - Fund'!G19)*1.2)*0.917</f>
        <v>185468.17130759693</v>
      </c>
      <c r="I18" s="25" t="s">
        <v>36</v>
      </c>
      <c r="J18" s="25">
        <v>57750</v>
      </c>
      <c r="K18" s="25">
        <v>0</v>
      </c>
      <c r="L18" s="25">
        <f t="shared" si="2"/>
        <v>0</v>
      </c>
      <c r="Q18" s="15">
        <f t="shared" si="1"/>
        <v>5620.2476153817252</v>
      </c>
    </row>
    <row r="19" spans="1:17" x14ac:dyDescent="0.2">
      <c r="A19" s="13" t="s">
        <v>37</v>
      </c>
      <c r="B19" s="14" t="s">
        <v>38</v>
      </c>
      <c r="C19" s="15">
        <f>'[11]Central Trading'!C20+'[11]Central Origination'!C20+[11]Derivatives!C20+'[11]East Trading'!C20+'[11]East Origination'!C20+'[11]Financial Gas'!C20+[11]Structuring!C20+'[11]Texas Trading'!C20+'[11]Texas Origination'!C20+'[11]West Trading'!C20+'[11]West Origination'!C20+[11]Fundamentals!C20</f>
        <v>16</v>
      </c>
      <c r="E19" s="20">
        <f>((C19/9)*12)</f>
        <v>21.333333333333332</v>
      </c>
      <c r="G19" s="45">
        <f t="shared" si="0"/>
        <v>9.7832980466383997E-7</v>
      </c>
      <c r="H19" s="140">
        <f>((+'[22]Competitive Ana'!F20+'[22]Gas - Fund'!H20+'[22]East - Fund'!F20+'[22]West - Fund'!G20)*1.2)*0.917</f>
        <v>11.556735825531915</v>
      </c>
      <c r="I19" s="25" t="s">
        <v>39</v>
      </c>
      <c r="J19" s="25">
        <v>71500</v>
      </c>
      <c r="K19" s="25">
        <v>0</v>
      </c>
      <c r="L19" s="25">
        <f t="shared" si="2"/>
        <v>0</v>
      </c>
      <c r="Q19" s="15">
        <f t="shared" si="1"/>
        <v>0.35020411592520956</v>
      </c>
    </row>
    <row r="20" spans="1:17" x14ac:dyDescent="0.2">
      <c r="A20" s="13" t="s">
        <v>40</v>
      </c>
      <c r="B20" s="14" t="s">
        <v>41</v>
      </c>
      <c r="C20" s="15">
        <f>'[11]Central Trading'!C21+'[11]Central Origination'!C21+[11]Derivatives!C21+'[11]East Trading'!C21+'[11]East Origination'!C21+'[11]Financial Gas'!C21+[11]Structuring!C21+'[11]Texas Trading'!C21+'[11]Texas Origination'!C21+'[11]West Trading'!C21+'[11]West Origination'!C21+[11]Fundamentals!C21</f>
        <v>192038.90999999986</v>
      </c>
      <c r="E20" s="20">
        <f>((C20/9)*12)-75000</f>
        <v>181051.87999999983</v>
      </c>
      <c r="G20" s="45">
        <f t="shared" si="0"/>
        <v>8.302896112238476E-3</v>
      </c>
      <c r="H20" s="140">
        <f>((+'[22]Competitive Ana'!F21+'[22]Gas - Fund'!H21+'[22]East - Fund'!F21+'[22]West - Fund'!G21)*1.2)*0.917</f>
        <v>213180.595113761</v>
      </c>
      <c r="I20" s="25" t="s">
        <v>42</v>
      </c>
      <c r="J20" s="25">
        <v>60500</v>
      </c>
      <c r="K20" s="25">
        <v>6</v>
      </c>
      <c r="L20" s="25">
        <f t="shared" si="2"/>
        <v>363000</v>
      </c>
      <c r="Q20" s="15">
        <f t="shared" si="1"/>
        <v>6460.0180337503334</v>
      </c>
    </row>
    <row r="21" spans="1:17" x14ac:dyDescent="0.2">
      <c r="A21" s="13" t="s">
        <v>43</v>
      </c>
      <c r="B21" s="14" t="s">
        <v>44</v>
      </c>
      <c r="C21" s="15">
        <f>'[11]Central Trading'!C22+'[11]Central Origination'!C22+[11]Derivatives!C22+'[11]East Trading'!C22+'[11]East Origination'!C22+'[11]Financial Gas'!C22+[11]Structuring!C22+'[11]Texas Trading'!C22+'[11]Texas Origination'!C22+'[11]West Trading'!C22+'[11]West Origination'!C22+[11]Fundamentals!C22</f>
        <v>4757096.6800000016</v>
      </c>
      <c r="E21" s="20">
        <f>((C21/9)*12)-1000000-100000</f>
        <v>5242795.573333336</v>
      </c>
      <c r="G21" s="45">
        <f t="shared" si="0"/>
        <v>0.2404304610539835</v>
      </c>
      <c r="H21" s="140">
        <f>((+'[22]Competitive Ana'!F22+'[22]Gas - Fund'!H22+'[22]East - Fund'!F22+'[22]West - Fund'!G22)*1.2)*0.917</f>
        <v>154978.61515627825</v>
      </c>
      <c r="I21" s="25" t="s">
        <v>45</v>
      </c>
      <c r="J21" s="25">
        <v>89100</v>
      </c>
      <c r="K21" s="25">
        <v>4</v>
      </c>
      <c r="L21" s="25">
        <f t="shared" si="2"/>
        <v>356400</v>
      </c>
      <c r="Q21" s="15">
        <f t="shared" si="1"/>
        <v>4696.3216714023711</v>
      </c>
    </row>
    <row r="22" spans="1:17" x14ac:dyDescent="0.2">
      <c r="A22" s="26" t="s">
        <v>46</v>
      </c>
      <c r="B22" s="27" t="s">
        <v>47</v>
      </c>
      <c r="C22" s="28">
        <f>SUM(C8:C21)</f>
        <v>21862840.119999997</v>
      </c>
      <c r="E22" s="28">
        <f>SUM(E8:E21)</f>
        <v>21805870.813333336</v>
      </c>
      <c r="G22" s="51">
        <f t="shared" si="0"/>
        <v>1</v>
      </c>
      <c r="H22" s="28">
        <f>SUM(H8:H21)</f>
        <v>7397292.7396568274</v>
      </c>
      <c r="I22" s="25" t="s">
        <v>48</v>
      </c>
      <c r="J22" s="25">
        <v>110000</v>
      </c>
      <c r="K22" s="25">
        <v>4</v>
      </c>
      <c r="L22" s="25">
        <f t="shared" si="2"/>
        <v>440000</v>
      </c>
      <c r="Q22" s="28">
        <f>SUM(Q8:Q21)</f>
        <v>224160.3860502069</v>
      </c>
    </row>
    <row r="23" spans="1:17" x14ac:dyDescent="0.2">
      <c r="I23" s="25" t="s">
        <v>49</v>
      </c>
      <c r="J23" s="25">
        <v>143000</v>
      </c>
      <c r="K23" s="25">
        <v>1</v>
      </c>
      <c r="L23" s="25">
        <f t="shared" si="2"/>
        <v>143000</v>
      </c>
    </row>
    <row r="24" spans="1:17" x14ac:dyDescent="0.2">
      <c r="B24" s="27" t="s">
        <v>50</v>
      </c>
      <c r="C24" s="15"/>
      <c r="E24" s="31">
        <f>'[11]Central Trading'!E25+'[11]Central Origination'!E25+[11]Derivatives!E25+'[11]East Trading'!E25+'[11]East Origination'!E25+'[11]Financial Gas'!E25+[11]Structuring!E25+'[11]Texas Trading'!E25+'[11]Texas Origination'!E25+'[11]West Trading'!E25+'[11]West Origination'!E25+[11]Fundamentals!E25</f>
        <v>108</v>
      </c>
      <c r="H24" s="31">
        <f>+'[22]Competitive Ana'!F25+'[22]Gas - Fund'!H25+'[22]East - Fund'!F25+'[22]West - Fund'!G25</f>
        <v>16</v>
      </c>
      <c r="I24" s="25" t="s">
        <v>51</v>
      </c>
      <c r="J24" s="25">
        <v>165000</v>
      </c>
      <c r="K24" s="25">
        <v>0</v>
      </c>
      <c r="L24" s="25">
        <f t="shared" si="2"/>
        <v>0</v>
      </c>
      <c r="Q24" s="31">
        <f>+T15+T16+T17+T18+T19+T22+T23+T24+T25+T26</f>
        <v>0</v>
      </c>
    </row>
    <row r="25" spans="1:17" x14ac:dyDescent="0.2">
      <c r="C25" s="15"/>
      <c r="E25" s="15"/>
      <c r="H25" s="15"/>
      <c r="I25" s="25" t="s">
        <v>52</v>
      </c>
      <c r="J25" s="25">
        <v>198000</v>
      </c>
      <c r="K25" s="25">
        <v>1</v>
      </c>
      <c r="L25" s="25">
        <f t="shared" si="2"/>
        <v>198000</v>
      </c>
      <c r="Q25" s="15"/>
    </row>
    <row r="26" spans="1:17" x14ac:dyDescent="0.2">
      <c r="B26" s="27" t="s">
        <v>67</v>
      </c>
      <c r="C26" s="15"/>
      <c r="E26" s="31">
        <f>'[11]Central Trading'!E27+'[11]Central Origination'!E27+[11]Derivatives!E27+'[11]East Trading'!E27+'[11]East Origination'!E27+'[11]Financial Gas'!E27+[11]Structuring!E27+'[11]Texas Trading'!E27+'[11]Texas Origination'!E27+'[11]West Trading'!E27+'[11]West Origination'!E27+[11]Fundamentals!E27</f>
        <v>52</v>
      </c>
      <c r="H26" s="31">
        <f>+'[22]Competitive Ana'!F27+'[22]Gas - Fund'!H27+'[22]East - Fund'!F27+'[22]West - Fund'!G27</f>
        <v>17</v>
      </c>
      <c r="I26" s="25" t="s">
        <v>54</v>
      </c>
      <c r="J26" s="25">
        <v>220000</v>
      </c>
      <c r="K26" s="25">
        <v>0</v>
      </c>
      <c r="L26" s="25">
        <f t="shared" si="2"/>
        <v>0</v>
      </c>
      <c r="Q26" s="31">
        <f>+T20+T21</f>
        <v>0</v>
      </c>
    </row>
    <row r="27" spans="1:17" x14ac:dyDescent="0.2">
      <c r="K27" s="25">
        <f>SUM(K15:K26)</f>
        <v>17</v>
      </c>
      <c r="L27" s="25">
        <f>SUM(L15:L26)*1.2</f>
        <v>1840080</v>
      </c>
    </row>
    <row r="28" spans="1:17" x14ac:dyDescent="0.2">
      <c r="B28" s="27" t="s">
        <v>55</v>
      </c>
      <c r="C28" s="15"/>
      <c r="E28" s="31">
        <f>SUM(E24:E26)</f>
        <v>160</v>
      </c>
      <c r="G28" s="25"/>
      <c r="H28" s="31">
        <f>SUM(H24:H26)</f>
        <v>33</v>
      </c>
      <c r="L28" s="52">
        <v>0.2</v>
      </c>
      <c r="Q28" s="31">
        <v>1</v>
      </c>
    </row>
    <row r="29" spans="1:17" hidden="1" x14ac:dyDescent="0.2">
      <c r="L29" s="25">
        <f>L27*1.2</f>
        <v>2208096</v>
      </c>
    </row>
    <row r="30" spans="1:17" hidden="1" x14ac:dyDescent="0.2">
      <c r="H30" s="33" t="s">
        <v>56</v>
      </c>
      <c r="L30"/>
    </row>
    <row r="31" spans="1:17" hidden="1" x14ac:dyDescent="0.2">
      <c r="B31" s="14" t="s">
        <v>22</v>
      </c>
      <c r="C31" s="15">
        <v>254512</v>
      </c>
      <c r="L31"/>
    </row>
    <row r="32" spans="1:17" hidden="1" x14ac:dyDescent="0.2">
      <c r="H32" s="34" t="s">
        <v>57</v>
      </c>
      <c r="I32" s="35" t="s">
        <v>58</v>
      </c>
      <c r="J32" s="35" t="s">
        <v>59</v>
      </c>
      <c r="K32" s="35" t="s">
        <v>2</v>
      </c>
      <c r="L32" s="35" t="s">
        <v>60</v>
      </c>
    </row>
    <row r="33" spans="8:12" hidden="1" x14ac:dyDescent="0.2">
      <c r="H33" s="36">
        <f>SUM(E11:E21)</f>
        <v>7723229.0000000019</v>
      </c>
      <c r="I33" s="37">
        <f>+E28</f>
        <v>160</v>
      </c>
      <c r="J33" s="37">
        <f>+H33/I33</f>
        <v>48270.181250000009</v>
      </c>
      <c r="K33" s="37">
        <f>+K10</f>
        <v>17</v>
      </c>
      <c r="L33" s="37">
        <f>+J33*K33</f>
        <v>820593.08125000016</v>
      </c>
    </row>
    <row r="34" spans="8:12" hidden="1" x14ac:dyDescent="0.2"/>
    <row r="35" spans="8:12" hidden="1" x14ac:dyDescent="0.2"/>
    <row r="36" spans="8:12" hidden="1" x14ac:dyDescent="0.2"/>
    <row r="37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pageSetUpPr fitToPage="1"/>
  </sheetPr>
  <dimension ref="A1:AU33"/>
  <sheetViews>
    <sheetView topLeftCell="B1" zoomScaleNormal="100" workbookViewId="0">
      <selection activeCell="F8" sqref="F8:F21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3.140625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0" hidden="1" customWidth="1"/>
  </cols>
  <sheetData>
    <row r="1" spans="1:47" ht="18" x14ac:dyDescent="0.25">
      <c r="B1" s="142" t="str">
        <f>'[9]Team Report'!B1</f>
        <v>Enron North America</v>
      </c>
      <c r="C1" s="142"/>
      <c r="D1" s="144"/>
      <c r="E1" s="144"/>
      <c r="F1" s="144"/>
      <c r="G1" s="144"/>
      <c r="H1" s="144"/>
      <c r="I1" s="14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42" t="s">
        <v>193</v>
      </c>
      <c r="C2" s="142"/>
      <c r="D2" s="144"/>
      <c r="E2" s="144"/>
      <c r="F2" s="144"/>
      <c r="G2" s="144"/>
      <c r="H2" s="144"/>
      <c r="I2" s="14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45" t="s">
        <v>0</v>
      </c>
      <c r="C3" s="145"/>
      <c r="D3" s="146"/>
      <c r="E3" s="146"/>
      <c r="F3" s="146"/>
      <c r="G3" s="146"/>
      <c r="H3" s="146"/>
      <c r="I3" s="146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1</v>
      </c>
      <c r="M5" s="8" t="s">
        <v>2</v>
      </c>
      <c r="N5" s="9" t="s">
        <v>3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47" x14ac:dyDescent="0.2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47" x14ac:dyDescent="0.2">
      <c r="A8" s="13" t="s">
        <v>9</v>
      </c>
      <c r="B8" s="14" t="s">
        <v>10</v>
      </c>
      <c r="C8" s="15">
        <f>'[12]Executive Orig'!C8+[12]Trading!C8+[12]Origination!C8+'[12]Mid Market'!C8+[12]Services!C8+[12]Fundamentals!C8</f>
        <v>4789958.9899999993</v>
      </c>
      <c r="E8" s="15">
        <f>(C8/9)*12</f>
        <v>6386611.9866666663</v>
      </c>
      <c r="F8" s="15"/>
      <c r="G8" s="140">
        <f>((+'[22]West - Struct'!G8+'[22]Gas - Struct'!H8)*1.2)*0.917</f>
        <v>654958.08000000007</v>
      </c>
      <c r="H8" s="15"/>
      <c r="I8" s="16">
        <f t="shared" ref="I8:I21" si="0">+G8/$G$22</f>
        <v>0.63286946497004104</v>
      </c>
      <c r="K8" s="7" t="s">
        <v>10</v>
      </c>
      <c r="L8" s="17">
        <v>0</v>
      </c>
      <c r="M8" s="8">
        <f>+M10</f>
        <v>2</v>
      </c>
      <c r="N8" s="18">
        <f>N27</f>
        <v>260640</v>
      </c>
      <c r="O8" s="15">
        <f t="shared" ref="O8:O21" si="1">+G8/$G$28*$O$28</f>
        <v>130991.61600000001</v>
      </c>
    </row>
    <row r="9" spans="1:47" x14ac:dyDescent="0.2">
      <c r="B9" s="14" t="s">
        <v>12</v>
      </c>
      <c r="C9" s="15">
        <f>'[12]Executive Orig'!C10+[12]Trading!C10+[12]Origination!C10+'[12]Mid Market'!C10+[12]Services!C10+[12]Fundamentals!C10</f>
        <v>804567</v>
      </c>
      <c r="E9" s="15">
        <f>(C9/9)*12</f>
        <v>1072756</v>
      </c>
      <c r="F9" s="15"/>
      <c r="G9" s="140">
        <f>((+'[22]West - Struct'!G10+'[22]Gas - Struct'!H10)*1.2)*0.917</f>
        <v>106958.88</v>
      </c>
      <c r="H9" s="15"/>
      <c r="I9" s="16">
        <f t="shared" si="0"/>
        <v>0.10335166665841396</v>
      </c>
      <c r="K9" s="7"/>
      <c r="L9" s="8"/>
      <c r="M9" s="8"/>
      <c r="N9" s="9"/>
      <c r="O9" s="15">
        <f t="shared" si="1"/>
        <v>21391.776000000002</v>
      </c>
    </row>
    <row r="10" spans="1:47" x14ac:dyDescent="0.2">
      <c r="A10" s="13" t="s">
        <v>13</v>
      </c>
      <c r="B10" s="14" t="s">
        <v>14</v>
      </c>
      <c r="C10" s="15">
        <f>'[12]Executive Orig'!C11+[12]Trading!C11+[12]Origination!C11+'[12]Mid Market'!C11+[12]Services!C11+[12]Fundamentals!C11</f>
        <v>1096068.21</v>
      </c>
      <c r="E10" s="15">
        <f>(C10/9)*12</f>
        <v>1461424.2799999998</v>
      </c>
      <c r="F10" s="15"/>
      <c r="G10" s="140">
        <f>((+'[22]West - Struct'!G11+'[22]Gas - Struct'!H11)*1.2)*0.917</f>
        <v>152383.39199999999</v>
      </c>
      <c r="H10" s="15"/>
      <c r="I10" s="16">
        <f t="shared" si="0"/>
        <v>0.14724422632569098</v>
      </c>
      <c r="K10" s="7" t="s">
        <v>15</v>
      </c>
      <c r="L10" s="19">
        <f>(E11+E12+E13+E14+E15+E16+E17+E18+E19+E20+E21)/E28</f>
        <v>47533.855280898868</v>
      </c>
      <c r="M10" s="8">
        <f>M27</f>
        <v>2</v>
      </c>
      <c r="N10" s="18">
        <f>L10*M10</f>
        <v>95067.710561797736</v>
      </c>
      <c r="O10" s="15">
        <f t="shared" si="1"/>
        <v>30476.678399999997</v>
      </c>
    </row>
    <row r="11" spans="1:47" x14ac:dyDescent="0.2">
      <c r="A11" s="13" t="s">
        <v>16</v>
      </c>
      <c r="B11" s="14" t="s">
        <v>17</v>
      </c>
      <c r="C11" s="15">
        <f>'[12]Executive Orig'!C12+[12]Trading!C12+[12]Origination!C12+'[12]Mid Market'!C12+[12]Services!C12+[12]Fundamentals!C12</f>
        <v>658117.68000000005</v>
      </c>
      <c r="E11" s="20">
        <f t="shared" ref="E11:E21" si="2">((C11/9)*12)*1.2</f>
        <v>1052988.2880000002</v>
      </c>
      <c r="F11" s="15"/>
      <c r="G11" s="140">
        <f>((+'[22]West - Struct'!G12+'[22]Gas - Struct'!H12)*1.2)*0.917</f>
        <v>36189.318343499988</v>
      </c>
      <c r="H11" s="15"/>
      <c r="I11" s="16">
        <f t="shared" si="0"/>
        <v>3.4968825085234967E-2</v>
      </c>
      <c r="K11" s="7"/>
      <c r="L11" s="8"/>
      <c r="M11" s="8"/>
      <c r="N11" s="9"/>
      <c r="O11" s="15">
        <f t="shared" si="1"/>
        <v>7237.863668699998</v>
      </c>
    </row>
    <row r="12" spans="1:47" ht="13.5" thickBot="1" x14ac:dyDescent="0.25">
      <c r="A12" s="13" t="s">
        <v>18</v>
      </c>
      <c r="B12" s="14" t="s">
        <v>19</v>
      </c>
      <c r="C12" s="15">
        <f>'[12]Executive Orig'!C13+[12]Trading!C13+[12]Origination!C13+'[12]Mid Market'!C13+[12]Services!C13+[12]Fundamentals!C13</f>
        <v>719773.79999999993</v>
      </c>
      <c r="E12" s="20">
        <f t="shared" si="2"/>
        <v>1151638.0799999998</v>
      </c>
      <c r="F12" s="15"/>
      <c r="G12" s="140">
        <f>((+'[22]West - Struct'!G13+'[22]Gas - Struct'!H13)*1.2)*0.917</f>
        <v>48698.059773300003</v>
      </c>
      <c r="H12" s="15"/>
      <c r="I12" s="16">
        <f t="shared" si="0"/>
        <v>4.7055706273304465E-2</v>
      </c>
      <c r="K12" s="22" t="s">
        <v>20</v>
      </c>
      <c r="L12" s="23"/>
      <c r="M12" s="23"/>
      <c r="N12" s="24">
        <f>N8+N10</f>
        <v>355707.71056179772</v>
      </c>
      <c r="O12" s="15">
        <f t="shared" si="1"/>
        <v>9739.6119546600003</v>
      </c>
    </row>
    <row r="13" spans="1:47" x14ac:dyDescent="0.2">
      <c r="A13" s="13" t="s">
        <v>21</v>
      </c>
      <c r="B13" s="14" t="s">
        <v>22</v>
      </c>
      <c r="C13" s="15">
        <f>'[12]Executive Orig'!C14+[12]Trading!C14+[12]Origination!C14+'[12]Mid Market'!C14+[12]Services!C14+[12]Fundamentals!C14-C31</f>
        <v>0.23999999975785613</v>
      </c>
      <c r="E13" s="20">
        <f t="shared" si="2"/>
        <v>0.38399999961256975</v>
      </c>
      <c r="F13" s="15"/>
      <c r="G13" s="140">
        <f>((+'[22]West - Struct'!G14+'[22]Gas - Struct'!H14)*1.2)*0.917</f>
        <v>1.6097986507817959E-2</v>
      </c>
      <c r="H13" s="15"/>
      <c r="I13" s="16">
        <f t="shared" si="0"/>
        <v>1.5555078133088597E-8</v>
      </c>
      <c r="O13" s="15">
        <f t="shared" si="1"/>
        <v>3.2195973015635921E-3</v>
      </c>
    </row>
    <row r="14" spans="1:47" x14ac:dyDescent="0.2">
      <c r="A14" s="13" t="s">
        <v>23</v>
      </c>
      <c r="B14" s="14" t="s">
        <v>24</v>
      </c>
      <c r="C14" s="15">
        <f>'[12]Executive Orig'!C15+[12]Trading!C15+[12]Origination!C15+'[12]Mid Market'!C15+[12]Services!C15+[12]Fundamentals!C15</f>
        <v>128890.14</v>
      </c>
      <c r="E14" s="20">
        <f t="shared" si="2"/>
        <v>206224.22400000002</v>
      </c>
      <c r="F14" s="15"/>
      <c r="G14" s="140">
        <f>((+'[22]West - Struct'!G15+'[22]Gas - Struct'!H15)*1.2)*0.917</f>
        <v>9214.8321300000007</v>
      </c>
      <c r="H14" s="15"/>
      <c r="I14" s="16">
        <f t="shared" si="0"/>
        <v>8.904059752804094E-3</v>
      </c>
      <c r="O14" s="15">
        <f t="shared" si="1"/>
        <v>1842.9664260000002</v>
      </c>
    </row>
    <row r="15" spans="1:47" x14ac:dyDescent="0.2">
      <c r="A15" s="13" t="s">
        <v>25</v>
      </c>
      <c r="B15" s="14" t="s">
        <v>26</v>
      </c>
      <c r="C15" s="15">
        <f>'[12]Executive Orig'!C16+[12]Trading!C16+[12]Origination!C16+'[12]Mid Market'!C16+[12]Services!C16+[12]Fundamentals!C16</f>
        <v>0</v>
      </c>
      <c r="E15" s="20">
        <f t="shared" si="2"/>
        <v>0</v>
      </c>
      <c r="F15" s="15"/>
      <c r="G15" s="140">
        <f>((+'[22]West - Struct'!G16+'[22]Gas - Struct'!H16)*1.2)*0.917</f>
        <v>0</v>
      </c>
      <c r="H15" s="15"/>
      <c r="I15" s="16">
        <f t="shared" si="0"/>
        <v>0</v>
      </c>
      <c r="K15" t="s">
        <v>27</v>
      </c>
      <c r="L15" s="25">
        <v>33600</v>
      </c>
      <c r="M15">
        <v>0</v>
      </c>
      <c r="N15" s="25">
        <f t="shared" ref="N15:N26" si="3">L15*M15</f>
        <v>0</v>
      </c>
      <c r="O15" s="15">
        <f t="shared" si="1"/>
        <v>0</v>
      </c>
    </row>
    <row r="16" spans="1:47" x14ac:dyDescent="0.2">
      <c r="A16" s="13" t="s">
        <v>28</v>
      </c>
      <c r="B16" s="14" t="s">
        <v>29</v>
      </c>
      <c r="C16" s="15">
        <f>'[12]Executive Orig'!C17+[12]Trading!C17+[12]Origination!C17+'[12]Mid Market'!C17+[12]Services!C17+[12]Fundamentals!C17</f>
        <v>11300</v>
      </c>
      <c r="E16" s="20">
        <f t="shared" si="2"/>
        <v>18080</v>
      </c>
      <c r="F16" s="15"/>
      <c r="G16" s="140">
        <f>((+'[22]West - Struct'!G17+'[22]Gas - Struct'!H17)*1.2)*0.917</f>
        <v>162.309</v>
      </c>
      <c r="H16" s="15"/>
      <c r="I16" s="16">
        <f t="shared" si="0"/>
        <v>1.5683509086539154E-4</v>
      </c>
      <c r="K16" t="s">
        <v>30</v>
      </c>
      <c r="L16" s="25">
        <v>52800</v>
      </c>
      <c r="M16">
        <v>0</v>
      </c>
      <c r="N16" s="25">
        <f t="shared" si="3"/>
        <v>0</v>
      </c>
      <c r="O16" s="15">
        <f t="shared" si="1"/>
        <v>32.461799999999997</v>
      </c>
    </row>
    <row r="17" spans="1:15" x14ac:dyDescent="0.2">
      <c r="A17" s="13" t="s">
        <v>31</v>
      </c>
      <c r="B17" s="14" t="s">
        <v>32</v>
      </c>
      <c r="C17" s="15">
        <f>'[12]Executive Orig'!C18+[12]Trading!C18+[12]Origination!C18+'[12]Mid Market'!C18+[12]Services!C18+[12]Fundamentals!C18</f>
        <v>327447.74000000005</v>
      </c>
      <c r="E17" s="20">
        <f t="shared" si="2"/>
        <v>523916.38400000002</v>
      </c>
      <c r="F17" s="15"/>
      <c r="G17" s="140">
        <f>((+'[22]West - Struct'!G18+'[22]Gas - Struct'!H18)*1.2)*0.917</f>
        <v>4928.5518492000001</v>
      </c>
      <c r="H17" s="15"/>
      <c r="I17" s="16">
        <f t="shared" si="0"/>
        <v>4.7623352808782975E-3</v>
      </c>
      <c r="K17" t="s">
        <v>33</v>
      </c>
      <c r="L17" s="25">
        <v>54000</v>
      </c>
      <c r="M17">
        <v>0</v>
      </c>
      <c r="N17" s="25">
        <f t="shared" si="3"/>
        <v>0</v>
      </c>
      <c r="O17" s="15">
        <f t="shared" si="1"/>
        <v>985.71036984</v>
      </c>
    </row>
    <row r="18" spans="1:15" x14ac:dyDescent="0.2">
      <c r="A18" s="13" t="s">
        <v>34</v>
      </c>
      <c r="B18" s="14" t="s">
        <v>35</v>
      </c>
      <c r="C18" s="15">
        <f>'[12]Executive Orig'!C19+[12]Trading!C19+[12]Origination!C19+'[12]Mid Market'!C19+[12]Services!C19+[12]Fundamentals!C19</f>
        <v>155845.37</v>
      </c>
      <c r="E18" s="20">
        <f t="shared" si="2"/>
        <v>249352.59199999998</v>
      </c>
      <c r="F18" s="15"/>
      <c r="G18" s="140">
        <f>((+'[22]West - Struct'!G19+'[22]Gas - Struct'!H19)*1.2)*0.917</f>
        <v>9170.3892118921358</v>
      </c>
      <c r="H18" s="15"/>
      <c r="I18" s="16">
        <f t="shared" si="0"/>
        <v>8.8611156825444647E-3</v>
      </c>
      <c r="K18" t="s">
        <v>36</v>
      </c>
      <c r="L18" s="25">
        <v>63000</v>
      </c>
      <c r="M18">
        <v>0</v>
      </c>
      <c r="N18" s="25">
        <f t="shared" si="3"/>
        <v>0</v>
      </c>
      <c r="O18" s="15">
        <f t="shared" si="1"/>
        <v>1834.0778423784272</v>
      </c>
    </row>
    <row r="19" spans="1:15" x14ac:dyDescent="0.2">
      <c r="A19" s="13" t="s">
        <v>37</v>
      </c>
      <c r="B19" s="14" t="s">
        <v>38</v>
      </c>
      <c r="C19" s="15">
        <f>'[12]Executive Orig'!C20+[12]Trading!C20+[12]Origination!C20+'[12]Mid Market'!C20+[12]Services!C20+[12]Fundamentals!C20</f>
        <v>116.15</v>
      </c>
      <c r="E19" s="20">
        <f t="shared" si="2"/>
        <v>185.84</v>
      </c>
      <c r="F19" s="15"/>
      <c r="G19" s="140">
        <f>((+'[22]West - Struct'!G20+'[22]Gas - Struct'!H20)*1.2)*0.917</f>
        <v>5.035628224719102</v>
      </c>
      <c r="H19" s="15"/>
      <c r="I19" s="16">
        <f t="shared" si="0"/>
        <v>4.8658004804918442E-6</v>
      </c>
      <c r="K19" t="s">
        <v>39</v>
      </c>
      <c r="L19" s="25">
        <v>78000</v>
      </c>
      <c r="M19">
        <f>2-2</f>
        <v>0</v>
      </c>
      <c r="N19" s="25">
        <f t="shared" si="3"/>
        <v>0</v>
      </c>
      <c r="O19" s="15">
        <f t="shared" si="1"/>
        <v>1.0071256449438204</v>
      </c>
    </row>
    <row r="20" spans="1:15" x14ac:dyDescent="0.2">
      <c r="A20" s="13" t="s">
        <v>40</v>
      </c>
      <c r="B20" s="14" t="s">
        <v>41</v>
      </c>
      <c r="C20" s="15">
        <f>'[12]Executive Orig'!C21+[12]Trading!C21+[12]Origination!C21+'[12]Mid Market'!C21+[12]Services!C21+[12]Fundamentals!C21</f>
        <v>566869.93000000017</v>
      </c>
      <c r="E20" s="20">
        <f t="shared" si="2"/>
        <v>906991.88800000027</v>
      </c>
      <c r="F20" s="15"/>
      <c r="G20" s="140">
        <f>((+'[22]West - Struct'!G21+'[22]Gas - Struct'!H21)*1.2)*0.917</f>
        <v>9237.552914099997</v>
      </c>
      <c r="H20" s="15"/>
      <c r="I20" s="16">
        <f t="shared" si="0"/>
        <v>8.9260142731255546E-3</v>
      </c>
      <c r="K20" t="s">
        <v>42</v>
      </c>
      <c r="L20" s="25">
        <v>66000</v>
      </c>
      <c r="M20">
        <v>0</v>
      </c>
      <c r="N20" s="25">
        <f t="shared" si="3"/>
        <v>0</v>
      </c>
      <c r="O20" s="15">
        <f t="shared" si="1"/>
        <v>1847.5105828199994</v>
      </c>
    </row>
    <row r="21" spans="1:15" x14ac:dyDescent="0.2">
      <c r="A21" s="13" t="s">
        <v>43</v>
      </c>
      <c r="B21" s="14" t="s">
        <v>44</v>
      </c>
      <c r="C21" s="15">
        <f>'[12]Executive Orig'!C22+[12]Trading!C22+[12]Origination!C22+'[12]Mid Market'!C22+[12]Services!C22+[12]Fundamentals!C22</f>
        <v>75709.649999999965</v>
      </c>
      <c r="E21" s="20">
        <f t="shared" si="2"/>
        <v>121135.43999999994</v>
      </c>
      <c r="F21" s="15"/>
      <c r="G21" s="140">
        <f>((+'[22]West - Struct'!G22+'[22]Gas - Struct'!H22)*1.2)*0.917</f>
        <v>2995.9069156989249</v>
      </c>
      <c r="H21" s="15"/>
      <c r="I21" s="16">
        <f t="shared" si="0"/>
        <v>2.8948692515380898E-3</v>
      </c>
      <c r="K21" t="s">
        <v>45</v>
      </c>
      <c r="L21" s="25">
        <v>97200</v>
      </c>
      <c r="M21">
        <v>1</v>
      </c>
      <c r="N21" s="25">
        <f t="shared" si="3"/>
        <v>97200</v>
      </c>
      <c r="O21" s="15">
        <f t="shared" si="1"/>
        <v>599.181383139785</v>
      </c>
    </row>
    <row r="22" spans="1:15" x14ac:dyDescent="0.2">
      <c r="A22" s="26" t="s">
        <v>46</v>
      </c>
      <c r="B22" s="27" t="s">
        <v>47</v>
      </c>
      <c r="C22" s="28">
        <f>SUM(C8:C21)</f>
        <v>9334664.8999999966</v>
      </c>
      <c r="E22" s="28">
        <f>SUM(E8:E21)</f>
        <v>13151305.386666665</v>
      </c>
      <c r="F22" s="29"/>
      <c r="G22" s="28">
        <f>SUM(G8:G21)</f>
        <v>1034902.3238639024</v>
      </c>
      <c r="H22" s="29"/>
      <c r="I22" s="30">
        <f>SUM(I8:I21)</f>
        <v>0.99999999999999989</v>
      </c>
      <c r="K22" t="s">
        <v>48</v>
      </c>
      <c r="L22" s="25">
        <v>120000</v>
      </c>
      <c r="M22">
        <v>1</v>
      </c>
      <c r="N22" s="25">
        <f t="shared" si="3"/>
        <v>120000</v>
      </c>
      <c r="O22" s="28">
        <f>SUM(O8:O21)</f>
        <v>206980.46477278048</v>
      </c>
    </row>
    <row r="23" spans="1:15" x14ac:dyDescent="0.2">
      <c r="K23" t="s">
        <v>49</v>
      </c>
      <c r="L23" s="25">
        <v>156000</v>
      </c>
      <c r="M23">
        <f>1-1</f>
        <v>0</v>
      </c>
      <c r="N23" s="25">
        <f t="shared" si="3"/>
        <v>0</v>
      </c>
    </row>
    <row r="24" spans="1:15" x14ac:dyDescent="0.2">
      <c r="B24" s="27" t="s">
        <v>50</v>
      </c>
      <c r="C24" s="15"/>
      <c r="E24" s="31">
        <f>'[12]Executive Orig'!E25+[12]Trading!E25+[12]Origination!E25+'[12]Mid Market'!E25+[12]Services!E25+[12]Fundamentals!E25</f>
        <v>74</v>
      </c>
      <c r="F24" s="32"/>
      <c r="G24" s="31">
        <f>+'[22]West - Struct'!G25+'[22]Gas - Struct'!H25</f>
        <v>4</v>
      </c>
      <c r="H24" s="32"/>
      <c r="K24" t="s">
        <v>51</v>
      </c>
      <c r="L24" s="25">
        <v>180000</v>
      </c>
      <c r="M24">
        <v>0</v>
      </c>
      <c r="N24" s="25">
        <f t="shared" si="3"/>
        <v>0</v>
      </c>
      <c r="O24" s="31">
        <v>1</v>
      </c>
    </row>
    <row r="25" spans="1:15" x14ac:dyDescent="0.2">
      <c r="C25" s="15"/>
      <c r="E25" s="15"/>
      <c r="F25" s="15"/>
      <c r="G25" s="15"/>
      <c r="H25" s="15"/>
      <c r="K25" t="s">
        <v>52</v>
      </c>
      <c r="L25" s="25">
        <v>216000</v>
      </c>
      <c r="M25">
        <v>0</v>
      </c>
      <c r="N25" s="25">
        <f t="shared" si="3"/>
        <v>0</v>
      </c>
      <c r="O25" s="15"/>
    </row>
    <row r="26" spans="1:15" x14ac:dyDescent="0.2">
      <c r="B26" s="27" t="s">
        <v>53</v>
      </c>
      <c r="C26" s="15"/>
      <c r="E26" s="31">
        <f>'[12]Executive Orig'!E27+[12]Trading!E27+[12]Origination!E27+'[12]Mid Market'!E27+[12]Services!E27+[12]Fundamentals!E27</f>
        <v>15</v>
      </c>
      <c r="F26" s="32"/>
      <c r="G26" s="31">
        <f>+'[22]West - Struct'!G27+'[22]Gas - Struct'!H27</f>
        <v>1</v>
      </c>
      <c r="H26" s="32"/>
      <c r="K26" t="s">
        <v>54</v>
      </c>
      <c r="L26" s="25">
        <v>240000</v>
      </c>
      <c r="M26">
        <v>0</v>
      </c>
      <c r="N26" s="25">
        <f t="shared" si="3"/>
        <v>0</v>
      </c>
      <c r="O26" s="31">
        <f>+U20+U21</f>
        <v>0</v>
      </c>
    </row>
    <row r="27" spans="1:15" x14ac:dyDescent="0.2">
      <c r="M27">
        <f>SUM(M15:M26)</f>
        <v>2</v>
      </c>
      <c r="N27" s="25">
        <f>SUM(N15:N26)*1.2</f>
        <v>260640</v>
      </c>
    </row>
    <row r="28" spans="1:15" x14ac:dyDescent="0.2">
      <c r="B28" s="27" t="s">
        <v>55</v>
      </c>
      <c r="C28" s="15"/>
      <c r="E28" s="31">
        <f>+E26+E24</f>
        <v>89</v>
      </c>
      <c r="F28" s="32"/>
      <c r="G28" s="31">
        <f>+G26+G24</f>
        <v>5</v>
      </c>
      <c r="H28" s="32"/>
      <c r="I28" s="25"/>
      <c r="O28" s="31">
        <f>+O26+O24</f>
        <v>1</v>
      </c>
    </row>
    <row r="30" spans="1:15" x14ac:dyDescent="0.2">
      <c r="J30" s="33" t="s">
        <v>56</v>
      </c>
      <c r="K30" s="25"/>
      <c r="L30" s="25"/>
      <c r="M30" s="25"/>
    </row>
    <row r="31" spans="1:15" hidden="1" x14ac:dyDescent="0.2">
      <c r="B31" s="14" t="s">
        <v>22</v>
      </c>
      <c r="C31" s="15">
        <v>677322</v>
      </c>
      <c r="K31" s="25"/>
      <c r="L31" s="25"/>
      <c r="M31" s="25"/>
    </row>
    <row r="32" spans="1:15" x14ac:dyDescent="0.2">
      <c r="J32" s="34" t="s">
        <v>57</v>
      </c>
      <c r="K32" s="35" t="s">
        <v>58</v>
      </c>
      <c r="L32" s="35" t="s">
        <v>59</v>
      </c>
      <c r="M32" s="35" t="s">
        <v>2</v>
      </c>
      <c r="N32" s="35" t="s">
        <v>60</v>
      </c>
    </row>
    <row r="33" spans="10:14" x14ac:dyDescent="0.2">
      <c r="J33" s="36">
        <f>SUM(E11:E21)</f>
        <v>4230513.1199999992</v>
      </c>
      <c r="K33" s="37">
        <f>+E28</f>
        <v>89</v>
      </c>
      <c r="L33" s="37">
        <f>+J33/K33</f>
        <v>47533.855280898868</v>
      </c>
      <c r="M33" s="37">
        <f>+M10</f>
        <v>2</v>
      </c>
      <c r="N33" s="37">
        <f>+L33*M33</f>
        <v>95067.710561797736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R37"/>
  <sheetViews>
    <sheetView topLeftCell="A4" zoomScaleNormal="100" workbookViewId="0">
      <selection activeCell="F8" sqref="F8:F21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9.140625" hidden="1" customWidth="1"/>
    <col min="18" max="55" width="0" hidden="1" customWidth="1"/>
  </cols>
  <sheetData>
    <row r="1" spans="1:44" ht="18" x14ac:dyDescent="0.2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2" t="s">
        <v>175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 t="s">
        <v>63</v>
      </c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 t="s">
        <v>7</v>
      </c>
    </row>
    <row r="8" spans="1:44" x14ac:dyDescent="0.2">
      <c r="A8" s="13" t="s">
        <v>9</v>
      </c>
      <c r="B8" s="14" t="s">
        <v>10</v>
      </c>
      <c r="C8" s="15">
        <f>'[11]Central Trading'!C8+'[11]Central Origination'!C8+[11]Derivatives!C8+'[11]East Trading'!C8+'[11]East Origination'!C8+'[11]Financial Gas'!C8+[11]Structuring!C8+'[11]Texas Trading'!C8+'[11]Texas Origination'!C8+'[11]West Trading'!C8+'[11]West Origination'!C8+[11]Fundamentals!C8</f>
        <v>8647857.6600000001</v>
      </c>
      <c r="E8" s="15">
        <f>((C8/9)*12)</f>
        <v>11530476.880000001</v>
      </c>
      <c r="G8" s="45">
        <f t="shared" ref="G8:G22" si="0">E8/$E$22</f>
        <v>0.5287785559542808</v>
      </c>
      <c r="H8" s="140">
        <f>((L27-H9)*1.2)*0.917</f>
        <v>791627.76</v>
      </c>
      <c r="I8" s="42" t="s">
        <v>10</v>
      </c>
      <c r="J8" s="17">
        <v>0</v>
      </c>
      <c r="K8" s="17"/>
      <c r="L8" s="43">
        <f>L29</f>
        <v>863280</v>
      </c>
      <c r="Q8" s="15">
        <f t="shared" ref="Q8:Q21" si="1">+H8/$H$28*$Q$28</f>
        <v>158325.552</v>
      </c>
    </row>
    <row r="9" spans="1:44" x14ac:dyDescent="0.2">
      <c r="A9" s="13"/>
      <c r="B9" s="14" t="s">
        <v>65</v>
      </c>
      <c r="C9" s="15">
        <f>'[11]Central Trading'!C10+'[11]Central Origination'!C10+[11]Derivatives!C10+'[11]East Trading'!C10+'[11]East Origination'!C10+'[11]Financial Gas'!C10+[11]Structuring!C10+'[11]Texas Trading'!C10+'[11]Texas Origination'!C10+'[11]West Trading'!C10+'[11]West Origination'!C10+[11]Fundamentals!C10</f>
        <v>3095252.76</v>
      </c>
      <c r="D9" s="15"/>
      <c r="E9" s="15">
        <f>('[11]Central Trading'!E9+'[11]Central Origination'!E10+[11]Derivatives!E10+'[11]East Trading'!E10+'[11]East Origination'!E10+'[11]Financial Gas'!E10+[11]Structuring!E10+'[11]Texas Trading'!E10+'[11]Texas Origination'!E10+'[11]West Trading'!E10+'[11]West Origination'!E10+[11]Fundamentals!E10)-4000000</f>
        <v>82420.999999999534</v>
      </c>
      <c r="G9" s="45">
        <f t="shared" si="0"/>
        <v>3.7797619139155266E-3</v>
      </c>
      <c r="H9" s="140">
        <f>((L20+L21)*1.2)*0.917</f>
        <v>0</v>
      </c>
      <c r="I9" s="42"/>
      <c r="J9" s="17"/>
      <c r="K9" s="17"/>
      <c r="L9" s="43"/>
      <c r="Q9" s="15">
        <f t="shared" si="1"/>
        <v>0</v>
      </c>
    </row>
    <row r="10" spans="1:44" x14ac:dyDescent="0.2">
      <c r="A10" s="13" t="s">
        <v>13</v>
      </c>
      <c r="B10" s="14" t="s">
        <v>14</v>
      </c>
      <c r="C10" s="15">
        <f>'[11]Central Trading'!C11+'[11]Central Origination'!C11+[11]Derivatives!C11+'[11]East Trading'!C11+'[11]East Origination'!C11+'[11]Financial Gas'!C11+[11]Structuring!C11+'[11]Texas Trading'!C11+'[11]Texas Origination'!C11+'[11]West Trading'!C11+'[11]West Origination'!C11+[11]Fundamentals!C11</f>
        <v>1852307.95</v>
      </c>
      <c r="E10" s="15">
        <f>((C10/9)*12)</f>
        <v>2469743.9333333331</v>
      </c>
      <c r="G10" s="45">
        <f t="shared" si="0"/>
        <v>0.11326050468129861</v>
      </c>
      <c r="H10" s="140">
        <f>((L29-L27)*1.2)*0.917</f>
        <v>158325.552</v>
      </c>
      <c r="I10" s="42" t="s">
        <v>15</v>
      </c>
      <c r="J10" s="17">
        <f>(E11+E12+E13+E14+E15+E16+E17+E18+E19+E20+E21)/E28</f>
        <v>48270.181250000009</v>
      </c>
      <c r="K10" s="17">
        <f>K27</f>
        <v>5</v>
      </c>
      <c r="L10" s="43">
        <f>J10*K10</f>
        <v>241350.90625000006</v>
      </c>
      <c r="Q10" s="15">
        <f t="shared" si="1"/>
        <v>31665.110399999998</v>
      </c>
    </row>
    <row r="11" spans="1:44" x14ac:dyDescent="0.2">
      <c r="A11" s="13" t="s">
        <v>16</v>
      </c>
      <c r="B11" s="14" t="s">
        <v>17</v>
      </c>
      <c r="C11" s="15">
        <f>'[11]Central Trading'!C12+'[11]Central Origination'!C12+[11]Derivatives!C12+'[11]East Trading'!C12+'[11]East Origination'!C12+'[11]Financial Gas'!C12+[11]Structuring!C12+'[11]Texas Trading'!C12+'[11]Texas Origination'!C12+'[11]West Trading'!C12+'[11]West Origination'!C12+[11]Fundamentals!C12</f>
        <v>1114496.8499999996</v>
      </c>
      <c r="E11" s="20">
        <f>((C11/9)*12)-500000</f>
        <v>985995.79999999958</v>
      </c>
      <c r="G11" s="45">
        <f t="shared" si="0"/>
        <v>4.5216988050626544E-2</v>
      </c>
      <c r="H11" s="140">
        <f>(((E11/$E$28)*$K$10)*1.2)*0.917</f>
        <v>33905.930572499987</v>
      </c>
      <c r="I11" s="42"/>
      <c r="J11" s="17"/>
      <c r="K11" s="17"/>
      <c r="L11" s="43"/>
      <c r="Q11" s="15">
        <f t="shared" si="1"/>
        <v>6781.1861144999975</v>
      </c>
    </row>
    <row r="12" spans="1:44" ht="13.5" thickBot="1" x14ac:dyDescent="0.25">
      <c r="A12" s="13" t="s">
        <v>18</v>
      </c>
      <c r="B12" s="14" t="s">
        <v>19</v>
      </c>
      <c r="C12" s="15">
        <f>'[11]Central Trading'!C13+'[11]Central Origination'!C13+[11]Derivatives!C13+'[11]East Trading'!C13+'[11]East Origination'!C13+'[11]Financial Gas'!C13+[11]Structuring!C13+'[11]Texas Trading'!C13+'[11]Texas Origination'!C13+'[11]West Trading'!C13+'[11]West Origination'!C13+[11]Fundamentals!C13</f>
        <v>1408194.83</v>
      </c>
      <c r="E12" s="20">
        <f>((C12/9)*12)-500000-500000</f>
        <v>877593.10666666692</v>
      </c>
      <c r="G12" s="45">
        <f t="shared" si="0"/>
        <v>4.02457262165406E-2</v>
      </c>
      <c r="H12" s="140">
        <f>(((E12/$E$28)*$K$10)*1.2)*0.917</f>
        <v>30178.232955500011</v>
      </c>
      <c r="I12" s="46" t="s">
        <v>20</v>
      </c>
      <c r="J12" s="47"/>
      <c r="K12" s="47"/>
      <c r="L12" s="48">
        <f>L8+L10</f>
        <v>1104630.90625</v>
      </c>
      <c r="N12" s="25">
        <v>24109311.029375006</v>
      </c>
      <c r="P12" s="49">
        <f>N12-L12</f>
        <v>23004680.123125006</v>
      </c>
      <c r="Q12" s="15">
        <f t="shared" si="1"/>
        <v>6035.6465911000023</v>
      </c>
    </row>
    <row r="13" spans="1:44" x14ac:dyDescent="0.2">
      <c r="A13" s="13" t="s">
        <v>21</v>
      </c>
      <c r="B13" s="14" t="s">
        <v>22</v>
      </c>
      <c r="C13" s="15">
        <f>'[11]Central Trading'!C14+'[11]Central Origination'!C14+[11]Derivatives!C14+'[11]East Trading'!C14+'[11]East Origination'!C14+'[11]Financial Gas'!C14+[11]Structuring!C14+'[11]Texas Trading'!C14+'[11]Texas Origination'!C14+'[11]West Trading'!C14+'[11]West Origination'!C14+[11]Fundamentals!C14-C31</f>
        <v>0.2400000000197906</v>
      </c>
      <c r="E13" s="20">
        <f>(C13/9)*12</f>
        <v>0.32000000002638745</v>
      </c>
      <c r="G13" s="45">
        <f t="shared" si="0"/>
        <v>1.4674947071167709E-8</v>
      </c>
      <c r="H13" s="140">
        <v>147233.51999999999</v>
      </c>
      <c r="Q13" s="15">
        <f t="shared" si="1"/>
        <v>29446.703999999998</v>
      </c>
    </row>
    <row r="14" spans="1:44" x14ac:dyDescent="0.2">
      <c r="A14" s="13" t="s">
        <v>23</v>
      </c>
      <c r="B14" s="14" t="s">
        <v>24</v>
      </c>
      <c r="C14" s="15">
        <f>'[11]Central Trading'!C15+'[11]Central Origination'!C15+[11]Derivatives!C15+'[11]East Trading'!C15+'[11]East Origination'!C15+'[11]Financial Gas'!C15+[11]Structuring!C15+'[11]Texas Trading'!C15+'[11]Texas Origination'!C15+'[11]West Trading'!C15+'[11]West Origination'!C15+[11]Fundamentals!C15</f>
        <v>160813</v>
      </c>
      <c r="E14" s="20">
        <f>((C14/9)*12)-75000</f>
        <v>139417.33333333331</v>
      </c>
      <c r="G14" s="45">
        <f t="shared" si="0"/>
        <v>6.3935687103165682E-3</v>
      </c>
      <c r="H14" s="140">
        <f t="shared" ref="H14:H20" si="2">(((E14/$E$28)*$K$10)*1.2)*0.917</f>
        <v>4794.2135499999986</v>
      </c>
      <c r="Q14" s="15">
        <f t="shared" si="1"/>
        <v>958.84270999999967</v>
      </c>
    </row>
    <row r="15" spans="1:44" x14ac:dyDescent="0.2">
      <c r="A15" s="13" t="s">
        <v>25</v>
      </c>
      <c r="B15" s="14" t="s">
        <v>26</v>
      </c>
      <c r="C15" s="15">
        <f>'[11]Central Trading'!C16+'[11]Central Origination'!C16+[11]Derivatives!C16+'[11]East Trading'!C16+'[11]East Origination'!C16+'[11]Financial Gas'!C16+[11]Structuring!C16+'[11]Texas Trading'!C16+'[11]Texas Origination'!C16+'[11]West Trading'!C16+'[11]West Origination'!C16+[11]Fundamentals!C16</f>
        <v>0</v>
      </c>
      <c r="E15" s="20">
        <f>(C15/9)*12</f>
        <v>0</v>
      </c>
      <c r="G15" s="45">
        <f t="shared" si="0"/>
        <v>0</v>
      </c>
      <c r="H15" s="140">
        <f t="shared" si="2"/>
        <v>0</v>
      </c>
      <c r="I15" s="50" t="s">
        <v>66</v>
      </c>
      <c r="J15" s="25">
        <v>33000</v>
      </c>
      <c r="K15" s="25">
        <f>1-1</f>
        <v>0</v>
      </c>
      <c r="L15" s="25">
        <f t="shared" ref="L15:L26" si="3">J15*K15</f>
        <v>0</v>
      </c>
      <c r="Q15" s="15">
        <f t="shared" si="1"/>
        <v>0</v>
      </c>
    </row>
    <row r="16" spans="1:44" x14ac:dyDescent="0.2">
      <c r="A16" s="13" t="s">
        <v>28</v>
      </c>
      <c r="B16" s="14" t="s">
        <v>29</v>
      </c>
      <c r="C16" s="15">
        <f>'[11]Central Trading'!C17+'[11]Central Origination'!C17+[11]Derivatives!C17+'[11]East Trading'!C17+'[11]East Origination'!C17+'[11]Financial Gas'!C17+[11]Structuring!C17+'[11]Texas Trading'!C17+'[11]Texas Origination'!C17+'[11]West Trading'!C17+'[11]West Origination'!C17+[11]Fundamentals!C17</f>
        <v>5900</v>
      </c>
      <c r="E16" s="20">
        <f>((C16/9)*12)</f>
        <v>7866.6666666666661</v>
      </c>
      <c r="G16" s="45">
        <f t="shared" si="0"/>
        <v>3.60759115469791E-4</v>
      </c>
      <c r="H16" s="140">
        <f t="shared" si="2"/>
        <v>270.51499999999999</v>
      </c>
      <c r="I16" s="25" t="s">
        <v>30</v>
      </c>
      <c r="J16" s="25">
        <v>48400</v>
      </c>
      <c r="K16" s="25">
        <f>1-1</f>
        <v>0</v>
      </c>
      <c r="L16" s="25">
        <f t="shared" si="3"/>
        <v>0</v>
      </c>
      <c r="Q16" s="15">
        <f t="shared" si="1"/>
        <v>54.102999999999994</v>
      </c>
    </row>
    <row r="17" spans="1:17" x14ac:dyDescent="0.2">
      <c r="A17" s="13" t="s">
        <v>31</v>
      </c>
      <c r="B17" s="14" t="s">
        <v>32</v>
      </c>
      <c r="C17" s="15">
        <f>'[11]Central Trading'!C18+'[11]Central Origination'!C18+[11]Derivatives!C18+'[11]East Trading'!C18+'[11]East Origination'!C18+'[11]Financial Gas'!C18+[11]Structuring!C18+'[11]Texas Trading'!C18+'[11]Texas Origination'!C18+'[11]West Trading'!C18+'[11]West Origination'!C18+[11]Fundamentals!C18</f>
        <v>350904.92000000004</v>
      </c>
      <c r="E17" s="20">
        <f>((C17/9)*12)-250000-75000</f>
        <v>142873.22666666668</v>
      </c>
      <c r="G17" s="45">
        <f t="shared" si="0"/>
        <v>6.552053247023089E-3</v>
      </c>
      <c r="H17" s="140">
        <f t="shared" si="2"/>
        <v>4913.0530820000004</v>
      </c>
      <c r="I17" s="25" t="s">
        <v>33</v>
      </c>
      <c r="J17" s="25">
        <v>49500</v>
      </c>
      <c r="K17" s="25">
        <f>1-1</f>
        <v>0</v>
      </c>
      <c r="L17" s="25">
        <f t="shared" si="3"/>
        <v>0</v>
      </c>
      <c r="Q17" s="15">
        <f t="shared" si="1"/>
        <v>982.61061640000003</v>
      </c>
    </row>
    <row r="18" spans="1:17" x14ac:dyDescent="0.2">
      <c r="A18" s="13" t="s">
        <v>34</v>
      </c>
      <c r="B18" s="14" t="s">
        <v>35</v>
      </c>
      <c r="C18" s="15">
        <f>'[11]Central Trading'!C19+'[11]Central Origination'!C19+[11]Derivatives!C19+'[11]East Trading'!C19+'[11]East Origination'!C19+'[11]Financial Gas'!C19+[11]Structuring!C19+'[11]Texas Trading'!C19+'[11]Texas Origination'!C19+'[11]West Trading'!C19+'[11]West Origination'!C19+[11]Fundamentals!C19</f>
        <v>277960.32000000001</v>
      </c>
      <c r="E18" s="20">
        <f>((C18/9)*12)-75000-75000-50000-25000</f>
        <v>145613.76000000001</v>
      </c>
      <c r="G18" s="45">
        <f t="shared" si="0"/>
        <v>6.6777319395547171E-3</v>
      </c>
      <c r="H18" s="140">
        <f t="shared" si="2"/>
        <v>5007.2931720000006</v>
      </c>
      <c r="I18" s="25" t="s">
        <v>36</v>
      </c>
      <c r="J18" s="25">
        <v>57750</v>
      </c>
      <c r="K18" s="25">
        <f>1-1</f>
        <v>0</v>
      </c>
      <c r="L18" s="25">
        <f t="shared" si="3"/>
        <v>0</v>
      </c>
      <c r="Q18" s="15">
        <f t="shared" si="1"/>
        <v>1001.4586344000002</v>
      </c>
    </row>
    <row r="19" spans="1:17" x14ac:dyDescent="0.2">
      <c r="A19" s="13" t="s">
        <v>37</v>
      </c>
      <c r="B19" s="14" t="s">
        <v>38</v>
      </c>
      <c r="C19" s="15">
        <f>'[11]Central Trading'!C20+'[11]Central Origination'!C20+[11]Derivatives!C20+'[11]East Trading'!C20+'[11]East Origination'!C20+'[11]Financial Gas'!C20+[11]Structuring!C20+'[11]Texas Trading'!C20+'[11]Texas Origination'!C20+'[11]West Trading'!C20+'[11]West Origination'!C20+[11]Fundamentals!C20</f>
        <v>16</v>
      </c>
      <c r="E19" s="20">
        <f>((C19/9)*12)</f>
        <v>21.333333333333332</v>
      </c>
      <c r="G19" s="45">
        <f t="shared" si="0"/>
        <v>9.7832980466383997E-7</v>
      </c>
      <c r="H19" s="140">
        <f t="shared" si="2"/>
        <v>0.73359999999999992</v>
      </c>
      <c r="I19" s="25" t="s">
        <v>39</v>
      </c>
      <c r="J19" s="25">
        <v>71500</v>
      </c>
      <c r="K19" s="25">
        <v>1</v>
      </c>
      <c r="L19" s="25">
        <f t="shared" si="3"/>
        <v>71500</v>
      </c>
      <c r="Q19" s="15">
        <f t="shared" si="1"/>
        <v>0.14671999999999999</v>
      </c>
    </row>
    <row r="20" spans="1:17" x14ac:dyDescent="0.2">
      <c r="A20" s="13" t="s">
        <v>40</v>
      </c>
      <c r="B20" s="14" t="s">
        <v>41</v>
      </c>
      <c r="C20" s="15">
        <f>'[11]Central Trading'!C21+'[11]Central Origination'!C21+[11]Derivatives!C21+'[11]East Trading'!C21+'[11]East Origination'!C21+'[11]Financial Gas'!C21+[11]Structuring!C21+'[11]Texas Trading'!C21+'[11]Texas Origination'!C21+'[11]West Trading'!C21+'[11]West Origination'!C21+[11]Fundamentals!C21</f>
        <v>192038.90999999986</v>
      </c>
      <c r="E20" s="20">
        <f>((C20/9)*12)-75000</f>
        <v>181051.87999999983</v>
      </c>
      <c r="G20" s="45">
        <f t="shared" si="0"/>
        <v>8.302896112238476E-3</v>
      </c>
      <c r="H20" s="140">
        <f t="shared" si="2"/>
        <v>6225.9215234999947</v>
      </c>
      <c r="I20" s="25" t="s">
        <v>42</v>
      </c>
      <c r="J20" s="25">
        <v>60500</v>
      </c>
      <c r="K20" s="25">
        <f>1-1</f>
        <v>0</v>
      </c>
      <c r="L20" s="25">
        <f t="shared" si="3"/>
        <v>0</v>
      </c>
      <c r="Q20" s="15">
        <f t="shared" si="1"/>
        <v>1245.1843046999988</v>
      </c>
    </row>
    <row r="21" spans="1:17" x14ac:dyDescent="0.2">
      <c r="A21" s="13" t="s">
        <v>43</v>
      </c>
      <c r="B21" s="14" t="s">
        <v>44</v>
      </c>
      <c r="C21" s="15">
        <f>'[11]Central Trading'!C22+'[11]Central Origination'!C22+[11]Derivatives!C22+'[11]East Trading'!C22+'[11]East Origination'!C22+'[11]Financial Gas'!C22+[11]Structuring!C22+'[11]Texas Trading'!C22+'[11]Texas Origination'!C22+'[11]West Trading'!C22+'[11]West Origination'!C22+[11]Fundamentals!C22</f>
        <v>4757096.6800000016</v>
      </c>
      <c r="E21" s="20">
        <f>((C21/9)*12)-1000000-100000</f>
        <v>5242795.573333336</v>
      </c>
      <c r="G21" s="45">
        <f t="shared" si="0"/>
        <v>0.2404304610539835</v>
      </c>
      <c r="H21" s="140">
        <f>(((E21/$E$28)*$K$10-65535)*1.2)*0.917</f>
        <v>108171.91877800009</v>
      </c>
      <c r="I21" s="25" t="s">
        <v>45</v>
      </c>
      <c r="J21" s="25">
        <v>89100</v>
      </c>
      <c r="K21" s="25">
        <f>1-1</f>
        <v>0</v>
      </c>
      <c r="L21" s="25">
        <f t="shared" si="3"/>
        <v>0</v>
      </c>
      <c r="Q21" s="15">
        <f t="shared" si="1"/>
        <v>21634.383755600018</v>
      </c>
    </row>
    <row r="22" spans="1:17" x14ac:dyDescent="0.2">
      <c r="A22" s="26" t="s">
        <v>46</v>
      </c>
      <c r="B22" s="27" t="s">
        <v>47</v>
      </c>
      <c r="C22" s="28">
        <f>SUM(C8:C21)</f>
        <v>21862840.119999997</v>
      </c>
      <c r="E22" s="28">
        <f>SUM(E8:E21)</f>
        <v>21805870.813333336</v>
      </c>
      <c r="G22" s="51">
        <f t="shared" si="0"/>
        <v>1</v>
      </c>
      <c r="H22" s="28">
        <f>SUM(H8:H21)</f>
        <v>1290654.6442334999</v>
      </c>
      <c r="I22" s="25" t="s">
        <v>48</v>
      </c>
      <c r="J22" s="25">
        <v>110000</v>
      </c>
      <c r="K22" s="25">
        <v>3</v>
      </c>
      <c r="L22" s="25">
        <f t="shared" si="3"/>
        <v>330000</v>
      </c>
      <c r="Q22" s="28">
        <f>SUM(Q8:Q21)</f>
        <v>258130.9288467</v>
      </c>
    </row>
    <row r="23" spans="1:17" x14ac:dyDescent="0.2">
      <c r="I23" s="25" t="s">
        <v>49</v>
      </c>
      <c r="J23" s="25">
        <v>143000</v>
      </c>
      <c r="K23" s="25">
        <f>1-1</f>
        <v>0</v>
      </c>
      <c r="L23" s="25">
        <f t="shared" si="3"/>
        <v>0</v>
      </c>
    </row>
    <row r="24" spans="1:17" x14ac:dyDescent="0.2">
      <c r="B24" s="27" t="s">
        <v>50</v>
      </c>
      <c r="C24" s="15"/>
      <c r="E24" s="31">
        <f>'[11]Central Trading'!E25+'[11]Central Origination'!E25+[11]Derivatives!E25+'[11]East Trading'!E25+'[11]East Origination'!E25+'[11]Financial Gas'!E25+[11]Structuring!E25+'[11]Texas Trading'!E25+'[11]Texas Origination'!E25+'[11]West Trading'!E25+'[11]West Origination'!E25+[11]Fundamentals!E25</f>
        <v>108</v>
      </c>
      <c r="H24" s="31">
        <f>+K15+K16+K17+K18+K19+K22+K23+K24+K25+K26</f>
        <v>5</v>
      </c>
      <c r="I24" s="25" t="s">
        <v>51</v>
      </c>
      <c r="J24" s="25">
        <v>165000</v>
      </c>
      <c r="K24" s="25">
        <f>1-1</f>
        <v>0</v>
      </c>
      <c r="L24" s="25">
        <f t="shared" si="3"/>
        <v>0</v>
      </c>
      <c r="Q24" s="31">
        <f>+T15+T16+T17+T18+T19+T22+T23+T24+T25+T26</f>
        <v>0</v>
      </c>
    </row>
    <row r="25" spans="1:17" x14ac:dyDescent="0.2">
      <c r="C25" s="15"/>
      <c r="E25" s="15"/>
      <c r="H25" s="15"/>
      <c r="I25" s="25" t="s">
        <v>52</v>
      </c>
      <c r="J25" s="25">
        <v>198000</v>
      </c>
      <c r="K25" s="25">
        <v>1</v>
      </c>
      <c r="L25" s="25">
        <f t="shared" si="3"/>
        <v>198000</v>
      </c>
      <c r="Q25" s="15"/>
    </row>
    <row r="26" spans="1:17" x14ac:dyDescent="0.2">
      <c r="B26" s="27" t="s">
        <v>67</v>
      </c>
      <c r="C26" s="15"/>
      <c r="E26" s="31">
        <f>'[11]Central Trading'!E27+'[11]Central Origination'!E27+[11]Derivatives!E27+'[11]East Trading'!E27+'[11]East Origination'!E27+'[11]Financial Gas'!E27+[11]Structuring!E27+'[11]Texas Trading'!E27+'[11]Texas Origination'!E27+'[11]West Trading'!E27+'[11]West Origination'!E27+[11]Fundamentals!E27</f>
        <v>52</v>
      </c>
      <c r="H26" s="31">
        <f>+K20+K21</f>
        <v>0</v>
      </c>
      <c r="I26" s="25" t="s">
        <v>54</v>
      </c>
      <c r="J26" s="25">
        <v>220000</v>
      </c>
      <c r="K26" s="25">
        <f>1-1</f>
        <v>0</v>
      </c>
      <c r="L26" s="25">
        <f t="shared" si="3"/>
        <v>0</v>
      </c>
      <c r="Q26" s="31">
        <f>+T20+T21</f>
        <v>0</v>
      </c>
    </row>
    <row r="27" spans="1:17" x14ac:dyDescent="0.2">
      <c r="K27" s="25">
        <f>SUM(K15:K26)</f>
        <v>5</v>
      </c>
      <c r="L27" s="25">
        <f>SUM(L15:L26)*1.2</f>
        <v>719400</v>
      </c>
    </row>
    <row r="28" spans="1:17" x14ac:dyDescent="0.2">
      <c r="B28" s="27" t="s">
        <v>55</v>
      </c>
      <c r="C28" s="15"/>
      <c r="E28" s="31">
        <f>SUM(E24:E26)</f>
        <v>160</v>
      </c>
      <c r="G28" s="25"/>
      <c r="H28" s="31">
        <f>SUM(H24:H26)</f>
        <v>5</v>
      </c>
      <c r="L28" s="52">
        <v>0.2</v>
      </c>
      <c r="Q28" s="31">
        <v>1</v>
      </c>
    </row>
    <row r="29" spans="1:17" hidden="1" x14ac:dyDescent="0.2">
      <c r="L29" s="25">
        <f>L27*1.2</f>
        <v>863280</v>
      </c>
    </row>
    <row r="30" spans="1:17" hidden="1" x14ac:dyDescent="0.2">
      <c r="H30" s="33" t="s">
        <v>56</v>
      </c>
      <c r="L30"/>
    </row>
    <row r="31" spans="1:17" hidden="1" x14ac:dyDescent="0.2">
      <c r="B31" s="14" t="s">
        <v>22</v>
      </c>
      <c r="C31" s="15">
        <v>254512</v>
      </c>
      <c r="L31"/>
    </row>
    <row r="32" spans="1:17" hidden="1" x14ac:dyDescent="0.2">
      <c r="H32" s="34" t="s">
        <v>57</v>
      </c>
      <c r="I32" s="35" t="s">
        <v>58</v>
      </c>
      <c r="J32" s="35" t="s">
        <v>59</v>
      </c>
      <c r="K32" s="35" t="s">
        <v>2</v>
      </c>
      <c r="L32" s="35" t="s">
        <v>60</v>
      </c>
    </row>
    <row r="33" spans="8:12" hidden="1" x14ac:dyDescent="0.2">
      <c r="H33" s="36">
        <f>SUM(E11:E21)</f>
        <v>7723229.0000000019</v>
      </c>
      <c r="I33" s="37">
        <f>+E28</f>
        <v>160</v>
      </c>
      <c r="J33" s="37">
        <f>+H33/I33</f>
        <v>48270.181250000009</v>
      </c>
      <c r="K33" s="37">
        <f>+K10</f>
        <v>5</v>
      </c>
      <c r="L33" s="37">
        <f>+J33*K33</f>
        <v>241350.90625000006</v>
      </c>
    </row>
    <row r="34" spans="8:12" hidden="1" x14ac:dyDescent="0.2"/>
    <row r="35" spans="8:12" hidden="1" x14ac:dyDescent="0.2"/>
    <row r="36" spans="8:12" hidden="1" x14ac:dyDescent="0.2"/>
    <row r="37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AM56"/>
  <sheetViews>
    <sheetView workbookViewId="0">
      <selection activeCell="F8" sqref="F8:F21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8" hidden="1" customWidth="1"/>
    <col min="6" max="6" width="2.28515625" customWidth="1"/>
    <col min="7" max="7" width="0" hidden="1" customWidth="1"/>
    <col min="8" max="8" width="17.7109375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11.28515625" hidden="1" customWidth="1"/>
    <col min="17" max="17" width="9.140625" hidden="1" customWidth="1"/>
    <col min="18" max="29" width="0" hidden="1" customWidth="1"/>
  </cols>
  <sheetData>
    <row r="1" spans="1:39" ht="18" x14ac:dyDescent="0.25">
      <c r="B1" s="142" t="str">
        <f>'[19]Team Report'!B1</f>
        <v>Enron North America</v>
      </c>
      <c r="C1" s="142"/>
      <c r="D1" s="142"/>
      <c r="E1" s="142"/>
      <c r="F1" s="142"/>
      <c r="G1" s="142"/>
      <c r="H1" s="142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25">
      <c r="B2" s="142" t="s">
        <v>310</v>
      </c>
      <c r="C2" s="142"/>
      <c r="D2" s="142"/>
      <c r="E2" s="142"/>
      <c r="F2" s="142"/>
      <c r="G2" s="142"/>
      <c r="H2" s="142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25">
      <c r="B3" s="143" t="s">
        <v>0</v>
      </c>
      <c r="C3" s="143"/>
      <c r="D3" s="143"/>
      <c r="E3" s="143"/>
      <c r="F3" s="143"/>
      <c r="G3" s="143"/>
      <c r="H3" s="14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5" thickBot="1" x14ac:dyDescent="0.25">
      <c r="I4" s="147" t="s">
        <v>172</v>
      </c>
      <c r="J4" s="147"/>
      <c r="K4" s="147"/>
      <c r="L4" s="147"/>
    </row>
    <row r="5" spans="1:39" x14ac:dyDescent="0.2">
      <c r="I5" s="4"/>
      <c r="J5" s="40"/>
      <c r="K5" s="40"/>
      <c r="L5" s="41"/>
      <c r="M5" s="8"/>
    </row>
    <row r="6" spans="1:39" x14ac:dyDescent="0.2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x14ac:dyDescent="0.2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x14ac:dyDescent="0.2">
      <c r="A8" s="13" t="s">
        <v>9</v>
      </c>
      <c r="B8" s="14" t="s">
        <v>10</v>
      </c>
      <c r="C8" s="53">
        <f>'[19]Team Report'!BA25</f>
        <v>4985502.2300000004</v>
      </c>
      <c r="E8" s="15">
        <f>((C8/9)*12)*1.3</f>
        <v>8641537.1986666676</v>
      </c>
      <c r="H8" s="140">
        <v>1905755.25</v>
      </c>
      <c r="I8" s="7"/>
      <c r="J8" s="17"/>
      <c r="K8" s="17"/>
      <c r="L8" s="43"/>
      <c r="M8" s="8"/>
      <c r="Q8" s="15">
        <f t="shared" ref="Q8:Q21" si="0">+H8/$H$28*$Q$28</f>
        <v>48865.519230769234</v>
      </c>
    </row>
    <row r="9" spans="1:39" x14ac:dyDescent="0.2">
      <c r="A9" s="13"/>
      <c r="B9" s="14" t="s">
        <v>122</v>
      </c>
      <c r="C9" s="15">
        <v>0</v>
      </c>
      <c r="E9" s="15">
        <f>(C9/9)*12</f>
        <v>0</v>
      </c>
      <c r="H9" s="140">
        <v>1552884.48</v>
      </c>
      <c r="I9" s="7"/>
      <c r="J9" s="17"/>
      <c r="K9" s="17"/>
      <c r="L9" s="43"/>
      <c r="M9" s="8"/>
      <c r="Q9" s="15">
        <f t="shared" si="0"/>
        <v>39817.550769230766</v>
      </c>
    </row>
    <row r="10" spans="1:39" x14ac:dyDescent="0.2">
      <c r="A10" s="13" t="s">
        <v>13</v>
      </c>
      <c r="B10" s="14" t="s">
        <v>14</v>
      </c>
      <c r="C10" s="15">
        <f>'[19]Team Report'!BA26</f>
        <v>1210281.1100000001</v>
      </c>
      <c r="E10" s="15">
        <f>((C10/9)*12)*1.3</f>
        <v>2097820.5906666671</v>
      </c>
      <c r="H10" s="140">
        <v>535354.50360000005</v>
      </c>
      <c r="I10" s="7"/>
      <c r="J10" s="17"/>
      <c r="K10" s="17"/>
      <c r="L10" s="43"/>
      <c r="M10" s="8"/>
      <c r="Q10" s="15">
        <f t="shared" si="0"/>
        <v>13727.038553846156</v>
      </c>
    </row>
    <row r="11" spans="1:39" x14ac:dyDescent="0.2">
      <c r="A11" s="13" t="s">
        <v>16</v>
      </c>
      <c r="B11" s="14" t="s">
        <v>17</v>
      </c>
      <c r="C11" s="15">
        <f>'[19]Team Report'!BA27</f>
        <v>190029.97</v>
      </c>
      <c r="E11" s="15">
        <f>((C11/9)*12)*1.3</f>
        <v>329385.28133333335</v>
      </c>
      <c r="H11" s="140">
        <f>((173730+11460)*1.2)*0.917</f>
        <v>203783.076</v>
      </c>
      <c r="I11" s="7" t="s">
        <v>15</v>
      </c>
      <c r="J11" s="17">
        <f>(E11+E12+E13+E14+E15+E16+E17+E18+E19+E20+E21)/E28</f>
        <v>72139.841887005648</v>
      </c>
      <c r="K11" s="17">
        <f>K28</f>
        <v>184</v>
      </c>
      <c r="L11" s="43">
        <f>J11*K11</f>
        <v>13273730.907209039</v>
      </c>
      <c r="M11" s="8"/>
      <c r="Q11" s="15">
        <f t="shared" si="0"/>
        <v>5225.2070769230768</v>
      </c>
    </row>
    <row r="12" spans="1:39" x14ac:dyDescent="0.2">
      <c r="A12" s="13" t="s">
        <v>18</v>
      </c>
      <c r="B12" s="14" t="s">
        <v>19</v>
      </c>
      <c r="C12" s="15">
        <f>'[19]Team Report'!BA28</f>
        <v>78390.58</v>
      </c>
      <c r="E12" s="15">
        <f>((C12/9)*12)*1.3</f>
        <v>135877.00533333333</v>
      </c>
      <c r="H12" s="140">
        <v>0</v>
      </c>
      <c r="I12" s="7"/>
      <c r="J12" s="17"/>
      <c r="K12" s="17"/>
      <c r="L12" s="43"/>
      <c r="M12" s="8"/>
      <c r="Q12" s="15">
        <f t="shared" si="0"/>
        <v>0</v>
      </c>
    </row>
    <row r="13" spans="1:39" ht="13.5" thickBot="1" x14ac:dyDescent="0.25">
      <c r="A13" s="13" t="s">
        <v>21</v>
      </c>
      <c r="B13" s="14" t="s">
        <v>22</v>
      </c>
      <c r="C13" s="15">
        <v>0</v>
      </c>
      <c r="E13" s="15">
        <f>(4000000*1.2)+222800</f>
        <v>5022800</v>
      </c>
      <c r="H13" s="140">
        <v>71517.196799999991</v>
      </c>
      <c r="I13" s="22" t="s">
        <v>20</v>
      </c>
      <c r="J13" s="47"/>
      <c r="K13" s="47"/>
      <c r="L13" s="48">
        <f>SUM(L9:L11)</f>
        <v>13273730.907209039</v>
      </c>
      <c r="M13" s="8"/>
      <c r="N13">
        <v>36500125</v>
      </c>
      <c r="P13" s="49">
        <f>N13-L13</f>
        <v>23226394.092790961</v>
      </c>
      <c r="Q13" s="15">
        <f t="shared" si="0"/>
        <v>1833.7742769230767</v>
      </c>
    </row>
    <row r="14" spans="1:39" x14ac:dyDescent="0.2">
      <c r="A14" s="13" t="s">
        <v>23</v>
      </c>
      <c r="B14" s="14" t="s">
        <v>24</v>
      </c>
      <c r="C14" s="15">
        <f>'[19]Team Report'!BA33</f>
        <v>69921.63</v>
      </c>
      <c r="E14" s="15">
        <f>2087875*1.3</f>
        <v>2714237.5</v>
      </c>
      <c r="H14" s="140">
        <v>79585.329600000012</v>
      </c>
      <c r="I14" s="8"/>
      <c r="J14" s="17"/>
      <c r="K14" s="17"/>
      <c r="L14" s="17"/>
      <c r="M14" s="8"/>
      <c r="Q14" s="15">
        <f t="shared" si="0"/>
        <v>2040.6494769230771</v>
      </c>
    </row>
    <row r="15" spans="1:39" x14ac:dyDescent="0.2">
      <c r="A15" s="13" t="s">
        <v>25</v>
      </c>
      <c r="B15" s="14" t="s">
        <v>26</v>
      </c>
      <c r="C15" s="15">
        <f>'[19]Team Report'!BA34</f>
        <v>0</v>
      </c>
      <c r="E15" s="15">
        <f>(C15/9)*12</f>
        <v>0</v>
      </c>
      <c r="H15" s="140">
        <f>((+([27]EOPs!H16)/170*$H$28)*1.2)*0.917</f>
        <v>0</v>
      </c>
      <c r="I15" s="8"/>
      <c r="J15" s="17"/>
      <c r="K15" s="17"/>
      <c r="L15" s="17"/>
      <c r="M15" s="8"/>
      <c r="Q15" s="15">
        <f t="shared" si="0"/>
        <v>0</v>
      </c>
    </row>
    <row r="16" spans="1:39" x14ac:dyDescent="0.2">
      <c r="A16" s="13" t="s">
        <v>28</v>
      </c>
      <c r="B16" s="14" t="s">
        <v>29</v>
      </c>
      <c r="C16" s="15">
        <f>'[19]Team Report'!BA35</f>
        <v>0</v>
      </c>
      <c r="E16" s="15">
        <f>(C16/9)*12</f>
        <v>0</v>
      </c>
      <c r="H16" s="140">
        <f>((+([27]EOPs!H17)/170*$H$28)*1.2)*0.917</f>
        <v>0</v>
      </c>
      <c r="I16" s="8" t="s">
        <v>27</v>
      </c>
      <c r="J16" s="25">
        <v>37500</v>
      </c>
      <c r="K16">
        <f>1+1</f>
        <v>2</v>
      </c>
      <c r="L16" s="17">
        <f t="shared" ref="L16:L27" si="1">J16*K16</f>
        <v>75000</v>
      </c>
      <c r="N16">
        <v>1.25</v>
      </c>
      <c r="Q16" s="15">
        <f t="shared" si="0"/>
        <v>0</v>
      </c>
    </row>
    <row r="17" spans="1:17" x14ac:dyDescent="0.2">
      <c r="A17" s="13" t="s">
        <v>31</v>
      </c>
      <c r="B17" s="14" t="s">
        <v>32</v>
      </c>
      <c r="C17" s="15">
        <f>'[19]Team Report'!BA36</f>
        <v>19039.670000000002</v>
      </c>
      <c r="E17" s="15">
        <f>((C17/9)*12)*1.3</f>
        <v>33002.094666666671</v>
      </c>
      <c r="H17" s="140">
        <v>378977.76</v>
      </c>
      <c r="I17" t="s">
        <v>93</v>
      </c>
      <c r="J17" s="25">
        <v>52500</v>
      </c>
      <c r="K17">
        <f>1+2+1+1</f>
        <v>5</v>
      </c>
      <c r="L17" s="17">
        <f t="shared" si="1"/>
        <v>262500</v>
      </c>
      <c r="Q17" s="15">
        <f t="shared" si="0"/>
        <v>9717.3784615384611</v>
      </c>
    </row>
    <row r="18" spans="1:17" x14ac:dyDescent="0.2">
      <c r="A18" s="13" t="s">
        <v>34</v>
      </c>
      <c r="B18" s="14" t="s">
        <v>35</v>
      </c>
      <c r="C18" s="15">
        <f>'[19]Team Report'!BA37</f>
        <v>17422.019999999997</v>
      </c>
      <c r="E18" s="15">
        <v>145000</v>
      </c>
      <c r="H18" s="140">
        <v>81209.52</v>
      </c>
      <c r="I18" t="s">
        <v>33</v>
      </c>
      <c r="J18" s="25">
        <v>56250</v>
      </c>
      <c r="K18">
        <f>7+2+1+1+4+2</f>
        <v>17</v>
      </c>
      <c r="L18" s="17">
        <f t="shared" si="1"/>
        <v>956250</v>
      </c>
      <c r="Q18" s="15">
        <f t="shared" si="0"/>
        <v>2082.2953846153846</v>
      </c>
    </row>
    <row r="19" spans="1:17" x14ac:dyDescent="0.2">
      <c r="A19" s="13" t="s">
        <v>37</v>
      </c>
      <c r="B19" s="14" t="s">
        <v>38</v>
      </c>
      <c r="C19" s="15">
        <f>'[19]Team Report'!BA38</f>
        <v>0</v>
      </c>
      <c r="E19" s="15">
        <f>(C19/9)*12</f>
        <v>0</v>
      </c>
      <c r="H19" s="140">
        <f>((+([27]EOPs!H20)/170*$H$28)*1.2)*0.917</f>
        <v>0</v>
      </c>
      <c r="I19" t="s">
        <v>45</v>
      </c>
      <c r="J19" s="25">
        <v>75000</v>
      </c>
      <c r="K19">
        <f>3+1</f>
        <v>4</v>
      </c>
      <c r="L19" s="17">
        <f t="shared" si="1"/>
        <v>300000</v>
      </c>
      <c r="Q19" s="15">
        <f t="shared" si="0"/>
        <v>0</v>
      </c>
    </row>
    <row r="20" spans="1:17" x14ac:dyDescent="0.2">
      <c r="A20" s="13" t="s">
        <v>40</v>
      </c>
      <c r="B20" s="14" t="s">
        <v>41</v>
      </c>
      <c r="C20" s="15">
        <f>'[19]Team Report'!BA42</f>
        <v>75042.680000000008</v>
      </c>
      <c r="E20" s="15">
        <f>((C20/9)*12)*1.3</f>
        <v>130073.97866666669</v>
      </c>
      <c r="H20" s="140">
        <f>((+([27]EOPs!H21)/170*$H$28)*1.2)*0.917</f>
        <v>0</v>
      </c>
      <c r="I20" t="s">
        <v>94</v>
      </c>
      <c r="J20" s="25">
        <v>60000</v>
      </c>
      <c r="K20">
        <f>2+12+1</f>
        <v>15</v>
      </c>
      <c r="L20" s="17">
        <f t="shared" si="1"/>
        <v>900000</v>
      </c>
      <c r="Q20" s="15">
        <f t="shared" si="0"/>
        <v>0</v>
      </c>
    </row>
    <row r="21" spans="1:17" x14ac:dyDescent="0.2">
      <c r="A21" s="13" t="s">
        <v>43</v>
      </c>
      <c r="B21" s="14" t="s">
        <v>44</v>
      </c>
      <c r="C21" s="15">
        <f>'[19]Team Report'!BA44</f>
        <v>1226.24</v>
      </c>
      <c r="E21" s="15">
        <f>((C21/9)*12)*1.3</f>
        <v>2125.4826666666668</v>
      </c>
      <c r="H21" s="140">
        <f>((+([27]EOPs!H22)/170*$H$28)*1.2)*0.917</f>
        <v>0</v>
      </c>
      <c r="I21" t="s">
        <v>36</v>
      </c>
      <c r="J21" s="25">
        <v>65000</v>
      </c>
      <c r="K21">
        <f>8+4+5+10+9+2+2+4+4+1</f>
        <v>49</v>
      </c>
      <c r="L21" s="17">
        <f t="shared" si="1"/>
        <v>3185000</v>
      </c>
      <c r="Q21" s="15">
        <f t="shared" si="0"/>
        <v>0</v>
      </c>
    </row>
    <row r="22" spans="1:17" x14ac:dyDescent="0.2">
      <c r="A22" s="26" t="s">
        <v>46</v>
      </c>
      <c r="B22" s="27" t="s">
        <v>47</v>
      </c>
      <c r="C22" s="28">
        <f>SUM(C8:C21)</f>
        <v>6646856.1299999999</v>
      </c>
      <c r="E22" s="28">
        <f>SUM(E8:E21)</f>
        <v>19251859.132000003</v>
      </c>
      <c r="H22" s="28">
        <f>SUM(H8:H21)</f>
        <v>4809067.1159999995</v>
      </c>
      <c r="I22" t="s">
        <v>108</v>
      </c>
      <c r="J22" s="25">
        <v>82500</v>
      </c>
      <c r="K22">
        <f>10+1+13+6+6+3+7+1+2+6</f>
        <v>55</v>
      </c>
      <c r="L22" s="17">
        <f t="shared" si="1"/>
        <v>4537500</v>
      </c>
      <c r="Q22" s="28">
        <f>SUM(Q8:Q21)</f>
        <v>123309.41323076925</v>
      </c>
    </row>
    <row r="23" spans="1:17" x14ac:dyDescent="0.2">
      <c r="I23" t="s">
        <v>96</v>
      </c>
      <c r="J23" s="25">
        <v>100000</v>
      </c>
      <c r="K23">
        <f>2+1+8+6+3+1+4</f>
        <v>25</v>
      </c>
      <c r="L23" s="17">
        <f t="shared" si="1"/>
        <v>2500000</v>
      </c>
    </row>
    <row r="24" spans="1:17" x14ac:dyDescent="0.2">
      <c r="B24" s="27" t="s">
        <v>50</v>
      </c>
      <c r="C24" s="55"/>
      <c r="E24" s="55">
        <v>114</v>
      </c>
      <c r="H24" s="55">
        <v>39</v>
      </c>
      <c r="I24" t="s">
        <v>97</v>
      </c>
      <c r="J24" s="25">
        <v>145000</v>
      </c>
      <c r="K24">
        <f>1+1+1+1+2+1+2</f>
        <v>9</v>
      </c>
      <c r="L24" s="17">
        <f t="shared" si="1"/>
        <v>1305000</v>
      </c>
      <c r="Q24" s="31">
        <f>+T15+T16+T17+T18+T19+T22+T23+T24+T25+T26</f>
        <v>0</v>
      </c>
    </row>
    <row r="25" spans="1:17" x14ac:dyDescent="0.2">
      <c r="I25" t="s">
        <v>98</v>
      </c>
      <c r="J25" s="25">
        <v>175000</v>
      </c>
      <c r="K25">
        <f>1+1</f>
        <v>2</v>
      </c>
      <c r="L25" s="17">
        <f t="shared" si="1"/>
        <v>350000</v>
      </c>
      <c r="Q25" s="15"/>
    </row>
    <row r="26" spans="1:17" x14ac:dyDescent="0.2">
      <c r="B26" s="27" t="s">
        <v>67</v>
      </c>
      <c r="C26" s="55"/>
      <c r="E26" s="55">
        <v>4</v>
      </c>
      <c r="H26" s="55">
        <v>0</v>
      </c>
      <c r="I26" t="s">
        <v>99</v>
      </c>
      <c r="J26" s="25">
        <v>237500</v>
      </c>
      <c r="K26">
        <f>1</f>
        <v>1</v>
      </c>
      <c r="L26" s="17">
        <f t="shared" si="1"/>
        <v>237500</v>
      </c>
      <c r="Q26" s="31">
        <f>+T20+T21</f>
        <v>0</v>
      </c>
    </row>
    <row r="27" spans="1:17" x14ac:dyDescent="0.2">
      <c r="I27" t="s">
        <v>100</v>
      </c>
      <c r="J27" s="25">
        <v>312500</v>
      </c>
      <c r="K27">
        <v>0</v>
      </c>
      <c r="L27" s="17">
        <f t="shared" si="1"/>
        <v>0</v>
      </c>
    </row>
    <row r="28" spans="1:17" x14ac:dyDescent="0.2">
      <c r="B28" s="27" t="s">
        <v>55</v>
      </c>
      <c r="C28" s="55"/>
      <c r="E28" s="55">
        <f>SUM(E24:E27)</f>
        <v>118</v>
      </c>
      <c r="H28" s="55">
        <v>39</v>
      </c>
      <c r="K28" s="25">
        <f>SUM(K16:K27)</f>
        <v>184</v>
      </c>
      <c r="L28" s="25">
        <f>SUM(L16:L27)</f>
        <v>14608750</v>
      </c>
      <c r="Q28" s="31">
        <v>1</v>
      </c>
    </row>
    <row r="29" spans="1:17" hidden="1" x14ac:dyDescent="0.2">
      <c r="B29" s="27"/>
    </row>
    <row r="30" spans="1:17" hidden="1" x14ac:dyDescent="0.2">
      <c r="A30" s="13" t="s">
        <v>71</v>
      </c>
      <c r="B30" s="14" t="s">
        <v>72</v>
      </c>
      <c r="C30" s="15">
        <f>'[19]Team Report'!BA29</f>
        <v>0</v>
      </c>
      <c r="E30" s="15">
        <f t="shared" ref="E30:E37" si="2">(C30/9)*12</f>
        <v>0</v>
      </c>
      <c r="I30" t="s">
        <v>102</v>
      </c>
      <c r="K30" s="52"/>
      <c r="L30" s="52">
        <v>0.2</v>
      </c>
    </row>
    <row r="31" spans="1:17" hidden="1" x14ac:dyDescent="0.2">
      <c r="A31" s="13" t="s">
        <v>73</v>
      </c>
      <c r="B31" s="14" t="s">
        <v>74</v>
      </c>
      <c r="C31" s="15">
        <f>'[19]Team Report'!BA30</f>
        <v>0</v>
      </c>
      <c r="E31" s="15">
        <f t="shared" si="2"/>
        <v>0</v>
      </c>
    </row>
    <row r="32" spans="1:17" hidden="1" x14ac:dyDescent="0.2">
      <c r="A32" s="13" t="s">
        <v>75</v>
      </c>
      <c r="B32" s="14" t="s">
        <v>76</v>
      </c>
      <c r="C32" s="15">
        <f>'[19]Team Report'!BA31</f>
        <v>0</v>
      </c>
      <c r="E32" s="15">
        <f t="shared" si="2"/>
        <v>0</v>
      </c>
      <c r="L32" s="25">
        <f>L28*1.2</f>
        <v>17530500</v>
      </c>
    </row>
    <row r="33" spans="1:8" hidden="1" x14ac:dyDescent="0.2">
      <c r="A33" s="13" t="s">
        <v>77</v>
      </c>
      <c r="B33" s="14" t="s">
        <v>78</v>
      </c>
      <c r="C33" s="15">
        <f>'[19]Team Report'!BA39</f>
        <v>0</v>
      </c>
      <c r="E33" s="15">
        <f t="shared" si="2"/>
        <v>0</v>
      </c>
    </row>
    <row r="34" spans="1:8" hidden="1" x14ac:dyDescent="0.2">
      <c r="A34" s="13" t="s">
        <v>79</v>
      </c>
      <c r="B34" s="14" t="s">
        <v>80</v>
      </c>
      <c r="C34" s="15">
        <f>'[19]Team Report'!BA40</f>
        <v>24670.390000000003</v>
      </c>
      <c r="E34" s="15">
        <f t="shared" si="2"/>
        <v>32893.85333333334</v>
      </c>
    </row>
    <row r="35" spans="1:8" hidden="1" x14ac:dyDescent="0.2">
      <c r="A35" s="13" t="s">
        <v>81</v>
      </c>
      <c r="B35" s="14" t="s">
        <v>82</v>
      </c>
      <c r="C35" s="15">
        <f>'[19]Team Report'!BA41</f>
        <v>481045.43000000005</v>
      </c>
      <c r="E35" s="15">
        <f t="shared" si="2"/>
        <v>641393.90666666673</v>
      </c>
    </row>
    <row r="36" spans="1:8" hidden="1" x14ac:dyDescent="0.2">
      <c r="A36" s="13" t="s">
        <v>83</v>
      </c>
      <c r="B36" s="14" t="s">
        <v>84</v>
      </c>
      <c r="C36" s="15">
        <f>'[19]Team Report'!BA43</f>
        <v>-771915.88</v>
      </c>
      <c r="E36" s="15">
        <f t="shared" si="2"/>
        <v>-1029221.1733333333</v>
      </c>
      <c r="H36" s="33" t="s">
        <v>56</v>
      </c>
    </row>
    <row r="37" spans="1:8" hidden="1" x14ac:dyDescent="0.2">
      <c r="A37" s="13" t="s">
        <v>85</v>
      </c>
      <c r="B37" s="14" t="s">
        <v>86</v>
      </c>
      <c r="C37" s="15">
        <f>'[19]Team Report'!BA45</f>
        <v>0</v>
      </c>
      <c r="E37" s="15">
        <f t="shared" si="2"/>
        <v>0</v>
      </c>
    </row>
    <row r="38" spans="1:8" hidden="1" x14ac:dyDescent="0.2">
      <c r="A38" s="13"/>
      <c r="B38" s="14"/>
      <c r="C38" s="15"/>
      <c r="E38" s="15"/>
      <c r="H38" t="s">
        <v>133</v>
      </c>
    </row>
    <row r="39" spans="1:8" hidden="1" x14ac:dyDescent="0.2"/>
    <row r="40" spans="1:8" hidden="1" x14ac:dyDescent="0.2"/>
    <row r="41" spans="1:8" hidden="1" x14ac:dyDescent="0.2"/>
    <row r="42" spans="1:8" hidden="1" x14ac:dyDescent="0.2"/>
    <row r="43" spans="1:8" hidden="1" x14ac:dyDescent="0.2">
      <c r="C43" s="54">
        <f>C22+C30+C31+C32+C33+C34+C35+C36+C37</f>
        <v>6380656.0699999994</v>
      </c>
    </row>
    <row r="44" spans="1:8" hidden="1" x14ac:dyDescent="0.2"/>
    <row r="45" spans="1:8" hidden="1" x14ac:dyDescent="0.2"/>
    <row r="46" spans="1:8" hidden="1" x14ac:dyDescent="0.2"/>
    <row r="47" spans="1:8" hidden="1" x14ac:dyDescent="0.2"/>
    <row r="48" spans="1: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AM56"/>
  <sheetViews>
    <sheetView workbookViewId="0">
      <selection activeCell="F8" sqref="F8:F21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8" hidden="1" customWidth="1"/>
    <col min="6" max="6" width="2.28515625" customWidth="1"/>
    <col min="7" max="7" width="0" hidden="1" customWidth="1"/>
    <col min="8" max="8" width="17.7109375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11.28515625" hidden="1" customWidth="1"/>
    <col min="17" max="17" width="9.140625" hidden="1" customWidth="1"/>
    <col min="18" max="29" width="0" hidden="1" customWidth="1"/>
  </cols>
  <sheetData>
    <row r="1" spans="1:39" ht="18" x14ac:dyDescent="0.25">
      <c r="B1" s="142" t="str">
        <f>'[19]Team Report'!B1</f>
        <v>Enron North America</v>
      </c>
      <c r="C1" s="142"/>
      <c r="D1" s="142"/>
      <c r="E1" s="142"/>
      <c r="F1" s="142"/>
      <c r="G1" s="142"/>
      <c r="H1" s="142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25">
      <c r="B2" s="142" t="s">
        <v>156</v>
      </c>
      <c r="C2" s="142"/>
      <c r="D2" s="142"/>
      <c r="E2" s="142"/>
      <c r="F2" s="142"/>
      <c r="G2" s="142"/>
      <c r="H2" s="142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25">
      <c r="B3" s="143" t="s">
        <v>0</v>
      </c>
      <c r="C3" s="143"/>
      <c r="D3" s="143"/>
      <c r="E3" s="143"/>
      <c r="F3" s="143"/>
      <c r="G3" s="143"/>
      <c r="H3" s="14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5" thickBot="1" x14ac:dyDescent="0.25">
      <c r="I4" s="147" t="s">
        <v>172</v>
      </c>
      <c r="J4" s="147"/>
      <c r="K4" s="147"/>
      <c r="L4" s="147"/>
    </row>
    <row r="5" spans="1:39" x14ac:dyDescent="0.2">
      <c r="I5" s="4"/>
      <c r="J5" s="40"/>
      <c r="K5" s="40"/>
      <c r="L5" s="41"/>
      <c r="M5" s="8"/>
    </row>
    <row r="6" spans="1:39" x14ac:dyDescent="0.2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x14ac:dyDescent="0.2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x14ac:dyDescent="0.2">
      <c r="A8" s="13" t="s">
        <v>9</v>
      </c>
      <c r="B8" s="14" t="s">
        <v>10</v>
      </c>
      <c r="C8" s="53">
        <f>'[19]Team Report'!BA25</f>
        <v>4985502.2300000004</v>
      </c>
      <c r="E8" s="15">
        <f>((C8/9)*12)*1.3</f>
        <v>8641537.1986666676</v>
      </c>
      <c r="H8" s="140">
        <v>437250.54240000003</v>
      </c>
      <c r="I8" s="7"/>
      <c r="J8" s="17"/>
      <c r="K8" s="17"/>
      <c r="L8" s="43"/>
      <c r="M8" s="8"/>
      <c r="Q8" s="15">
        <f t="shared" ref="Q8:Q21" si="0">+H8/$H$28*$Q$28</f>
        <v>62464.363200000007</v>
      </c>
    </row>
    <row r="9" spans="1:39" x14ac:dyDescent="0.2">
      <c r="A9" s="13"/>
      <c r="B9" s="14" t="s">
        <v>122</v>
      </c>
      <c r="C9" s="15">
        <v>0</v>
      </c>
      <c r="E9" s="15">
        <f>(C9/9)*12</f>
        <v>0</v>
      </c>
      <c r="H9" s="140">
        <v>0</v>
      </c>
      <c r="I9" s="7"/>
      <c r="J9" s="17"/>
      <c r="K9" s="17"/>
      <c r="L9" s="43"/>
      <c r="M9" s="8"/>
      <c r="Q9" s="15">
        <f t="shared" si="0"/>
        <v>0</v>
      </c>
    </row>
    <row r="10" spans="1:39" x14ac:dyDescent="0.2">
      <c r="A10" s="13" t="s">
        <v>13</v>
      </c>
      <c r="B10" s="14" t="s">
        <v>14</v>
      </c>
      <c r="C10" s="15">
        <f>'[19]Team Report'!BA26</f>
        <v>1210281.1100000001</v>
      </c>
      <c r="E10" s="15">
        <f>((C10/9)*12)*1.3</f>
        <v>2097820.5906666671</v>
      </c>
      <c r="H10" s="140">
        <v>104931.94320000001</v>
      </c>
      <c r="I10" s="7"/>
      <c r="J10" s="17"/>
      <c r="K10" s="17"/>
      <c r="L10" s="43"/>
      <c r="M10" s="8"/>
      <c r="Q10" s="15">
        <f t="shared" si="0"/>
        <v>14990.277600000001</v>
      </c>
    </row>
    <row r="11" spans="1:39" x14ac:dyDescent="0.2">
      <c r="A11" s="13" t="s">
        <v>16</v>
      </c>
      <c r="B11" s="14" t="s">
        <v>17</v>
      </c>
      <c r="C11" s="15">
        <f>'[19]Team Report'!BA27</f>
        <v>190029.97</v>
      </c>
      <c r="E11" s="15">
        <f>((C11/9)*12)*1.3</f>
        <v>329385.28133333335</v>
      </c>
      <c r="H11" s="140">
        <v>13204.8</v>
      </c>
      <c r="I11" s="7" t="s">
        <v>15</v>
      </c>
      <c r="J11" s="17">
        <f>(E11+E12+E13+E14+E15+E16+E17+E18+E19+E20+E21)/E28</f>
        <v>72139.841887005648</v>
      </c>
      <c r="K11" s="17">
        <f>K28</f>
        <v>184</v>
      </c>
      <c r="L11" s="43">
        <f>J11*K11</f>
        <v>13273730.907209039</v>
      </c>
      <c r="M11" s="8"/>
      <c r="Q11" s="15">
        <f t="shared" si="0"/>
        <v>1886.3999999999999</v>
      </c>
    </row>
    <row r="12" spans="1:39" x14ac:dyDescent="0.2">
      <c r="A12" s="13" t="s">
        <v>18</v>
      </c>
      <c r="B12" s="14" t="s">
        <v>19</v>
      </c>
      <c r="C12" s="15">
        <f>'[19]Team Report'!BA28</f>
        <v>78390.58</v>
      </c>
      <c r="E12" s="15">
        <f>((C12/9)*12)*1.3</f>
        <v>135877.00533333333</v>
      </c>
      <c r="H12" s="140">
        <v>0</v>
      </c>
      <c r="I12" s="7"/>
      <c r="J12" s="17"/>
      <c r="K12" s="17"/>
      <c r="L12" s="43"/>
      <c r="M12" s="8"/>
      <c r="Q12" s="15">
        <f t="shared" si="0"/>
        <v>0</v>
      </c>
    </row>
    <row r="13" spans="1:39" ht="13.5" thickBot="1" x14ac:dyDescent="0.25">
      <c r="A13" s="13" t="s">
        <v>21</v>
      </c>
      <c r="B13" s="14" t="s">
        <v>22</v>
      </c>
      <c r="C13" s="15">
        <v>0</v>
      </c>
      <c r="E13" s="15">
        <f>(4000000*1.2)+222800</f>
        <v>5022800</v>
      </c>
      <c r="H13" s="140">
        <v>0</v>
      </c>
      <c r="I13" s="22" t="s">
        <v>20</v>
      </c>
      <c r="J13" s="47"/>
      <c r="K13" s="47"/>
      <c r="L13" s="48">
        <f>SUM(L9:L11)</f>
        <v>13273730.907209039</v>
      </c>
      <c r="M13" s="8"/>
      <c r="N13">
        <v>36500125</v>
      </c>
      <c r="P13" s="49">
        <f>N13-L13</f>
        <v>23226394.092790961</v>
      </c>
      <c r="Q13" s="15">
        <f t="shared" si="0"/>
        <v>0</v>
      </c>
    </row>
    <row r="14" spans="1:39" x14ac:dyDescent="0.2">
      <c r="A14" s="13" t="s">
        <v>23</v>
      </c>
      <c r="B14" s="14" t="s">
        <v>24</v>
      </c>
      <c r="C14" s="15">
        <f>'[19]Team Report'!BA33</f>
        <v>69921.63</v>
      </c>
      <c r="E14" s="15">
        <f>2087875*1.3</f>
        <v>2714237.5</v>
      </c>
      <c r="H14" s="140">
        <v>11646.633599999999</v>
      </c>
      <c r="I14" s="8"/>
      <c r="J14" s="17"/>
      <c r="K14" s="17"/>
      <c r="L14" s="17"/>
      <c r="M14" s="8"/>
      <c r="Q14" s="15">
        <f t="shared" si="0"/>
        <v>1663.8047999999999</v>
      </c>
    </row>
    <row r="15" spans="1:39" x14ac:dyDescent="0.2">
      <c r="A15" s="13" t="s">
        <v>25</v>
      </c>
      <c r="B15" s="14" t="s">
        <v>26</v>
      </c>
      <c r="C15" s="15">
        <f>'[19]Team Report'!BA34</f>
        <v>0</v>
      </c>
      <c r="E15" s="15">
        <f>(C15/9)*12</f>
        <v>0</v>
      </c>
      <c r="H15" s="140">
        <f>((+([27]EOPs!H16)/170*$H$28)*1.2)*0.917</f>
        <v>0</v>
      </c>
      <c r="I15" s="8"/>
      <c r="J15" s="17"/>
      <c r="K15" s="17"/>
      <c r="L15" s="17"/>
      <c r="M15" s="8"/>
      <c r="Q15" s="15">
        <f t="shared" si="0"/>
        <v>0</v>
      </c>
    </row>
    <row r="16" spans="1:39" x14ac:dyDescent="0.2">
      <c r="A16" s="13" t="s">
        <v>28</v>
      </c>
      <c r="B16" s="14" t="s">
        <v>29</v>
      </c>
      <c r="C16" s="15">
        <f>'[19]Team Report'!BA35</f>
        <v>0</v>
      </c>
      <c r="E16" s="15">
        <f>(C16/9)*12</f>
        <v>0</v>
      </c>
      <c r="H16" s="140">
        <f>((+([27]EOPs!H17)/170*$H$28)*1.2)*0.917</f>
        <v>0</v>
      </c>
      <c r="I16" s="8" t="s">
        <v>27</v>
      </c>
      <c r="J16" s="25">
        <v>37500</v>
      </c>
      <c r="K16">
        <f>1+1</f>
        <v>2</v>
      </c>
      <c r="L16" s="17">
        <f t="shared" ref="L16:L27" si="1">J16*K16</f>
        <v>75000</v>
      </c>
      <c r="N16">
        <v>1.25</v>
      </c>
      <c r="Q16" s="15">
        <f t="shared" si="0"/>
        <v>0</v>
      </c>
    </row>
    <row r="17" spans="1:17" x14ac:dyDescent="0.2">
      <c r="A17" s="13" t="s">
        <v>31</v>
      </c>
      <c r="B17" s="14" t="s">
        <v>32</v>
      </c>
      <c r="C17" s="15">
        <f>'[19]Team Report'!BA36</f>
        <v>19039.670000000002</v>
      </c>
      <c r="E17" s="15">
        <f>((C17/9)*12)*1.3</f>
        <v>33002.094666666671</v>
      </c>
      <c r="H17" s="140">
        <v>55460.160000000003</v>
      </c>
      <c r="I17" t="s">
        <v>93</v>
      </c>
      <c r="J17" s="25">
        <v>52500</v>
      </c>
      <c r="K17">
        <f>1+2+1+1</f>
        <v>5</v>
      </c>
      <c r="L17" s="17">
        <f t="shared" si="1"/>
        <v>262500</v>
      </c>
      <c r="Q17" s="15">
        <f t="shared" si="0"/>
        <v>7922.88</v>
      </c>
    </row>
    <row r="18" spans="1:17" x14ac:dyDescent="0.2">
      <c r="A18" s="13" t="s">
        <v>34</v>
      </c>
      <c r="B18" s="14" t="s">
        <v>35</v>
      </c>
      <c r="C18" s="15">
        <f>'[19]Team Report'!BA37</f>
        <v>17422.019999999997</v>
      </c>
      <c r="E18" s="15">
        <v>145000</v>
      </c>
      <c r="H18" s="140">
        <v>11884.32</v>
      </c>
      <c r="I18" t="s">
        <v>33</v>
      </c>
      <c r="J18" s="25">
        <v>56250</v>
      </c>
      <c r="K18">
        <f>7+2+1+1+4+2</f>
        <v>17</v>
      </c>
      <c r="L18" s="17">
        <f t="shared" si="1"/>
        <v>956250</v>
      </c>
      <c r="Q18" s="15">
        <f t="shared" si="0"/>
        <v>1697.76</v>
      </c>
    </row>
    <row r="19" spans="1:17" x14ac:dyDescent="0.2">
      <c r="A19" s="13" t="s">
        <v>37</v>
      </c>
      <c r="B19" s="14" t="s">
        <v>38</v>
      </c>
      <c r="C19" s="15">
        <f>'[19]Team Report'!BA38</f>
        <v>0</v>
      </c>
      <c r="E19" s="15">
        <f>(C19/9)*12</f>
        <v>0</v>
      </c>
      <c r="H19" s="140">
        <f>((+([27]EOPs!H20)/170*$H$28)*1.2)*0.917</f>
        <v>0</v>
      </c>
      <c r="I19" t="s">
        <v>45</v>
      </c>
      <c r="J19" s="25">
        <v>75000</v>
      </c>
      <c r="K19">
        <f>3+1</f>
        <v>4</v>
      </c>
      <c r="L19" s="17">
        <f t="shared" si="1"/>
        <v>300000</v>
      </c>
      <c r="Q19" s="15">
        <f t="shared" si="0"/>
        <v>0</v>
      </c>
    </row>
    <row r="20" spans="1:17" x14ac:dyDescent="0.2">
      <c r="A20" s="13" t="s">
        <v>40</v>
      </c>
      <c r="B20" s="14" t="s">
        <v>41</v>
      </c>
      <c r="C20" s="15">
        <f>'[19]Team Report'!BA42</f>
        <v>75042.680000000008</v>
      </c>
      <c r="E20" s="15">
        <f>((C20/9)*12)*1.3</f>
        <v>130073.97866666669</v>
      </c>
      <c r="H20" s="140">
        <f>((+([27]EOPs!H21)/170*$H$28)*1.2)*0.917</f>
        <v>0</v>
      </c>
      <c r="I20" t="s">
        <v>94</v>
      </c>
      <c r="J20" s="25">
        <v>60000</v>
      </c>
      <c r="K20">
        <f>2+12+1</f>
        <v>15</v>
      </c>
      <c r="L20" s="17">
        <f t="shared" si="1"/>
        <v>900000</v>
      </c>
      <c r="Q20" s="15">
        <f t="shared" si="0"/>
        <v>0</v>
      </c>
    </row>
    <row r="21" spans="1:17" x14ac:dyDescent="0.2">
      <c r="A21" s="13" t="s">
        <v>43</v>
      </c>
      <c r="B21" s="14" t="s">
        <v>44</v>
      </c>
      <c r="C21" s="15">
        <f>'[19]Team Report'!BA44</f>
        <v>1226.24</v>
      </c>
      <c r="E21" s="15">
        <f>((C21/9)*12)*1.3</f>
        <v>2125.4826666666668</v>
      </c>
      <c r="H21" s="140">
        <f>((+([27]EOPs!H22)/170*$H$28)*1.2)*0.917</f>
        <v>0</v>
      </c>
      <c r="I21" t="s">
        <v>36</v>
      </c>
      <c r="J21" s="25">
        <v>65000</v>
      </c>
      <c r="K21">
        <f>8+4+5+10+9+2+2+4+4+1</f>
        <v>49</v>
      </c>
      <c r="L21" s="17">
        <f t="shared" si="1"/>
        <v>3185000</v>
      </c>
      <c r="Q21" s="15">
        <f t="shared" si="0"/>
        <v>0</v>
      </c>
    </row>
    <row r="22" spans="1:17" x14ac:dyDescent="0.2">
      <c r="A22" s="26" t="s">
        <v>46</v>
      </c>
      <c r="B22" s="27" t="s">
        <v>47</v>
      </c>
      <c r="C22" s="28">
        <f>SUM(C8:C21)</f>
        <v>6646856.1299999999</v>
      </c>
      <c r="E22" s="28">
        <f>SUM(E8:E21)</f>
        <v>19251859.132000003</v>
      </c>
      <c r="H22" s="28">
        <f>SUM(H8:H21)</f>
        <v>634378.39919999999</v>
      </c>
      <c r="I22" t="s">
        <v>108</v>
      </c>
      <c r="J22" s="25">
        <v>82500</v>
      </c>
      <c r="K22">
        <f>10+1+13+6+6+3+7+1+2+6</f>
        <v>55</v>
      </c>
      <c r="L22" s="17">
        <f t="shared" si="1"/>
        <v>4537500</v>
      </c>
      <c r="Q22" s="28">
        <f>SUM(Q8:Q21)</f>
        <v>90625.4856</v>
      </c>
    </row>
    <row r="23" spans="1:17" x14ac:dyDescent="0.2">
      <c r="I23" t="s">
        <v>96</v>
      </c>
      <c r="J23" s="25">
        <v>100000</v>
      </c>
      <c r="K23">
        <f>2+1+8+6+3+1+4</f>
        <v>25</v>
      </c>
      <c r="L23" s="17">
        <f t="shared" si="1"/>
        <v>2500000</v>
      </c>
    </row>
    <row r="24" spans="1:17" x14ac:dyDescent="0.2">
      <c r="B24" s="27" t="s">
        <v>50</v>
      </c>
      <c r="C24" s="55"/>
      <c r="E24" s="55">
        <v>114</v>
      </c>
      <c r="H24" s="55">
        <v>7</v>
      </c>
      <c r="I24" t="s">
        <v>97</v>
      </c>
      <c r="J24" s="25">
        <v>145000</v>
      </c>
      <c r="K24">
        <f>1+1+1+1+2+1+2</f>
        <v>9</v>
      </c>
      <c r="L24" s="17">
        <f t="shared" si="1"/>
        <v>1305000</v>
      </c>
      <c r="Q24" s="31">
        <f>+T15+T16+T17+T18+T19+T22+T23+T24+T25+T26</f>
        <v>0</v>
      </c>
    </row>
    <row r="25" spans="1:17" x14ac:dyDescent="0.2">
      <c r="I25" t="s">
        <v>98</v>
      </c>
      <c r="J25" s="25">
        <v>175000</v>
      </c>
      <c r="K25">
        <f>1+1</f>
        <v>2</v>
      </c>
      <c r="L25" s="17">
        <f t="shared" si="1"/>
        <v>350000</v>
      </c>
      <c r="Q25" s="15"/>
    </row>
    <row r="26" spans="1:17" x14ac:dyDescent="0.2">
      <c r="B26" s="27" t="s">
        <v>67</v>
      </c>
      <c r="C26" s="55"/>
      <c r="E26" s="55">
        <v>4</v>
      </c>
      <c r="H26" s="55">
        <v>0</v>
      </c>
      <c r="I26" t="s">
        <v>99</v>
      </c>
      <c r="J26" s="25">
        <v>237500</v>
      </c>
      <c r="K26">
        <f>1</f>
        <v>1</v>
      </c>
      <c r="L26" s="17">
        <f t="shared" si="1"/>
        <v>237500</v>
      </c>
      <c r="Q26" s="31">
        <f>+T20+T21</f>
        <v>0</v>
      </c>
    </row>
    <row r="27" spans="1:17" x14ac:dyDescent="0.2">
      <c r="I27" t="s">
        <v>100</v>
      </c>
      <c r="J27" s="25">
        <v>312500</v>
      </c>
      <c r="K27">
        <v>0</v>
      </c>
      <c r="L27" s="17">
        <f t="shared" si="1"/>
        <v>0</v>
      </c>
    </row>
    <row r="28" spans="1:17" x14ac:dyDescent="0.2">
      <c r="B28" s="27" t="s">
        <v>55</v>
      </c>
      <c r="C28" s="55"/>
      <c r="E28" s="55">
        <f>SUM(E24:E27)</f>
        <v>118</v>
      </c>
      <c r="H28" s="55">
        <f>SUM(H24:H27)</f>
        <v>7</v>
      </c>
      <c r="K28" s="25">
        <f>SUM(K16:K27)</f>
        <v>184</v>
      </c>
      <c r="L28" s="25">
        <f>SUM(L16:L27)</f>
        <v>14608750</v>
      </c>
      <c r="Q28" s="31">
        <v>1</v>
      </c>
    </row>
    <row r="29" spans="1:17" hidden="1" x14ac:dyDescent="0.2">
      <c r="B29" s="27"/>
    </row>
    <row r="30" spans="1:17" hidden="1" x14ac:dyDescent="0.2">
      <c r="A30" s="13" t="s">
        <v>71</v>
      </c>
      <c r="B30" s="14" t="s">
        <v>72</v>
      </c>
      <c r="C30" s="15">
        <f>'[19]Team Report'!BA29</f>
        <v>0</v>
      </c>
      <c r="E30" s="15">
        <f t="shared" ref="E30:E37" si="2">(C30/9)*12</f>
        <v>0</v>
      </c>
      <c r="I30" t="s">
        <v>102</v>
      </c>
      <c r="K30" s="52"/>
      <c r="L30" s="52">
        <v>0.2</v>
      </c>
    </row>
    <row r="31" spans="1:17" hidden="1" x14ac:dyDescent="0.2">
      <c r="A31" s="13" t="s">
        <v>73</v>
      </c>
      <c r="B31" s="14" t="s">
        <v>74</v>
      </c>
      <c r="C31" s="15">
        <f>'[19]Team Report'!BA30</f>
        <v>0</v>
      </c>
      <c r="E31" s="15">
        <f t="shared" si="2"/>
        <v>0</v>
      </c>
    </row>
    <row r="32" spans="1:17" hidden="1" x14ac:dyDescent="0.2">
      <c r="A32" s="13" t="s">
        <v>75</v>
      </c>
      <c r="B32" s="14" t="s">
        <v>76</v>
      </c>
      <c r="C32" s="15">
        <f>'[19]Team Report'!BA31</f>
        <v>0</v>
      </c>
      <c r="E32" s="15">
        <f t="shared" si="2"/>
        <v>0</v>
      </c>
      <c r="L32" s="25">
        <f>L28*1.2</f>
        <v>17530500</v>
      </c>
    </row>
    <row r="33" spans="1:8" hidden="1" x14ac:dyDescent="0.2">
      <c r="A33" s="13" t="s">
        <v>77</v>
      </c>
      <c r="B33" s="14" t="s">
        <v>78</v>
      </c>
      <c r="C33" s="15">
        <f>'[19]Team Report'!BA39</f>
        <v>0</v>
      </c>
      <c r="E33" s="15">
        <f t="shared" si="2"/>
        <v>0</v>
      </c>
    </row>
    <row r="34" spans="1:8" hidden="1" x14ac:dyDescent="0.2">
      <c r="A34" s="13" t="s">
        <v>79</v>
      </c>
      <c r="B34" s="14" t="s">
        <v>80</v>
      </c>
      <c r="C34" s="15">
        <f>'[19]Team Report'!BA40</f>
        <v>24670.390000000003</v>
      </c>
      <c r="E34" s="15">
        <f t="shared" si="2"/>
        <v>32893.85333333334</v>
      </c>
    </row>
    <row r="35" spans="1:8" hidden="1" x14ac:dyDescent="0.2">
      <c r="A35" s="13" t="s">
        <v>81</v>
      </c>
      <c r="B35" s="14" t="s">
        <v>82</v>
      </c>
      <c r="C35" s="15">
        <f>'[19]Team Report'!BA41</f>
        <v>481045.43000000005</v>
      </c>
      <c r="E35" s="15">
        <f t="shared" si="2"/>
        <v>641393.90666666673</v>
      </c>
    </row>
    <row r="36" spans="1:8" hidden="1" x14ac:dyDescent="0.2">
      <c r="A36" s="13" t="s">
        <v>83</v>
      </c>
      <c r="B36" s="14" t="s">
        <v>84</v>
      </c>
      <c r="C36" s="15">
        <f>'[19]Team Report'!BA43</f>
        <v>-771915.88</v>
      </c>
      <c r="E36" s="15">
        <f t="shared" si="2"/>
        <v>-1029221.1733333333</v>
      </c>
      <c r="H36" s="33" t="s">
        <v>56</v>
      </c>
    </row>
    <row r="37" spans="1:8" hidden="1" x14ac:dyDescent="0.2">
      <c r="A37" s="13" t="s">
        <v>85</v>
      </c>
      <c r="B37" s="14" t="s">
        <v>86</v>
      </c>
      <c r="C37" s="15">
        <f>'[19]Team Report'!BA45</f>
        <v>0</v>
      </c>
      <c r="E37" s="15">
        <f t="shared" si="2"/>
        <v>0</v>
      </c>
    </row>
    <row r="38" spans="1:8" hidden="1" x14ac:dyDescent="0.2">
      <c r="A38" s="13"/>
      <c r="B38" s="14"/>
      <c r="C38" s="15"/>
      <c r="E38" s="15"/>
      <c r="H38" t="s">
        <v>133</v>
      </c>
    </row>
    <row r="39" spans="1:8" hidden="1" x14ac:dyDescent="0.2"/>
    <row r="40" spans="1:8" hidden="1" x14ac:dyDescent="0.2"/>
    <row r="41" spans="1:8" hidden="1" x14ac:dyDescent="0.2"/>
    <row r="42" spans="1:8" hidden="1" x14ac:dyDescent="0.2"/>
    <row r="43" spans="1:8" hidden="1" x14ac:dyDescent="0.2">
      <c r="C43" s="54">
        <f>C22+C30+C31+C32+C33+C34+C35+C36+C37</f>
        <v>6380656.0699999994</v>
      </c>
    </row>
    <row r="44" spans="1:8" hidden="1" x14ac:dyDescent="0.2"/>
    <row r="45" spans="1:8" hidden="1" x14ac:dyDescent="0.2"/>
    <row r="46" spans="1:8" hidden="1" x14ac:dyDescent="0.2"/>
    <row r="47" spans="1:8" hidden="1" x14ac:dyDescent="0.2"/>
    <row r="48" spans="1: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/>
  <dimension ref="A1:AM56"/>
  <sheetViews>
    <sheetView workbookViewId="0">
      <selection activeCell="F8" sqref="F8:F21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8" hidden="1" customWidth="1"/>
    <col min="6" max="6" width="2.28515625" customWidth="1"/>
    <col min="7" max="7" width="0" hidden="1" customWidth="1"/>
    <col min="8" max="8" width="17.7109375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11.28515625" hidden="1" customWidth="1"/>
    <col min="17" max="17" width="9.140625" hidden="1" customWidth="1"/>
    <col min="18" max="29" width="0" hidden="1" customWidth="1"/>
  </cols>
  <sheetData>
    <row r="1" spans="1:39" ht="18" x14ac:dyDescent="0.25">
      <c r="B1" s="142" t="str">
        <f>'[19]Team Report'!B1</f>
        <v>Enron North America</v>
      </c>
      <c r="C1" s="142"/>
      <c r="D1" s="142"/>
      <c r="E1" s="142"/>
      <c r="F1" s="142"/>
      <c r="G1" s="142"/>
      <c r="H1" s="142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25">
      <c r="B2" s="142" t="s">
        <v>153</v>
      </c>
      <c r="C2" s="142"/>
      <c r="D2" s="142"/>
      <c r="E2" s="142"/>
      <c r="F2" s="142"/>
      <c r="G2" s="142"/>
      <c r="H2" s="142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25">
      <c r="B3" s="143" t="s">
        <v>0</v>
      </c>
      <c r="C3" s="143"/>
      <c r="D3" s="143"/>
      <c r="E3" s="143"/>
      <c r="F3" s="143"/>
      <c r="G3" s="143"/>
      <c r="H3" s="14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5" thickBot="1" x14ac:dyDescent="0.25">
      <c r="I4" s="147" t="s">
        <v>172</v>
      </c>
      <c r="J4" s="147"/>
      <c r="K4" s="147"/>
      <c r="L4" s="147"/>
    </row>
    <row r="5" spans="1:39" x14ac:dyDescent="0.2">
      <c r="I5" s="4"/>
      <c r="J5" s="40"/>
      <c r="K5" s="40"/>
      <c r="L5" s="41"/>
      <c r="M5" s="8"/>
    </row>
    <row r="6" spans="1:39" x14ac:dyDescent="0.2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x14ac:dyDescent="0.2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x14ac:dyDescent="0.2">
      <c r="A8" s="13" t="s">
        <v>9</v>
      </c>
      <c r="B8" s="14" t="s">
        <v>10</v>
      </c>
      <c r="C8" s="53">
        <f>'[19]Team Report'!BA25</f>
        <v>4985502.2300000004</v>
      </c>
      <c r="E8" s="15">
        <f>((C8/9)*12)*1.3</f>
        <v>8641537.1986666676</v>
      </c>
      <c r="H8" s="140">
        <v>2293233.6</v>
      </c>
      <c r="I8" s="7"/>
      <c r="J8" s="17"/>
      <c r="K8" s="17"/>
      <c r="L8" s="43"/>
      <c r="M8" s="8"/>
      <c r="Q8" s="15">
        <f t="shared" ref="Q8:Q21" si="0">+H8/$H$28*$Q$28</f>
        <v>71663.55</v>
      </c>
    </row>
    <row r="9" spans="1:39" x14ac:dyDescent="0.2">
      <c r="A9" s="13"/>
      <c r="B9" s="14" t="s">
        <v>122</v>
      </c>
      <c r="C9" s="15">
        <v>0</v>
      </c>
      <c r="E9" s="15">
        <f>(C9/9)*12</f>
        <v>0</v>
      </c>
      <c r="H9" s="140">
        <v>308094.39360000001</v>
      </c>
      <c r="I9" s="7"/>
      <c r="J9" s="17"/>
      <c r="K9" s="17"/>
      <c r="L9" s="43"/>
      <c r="M9" s="8"/>
      <c r="Q9" s="15">
        <f t="shared" si="0"/>
        <v>9627.9498000000003</v>
      </c>
    </row>
    <row r="10" spans="1:39" x14ac:dyDescent="0.2">
      <c r="A10" s="13" t="s">
        <v>13</v>
      </c>
      <c r="B10" s="14" t="s">
        <v>14</v>
      </c>
      <c r="C10" s="15">
        <f>'[19]Team Report'!BA26</f>
        <v>1210281.1100000001</v>
      </c>
      <c r="E10" s="15">
        <f>((C10/9)*12)*1.3</f>
        <v>2097820.5906666671</v>
      </c>
      <c r="H10" s="140">
        <v>553138.06799999997</v>
      </c>
      <c r="I10" s="7"/>
      <c r="J10" s="17"/>
      <c r="K10" s="17"/>
      <c r="L10" s="43"/>
      <c r="M10" s="8"/>
      <c r="Q10" s="15">
        <f t="shared" si="0"/>
        <v>17285.564624999999</v>
      </c>
    </row>
    <row r="11" spans="1:39" x14ac:dyDescent="0.2">
      <c r="A11" s="13" t="s">
        <v>16</v>
      </c>
      <c r="B11" s="14" t="s">
        <v>17</v>
      </c>
      <c r="C11" s="15">
        <f>'[19]Team Report'!BA27</f>
        <v>190029.97</v>
      </c>
      <c r="E11" s="15">
        <f>((C11/9)*12)*1.3</f>
        <v>329385.28133333335</v>
      </c>
      <c r="H11" s="140">
        <f>((105350+28800)*1.2)*0.917</f>
        <v>147618.66</v>
      </c>
      <c r="I11" s="7" t="s">
        <v>15</v>
      </c>
      <c r="J11" s="17">
        <f>(E11+E12+E13+E14+E15+E16+E17+E18+E19+E20+E21)/E28</f>
        <v>72139.841887005648</v>
      </c>
      <c r="K11" s="17">
        <f>K28</f>
        <v>184</v>
      </c>
      <c r="L11" s="43">
        <f>J11*K11</f>
        <v>13273730.907209039</v>
      </c>
      <c r="M11" s="8"/>
      <c r="Q11" s="15">
        <f t="shared" si="0"/>
        <v>4613.0831250000001</v>
      </c>
    </row>
    <row r="12" spans="1:39" x14ac:dyDescent="0.2">
      <c r="A12" s="13" t="s">
        <v>18</v>
      </c>
      <c r="B12" s="14" t="s">
        <v>19</v>
      </c>
      <c r="C12" s="15">
        <f>'[19]Team Report'!BA28</f>
        <v>78390.58</v>
      </c>
      <c r="E12" s="15">
        <f>((C12/9)*12)*1.3</f>
        <v>135877.00533333333</v>
      </c>
      <c r="H12" s="140">
        <v>0</v>
      </c>
      <c r="I12" s="7"/>
      <c r="J12" s="17"/>
      <c r="K12" s="17"/>
      <c r="L12" s="43"/>
      <c r="M12" s="8"/>
      <c r="Q12" s="15">
        <f t="shared" si="0"/>
        <v>0</v>
      </c>
    </row>
    <row r="13" spans="1:39" ht="13.5" thickBot="1" x14ac:dyDescent="0.25">
      <c r="A13" s="13" t="s">
        <v>21</v>
      </c>
      <c r="B13" s="14" t="s">
        <v>22</v>
      </c>
      <c r="C13" s="15">
        <v>0</v>
      </c>
      <c r="E13" s="15">
        <f>(4000000*1.2)+222800</f>
        <v>5022800</v>
      </c>
      <c r="H13" s="140">
        <v>0</v>
      </c>
      <c r="I13" s="22" t="s">
        <v>20</v>
      </c>
      <c r="J13" s="47"/>
      <c r="K13" s="47"/>
      <c r="L13" s="48">
        <f>SUM(L9:L11)</f>
        <v>13273730.907209039</v>
      </c>
      <c r="M13" s="8"/>
      <c r="N13">
        <v>36500125</v>
      </c>
      <c r="P13" s="49">
        <f>N13-L13</f>
        <v>23226394.092790961</v>
      </c>
      <c r="Q13" s="15">
        <f t="shared" si="0"/>
        <v>0</v>
      </c>
    </row>
    <row r="14" spans="1:39" x14ac:dyDescent="0.2">
      <c r="A14" s="13" t="s">
        <v>23</v>
      </c>
      <c r="B14" s="14" t="s">
        <v>24</v>
      </c>
      <c r="C14" s="15">
        <f>'[19]Team Report'!BA33</f>
        <v>69921.63</v>
      </c>
      <c r="E14" s="15">
        <f>2087875*1.3</f>
        <v>2714237.5</v>
      </c>
      <c r="H14" s="140">
        <v>97108.099200000011</v>
      </c>
      <c r="I14" s="8"/>
      <c r="J14" s="17"/>
      <c r="K14" s="17"/>
      <c r="L14" s="17"/>
      <c r="M14" s="8"/>
      <c r="Q14" s="15">
        <f t="shared" si="0"/>
        <v>3034.6281000000004</v>
      </c>
    </row>
    <row r="15" spans="1:39" x14ac:dyDescent="0.2">
      <c r="A15" s="13" t="s">
        <v>25</v>
      </c>
      <c r="B15" s="14" t="s">
        <v>26</v>
      </c>
      <c r="C15" s="15">
        <f>'[19]Team Report'!BA34</f>
        <v>0</v>
      </c>
      <c r="E15" s="15">
        <f>(C15/9)*12</f>
        <v>0</v>
      </c>
      <c r="H15" s="140">
        <v>0</v>
      </c>
      <c r="I15" s="8"/>
      <c r="J15" s="17"/>
      <c r="K15" s="17"/>
      <c r="L15" s="17"/>
      <c r="M15" s="8"/>
      <c r="Q15" s="15">
        <f t="shared" si="0"/>
        <v>0</v>
      </c>
    </row>
    <row r="16" spans="1:39" x14ac:dyDescent="0.2">
      <c r="A16" s="13" t="s">
        <v>28</v>
      </c>
      <c r="B16" s="14" t="s">
        <v>29</v>
      </c>
      <c r="C16" s="15">
        <f>'[19]Team Report'!BA35</f>
        <v>0</v>
      </c>
      <c r="E16" s="15">
        <f>(C16/9)*12</f>
        <v>0</v>
      </c>
      <c r="H16" s="140">
        <f>((+([27]EOPs!H17)/170*$H$28)*1.2)*0.917</f>
        <v>0</v>
      </c>
      <c r="I16" s="8" t="s">
        <v>27</v>
      </c>
      <c r="J16" s="25">
        <v>37500</v>
      </c>
      <c r="K16">
        <f>1+1</f>
        <v>2</v>
      </c>
      <c r="L16" s="17">
        <f t="shared" ref="L16:L27" si="1">J16*K16</f>
        <v>75000</v>
      </c>
      <c r="N16">
        <v>1.25</v>
      </c>
      <c r="Q16" s="15">
        <f t="shared" si="0"/>
        <v>0</v>
      </c>
    </row>
    <row r="17" spans="1:17" x14ac:dyDescent="0.2">
      <c r="A17" s="13" t="s">
        <v>31</v>
      </c>
      <c r="B17" s="14" t="s">
        <v>32</v>
      </c>
      <c r="C17" s="15">
        <f>'[19]Team Report'!BA36</f>
        <v>19039.670000000002</v>
      </c>
      <c r="E17" s="15">
        <f>((C17/9)*12)*1.3</f>
        <v>33002.094666666671</v>
      </c>
      <c r="H17" s="140">
        <v>295787.52000000002</v>
      </c>
      <c r="I17" t="s">
        <v>93</v>
      </c>
      <c r="J17" s="25">
        <v>52500</v>
      </c>
      <c r="K17">
        <f>1+2+1+1</f>
        <v>5</v>
      </c>
      <c r="L17" s="17">
        <f t="shared" si="1"/>
        <v>262500</v>
      </c>
      <c r="Q17" s="15">
        <f t="shared" si="0"/>
        <v>9243.36</v>
      </c>
    </row>
    <row r="18" spans="1:17" x14ac:dyDescent="0.2">
      <c r="A18" s="13" t="s">
        <v>34</v>
      </c>
      <c r="B18" s="14" t="s">
        <v>35</v>
      </c>
      <c r="C18" s="15">
        <f>'[19]Team Report'!BA37</f>
        <v>17422.019999999997</v>
      </c>
      <c r="E18" s="15">
        <v>145000</v>
      </c>
      <c r="H18" s="140">
        <v>63383.040000000001</v>
      </c>
      <c r="I18" t="s">
        <v>33</v>
      </c>
      <c r="J18" s="25">
        <v>56250</v>
      </c>
      <c r="K18">
        <f>7+2+1+1+4+2</f>
        <v>17</v>
      </c>
      <c r="L18" s="17">
        <f t="shared" si="1"/>
        <v>956250</v>
      </c>
      <c r="Q18" s="15">
        <f t="shared" si="0"/>
        <v>1980.72</v>
      </c>
    </row>
    <row r="19" spans="1:17" x14ac:dyDescent="0.2">
      <c r="A19" s="13" t="s">
        <v>37</v>
      </c>
      <c r="B19" s="14" t="s">
        <v>38</v>
      </c>
      <c r="C19" s="15">
        <f>'[19]Team Report'!BA38</f>
        <v>0</v>
      </c>
      <c r="E19" s="15">
        <f>(C19/9)*12</f>
        <v>0</v>
      </c>
      <c r="H19" s="140">
        <f>((+([27]EOPs!H20)/170*$H$28)*1.2)*0.917</f>
        <v>0</v>
      </c>
      <c r="I19" t="s">
        <v>45</v>
      </c>
      <c r="J19" s="25">
        <v>75000</v>
      </c>
      <c r="K19">
        <f>3+1</f>
        <v>4</v>
      </c>
      <c r="L19" s="17">
        <f t="shared" si="1"/>
        <v>300000</v>
      </c>
      <c r="Q19" s="15">
        <f t="shared" si="0"/>
        <v>0</v>
      </c>
    </row>
    <row r="20" spans="1:17" x14ac:dyDescent="0.2">
      <c r="A20" s="13" t="s">
        <v>40</v>
      </c>
      <c r="B20" s="14" t="s">
        <v>41</v>
      </c>
      <c r="C20" s="15">
        <f>'[19]Team Report'!BA42</f>
        <v>75042.680000000008</v>
      </c>
      <c r="E20" s="15">
        <f>((C20/9)*12)*1.3</f>
        <v>130073.97866666669</v>
      </c>
      <c r="H20" s="140">
        <f>((+([27]EOPs!H21)/170*$H$28)*1.2)*0.917</f>
        <v>0</v>
      </c>
      <c r="I20" t="s">
        <v>94</v>
      </c>
      <c r="J20" s="25">
        <v>60000</v>
      </c>
      <c r="K20">
        <f>2+12+1</f>
        <v>15</v>
      </c>
      <c r="L20" s="17">
        <f t="shared" si="1"/>
        <v>900000</v>
      </c>
      <c r="Q20" s="15">
        <f t="shared" si="0"/>
        <v>0</v>
      </c>
    </row>
    <row r="21" spans="1:17" x14ac:dyDescent="0.2">
      <c r="A21" s="13" t="s">
        <v>43</v>
      </c>
      <c r="B21" s="14" t="s">
        <v>44</v>
      </c>
      <c r="C21" s="15">
        <f>'[19]Team Report'!BA44</f>
        <v>1226.24</v>
      </c>
      <c r="E21" s="15">
        <f>((C21/9)*12)*1.3</f>
        <v>2125.4826666666668</v>
      </c>
      <c r="H21" s="140">
        <f>((+([27]EOPs!H22)/170*$H$28)*1.2)*0.917</f>
        <v>0</v>
      </c>
      <c r="I21" t="s">
        <v>36</v>
      </c>
      <c r="J21" s="25">
        <v>65000</v>
      </c>
      <c r="K21">
        <f>8+4+5+10+9+2+2+4+4+1</f>
        <v>49</v>
      </c>
      <c r="L21" s="17">
        <f t="shared" si="1"/>
        <v>3185000</v>
      </c>
      <c r="Q21" s="15">
        <f t="shared" si="0"/>
        <v>0</v>
      </c>
    </row>
    <row r="22" spans="1:17" x14ac:dyDescent="0.2">
      <c r="A22" s="26" t="s">
        <v>46</v>
      </c>
      <c r="B22" s="27" t="s">
        <v>47</v>
      </c>
      <c r="C22" s="28">
        <f>SUM(C8:C21)</f>
        <v>6646856.1299999999</v>
      </c>
      <c r="E22" s="28">
        <f>SUM(E8:E21)</f>
        <v>19251859.132000003</v>
      </c>
      <c r="H22" s="28">
        <f>SUM(H8:H21)</f>
        <v>3758363.3808000004</v>
      </c>
      <c r="I22" t="s">
        <v>108</v>
      </c>
      <c r="J22" s="25">
        <v>82500</v>
      </c>
      <c r="K22">
        <f>10+1+13+6+6+3+7+1+2+6</f>
        <v>55</v>
      </c>
      <c r="L22" s="17">
        <f t="shared" si="1"/>
        <v>4537500</v>
      </c>
      <c r="Q22" s="28">
        <f>SUM(Q8:Q21)</f>
        <v>117448.85565000001</v>
      </c>
    </row>
    <row r="23" spans="1:17" x14ac:dyDescent="0.2">
      <c r="I23" t="s">
        <v>96</v>
      </c>
      <c r="J23" s="25">
        <v>100000</v>
      </c>
      <c r="K23">
        <f>2+1+8+6+3+1+4</f>
        <v>25</v>
      </c>
      <c r="L23" s="17">
        <f t="shared" si="1"/>
        <v>2500000</v>
      </c>
    </row>
    <row r="24" spans="1:17" x14ac:dyDescent="0.2">
      <c r="B24" s="27" t="s">
        <v>50</v>
      </c>
      <c r="C24" s="55"/>
      <c r="E24" s="55">
        <v>114</v>
      </c>
      <c r="H24" s="55">
        <v>32</v>
      </c>
      <c r="I24" t="s">
        <v>97</v>
      </c>
      <c r="J24" s="25">
        <v>145000</v>
      </c>
      <c r="K24">
        <f>1+1+1+1+2+1+2</f>
        <v>9</v>
      </c>
      <c r="L24" s="17">
        <f t="shared" si="1"/>
        <v>1305000</v>
      </c>
      <c r="Q24" s="31">
        <f>+T15+T16+T17+T18+T19+T22+T23+T24+T25+T26</f>
        <v>0</v>
      </c>
    </row>
    <row r="25" spans="1:17" x14ac:dyDescent="0.2">
      <c r="I25" t="s">
        <v>98</v>
      </c>
      <c r="J25" s="25">
        <v>175000</v>
      </c>
      <c r="K25">
        <f>1+1</f>
        <v>2</v>
      </c>
      <c r="L25" s="17">
        <f t="shared" si="1"/>
        <v>350000</v>
      </c>
      <c r="Q25" s="15"/>
    </row>
    <row r="26" spans="1:17" x14ac:dyDescent="0.2">
      <c r="B26" s="27" t="s">
        <v>67</v>
      </c>
      <c r="C26" s="55"/>
      <c r="E26" s="55">
        <v>4</v>
      </c>
      <c r="H26" s="55">
        <v>0</v>
      </c>
      <c r="I26" t="s">
        <v>99</v>
      </c>
      <c r="J26" s="25">
        <v>237500</v>
      </c>
      <c r="K26">
        <f>1</f>
        <v>1</v>
      </c>
      <c r="L26" s="17">
        <f t="shared" si="1"/>
        <v>237500</v>
      </c>
      <c r="Q26" s="31">
        <f>+T20+T21</f>
        <v>0</v>
      </c>
    </row>
    <row r="27" spans="1:17" x14ac:dyDescent="0.2">
      <c r="I27" t="s">
        <v>100</v>
      </c>
      <c r="J27" s="25">
        <v>312500</v>
      </c>
      <c r="K27">
        <v>0</v>
      </c>
      <c r="L27" s="17">
        <f t="shared" si="1"/>
        <v>0</v>
      </c>
    </row>
    <row r="28" spans="1:17" x14ac:dyDescent="0.2">
      <c r="B28" s="27" t="s">
        <v>55</v>
      </c>
      <c r="C28" s="55"/>
      <c r="E28" s="55">
        <f>SUM(E24:E27)</f>
        <v>118</v>
      </c>
      <c r="H28" s="55">
        <f>SUM(H24:H27)</f>
        <v>32</v>
      </c>
      <c r="K28" s="25">
        <f>SUM(K16:K27)</f>
        <v>184</v>
      </c>
      <c r="L28" s="25">
        <f>SUM(L16:L27)</f>
        <v>14608750</v>
      </c>
      <c r="Q28" s="31">
        <v>1</v>
      </c>
    </row>
    <row r="29" spans="1:17" hidden="1" x14ac:dyDescent="0.2">
      <c r="B29" s="27"/>
    </row>
    <row r="30" spans="1:17" hidden="1" x14ac:dyDescent="0.2">
      <c r="A30" s="13" t="s">
        <v>71</v>
      </c>
      <c r="B30" s="14" t="s">
        <v>72</v>
      </c>
      <c r="C30" s="15">
        <f>'[19]Team Report'!BA29</f>
        <v>0</v>
      </c>
      <c r="E30" s="15">
        <f t="shared" ref="E30:E37" si="2">(C30/9)*12</f>
        <v>0</v>
      </c>
      <c r="I30" t="s">
        <v>102</v>
      </c>
      <c r="K30" s="52"/>
      <c r="L30" s="52">
        <v>0.2</v>
      </c>
    </row>
    <row r="31" spans="1:17" hidden="1" x14ac:dyDescent="0.2">
      <c r="A31" s="13" t="s">
        <v>73</v>
      </c>
      <c r="B31" s="14" t="s">
        <v>74</v>
      </c>
      <c r="C31" s="15">
        <f>'[19]Team Report'!BA30</f>
        <v>0</v>
      </c>
      <c r="E31" s="15">
        <f t="shared" si="2"/>
        <v>0</v>
      </c>
    </row>
    <row r="32" spans="1:17" hidden="1" x14ac:dyDescent="0.2">
      <c r="A32" s="13" t="s">
        <v>75</v>
      </c>
      <c r="B32" s="14" t="s">
        <v>76</v>
      </c>
      <c r="C32" s="15">
        <f>'[19]Team Report'!BA31</f>
        <v>0</v>
      </c>
      <c r="E32" s="15">
        <f t="shared" si="2"/>
        <v>0</v>
      </c>
      <c r="L32" s="25">
        <f>L28*1.2</f>
        <v>17530500</v>
      </c>
    </row>
    <row r="33" spans="1:8" hidden="1" x14ac:dyDescent="0.2">
      <c r="A33" s="13" t="s">
        <v>77</v>
      </c>
      <c r="B33" s="14" t="s">
        <v>78</v>
      </c>
      <c r="C33" s="15">
        <f>'[19]Team Report'!BA39</f>
        <v>0</v>
      </c>
      <c r="E33" s="15">
        <f t="shared" si="2"/>
        <v>0</v>
      </c>
    </row>
    <row r="34" spans="1:8" hidden="1" x14ac:dyDescent="0.2">
      <c r="A34" s="13" t="s">
        <v>79</v>
      </c>
      <c r="B34" s="14" t="s">
        <v>80</v>
      </c>
      <c r="C34" s="15">
        <f>'[19]Team Report'!BA40</f>
        <v>24670.390000000003</v>
      </c>
      <c r="E34" s="15">
        <f t="shared" si="2"/>
        <v>32893.85333333334</v>
      </c>
    </row>
    <row r="35" spans="1:8" hidden="1" x14ac:dyDescent="0.2">
      <c r="A35" s="13" t="s">
        <v>81</v>
      </c>
      <c r="B35" s="14" t="s">
        <v>82</v>
      </c>
      <c r="C35" s="15">
        <f>'[19]Team Report'!BA41</f>
        <v>481045.43000000005</v>
      </c>
      <c r="E35" s="15">
        <f t="shared" si="2"/>
        <v>641393.90666666673</v>
      </c>
    </row>
    <row r="36" spans="1:8" hidden="1" x14ac:dyDescent="0.2">
      <c r="A36" s="13" t="s">
        <v>83</v>
      </c>
      <c r="B36" s="14" t="s">
        <v>84</v>
      </c>
      <c r="C36" s="15">
        <f>'[19]Team Report'!BA43</f>
        <v>-771915.88</v>
      </c>
      <c r="E36" s="15">
        <f t="shared" si="2"/>
        <v>-1029221.1733333333</v>
      </c>
      <c r="H36" s="33" t="s">
        <v>56</v>
      </c>
    </row>
    <row r="37" spans="1:8" hidden="1" x14ac:dyDescent="0.2">
      <c r="A37" s="13" t="s">
        <v>85</v>
      </c>
      <c r="B37" s="14" t="s">
        <v>86</v>
      </c>
      <c r="C37" s="15">
        <f>'[19]Team Report'!BA45</f>
        <v>0</v>
      </c>
      <c r="E37" s="15">
        <f t="shared" si="2"/>
        <v>0</v>
      </c>
    </row>
    <row r="38" spans="1:8" hidden="1" x14ac:dyDescent="0.2">
      <c r="A38" s="13"/>
      <c r="B38" s="14"/>
      <c r="C38" s="15"/>
      <c r="E38" s="15"/>
      <c r="H38" t="s">
        <v>133</v>
      </c>
    </row>
    <row r="39" spans="1:8" hidden="1" x14ac:dyDescent="0.2"/>
    <row r="40" spans="1:8" hidden="1" x14ac:dyDescent="0.2"/>
    <row r="41" spans="1:8" hidden="1" x14ac:dyDescent="0.2"/>
    <row r="42" spans="1:8" hidden="1" x14ac:dyDescent="0.2"/>
    <row r="43" spans="1:8" hidden="1" x14ac:dyDescent="0.2">
      <c r="C43" s="54">
        <f>C22+C30+C31+C32+C33+C34+C35+C36+C37</f>
        <v>6380656.0699999994</v>
      </c>
    </row>
    <row r="44" spans="1:8" hidden="1" x14ac:dyDescent="0.2"/>
    <row r="45" spans="1:8" hidden="1" x14ac:dyDescent="0.2"/>
    <row r="46" spans="1:8" hidden="1" x14ac:dyDescent="0.2"/>
    <row r="47" spans="1:8" hidden="1" x14ac:dyDescent="0.2"/>
    <row r="48" spans="1: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/>
  <dimension ref="A1:AM56"/>
  <sheetViews>
    <sheetView workbookViewId="0">
      <selection activeCell="F8" sqref="F8:F21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8" hidden="1" customWidth="1"/>
    <col min="6" max="6" width="2.28515625" customWidth="1"/>
    <col min="7" max="7" width="0" hidden="1" customWidth="1"/>
    <col min="8" max="8" width="17.7109375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11.28515625" hidden="1" customWidth="1"/>
    <col min="17" max="17" width="9.140625" hidden="1" customWidth="1"/>
    <col min="18" max="29" width="0" hidden="1" customWidth="1"/>
  </cols>
  <sheetData>
    <row r="1" spans="1:39" ht="18" x14ac:dyDescent="0.25">
      <c r="B1" s="142" t="str">
        <f>'[19]Team Report'!B1</f>
        <v>Enron North America</v>
      </c>
      <c r="C1" s="142"/>
      <c r="D1" s="142"/>
      <c r="E1" s="142"/>
      <c r="F1" s="142"/>
      <c r="G1" s="142"/>
      <c r="H1" s="142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25">
      <c r="B2" s="142" t="s">
        <v>308</v>
      </c>
      <c r="C2" s="142"/>
      <c r="D2" s="142"/>
      <c r="E2" s="142"/>
      <c r="F2" s="142"/>
      <c r="G2" s="142"/>
      <c r="H2" s="142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25">
      <c r="B3" s="143" t="s">
        <v>0</v>
      </c>
      <c r="C3" s="143"/>
      <c r="D3" s="143"/>
      <c r="E3" s="143"/>
      <c r="F3" s="143"/>
      <c r="G3" s="143"/>
      <c r="H3" s="14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5" thickBot="1" x14ac:dyDescent="0.25">
      <c r="I4" s="147" t="s">
        <v>172</v>
      </c>
      <c r="J4" s="147"/>
      <c r="K4" s="147"/>
      <c r="L4" s="147"/>
    </row>
    <row r="5" spans="1:39" x14ac:dyDescent="0.2">
      <c r="I5" s="4"/>
      <c r="J5" s="40"/>
      <c r="K5" s="40"/>
      <c r="L5" s="41"/>
      <c r="M5" s="8"/>
    </row>
    <row r="6" spans="1:39" x14ac:dyDescent="0.2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x14ac:dyDescent="0.2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x14ac:dyDescent="0.2">
      <c r="A8" s="13" t="s">
        <v>9</v>
      </c>
      <c r="B8" s="14" t="s">
        <v>10</v>
      </c>
      <c r="C8" s="53">
        <f>'[19]Team Report'!BA25</f>
        <v>4985502.2300000004</v>
      </c>
      <c r="E8" s="15">
        <f>((C8/9)*12)*1.3</f>
        <v>8641537.1986666676</v>
      </c>
      <c r="H8" s="140">
        <v>1279931.3604000001</v>
      </c>
      <c r="I8" s="7"/>
      <c r="J8" s="17"/>
      <c r="K8" s="17"/>
      <c r="L8" s="43"/>
      <c r="M8" s="8"/>
      <c r="Q8" s="15">
        <f t="shared" ref="Q8:Q21" si="0">+H8/$H$28*$Q$28</f>
        <v>63996.568020000006</v>
      </c>
    </row>
    <row r="9" spans="1:39" x14ac:dyDescent="0.2">
      <c r="A9" s="13"/>
      <c r="B9" s="14" t="s">
        <v>122</v>
      </c>
      <c r="C9" s="15">
        <v>0</v>
      </c>
      <c r="E9" s="15">
        <f>(C9/9)*12</f>
        <v>0</v>
      </c>
      <c r="H9" s="140">
        <v>0</v>
      </c>
      <c r="I9" s="7"/>
      <c r="J9" s="17"/>
      <c r="K9" s="17"/>
      <c r="L9" s="43"/>
      <c r="M9" s="8"/>
      <c r="Q9" s="15">
        <f t="shared" si="0"/>
        <v>0</v>
      </c>
    </row>
    <row r="10" spans="1:39" x14ac:dyDescent="0.2">
      <c r="A10" s="13" t="s">
        <v>13</v>
      </c>
      <c r="B10" s="14" t="s">
        <v>14</v>
      </c>
      <c r="C10" s="15">
        <f>'[19]Team Report'!BA26</f>
        <v>1210281.1100000001</v>
      </c>
      <c r="E10" s="15">
        <f>((C10/9)*12)*1.3</f>
        <v>2097820.5906666671</v>
      </c>
      <c r="H10" s="140">
        <v>314745.21120000002</v>
      </c>
      <c r="I10" s="7"/>
      <c r="J10" s="17"/>
      <c r="K10" s="17"/>
      <c r="L10" s="43"/>
      <c r="M10" s="8"/>
      <c r="Q10" s="15">
        <f t="shared" si="0"/>
        <v>15737.260560000001</v>
      </c>
    </row>
    <row r="11" spans="1:39" x14ac:dyDescent="0.2">
      <c r="A11" s="13" t="s">
        <v>16</v>
      </c>
      <c r="B11" s="14" t="s">
        <v>17</v>
      </c>
      <c r="C11" s="15">
        <f>'[19]Team Report'!BA27</f>
        <v>190029.97</v>
      </c>
      <c r="E11" s="15">
        <f>((C11/9)*12)*1.3</f>
        <v>329385.28133333335</v>
      </c>
      <c r="H11" s="140">
        <f>((125350+34200)*1.2)*0.917</f>
        <v>175568.82</v>
      </c>
      <c r="I11" s="7" t="s">
        <v>15</v>
      </c>
      <c r="J11" s="17">
        <f>(E11+E12+E13+E14+E15+E16+E17+E18+E19+E20+E21)/E28</f>
        <v>72139.841887005648</v>
      </c>
      <c r="K11" s="17">
        <f>K28</f>
        <v>184</v>
      </c>
      <c r="L11" s="43">
        <f>J11*K11</f>
        <v>13273730.907209039</v>
      </c>
      <c r="M11" s="8"/>
      <c r="Q11" s="15">
        <f t="shared" si="0"/>
        <v>8778.4410000000007</v>
      </c>
    </row>
    <row r="12" spans="1:39" x14ac:dyDescent="0.2">
      <c r="A12" s="13" t="s">
        <v>18</v>
      </c>
      <c r="B12" s="14" t="s">
        <v>19</v>
      </c>
      <c r="C12" s="15">
        <f>'[19]Team Report'!BA28</f>
        <v>78390.58</v>
      </c>
      <c r="E12" s="15">
        <f>((C12/9)*12)*1.3</f>
        <v>135877.00533333333</v>
      </c>
      <c r="H12" s="140">
        <v>0</v>
      </c>
      <c r="I12" s="7"/>
      <c r="J12" s="17"/>
      <c r="K12" s="17"/>
      <c r="L12" s="43"/>
      <c r="M12" s="8"/>
      <c r="Q12" s="15">
        <f t="shared" si="0"/>
        <v>0</v>
      </c>
    </row>
    <row r="13" spans="1:39" ht="13.5" thickBot="1" x14ac:dyDescent="0.25">
      <c r="A13" s="13" t="s">
        <v>21</v>
      </c>
      <c r="B13" s="14" t="s">
        <v>22</v>
      </c>
      <c r="C13" s="15">
        <v>0</v>
      </c>
      <c r="E13" s="15">
        <f>(4000000*1.2)+222800</f>
        <v>5022800</v>
      </c>
      <c r="H13" s="140">
        <v>0</v>
      </c>
      <c r="I13" s="22" t="s">
        <v>20</v>
      </c>
      <c r="J13" s="47"/>
      <c r="K13" s="47"/>
      <c r="L13" s="48">
        <f>SUM(L9:L11)</f>
        <v>13273730.907209039</v>
      </c>
      <c r="M13" s="8"/>
      <c r="N13">
        <v>36500125</v>
      </c>
      <c r="P13" s="49">
        <f>N13-L13</f>
        <v>23226394.092790961</v>
      </c>
      <c r="Q13" s="15">
        <f t="shared" si="0"/>
        <v>0</v>
      </c>
    </row>
    <row r="14" spans="1:39" x14ac:dyDescent="0.2">
      <c r="A14" s="13" t="s">
        <v>23</v>
      </c>
      <c r="B14" s="14" t="s">
        <v>24</v>
      </c>
      <c r="C14" s="15">
        <f>'[19]Team Report'!BA33</f>
        <v>69921.63</v>
      </c>
      <c r="E14" s="15">
        <f>2087875*1.3</f>
        <v>2714237.5</v>
      </c>
      <c r="H14" s="140">
        <v>67692.206399999995</v>
      </c>
      <c r="I14" s="8"/>
      <c r="J14" s="17"/>
      <c r="K14" s="17"/>
      <c r="L14" s="17"/>
      <c r="M14" s="8"/>
      <c r="Q14" s="15">
        <f t="shared" si="0"/>
        <v>3384.6103199999998</v>
      </c>
    </row>
    <row r="15" spans="1:39" x14ac:dyDescent="0.2">
      <c r="A15" s="13" t="s">
        <v>25</v>
      </c>
      <c r="B15" s="14" t="s">
        <v>26</v>
      </c>
      <c r="C15" s="15">
        <f>'[19]Team Report'!BA34</f>
        <v>0</v>
      </c>
      <c r="E15" s="15">
        <f>(C15/9)*12</f>
        <v>0</v>
      </c>
      <c r="H15" s="140">
        <f>((+([27]EOPs!H16)/170*$H$28)*1.2)*0.917</f>
        <v>0</v>
      </c>
      <c r="I15" s="8"/>
      <c r="J15" s="17"/>
      <c r="K15" s="17"/>
      <c r="L15" s="17"/>
      <c r="M15" s="8"/>
      <c r="Q15" s="15">
        <f t="shared" si="0"/>
        <v>0</v>
      </c>
    </row>
    <row r="16" spans="1:39" x14ac:dyDescent="0.2">
      <c r="A16" s="13" t="s">
        <v>28</v>
      </c>
      <c r="B16" s="14" t="s">
        <v>29</v>
      </c>
      <c r="C16" s="15">
        <f>'[19]Team Report'!BA35</f>
        <v>0</v>
      </c>
      <c r="E16" s="15">
        <f>(C16/9)*12</f>
        <v>0</v>
      </c>
      <c r="H16" s="140">
        <f>((+([27]EOPs!H17)/170*$H$28)*1.2)*0.917</f>
        <v>0</v>
      </c>
      <c r="I16" s="8" t="s">
        <v>27</v>
      </c>
      <c r="J16" s="25">
        <v>37500</v>
      </c>
      <c r="K16">
        <f>1+1</f>
        <v>2</v>
      </c>
      <c r="L16" s="17">
        <f t="shared" ref="L16:L27" si="1">J16*K16</f>
        <v>75000</v>
      </c>
      <c r="N16">
        <v>1.25</v>
      </c>
      <c r="Q16" s="15">
        <f t="shared" si="0"/>
        <v>0</v>
      </c>
    </row>
    <row r="17" spans="1:17" x14ac:dyDescent="0.2">
      <c r="A17" s="13" t="s">
        <v>31</v>
      </c>
      <c r="B17" s="14" t="s">
        <v>32</v>
      </c>
      <c r="C17" s="15">
        <f>'[19]Team Report'!BA36</f>
        <v>19039.670000000002</v>
      </c>
      <c r="E17" s="15">
        <f>((C17/9)*12)*1.3</f>
        <v>33002.094666666671</v>
      </c>
      <c r="H17" s="140">
        <v>175623.84</v>
      </c>
      <c r="I17" t="s">
        <v>93</v>
      </c>
      <c r="J17" s="25">
        <v>52500</v>
      </c>
      <c r="K17">
        <f>1+2+1+1</f>
        <v>5</v>
      </c>
      <c r="L17" s="17">
        <f t="shared" si="1"/>
        <v>262500</v>
      </c>
      <c r="Q17" s="15">
        <f t="shared" si="0"/>
        <v>8781.1919999999991</v>
      </c>
    </row>
    <row r="18" spans="1:17" x14ac:dyDescent="0.2">
      <c r="A18" s="13" t="s">
        <v>34</v>
      </c>
      <c r="B18" s="14" t="s">
        <v>35</v>
      </c>
      <c r="C18" s="15">
        <f>'[19]Team Report'!BA37</f>
        <v>17422.019999999997</v>
      </c>
      <c r="E18" s="15">
        <v>145000</v>
      </c>
      <c r="H18" s="140">
        <v>37633.68</v>
      </c>
      <c r="I18" t="s">
        <v>33</v>
      </c>
      <c r="J18" s="25">
        <v>56250</v>
      </c>
      <c r="K18">
        <f>7+2+1+1+4+2</f>
        <v>17</v>
      </c>
      <c r="L18" s="17">
        <f t="shared" si="1"/>
        <v>956250</v>
      </c>
      <c r="Q18" s="15">
        <f t="shared" si="0"/>
        <v>1881.684</v>
      </c>
    </row>
    <row r="19" spans="1:17" x14ac:dyDescent="0.2">
      <c r="A19" s="13" t="s">
        <v>37</v>
      </c>
      <c r="B19" s="14" t="s">
        <v>38</v>
      </c>
      <c r="C19" s="15">
        <f>'[19]Team Report'!BA38</f>
        <v>0</v>
      </c>
      <c r="E19" s="15">
        <f>(C19/9)*12</f>
        <v>0</v>
      </c>
      <c r="H19" s="140">
        <f>((+([27]EOPs!H20)/170*$H$28)*1.2)*0.917</f>
        <v>0</v>
      </c>
      <c r="I19" t="s">
        <v>45</v>
      </c>
      <c r="J19" s="25">
        <v>75000</v>
      </c>
      <c r="K19">
        <f>3+1</f>
        <v>4</v>
      </c>
      <c r="L19" s="17">
        <f t="shared" si="1"/>
        <v>300000</v>
      </c>
      <c r="Q19" s="15">
        <f t="shared" si="0"/>
        <v>0</v>
      </c>
    </row>
    <row r="20" spans="1:17" x14ac:dyDescent="0.2">
      <c r="A20" s="13" t="s">
        <v>40</v>
      </c>
      <c r="B20" s="14" t="s">
        <v>41</v>
      </c>
      <c r="C20" s="15">
        <f>'[19]Team Report'!BA42</f>
        <v>75042.680000000008</v>
      </c>
      <c r="E20" s="15">
        <f>((C20/9)*12)*1.3</f>
        <v>130073.97866666669</v>
      </c>
      <c r="H20" s="140">
        <f>((+([27]EOPs!H21)/170*$H$28)*1.2)*0.917</f>
        <v>0</v>
      </c>
      <c r="I20" t="s">
        <v>94</v>
      </c>
      <c r="J20" s="25">
        <v>60000</v>
      </c>
      <c r="K20">
        <f>2+12+1</f>
        <v>15</v>
      </c>
      <c r="L20" s="17">
        <f t="shared" si="1"/>
        <v>900000</v>
      </c>
      <c r="Q20" s="15">
        <f t="shared" si="0"/>
        <v>0</v>
      </c>
    </row>
    <row r="21" spans="1:17" x14ac:dyDescent="0.2">
      <c r="A21" s="13" t="s">
        <v>43</v>
      </c>
      <c r="B21" s="14" t="s">
        <v>44</v>
      </c>
      <c r="C21" s="15">
        <f>'[19]Team Report'!BA44</f>
        <v>1226.24</v>
      </c>
      <c r="E21" s="15">
        <f>((C21/9)*12)*1.3</f>
        <v>2125.4826666666668</v>
      </c>
      <c r="H21" s="140">
        <f>(+([27]EOPs!H22)/170*$H$28)*0.917</f>
        <v>0</v>
      </c>
      <c r="I21" t="s">
        <v>36</v>
      </c>
      <c r="J21" s="25">
        <v>65000</v>
      </c>
      <c r="K21">
        <f>8+4+5+10+9+2+2+4+4+1</f>
        <v>49</v>
      </c>
      <c r="L21" s="17">
        <f t="shared" si="1"/>
        <v>3185000</v>
      </c>
      <c r="Q21" s="15">
        <f t="shared" si="0"/>
        <v>0</v>
      </c>
    </row>
    <row r="22" spans="1:17" x14ac:dyDescent="0.2">
      <c r="A22" s="26" t="s">
        <v>46</v>
      </c>
      <c r="B22" s="27" t="s">
        <v>47</v>
      </c>
      <c r="C22" s="28">
        <f>SUM(C8:C21)</f>
        <v>6646856.1299999999</v>
      </c>
      <c r="E22" s="28">
        <f>SUM(E8:E21)</f>
        <v>19251859.132000003</v>
      </c>
      <c r="H22" s="28">
        <f>SUM(H8:H21)</f>
        <v>2051195.1180000002</v>
      </c>
      <c r="I22" t="s">
        <v>108</v>
      </c>
      <c r="J22" s="25">
        <v>82500</v>
      </c>
      <c r="K22">
        <f>10+1+13+6+6+3+7+1+2+6</f>
        <v>55</v>
      </c>
      <c r="L22" s="17">
        <f t="shared" si="1"/>
        <v>4537500</v>
      </c>
      <c r="Q22" s="28">
        <f>SUM(Q8:Q21)</f>
        <v>102559.75589999999</v>
      </c>
    </row>
    <row r="23" spans="1:17" x14ac:dyDescent="0.2">
      <c r="I23" t="s">
        <v>96</v>
      </c>
      <c r="J23" s="25">
        <v>100000</v>
      </c>
      <c r="K23">
        <f>2+1+8+6+3+1+4</f>
        <v>25</v>
      </c>
      <c r="L23" s="17">
        <f t="shared" si="1"/>
        <v>2500000</v>
      </c>
    </row>
    <row r="24" spans="1:17" x14ac:dyDescent="0.2">
      <c r="B24" s="27" t="s">
        <v>50</v>
      </c>
      <c r="C24" s="55"/>
      <c r="E24" s="55">
        <v>114</v>
      </c>
      <c r="H24" s="55">
        <v>20</v>
      </c>
      <c r="I24" t="s">
        <v>97</v>
      </c>
      <c r="J24" s="25">
        <v>145000</v>
      </c>
      <c r="K24">
        <f>1+1+1+1+2+1+2</f>
        <v>9</v>
      </c>
      <c r="L24" s="17">
        <f t="shared" si="1"/>
        <v>1305000</v>
      </c>
      <c r="Q24" s="31">
        <f>+T15+T16+T17+T18+T19+T22+T23+T24+T25+T26</f>
        <v>0</v>
      </c>
    </row>
    <row r="25" spans="1:17" x14ac:dyDescent="0.2">
      <c r="I25" t="s">
        <v>98</v>
      </c>
      <c r="J25" s="25">
        <v>175000</v>
      </c>
      <c r="K25">
        <f>1+1</f>
        <v>2</v>
      </c>
      <c r="L25" s="17">
        <f t="shared" si="1"/>
        <v>350000</v>
      </c>
      <c r="Q25" s="15"/>
    </row>
    <row r="26" spans="1:17" x14ac:dyDescent="0.2">
      <c r="B26" s="27" t="s">
        <v>67</v>
      </c>
      <c r="C26" s="55"/>
      <c r="E26" s="55">
        <v>4</v>
      </c>
      <c r="H26" s="55">
        <v>0</v>
      </c>
      <c r="I26" t="s">
        <v>99</v>
      </c>
      <c r="J26" s="25">
        <v>237500</v>
      </c>
      <c r="K26">
        <f>1</f>
        <v>1</v>
      </c>
      <c r="L26" s="17">
        <f t="shared" si="1"/>
        <v>237500</v>
      </c>
      <c r="Q26" s="31">
        <f>+T20+T21</f>
        <v>0</v>
      </c>
    </row>
    <row r="27" spans="1:17" x14ac:dyDescent="0.2">
      <c r="I27" t="s">
        <v>100</v>
      </c>
      <c r="J27" s="25">
        <v>312500</v>
      </c>
      <c r="K27">
        <v>0</v>
      </c>
      <c r="L27" s="17">
        <f t="shared" si="1"/>
        <v>0</v>
      </c>
    </row>
    <row r="28" spans="1:17" x14ac:dyDescent="0.2">
      <c r="B28" s="27" t="s">
        <v>55</v>
      </c>
      <c r="C28" s="55"/>
      <c r="E28" s="55">
        <f>SUM(E24:E27)</f>
        <v>118</v>
      </c>
      <c r="H28" s="55">
        <f>SUM(H24:H27)</f>
        <v>20</v>
      </c>
      <c r="K28" s="25">
        <f>SUM(K16:K27)</f>
        <v>184</v>
      </c>
      <c r="L28" s="25">
        <f>SUM(L16:L27)</f>
        <v>14608750</v>
      </c>
      <c r="Q28" s="31">
        <v>1</v>
      </c>
    </row>
    <row r="29" spans="1:17" hidden="1" x14ac:dyDescent="0.2">
      <c r="B29" s="27"/>
    </row>
    <row r="30" spans="1:17" hidden="1" x14ac:dyDescent="0.2">
      <c r="A30" s="13" t="s">
        <v>71</v>
      </c>
      <c r="B30" s="14" t="s">
        <v>72</v>
      </c>
      <c r="C30" s="15">
        <f>'[19]Team Report'!BA29</f>
        <v>0</v>
      </c>
      <c r="E30" s="15">
        <f t="shared" ref="E30:E37" si="2">(C30/9)*12</f>
        <v>0</v>
      </c>
      <c r="I30" t="s">
        <v>102</v>
      </c>
      <c r="K30" s="52"/>
      <c r="L30" s="52">
        <v>0.2</v>
      </c>
    </row>
    <row r="31" spans="1:17" hidden="1" x14ac:dyDescent="0.2">
      <c r="A31" s="13" t="s">
        <v>73</v>
      </c>
      <c r="B31" s="14" t="s">
        <v>74</v>
      </c>
      <c r="C31" s="15">
        <f>'[19]Team Report'!BA30</f>
        <v>0</v>
      </c>
      <c r="E31" s="15">
        <f t="shared" si="2"/>
        <v>0</v>
      </c>
    </row>
    <row r="32" spans="1:17" hidden="1" x14ac:dyDescent="0.2">
      <c r="A32" s="13" t="s">
        <v>75</v>
      </c>
      <c r="B32" s="14" t="s">
        <v>76</v>
      </c>
      <c r="C32" s="15">
        <f>'[19]Team Report'!BA31</f>
        <v>0</v>
      </c>
      <c r="E32" s="15">
        <f t="shared" si="2"/>
        <v>0</v>
      </c>
      <c r="L32" s="25">
        <f>L28*1.2</f>
        <v>17530500</v>
      </c>
    </row>
    <row r="33" spans="1:8" hidden="1" x14ac:dyDescent="0.2">
      <c r="A33" s="13" t="s">
        <v>77</v>
      </c>
      <c r="B33" s="14" t="s">
        <v>78</v>
      </c>
      <c r="C33" s="15">
        <f>'[19]Team Report'!BA39</f>
        <v>0</v>
      </c>
      <c r="E33" s="15">
        <f t="shared" si="2"/>
        <v>0</v>
      </c>
    </row>
    <row r="34" spans="1:8" hidden="1" x14ac:dyDescent="0.2">
      <c r="A34" s="13" t="s">
        <v>79</v>
      </c>
      <c r="B34" s="14" t="s">
        <v>80</v>
      </c>
      <c r="C34" s="15">
        <f>'[19]Team Report'!BA40</f>
        <v>24670.390000000003</v>
      </c>
      <c r="E34" s="15">
        <f t="shared" si="2"/>
        <v>32893.85333333334</v>
      </c>
    </row>
    <row r="35" spans="1:8" hidden="1" x14ac:dyDescent="0.2">
      <c r="A35" s="13" t="s">
        <v>81</v>
      </c>
      <c r="B35" s="14" t="s">
        <v>82</v>
      </c>
      <c r="C35" s="15">
        <f>'[19]Team Report'!BA41</f>
        <v>481045.43000000005</v>
      </c>
      <c r="E35" s="15">
        <f t="shared" si="2"/>
        <v>641393.90666666673</v>
      </c>
    </row>
    <row r="36" spans="1:8" hidden="1" x14ac:dyDescent="0.2">
      <c r="A36" s="13" t="s">
        <v>83</v>
      </c>
      <c r="B36" s="14" t="s">
        <v>84</v>
      </c>
      <c r="C36" s="15">
        <f>'[19]Team Report'!BA43</f>
        <v>-771915.88</v>
      </c>
      <c r="E36" s="15">
        <f t="shared" si="2"/>
        <v>-1029221.1733333333</v>
      </c>
      <c r="H36" s="33" t="s">
        <v>56</v>
      </c>
    </row>
    <row r="37" spans="1:8" hidden="1" x14ac:dyDescent="0.2">
      <c r="A37" s="13" t="s">
        <v>85</v>
      </c>
      <c r="B37" s="14" t="s">
        <v>86</v>
      </c>
      <c r="C37" s="15">
        <f>'[19]Team Report'!BA45</f>
        <v>0</v>
      </c>
      <c r="E37" s="15">
        <f t="shared" si="2"/>
        <v>0</v>
      </c>
    </row>
    <row r="38" spans="1:8" hidden="1" x14ac:dyDescent="0.2">
      <c r="A38" s="13"/>
      <c r="B38" s="14"/>
      <c r="C38" s="15"/>
      <c r="E38" s="15"/>
      <c r="H38" t="s">
        <v>133</v>
      </c>
    </row>
    <row r="39" spans="1:8" hidden="1" x14ac:dyDescent="0.2"/>
    <row r="40" spans="1:8" hidden="1" x14ac:dyDescent="0.2"/>
    <row r="41" spans="1:8" hidden="1" x14ac:dyDescent="0.2"/>
    <row r="42" spans="1:8" hidden="1" x14ac:dyDescent="0.2"/>
    <row r="43" spans="1:8" hidden="1" x14ac:dyDescent="0.2">
      <c r="C43" s="54">
        <f>C22+C30+C31+C32+C33+C34+C35+C36+C37</f>
        <v>6380656.0699999994</v>
      </c>
    </row>
    <row r="44" spans="1:8" hidden="1" x14ac:dyDescent="0.2"/>
    <row r="45" spans="1:8" hidden="1" x14ac:dyDescent="0.2"/>
    <row r="46" spans="1:8" hidden="1" x14ac:dyDescent="0.2"/>
    <row r="47" spans="1:8" hidden="1" x14ac:dyDescent="0.2"/>
    <row r="48" spans="1: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AR39"/>
  <sheetViews>
    <sheetView zoomScale="80" zoomScaleNormal="100" workbookViewId="0">
      <selection activeCell="M8" sqref="M8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9.710937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42" t="str">
        <f>'[13]Team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2" t="s">
        <v>269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  <c r="N5" s="125" t="s">
        <v>248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N6" s="44" t="s">
        <v>63</v>
      </c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N7" s="12" t="s">
        <v>7</v>
      </c>
      <c r="Q7" s="12"/>
    </row>
    <row r="8" spans="1:44" x14ac:dyDescent="0.2">
      <c r="A8" s="13" t="s">
        <v>9</v>
      </c>
      <c r="B8" s="14" t="s">
        <v>10</v>
      </c>
      <c r="C8" s="15">
        <f>'[14]Central Trading'!C8+'[14]Central Origination'!C8+[14]Derivatives!C8+'[14]East Trading'!C8+'[14]East Origination'!C8+'[14]Financial Gas'!C8+[14]Structuring!C8+'[14]Texas Trading'!C8+'[14]Texas Origination'!C8+'[14]West Trading'!C8+'[14]West Origination'!C8+[14]Fundamentals!C8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1507968</v>
      </c>
      <c r="N8" s="15">
        <f>H8/2*1.5+75670+10715</f>
        <v>86385</v>
      </c>
      <c r="Q8" s="15"/>
    </row>
    <row r="9" spans="1:44" hidden="1" x14ac:dyDescent="0.2">
      <c r="A9" s="13"/>
      <c r="B9" s="14" t="s">
        <v>11</v>
      </c>
      <c r="C9" s="15">
        <f>'[14]Central Trading'!C9+'[14]Central Origination'!C9+[14]Derivatives!C9+'[14]East Trading'!C9+'[14]East Origination'!C9+'[14]Financial Gas'!C9+[14]Structuring!C9+'[14]Texas Trading'!C9+'[14]Texas Origination'!C9+'[14]West Trading'!C9+'[14]West Origination'!C9+[14]Fundamentals!C9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N9" s="15"/>
      <c r="Q9" s="15"/>
    </row>
    <row r="10" spans="1:44" x14ac:dyDescent="0.2">
      <c r="A10" s="13"/>
      <c r="B10" s="14" t="s">
        <v>65</v>
      </c>
      <c r="C10" s="15">
        <f>'[14]Central Trading'!C10+'[14]Central Origination'!C10+[14]Derivatives!C10+'[14]East Trading'!C10+'[14]East Origination'!C10+'[14]Financial Gas'!C10+[14]Structuring!C10+'[14]Texas Trading'!C10+'[14]Texas Origination'!C10+'[14]West Trading'!C10+'[14]West Origination'!C10+[14]Fundamentals!C10</f>
        <v>3095252.76</v>
      </c>
      <c r="D10" s="15"/>
      <c r="E10" s="15">
        <f>('[14]Central Trading'!E9+'[14]Central Origination'!E10+[14]Derivatives!E10+'[14]East Trading'!E10+'[14]East Origination'!E10+'[14]Financial Gas'!E10+[14]Structuring!E10+'[14]Texas Trading'!E10+'[14]Texas Origination'!E10+'[14]West Trading'!E10+'[14]West Origination'!E10+[14]Fundamentals!E10)-4000000</f>
        <v>82420.999999999534</v>
      </c>
      <c r="G10" s="45">
        <f t="shared" si="0"/>
        <v>3.7797619139155266E-3</v>
      </c>
      <c r="H10" s="15">
        <v>420200</v>
      </c>
      <c r="I10" s="42"/>
      <c r="J10" s="17"/>
      <c r="K10" s="17"/>
      <c r="L10" s="43"/>
      <c r="N10" s="15">
        <v>420200</v>
      </c>
      <c r="Q10" s="15"/>
    </row>
    <row r="11" spans="1:44" x14ac:dyDescent="0.2">
      <c r="A11" s="13" t="s">
        <v>13</v>
      </c>
      <c r="B11" s="14" t="s">
        <v>14</v>
      </c>
      <c r="C11" s="15">
        <f>'[14]Central Trading'!C11+'[14]Central Origination'!C11+[14]Derivatives!C11+'[14]East Trading'!C11+'[14]East Origination'!C11+'[14]Financial Gas'!C11+[14]Structuring!C11+'[14]Texas Trading'!C11+'[14]Texas Origination'!C11+'[14]West Trading'!C11+'[14]West Origination'!C11+[14]Fundamentals!C11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</f>
        <v>84040</v>
      </c>
      <c r="I11" s="42" t="s">
        <v>15</v>
      </c>
      <c r="J11" s="17">
        <f>(E12+E13+E14+E15+E16+E17+E18+E19+E20+E21+E22)/E29</f>
        <v>48270.181250000009</v>
      </c>
      <c r="K11" s="17">
        <f>K28</f>
        <v>10</v>
      </c>
      <c r="L11" s="43">
        <f>J11*K11</f>
        <v>482701.81250000012</v>
      </c>
      <c r="N11" s="15">
        <f>H11/2*1.5+24992</f>
        <v>88022</v>
      </c>
      <c r="Q11" s="15"/>
    </row>
    <row r="12" spans="1:44" x14ac:dyDescent="0.2">
      <c r="A12" s="13" t="s">
        <v>16</v>
      </c>
      <c r="B12" s="14" t="s">
        <v>17</v>
      </c>
      <c r="C12" s="15">
        <f>'[14]Central Trading'!C12+'[14]Central Origination'!C12+[14]Derivatives!C12+'[14]East Trading'!C12+'[14]East Origination'!C12+'[14]Financial Gas'!C12+[14]Structuring!C12+'[14]Texas Trading'!C12+'[14]Texas Origination'!C12+'[14]West Trading'!C12+'[14]West Origination'!C12+[14]Fundamentals!C12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45000</v>
      </c>
      <c r="I12" s="42"/>
      <c r="J12" s="17"/>
      <c r="K12" s="17"/>
      <c r="L12" s="43"/>
      <c r="N12" s="15">
        <v>75000</v>
      </c>
      <c r="Q12" s="15"/>
    </row>
    <row r="13" spans="1:44" ht="13.5" thickBot="1" x14ac:dyDescent="0.25">
      <c r="A13" s="13" t="s">
        <v>18</v>
      </c>
      <c r="B13" s="14" t="s">
        <v>19</v>
      </c>
      <c r="C13" s="15">
        <f>'[14]Central Trading'!C13+'[14]Central Origination'!C13+[14]Derivatives!C13+'[14]East Trading'!C13+'[14]East Origination'!C13+'[14]Financial Gas'!C13+[14]Structuring!C13+'[14]Texas Trading'!C13+'[14]Texas Origination'!C13+'[14]West Trading'!C13+'[14]West Origination'!C13+[14]Fundamentals!C13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45000</v>
      </c>
      <c r="I13" s="46" t="s">
        <v>20</v>
      </c>
      <c r="J13" s="47"/>
      <c r="K13" s="47"/>
      <c r="L13" s="48">
        <f>L8+L11</f>
        <v>1990669.8125</v>
      </c>
      <c r="N13" s="15">
        <v>75000</v>
      </c>
      <c r="P13" s="49"/>
      <c r="Q13" s="15"/>
    </row>
    <row r="14" spans="1:44" x14ac:dyDescent="0.2">
      <c r="A14" s="13" t="s">
        <v>21</v>
      </c>
      <c r="B14" s="14" t="s">
        <v>22</v>
      </c>
      <c r="C14" s="15">
        <f>'[14]Central Trading'!C14+'[14]Central Origination'!C14+[14]Derivatives!C14+'[14]East Trading'!C14+'[14]East Origination'!C14+'[14]Financial Gas'!C14+[14]Structuring!C14+'[14]Texas Trading'!C14+'[14]Texas Origination'!C14+'[14]West Trading'!C14+'[14]West Origination'!C14+[14]Fundamentals!C14-C32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N14" s="15">
        <v>0</v>
      </c>
      <c r="Q14" s="15"/>
    </row>
    <row r="15" spans="1:44" x14ac:dyDescent="0.2">
      <c r="A15" s="13" t="s">
        <v>23</v>
      </c>
      <c r="B15" s="14" t="s">
        <v>24</v>
      </c>
      <c r="C15" s="15">
        <f>'[14]Central Trading'!C15+'[14]Central Origination'!C15+[14]Derivatives!C15+'[14]East Trading'!C15+'[14]East Origination'!C15+'[14]Financial Gas'!C15+[14]Structuring!C15+'[14]Texas Trading'!C15+'[14]Texas Origination'!C15+'[14]West Trading'!C15+'[14]West Origination'!C15+[14]Fundamentals!C15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30000</v>
      </c>
      <c r="N15" s="15">
        <v>50000</v>
      </c>
      <c r="Q15" s="15"/>
    </row>
    <row r="16" spans="1:44" x14ac:dyDescent="0.2">
      <c r="A16" s="13" t="s">
        <v>25</v>
      </c>
      <c r="B16" s="14" t="s">
        <v>26</v>
      </c>
      <c r="C16" s="15">
        <f>'[14]Central Trading'!C16+'[14]Central Origination'!C16+[14]Derivatives!C16+'[14]East Trading'!C16+'[14]East Origination'!C16+'[14]Financial Gas'!C16+[14]Structuring!C16+'[14]Texas Trading'!C16+'[14]Texas Origination'!C16+'[14]West Trading'!C16+'[14]West Origination'!C16+[14]Fundamentals!C16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N16" s="15">
        <v>0</v>
      </c>
      <c r="Q16" s="15"/>
    </row>
    <row r="17" spans="1:17" x14ac:dyDescent="0.2">
      <c r="A17" s="13" t="s">
        <v>28</v>
      </c>
      <c r="B17" s="14" t="s">
        <v>29</v>
      </c>
      <c r="C17" s="15">
        <f>'[14]Central Trading'!C17+'[14]Central Origination'!C17+[14]Derivatives!C17+'[14]East Trading'!C17+'[14]East Origination'!C17+'[14]Financial Gas'!C17+[14]Structuring!C17+'[14]Texas Trading'!C17+'[14]Texas Origination'!C17+'[14]West Trading'!C17+'[14]West Origination'!C17+[14]Fundamentals!C17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354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N17" s="15">
        <v>590</v>
      </c>
      <c r="Q17" s="15"/>
    </row>
    <row r="18" spans="1:17" x14ac:dyDescent="0.2">
      <c r="A18" s="13" t="s">
        <v>31</v>
      </c>
      <c r="B18" s="14" t="s">
        <v>32</v>
      </c>
      <c r="C18" s="15">
        <f>'[14]Central Trading'!C18+'[14]Central Origination'!C18+[14]Derivatives!C18+'[14]East Trading'!C18+'[14]East Origination'!C18+'[14]Financial Gas'!C18+[14]Structuring!C18+'[14]Texas Trading'!C18+'[14]Texas Origination'!C18+'[14]West Trading'!C18+'[14]West Origination'!C18+[14]Fundamentals!C18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N18" s="15">
        <v>0</v>
      </c>
      <c r="Q18" s="15"/>
    </row>
    <row r="19" spans="1:17" x14ac:dyDescent="0.2">
      <c r="A19" s="13" t="s">
        <v>34</v>
      </c>
      <c r="B19" s="14" t="s">
        <v>35</v>
      </c>
      <c r="C19" s="15">
        <f>'[14]Central Trading'!C19+'[14]Central Origination'!C19+[14]Derivatives!C19+'[14]East Trading'!C19+'[14]East Origination'!C19+'[14]Financial Gas'!C19+[14]Structuring!C19+'[14]Texas Trading'!C19+'[14]Texas Origination'!C19+'[14]West Trading'!C19+'[14]West Origination'!C19+[14]Fundamentals!C19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60000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N19" s="15">
        <v>100000</v>
      </c>
      <c r="Q19" s="15"/>
    </row>
    <row r="20" spans="1:17" x14ac:dyDescent="0.2">
      <c r="A20" s="13" t="s">
        <v>37</v>
      </c>
      <c r="B20" s="14" t="s">
        <v>38</v>
      </c>
      <c r="C20" s="15">
        <f>'[14]Central Trading'!C20+'[14]Central Origination'!C20+[14]Derivatives!C20+'[14]East Trading'!C20+'[14]East Origination'!C20+'[14]Financial Gas'!C20+[14]Structuring!C20+'[14]Texas Trading'!C20+'[14]Texas Origination'!C20+'[14]West Trading'!C20+'[14]West Origination'!C20+[14]Fundamentals!C20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1.2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N20" s="15">
        <v>2</v>
      </c>
      <c r="Q20" s="15"/>
    </row>
    <row r="21" spans="1:17" x14ac:dyDescent="0.2">
      <c r="A21" s="13" t="s">
        <v>40</v>
      </c>
      <c r="B21" s="14" t="s">
        <v>41</v>
      </c>
      <c r="C21" s="15">
        <f>'[14]Central Trading'!C21+'[14]Central Origination'!C21+[14]Derivatives!C21+'[14]East Trading'!C21+'[14]East Origination'!C21+'[14]Financial Gas'!C21+[14]Structuring!C21+'[14]Texas Trading'!C21+'[14]Texas Origination'!C21+'[14]West Trading'!C21+'[14]West Origination'!C21+[14]Fundamentals!C21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9000</v>
      </c>
      <c r="I21" s="25" t="s">
        <v>42</v>
      </c>
      <c r="J21" s="25">
        <v>60500</v>
      </c>
      <c r="K21" s="25">
        <v>4</v>
      </c>
      <c r="L21" s="25">
        <f t="shared" si="1"/>
        <v>242000</v>
      </c>
      <c r="N21" s="15">
        <v>15000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'[14]Central Trading'!C22+'[14]Central Origination'!C22+[14]Derivatives!C22+'[14]East Trading'!C22+'[14]East Origination'!C22+'[14]Financial Gas'!C22+[14]Structuring!C22+'[14]Texas Trading'!C22+'[14]Texas Origination'!C22+'[14]West Trading'!C22+'[14]West Origination'!C22+[14]Fundamentals!C22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2</v>
      </c>
      <c r="L22" s="25">
        <f t="shared" si="1"/>
        <v>178200</v>
      </c>
      <c r="N22" s="15">
        <v>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693595.2</v>
      </c>
      <c r="I23" s="25" t="s">
        <v>48</v>
      </c>
      <c r="J23" s="25">
        <v>110000</v>
      </c>
      <c r="K23" s="25">
        <v>0</v>
      </c>
      <c r="L23" s="25">
        <f t="shared" si="1"/>
        <v>0</v>
      </c>
      <c r="N23" s="28">
        <f>SUM(N8:N22)</f>
        <v>910199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f>3</f>
        <v>3</v>
      </c>
      <c r="L24" s="25">
        <f t="shared" si="1"/>
        <v>429000</v>
      </c>
      <c r="P24" s="8"/>
      <c r="Q24" s="8"/>
    </row>
    <row r="25" spans="1:17" x14ac:dyDescent="0.2">
      <c r="B25" s="27" t="s">
        <v>50</v>
      </c>
      <c r="C25" s="15"/>
      <c r="E25" s="31">
        <f>'[14]Central Trading'!E25+'[14]Central Origination'!E25+[14]Derivatives!E25+'[14]East Trading'!E25+'[14]East Origination'!E25+'[14]Financial Gas'!E25+[14]Structuring!E25+'[14]Texas Trading'!E25+'[14]Texas Origination'!E25+'[14]West Trading'!E25+'[14]West Origination'!E25+[14]Fundamentals!E25</f>
        <v>108</v>
      </c>
      <c r="H25" s="31">
        <v>0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P26" s="8"/>
      <c r="Q26" s="32"/>
    </row>
    <row r="27" spans="1:17" x14ac:dyDescent="0.2">
      <c r="B27" s="27" t="s">
        <v>67</v>
      </c>
      <c r="C27" s="15"/>
      <c r="E27" s="31">
        <f>'[14]Central Trading'!E27+'[14]Central Origination'!E27+[14]Derivatives!E27+'[14]East Trading'!E27+'[14]East Origination'!E27+'[14]Financial Gas'!E27+[14]Structuring!E27+'[14]Texas Trading'!E27+'[14]Texas Origination'!E27+'[14]West Trading'!E27+'[14]West Origination'!E27+[14]Fundamentals!E27</f>
        <v>52</v>
      </c>
      <c r="H27" s="31">
        <f>+K21+K22</f>
        <v>6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">
      <c r="K28" s="25">
        <f>SUM(K16:K27)</f>
        <v>10</v>
      </c>
      <c r="L28" s="25">
        <f>SUM(L16:L27)*1.2</f>
        <v>1256640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6</v>
      </c>
      <c r="L29" s="52">
        <v>0.2</v>
      </c>
      <c r="P29" s="8"/>
      <c r="Q29" s="32"/>
    </row>
    <row r="30" spans="1:17" hidden="1" x14ac:dyDescent="0.2">
      <c r="L30" s="25">
        <f>L28*1.2</f>
        <v>1507968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10</v>
      </c>
      <c r="L34" s="37">
        <f>+J34*K34</f>
        <v>482701.81250000012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/>
  <dimension ref="A1:AM56"/>
  <sheetViews>
    <sheetView workbookViewId="0">
      <selection activeCell="F8" sqref="F8:F21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8" hidden="1" customWidth="1"/>
    <col min="6" max="6" width="2.28515625" customWidth="1"/>
    <col min="7" max="7" width="0" hidden="1" customWidth="1"/>
    <col min="8" max="8" width="17.7109375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11.28515625" hidden="1" customWidth="1"/>
    <col min="17" max="17" width="9.140625" hidden="1" customWidth="1"/>
    <col min="18" max="29" width="0" hidden="1" customWidth="1"/>
  </cols>
  <sheetData>
    <row r="1" spans="1:39" ht="18" x14ac:dyDescent="0.25">
      <c r="B1" s="142" t="str">
        <f>'[19]Team Report'!B1</f>
        <v>Enron North America</v>
      </c>
      <c r="C1" s="142"/>
      <c r="D1" s="142"/>
      <c r="E1" s="142"/>
      <c r="F1" s="142"/>
      <c r="G1" s="142"/>
      <c r="H1" s="142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25">
      <c r="B2" s="142" t="s">
        <v>311</v>
      </c>
      <c r="C2" s="142"/>
      <c r="D2" s="142"/>
      <c r="E2" s="142"/>
      <c r="F2" s="142"/>
      <c r="G2" s="142"/>
      <c r="H2" s="142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25">
      <c r="B3" s="143" t="s">
        <v>0</v>
      </c>
      <c r="C3" s="143"/>
      <c r="D3" s="143"/>
      <c r="E3" s="143"/>
      <c r="F3" s="143"/>
      <c r="G3" s="143"/>
      <c r="H3" s="14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5" thickBot="1" x14ac:dyDescent="0.25">
      <c r="I4" s="147" t="s">
        <v>172</v>
      </c>
      <c r="J4" s="147"/>
      <c r="K4" s="147"/>
      <c r="L4" s="147"/>
    </row>
    <row r="5" spans="1:39" x14ac:dyDescent="0.2">
      <c r="I5" s="4"/>
      <c r="J5" s="40"/>
      <c r="K5" s="40"/>
      <c r="L5" s="41"/>
      <c r="M5" s="8"/>
    </row>
    <row r="6" spans="1:39" x14ac:dyDescent="0.2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x14ac:dyDescent="0.2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x14ac:dyDescent="0.2">
      <c r="A8" s="13" t="s">
        <v>9</v>
      </c>
      <c r="B8" s="14" t="s">
        <v>10</v>
      </c>
      <c r="C8" s="53">
        <f>'[19]Team Report'!BA25</f>
        <v>4985502.2300000004</v>
      </c>
      <c r="E8" s="15">
        <f>((C8/9)*12)*1.3</f>
        <v>8641537.1986666676</v>
      </c>
      <c r="H8" s="140">
        <v>1026537.8507999999</v>
      </c>
      <c r="I8" s="7"/>
      <c r="J8" s="17"/>
      <c r="K8" s="17"/>
      <c r="L8" s="43"/>
      <c r="M8" s="8"/>
      <c r="Q8" s="15">
        <f t="shared" ref="Q8:Q21" si="0">+H8/$H$28*$Q$28</f>
        <v>93321.622799999997</v>
      </c>
    </row>
    <row r="9" spans="1:39" x14ac:dyDescent="0.2">
      <c r="A9" s="13"/>
      <c r="B9" s="14" t="s">
        <v>122</v>
      </c>
      <c r="C9" s="15">
        <v>0</v>
      </c>
      <c r="E9" s="15">
        <f>(C9/9)*12</f>
        <v>0</v>
      </c>
      <c r="H9" s="140">
        <v>0</v>
      </c>
      <c r="I9" s="7"/>
      <c r="J9" s="17"/>
      <c r="K9" s="17"/>
      <c r="L9" s="43"/>
      <c r="M9" s="8"/>
      <c r="Q9" s="15">
        <f t="shared" si="0"/>
        <v>0</v>
      </c>
    </row>
    <row r="10" spans="1:39" x14ac:dyDescent="0.2">
      <c r="A10" s="13" t="s">
        <v>13</v>
      </c>
      <c r="B10" s="14" t="s">
        <v>14</v>
      </c>
      <c r="C10" s="15">
        <f>'[19]Team Report'!BA26</f>
        <v>1210281.1100000001</v>
      </c>
      <c r="E10" s="15">
        <f>((C10/9)*12)*1.3</f>
        <v>2097820.5906666671</v>
      </c>
      <c r="H10" s="140">
        <v>235328.24280000001</v>
      </c>
      <c r="I10" s="7"/>
      <c r="J10" s="17"/>
      <c r="K10" s="17"/>
      <c r="L10" s="43"/>
      <c r="M10" s="8"/>
      <c r="Q10" s="15">
        <f t="shared" si="0"/>
        <v>21393.47661818182</v>
      </c>
    </row>
    <row r="11" spans="1:39" x14ac:dyDescent="0.2">
      <c r="A11" s="13" t="s">
        <v>16</v>
      </c>
      <c r="B11" s="14" t="s">
        <v>17</v>
      </c>
      <c r="C11" s="15">
        <f>'[19]Team Report'!BA27</f>
        <v>190029.97</v>
      </c>
      <c r="E11" s="15">
        <f>((C11/9)*12)*1.3</f>
        <v>329385.28133333335</v>
      </c>
      <c r="H11" s="140">
        <f>((48400+3000)*1.2)*0.917</f>
        <v>56560.560000000005</v>
      </c>
      <c r="I11" s="7" t="s">
        <v>15</v>
      </c>
      <c r="J11" s="17">
        <f>(E11+E12+E13+E14+E15+E16+E17+E18+E19+E20+E21)/E28</f>
        <v>72139.841887005648</v>
      </c>
      <c r="K11" s="17">
        <f>K28</f>
        <v>184</v>
      </c>
      <c r="L11" s="43">
        <f>J11*K11</f>
        <v>13273730.907209039</v>
      </c>
      <c r="M11" s="8"/>
      <c r="Q11" s="15">
        <f t="shared" si="0"/>
        <v>5141.869090909091</v>
      </c>
    </row>
    <row r="12" spans="1:39" x14ac:dyDescent="0.2">
      <c r="A12" s="13" t="s">
        <v>18</v>
      </c>
      <c r="B12" s="14" t="s">
        <v>19</v>
      </c>
      <c r="C12" s="15">
        <f>'[19]Team Report'!BA28</f>
        <v>78390.58</v>
      </c>
      <c r="E12" s="15">
        <f>((C12/9)*12)*1.3</f>
        <v>135877.00533333333</v>
      </c>
      <c r="H12" s="140">
        <v>0</v>
      </c>
      <c r="I12" s="7"/>
      <c r="J12" s="17"/>
      <c r="K12" s="17"/>
      <c r="L12" s="43"/>
      <c r="M12" s="8"/>
      <c r="Q12" s="15">
        <f t="shared" si="0"/>
        <v>0</v>
      </c>
    </row>
    <row r="13" spans="1:39" ht="13.5" thickBot="1" x14ac:dyDescent="0.25">
      <c r="A13" s="13" t="s">
        <v>21</v>
      </c>
      <c r="B13" s="14" t="s">
        <v>22</v>
      </c>
      <c r="C13" s="15">
        <v>0</v>
      </c>
      <c r="E13" s="15">
        <f>(4000000*1.2)+222800</f>
        <v>5022800</v>
      </c>
      <c r="H13" s="140">
        <v>0</v>
      </c>
      <c r="I13" s="22" t="s">
        <v>20</v>
      </c>
      <c r="J13" s="47"/>
      <c r="K13" s="47"/>
      <c r="L13" s="48">
        <f>SUM(L9:L11)</f>
        <v>13273730.907209039</v>
      </c>
      <c r="M13" s="8"/>
      <c r="N13">
        <v>36500125</v>
      </c>
      <c r="P13" s="49">
        <f>N13-L13</f>
        <v>23226394.092790961</v>
      </c>
      <c r="Q13" s="15">
        <f t="shared" si="0"/>
        <v>0</v>
      </c>
    </row>
    <row r="14" spans="1:39" x14ac:dyDescent="0.2">
      <c r="A14" s="13" t="s">
        <v>23</v>
      </c>
      <c r="B14" s="14" t="s">
        <v>24</v>
      </c>
      <c r="C14" s="15">
        <f>'[19]Team Report'!BA33</f>
        <v>69921.63</v>
      </c>
      <c r="E14" s="15">
        <f>2087875*1.3</f>
        <v>2714237.5</v>
      </c>
      <c r="H14" s="140">
        <v>13323.6432</v>
      </c>
      <c r="I14" s="8"/>
      <c r="J14" s="17"/>
      <c r="K14" s="17"/>
      <c r="L14" s="17"/>
      <c r="M14" s="8"/>
      <c r="Q14" s="15">
        <f t="shared" si="0"/>
        <v>1211.2402909090908</v>
      </c>
    </row>
    <row r="15" spans="1:39" x14ac:dyDescent="0.2">
      <c r="A15" s="13" t="s">
        <v>25</v>
      </c>
      <c r="B15" s="14" t="s">
        <v>26</v>
      </c>
      <c r="C15" s="15">
        <f>'[19]Team Report'!BA34</f>
        <v>0</v>
      </c>
      <c r="E15" s="15">
        <f>(C15/9)*12</f>
        <v>0</v>
      </c>
      <c r="H15" s="140">
        <f>((+([27]EOPs!H16)/170*$H$28)*1.2)*0.917</f>
        <v>0</v>
      </c>
      <c r="I15" s="8"/>
      <c r="J15" s="17"/>
      <c r="K15" s="17"/>
      <c r="L15" s="17"/>
      <c r="M15" s="8"/>
      <c r="Q15" s="15">
        <f t="shared" si="0"/>
        <v>0</v>
      </c>
    </row>
    <row r="16" spans="1:39" x14ac:dyDescent="0.2">
      <c r="A16" s="13" t="s">
        <v>28</v>
      </c>
      <c r="B16" s="14" t="s">
        <v>29</v>
      </c>
      <c r="C16" s="15">
        <f>'[19]Team Report'!BA35</f>
        <v>0</v>
      </c>
      <c r="E16" s="15">
        <f>(C16/9)*12</f>
        <v>0</v>
      </c>
      <c r="H16" s="140">
        <f>((+([27]EOPs!H17)/170*$H$28)*1.2)*0.917</f>
        <v>0</v>
      </c>
      <c r="I16" s="8" t="s">
        <v>27</v>
      </c>
      <c r="J16" s="25">
        <v>37500</v>
      </c>
      <c r="K16">
        <f>1+1</f>
        <v>2</v>
      </c>
      <c r="L16" s="17">
        <f t="shared" ref="L16:L27" si="1">J16*K16</f>
        <v>75000</v>
      </c>
      <c r="N16">
        <v>1.25</v>
      </c>
      <c r="Q16" s="15">
        <f t="shared" si="0"/>
        <v>0</v>
      </c>
    </row>
    <row r="17" spans="1:17" x14ac:dyDescent="0.2">
      <c r="A17" s="13" t="s">
        <v>31</v>
      </c>
      <c r="B17" s="14" t="s">
        <v>32</v>
      </c>
      <c r="C17" s="15">
        <f>'[19]Team Report'!BA36</f>
        <v>19039.670000000002</v>
      </c>
      <c r="E17" s="15">
        <f>((C17/9)*12)*1.3</f>
        <v>33002.094666666671</v>
      </c>
      <c r="H17" s="140">
        <v>110920.32000000001</v>
      </c>
      <c r="I17" t="s">
        <v>93</v>
      </c>
      <c r="J17" s="25">
        <v>52500</v>
      </c>
      <c r="K17">
        <f>1+2+1+1</f>
        <v>5</v>
      </c>
      <c r="L17" s="17">
        <f t="shared" si="1"/>
        <v>262500</v>
      </c>
      <c r="Q17" s="15">
        <f t="shared" si="0"/>
        <v>10083.665454545455</v>
      </c>
    </row>
    <row r="18" spans="1:17" x14ac:dyDescent="0.2">
      <c r="A18" s="13" t="s">
        <v>34</v>
      </c>
      <c r="B18" s="14" t="s">
        <v>35</v>
      </c>
      <c r="C18" s="15">
        <f>'[19]Team Report'!BA37</f>
        <v>17422.019999999997</v>
      </c>
      <c r="E18" s="15">
        <v>145000</v>
      </c>
      <c r="H18" s="140">
        <v>23768.639999999999</v>
      </c>
      <c r="I18" t="s">
        <v>33</v>
      </c>
      <c r="J18" s="25">
        <v>56250</v>
      </c>
      <c r="K18">
        <f>7+2+1+1+4+2</f>
        <v>17</v>
      </c>
      <c r="L18" s="17">
        <f t="shared" si="1"/>
        <v>956250</v>
      </c>
      <c r="Q18" s="15">
        <f t="shared" si="0"/>
        <v>2160.7854545454543</v>
      </c>
    </row>
    <row r="19" spans="1:17" x14ac:dyDescent="0.2">
      <c r="A19" s="13" t="s">
        <v>37</v>
      </c>
      <c r="B19" s="14" t="s">
        <v>38</v>
      </c>
      <c r="C19" s="15">
        <f>'[19]Team Report'!BA38</f>
        <v>0</v>
      </c>
      <c r="E19" s="15">
        <f>(C19/9)*12</f>
        <v>0</v>
      </c>
      <c r="H19" s="140">
        <f>((+([27]EOPs!H20)/170*$H$28)*1.2)*0.917</f>
        <v>0</v>
      </c>
      <c r="I19" t="s">
        <v>45</v>
      </c>
      <c r="J19" s="25">
        <v>75000</v>
      </c>
      <c r="K19">
        <f>3+1</f>
        <v>4</v>
      </c>
      <c r="L19" s="17">
        <f t="shared" si="1"/>
        <v>300000</v>
      </c>
      <c r="Q19" s="15">
        <f t="shared" si="0"/>
        <v>0</v>
      </c>
    </row>
    <row r="20" spans="1:17" x14ac:dyDescent="0.2">
      <c r="A20" s="13" t="s">
        <v>40</v>
      </c>
      <c r="B20" s="14" t="s">
        <v>41</v>
      </c>
      <c r="C20" s="15">
        <f>'[19]Team Report'!BA42</f>
        <v>75042.680000000008</v>
      </c>
      <c r="E20" s="15">
        <f>((C20/9)*12)*1.3</f>
        <v>130073.97866666669</v>
      </c>
      <c r="H20" s="140">
        <f>((+([27]EOPs!H21)/170*$H$28)*1.2)*0.917</f>
        <v>0</v>
      </c>
      <c r="I20" t="s">
        <v>94</v>
      </c>
      <c r="J20" s="25">
        <v>60000</v>
      </c>
      <c r="K20">
        <f>2+12+1</f>
        <v>15</v>
      </c>
      <c r="L20" s="17">
        <f t="shared" si="1"/>
        <v>900000</v>
      </c>
      <c r="Q20" s="15">
        <f t="shared" si="0"/>
        <v>0</v>
      </c>
    </row>
    <row r="21" spans="1:17" x14ac:dyDescent="0.2">
      <c r="A21" s="13" t="s">
        <v>43</v>
      </c>
      <c r="B21" s="14" t="s">
        <v>44</v>
      </c>
      <c r="C21" s="15">
        <f>'[19]Team Report'!BA44</f>
        <v>1226.24</v>
      </c>
      <c r="E21" s="15">
        <f>((C21/9)*12)*1.3</f>
        <v>2125.4826666666668</v>
      </c>
      <c r="H21" s="140">
        <f>(+([27]EOPs!H22)/170*$H$28)*0.917</f>
        <v>0</v>
      </c>
      <c r="I21" t="s">
        <v>36</v>
      </c>
      <c r="J21" s="25">
        <v>65000</v>
      </c>
      <c r="K21">
        <f>8+4+5+10+9+2+2+4+4+1</f>
        <v>49</v>
      </c>
      <c r="L21" s="17">
        <f t="shared" si="1"/>
        <v>3185000</v>
      </c>
      <c r="Q21" s="15">
        <f t="shared" si="0"/>
        <v>0</v>
      </c>
    </row>
    <row r="22" spans="1:17" x14ac:dyDescent="0.2">
      <c r="A22" s="26" t="s">
        <v>46</v>
      </c>
      <c r="B22" s="27" t="s">
        <v>47</v>
      </c>
      <c r="C22" s="28">
        <f>SUM(C8:C21)</f>
        <v>6646856.1299999999</v>
      </c>
      <c r="E22" s="28">
        <f>SUM(E8:E21)</f>
        <v>19251859.132000003</v>
      </c>
      <c r="H22" s="28">
        <f>SUM(H8:H21)</f>
        <v>1466439.2567999999</v>
      </c>
      <c r="I22" t="s">
        <v>108</v>
      </c>
      <c r="J22" s="25">
        <v>82500</v>
      </c>
      <c r="K22">
        <f>10+1+13+6+6+3+7+1+2+6</f>
        <v>55</v>
      </c>
      <c r="L22" s="17">
        <f t="shared" si="1"/>
        <v>4537500</v>
      </c>
      <c r="Q22" s="28">
        <f>SUM(Q8:Q21)</f>
        <v>133312.65970909092</v>
      </c>
    </row>
    <row r="23" spans="1:17" x14ac:dyDescent="0.2">
      <c r="I23" t="s">
        <v>96</v>
      </c>
      <c r="J23" s="25">
        <v>100000</v>
      </c>
      <c r="K23">
        <f>2+1+8+6+3+1+4</f>
        <v>25</v>
      </c>
      <c r="L23" s="17">
        <f t="shared" si="1"/>
        <v>2500000</v>
      </c>
    </row>
    <row r="24" spans="1:17" x14ac:dyDescent="0.2">
      <c r="B24" s="27" t="s">
        <v>50</v>
      </c>
      <c r="C24" s="55"/>
      <c r="E24" s="55">
        <v>114</v>
      </c>
      <c r="H24" s="55">
        <v>11</v>
      </c>
      <c r="I24" t="s">
        <v>97</v>
      </c>
      <c r="J24" s="25">
        <v>145000</v>
      </c>
      <c r="K24">
        <f>1+1+1+1+2+1+2</f>
        <v>9</v>
      </c>
      <c r="L24" s="17">
        <f t="shared" si="1"/>
        <v>1305000</v>
      </c>
      <c r="Q24" s="31">
        <f>+T15+T16+T17+T18+T19+T22+T23+T24+T25+T26</f>
        <v>0</v>
      </c>
    </row>
    <row r="25" spans="1:17" x14ac:dyDescent="0.2">
      <c r="I25" t="s">
        <v>98</v>
      </c>
      <c r="J25" s="25">
        <v>175000</v>
      </c>
      <c r="K25">
        <f>1+1</f>
        <v>2</v>
      </c>
      <c r="L25" s="17">
        <f t="shared" si="1"/>
        <v>350000</v>
      </c>
      <c r="Q25" s="15"/>
    </row>
    <row r="26" spans="1:17" x14ac:dyDescent="0.2">
      <c r="B26" s="27" t="s">
        <v>67</v>
      </c>
      <c r="C26" s="55"/>
      <c r="E26" s="55">
        <v>4</v>
      </c>
      <c r="H26" s="55">
        <v>0</v>
      </c>
      <c r="I26" t="s">
        <v>99</v>
      </c>
      <c r="J26" s="25">
        <v>237500</v>
      </c>
      <c r="K26">
        <f>1</f>
        <v>1</v>
      </c>
      <c r="L26" s="17">
        <f t="shared" si="1"/>
        <v>237500</v>
      </c>
      <c r="Q26" s="31">
        <f>+T20+T21</f>
        <v>0</v>
      </c>
    </row>
    <row r="27" spans="1:17" x14ac:dyDescent="0.2">
      <c r="I27" t="s">
        <v>100</v>
      </c>
      <c r="J27" s="25">
        <v>312500</v>
      </c>
      <c r="K27">
        <v>0</v>
      </c>
      <c r="L27" s="17">
        <f t="shared" si="1"/>
        <v>0</v>
      </c>
    </row>
    <row r="28" spans="1:17" x14ac:dyDescent="0.2">
      <c r="B28" s="27" t="s">
        <v>55</v>
      </c>
      <c r="C28" s="55"/>
      <c r="E28" s="55">
        <f>SUM(E24:E27)</f>
        <v>118</v>
      </c>
      <c r="H28" s="55">
        <f>SUM(H24:H27)</f>
        <v>11</v>
      </c>
      <c r="K28" s="25">
        <f>SUM(K16:K27)</f>
        <v>184</v>
      </c>
      <c r="L28" s="25">
        <f>SUM(L16:L27)</f>
        <v>14608750</v>
      </c>
      <c r="Q28" s="31">
        <v>1</v>
      </c>
    </row>
    <row r="29" spans="1:17" hidden="1" x14ac:dyDescent="0.2">
      <c r="B29" s="27"/>
    </row>
    <row r="30" spans="1:17" hidden="1" x14ac:dyDescent="0.2">
      <c r="A30" s="13" t="s">
        <v>71</v>
      </c>
      <c r="B30" s="14" t="s">
        <v>72</v>
      </c>
      <c r="C30" s="15">
        <f>'[19]Team Report'!BA29</f>
        <v>0</v>
      </c>
      <c r="E30" s="15">
        <f t="shared" ref="E30:E37" si="2">(C30/9)*12</f>
        <v>0</v>
      </c>
      <c r="I30" t="s">
        <v>102</v>
      </c>
      <c r="K30" s="52"/>
      <c r="L30" s="52">
        <v>0.2</v>
      </c>
    </row>
    <row r="31" spans="1:17" hidden="1" x14ac:dyDescent="0.2">
      <c r="A31" s="13" t="s">
        <v>73</v>
      </c>
      <c r="B31" s="14" t="s">
        <v>74</v>
      </c>
      <c r="C31" s="15">
        <f>'[19]Team Report'!BA30</f>
        <v>0</v>
      </c>
      <c r="E31" s="15">
        <f t="shared" si="2"/>
        <v>0</v>
      </c>
    </row>
    <row r="32" spans="1:17" hidden="1" x14ac:dyDescent="0.2">
      <c r="A32" s="13" t="s">
        <v>75</v>
      </c>
      <c r="B32" s="14" t="s">
        <v>76</v>
      </c>
      <c r="C32" s="15">
        <f>'[19]Team Report'!BA31</f>
        <v>0</v>
      </c>
      <c r="E32" s="15">
        <f t="shared" si="2"/>
        <v>0</v>
      </c>
      <c r="L32" s="25">
        <f>L28*1.2</f>
        <v>17530500</v>
      </c>
    </row>
    <row r="33" spans="1:8" hidden="1" x14ac:dyDescent="0.2">
      <c r="A33" s="13" t="s">
        <v>77</v>
      </c>
      <c r="B33" s="14" t="s">
        <v>78</v>
      </c>
      <c r="C33" s="15">
        <f>'[19]Team Report'!BA39</f>
        <v>0</v>
      </c>
      <c r="E33" s="15">
        <f t="shared" si="2"/>
        <v>0</v>
      </c>
    </row>
    <row r="34" spans="1:8" hidden="1" x14ac:dyDescent="0.2">
      <c r="A34" s="13" t="s">
        <v>79</v>
      </c>
      <c r="B34" s="14" t="s">
        <v>80</v>
      </c>
      <c r="C34" s="15">
        <f>'[19]Team Report'!BA40</f>
        <v>24670.390000000003</v>
      </c>
      <c r="E34" s="15">
        <f t="shared" si="2"/>
        <v>32893.85333333334</v>
      </c>
    </row>
    <row r="35" spans="1:8" hidden="1" x14ac:dyDescent="0.2">
      <c r="A35" s="13" t="s">
        <v>81</v>
      </c>
      <c r="B35" s="14" t="s">
        <v>82</v>
      </c>
      <c r="C35" s="15">
        <f>'[19]Team Report'!BA41</f>
        <v>481045.43000000005</v>
      </c>
      <c r="E35" s="15">
        <f t="shared" si="2"/>
        <v>641393.90666666673</v>
      </c>
    </row>
    <row r="36" spans="1:8" hidden="1" x14ac:dyDescent="0.2">
      <c r="A36" s="13" t="s">
        <v>83</v>
      </c>
      <c r="B36" s="14" t="s">
        <v>84</v>
      </c>
      <c r="C36" s="15">
        <f>'[19]Team Report'!BA43</f>
        <v>-771915.88</v>
      </c>
      <c r="E36" s="15">
        <f t="shared" si="2"/>
        <v>-1029221.1733333333</v>
      </c>
      <c r="H36" s="33" t="s">
        <v>56</v>
      </c>
    </row>
    <row r="37" spans="1:8" hidden="1" x14ac:dyDescent="0.2">
      <c r="A37" s="13" t="s">
        <v>85</v>
      </c>
      <c r="B37" s="14" t="s">
        <v>86</v>
      </c>
      <c r="C37" s="15">
        <f>'[19]Team Report'!BA45</f>
        <v>0</v>
      </c>
      <c r="E37" s="15">
        <f t="shared" si="2"/>
        <v>0</v>
      </c>
    </row>
    <row r="38" spans="1:8" hidden="1" x14ac:dyDescent="0.2">
      <c r="A38" s="13"/>
      <c r="B38" s="14"/>
      <c r="C38" s="15"/>
      <c r="E38" s="15"/>
      <c r="H38" t="s">
        <v>133</v>
      </c>
    </row>
    <row r="39" spans="1:8" hidden="1" x14ac:dyDescent="0.2"/>
    <row r="40" spans="1:8" hidden="1" x14ac:dyDescent="0.2"/>
    <row r="41" spans="1:8" hidden="1" x14ac:dyDescent="0.2"/>
    <row r="42" spans="1:8" hidden="1" x14ac:dyDescent="0.2"/>
    <row r="43" spans="1:8" hidden="1" x14ac:dyDescent="0.2">
      <c r="C43" s="54">
        <f>C22+C30+C31+C32+C33+C34+C35+C36+C37</f>
        <v>6380656.0699999994</v>
      </c>
    </row>
    <row r="44" spans="1:8" hidden="1" x14ac:dyDescent="0.2"/>
    <row r="45" spans="1:8" hidden="1" x14ac:dyDescent="0.2"/>
    <row r="46" spans="1:8" hidden="1" x14ac:dyDescent="0.2"/>
    <row r="47" spans="1:8" hidden="1" x14ac:dyDescent="0.2"/>
    <row r="48" spans="1: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/>
  <dimension ref="A1:AM56"/>
  <sheetViews>
    <sheetView workbookViewId="0">
      <selection activeCell="F8" sqref="F8:F21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8" hidden="1" customWidth="1"/>
    <col min="6" max="6" width="2.28515625" customWidth="1"/>
    <col min="7" max="7" width="0" hidden="1" customWidth="1"/>
    <col min="8" max="8" width="17.7109375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11.28515625" hidden="1" customWidth="1"/>
    <col min="17" max="17" width="9.140625" hidden="1" customWidth="1"/>
    <col min="18" max="29" width="0" hidden="1" customWidth="1"/>
  </cols>
  <sheetData>
    <row r="1" spans="1:39" ht="18" x14ac:dyDescent="0.25">
      <c r="B1" s="142" t="str">
        <f>'[19]Team Report'!B1</f>
        <v>Enron North America</v>
      </c>
      <c r="C1" s="142"/>
      <c r="D1" s="142"/>
      <c r="E1" s="142"/>
      <c r="F1" s="142"/>
      <c r="G1" s="142"/>
      <c r="H1" s="142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25">
      <c r="B2" s="142" t="s">
        <v>160</v>
      </c>
      <c r="C2" s="142"/>
      <c r="D2" s="142"/>
      <c r="E2" s="142"/>
      <c r="F2" s="142"/>
      <c r="G2" s="142"/>
      <c r="H2" s="142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25">
      <c r="B3" s="143" t="s">
        <v>0</v>
      </c>
      <c r="C3" s="143"/>
      <c r="D3" s="143"/>
      <c r="E3" s="143"/>
      <c r="F3" s="143"/>
      <c r="G3" s="143"/>
      <c r="H3" s="14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5" thickBot="1" x14ac:dyDescent="0.25">
      <c r="I4" s="147" t="s">
        <v>172</v>
      </c>
      <c r="J4" s="147"/>
      <c r="K4" s="147"/>
      <c r="L4" s="147"/>
    </row>
    <row r="5" spans="1:39" x14ac:dyDescent="0.2">
      <c r="I5" s="4"/>
      <c r="J5" s="40"/>
      <c r="K5" s="40"/>
      <c r="L5" s="41"/>
      <c r="M5" s="8"/>
    </row>
    <row r="6" spans="1:39" x14ac:dyDescent="0.2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x14ac:dyDescent="0.2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x14ac:dyDescent="0.2">
      <c r="A8" s="13" t="s">
        <v>9</v>
      </c>
      <c r="B8" s="14" t="s">
        <v>10</v>
      </c>
      <c r="C8" s="53">
        <f>'[19]Team Report'!BA25</f>
        <v>4985502.2300000004</v>
      </c>
      <c r="E8" s="15">
        <f>((C8/9)*12)*1.3</f>
        <v>8641537.1986666676</v>
      </c>
      <c r="H8" s="140">
        <f>((418777+323455)*1.2)*0.917</f>
        <v>816752.0928000001</v>
      </c>
      <c r="I8" s="7"/>
      <c r="J8" s="17"/>
      <c r="K8" s="17"/>
      <c r="L8" s="43"/>
      <c r="M8" s="8"/>
      <c r="Q8" s="15">
        <f t="shared" ref="Q8:Q21" si="0">+H8/$H$28*$Q$28</f>
        <v>62827.084061538466</v>
      </c>
    </row>
    <row r="9" spans="1:39" x14ac:dyDescent="0.2">
      <c r="A9" s="13"/>
      <c r="B9" s="14" t="s">
        <v>122</v>
      </c>
      <c r="C9" s="15">
        <v>0</v>
      </c>
      <c r="E9" s="15">
        <f>(C9/9)*12</f>
        <v>0</v>
      </c>
      <c r="H9" s="140">
        <v>0</v>
      </c>
      <c r="I9" s="7"/>
      <c r="J9" s="17"/>
      <c r="K9" s="17"/>
      <c r="L9" s="43"/>
      <c r="M9" s="8"/>
      <c r="Q9" s="15">
        <f t="shared" si="0"/>
        <v>0</v>
      </c>
    </row>
    <row r="10" spans="1:39" x14ac:dyDescent="0.2">
      <c r="A10" s="13" t="s">
        <v>13</v>
      </c>
      <c r="B10" s="14" t="s">
        <v>14</v>
      </c>
      <c r="C10" s="15">
        <f>'[19]Team Report'!BA26</f>
        <v>1210281.1100000001</v>
      </c>
      <c r="E10" s="15">
        <f>((C10/9)*12)*1.3</f>
        <v>2097820.5906666671</v>
      </c>
      <c r="H10" s="140">
        <f>((94145+78179)*1.2)*0.917</f>
        <v>189625.3296</v>
      </c>
      <c r="I10" s="7"/>
      <c r="J10" s="17"/>
      <c r="K10" s="17"/>
      <c r="L10" s="43"/>
      <c r="M10" s="8"/>
      <c r="Q10" s="15">
        <f t="shared" si="0"/>
        <v>14586.563815384616</v>
      </c>
    </row>
    <row r="11" spans="1:39" x14ac:dyDescent="0.2">
      <c r="A11" s="13" t="s">
        <v>16</v>
      </c>
      <c r="B11" s="14" t="s">
        <v>17</v>
      </c>
      <c r="C11" s="15">
        <f>'[19]Team Report'!BA27</f>
        <v>190029.97</v>
      </c>
      <c r="E11" s="15">
        <f>((C11/9)*12)*1.3</f>
        <v>329385.28133333335</v>
      </c>
      <c r="H11" s="140">
        <f>((23400+2000)*1.2)*0.917</f>
        <v>27950.16</v>
      </c>
      <c r="I11" s="7" t="s">
        <v>15</v>
      </c>
      <c r="J11" s="17">
        <f>(E11+E12+E13+E14+E15+E16+E17+E18+E19+E20+E21)/E28</f>
        <v>72139.841887005648</v>
      </c>
      <c r="K11" s="17">
        <f>K28</f>
        <v>184</v>
      </c>
      <c r="L11" s="43">
        <f>J11*K11</f>
        <v>13273730.907209039</v>
      </c>
      <c r="M11" s="8"/>
      <c r="Q11" s="15">
        <f t="shared" si="0"/>
        <v>2150.0123076923078</v>
      </c>
    </row>
    <row r="12" spans="1:39" x14ac:dyDescent="0.2">
      <c r="A12" s="13" t="s">
        <v>18</v>
      </c>
      <c r="B12" s="14" t="s">
        <v>19</v>
      </c>
      <c r="C12" s="15">
        <f>'[19]Team Report'!BA28</f>
        <v>78390.58</v>
      </c>
      <c r="E12" s="15">
        <f>((C12/9)*12)*1.3</f>
        <v>135877.00533333333</v>
      </c>
      <c r="H12" s="140">
        <v>0</v>
      </c>
      <c r="I12" s="7"/>
      <c r="J12" s="17"/>
      <c r="K12" s="17"/>
      <c r="L12" s="43"/>
      <c r="M12" s="8"/>
      <c r="Q12" s="15">
        <f t="shared" si="0"/>
        <v>0</v>
      </c>
    </row>
    <row r="13" spans="1:39" ht="13.5" thickBot="1" x14ac:dyDescent="0.25">
      <c r="A13" s="13" t="s">
        <v>21</v>
      </c>
      <c r="B13" s="14" t="s">
        <v>22</v>
      </c>
      <c r="C13" s="15">
        <v>0</v>
      </c>
      <c r="E13" s="15">
        <f>(4000000*1.2)+222800</f>
        <v>5022800</v>
      </c>
      <c r="H13" s="140">
        <v>0</v>
      </c>
      <c r="I13" s="22" t="s">
        <v>20</v>
      </c>
      <c r="J13" s="47"/>
      <c r="K13" s="47"/>
      <c r="L13" s="48">
        <f>SUM(L9:L11)</f>
        <v>13273730.907209039</v>
      </c>
      <c r="M13" s="8"/>
      <c r="N13">
        <v>36500125</v>
      </c>
      <c r="P13" s="49">
        <f>N13-L13</f>
        <v>23226394.092790961</v>
      </c>
      <c r="Q13" s="15">
        <f t="shared" si="0"/>
        <v>0</v>
      </c>
    </row>
    <row r="14" spans="1:39" x14ac:dyDescent="0.2">
      <c r="A14" s="13" t="s">
        <v>23</v>
      </c>
      <c r="B14" s="14" t="s">
        <v>24</v>
      </c>
      <c r="C14" s="15">
        <f>'[19]Team Report'!BA33</f>
        <v>69921.63</v>
      </c>
      <c r="E14" s="15">
        <f>2087875*1.3</f>
        <v>2714237.5</v>
      </c>
      <c r="H14" s="140">
        <f>((5220+8820)*1.2)*0.917</f>
        <v>15449.616</v>
      </c>
      <c r="I14" s="8"/>
      <c r="J14" s="17"/>
      <c r="K14" s="17"/>
      <c r="L14" s="17"/>
      <c r="M14" s="8"/>
      <c r="Q14" s="15">
        <f t="shared" si="0"/>
        <v>1188.432</v>
      </c>
    </row>
    <row r="15" spans="1:39" x14ac:dyDescent="0.2">
      <c r="A15" s="13" t="s">
        <v>25</v>
      </c>
      <c r="B15" s="14" t="s">
        <v>26</v>
      </c>
      <c r="C15" s="15">
        <f>'[19]Team Report'!BA34</f>
        <v>0</v>
      </c>
      <c r="E15" s="15">
        <f>(C15/9)*12</f>
        <v>0</v>
      </c>
      <c r="H15" s="140">
        <f>((+([27]EOPs!H16)/170*$H$28)*1.2)*0.917</f>
        <v>0</v>
      </c>
      <c r="I15" s="8"/>
      <c r="J15" s="17"/>
      <c r="K15" s="17"/>
      <c r="L15" s="17"/>
      <c r="M15" s="8"/>
      <c r="Q15" s="15">
        <f t="shared" si="0"/>
        <v>0</v>
      </c>
    </row>
    <row r="16" spans="1:39" x14ac:dyDescent="0.2">
      <c r="A16" s="13" t="s">
        <v>28</v>
      </c>
      <c r="B16" s="14" t="s">
        <v>29</v>
      </c>
      <c r="C16" s="15">
        <f>'[19]Team Report'!BA35</f>
        <v>0</v>
      </c>
      <c r="E16" s="15">
        <f>(C16/9)*12</f>
        <v>0</v>
      </c>
      <c r="H16" s="140">
        <f>((+([27]EOPs!H17)/170*$H$28)*1.2)*0.917</f>
        <v>0</v>
      </c>
      <c r="I16" s="8" t="s">
        <v>27</v>
      </c>
      <c r="J16" s="25">
        <v>37500</v>
      </c>
      <c r="K16">
        <f>1+1</f>
        <v>2</v>
      </c>
      <c r="L16" s="17">
        <f t="shared" ref="L16:L27" si="1">J16*K16</f>
        <v>75000</v>
      </c>
      <c r="N16">
        <v>1.25</v>
      </c>
      <c r="Q16" s="15">
        <f t="shared" si="0"/>
        <v>0</v>
      </c>
    </row>
    <row r="17" spans="1:17" x14ac:dyDescent="0.2">
      <c r="A17" s="13" t="s">
        <v>31</v>
      </c>
      <c r="B17" s="14" t="s">
        <v>32</v>
      </c>
      <c r="C17" s="15">
        <f>'[19]Team Report'!BA36</f>
        <v>19039.670000000002</v>
      </c>
      <c r="E17" s="15">
        <f>((C17/9)*12)*1.3</f>
        <v>33002.094666666671</v>
      </c>
      <c r="H17" s="140">
        <f>((42000+42000)*1.2)*0.917</f>
        <v>92433.600000000006</v>
      </c>
      <c r="I17" t="s">
        <v>93</v>
      </c>
      <c r="J17" s="25">
        <v>52500</v>
      </c>
      <c r="K17">
        <f>1+2+1+1</f>
        <v>5</v>
      </c>
      <c r="L17" s="17">
        <f t="shared" si="1"/>
        <v>262500</v>
      </c>
      <c r="Q17" s="15">
        <f t="shared" si="0"/>
        <v>7110.2769230769236</v>
      </c>
    </row>
    <row r="18" spans="1:17" x14ac:dyDescent="0.2">
      <c r="A18" s="13" t="s">
        <v>34</v>
      </c>
      <c r="B18" s="14" t="s">
        <v>35</v>
      </c>
      <c r="C18" s="15">
        <f>'[19]Team Report'!BA37</f>
        <v>17422.019999999997</v>
      </c>
      <c r="E18" s="15">
        <v>145000</v>
      </c>
      <c r="H18" s="140">
        <f>((9000+9000)*1.2)*0.917</f>
        <v>19807.2</v>
      </c>
      <c r="I18" t="s">
        <v>33</v>
      </c>
      <c r="J18" s="25">
        <v>56250</v>
      </c>
      <c r="K18">
        <f>7+2+1+1+4+2</f>
        <v>17</v>
      </c>
      <c r="L18" s="17">
        <f t="shared" si="1"/>
        <v>956250</v>
      </c>
      <c r="Q18" s="15">
        <f t="shared" si="0"/>
        <v>1523.6307692307694</v>
      </c>
    </row>
    <row r="19" spans="1:17" x14ac:dyDescent="0.2">
      <c r="A19" s="13" t="s">
        <v>37</v>
      </c>
      <c r="B19" s="14" t="s">
        <v>38</v>
      </c>
      <c r="C19" s="15">
        <f>'[19]Team Report'!BA38</f>
        <v>0</v>
      </c>
      <c r="E19" s="15">
        <f>(C19/9)*12</f>
        <v>0</v>
      </c>
      <c r="H19" s="140">
        <f>((+([27]EOPs!H20)/170*$H$28)*1.2)*0.917</f>
        <v>0</v>
      </c>
      <c r="I19" t="s">
        <v>45</v>
      </c>
      <c r="J19" s="25">
        <v>75000</v>
      </c>
      <c r="K19">
        <f>3+1</f>
        <v>4</v>
      </c>
      <c r="L19" s="17">
        <f t="shared" si="1"/>
        <v>300000</v>
      </c>
      <c r="Q19" s="15">
        <f t="shared" si="0"/>
        <v>0</v>
      </c>
    </row>
    <row r="20" spans="1:17" x14ac:dyDescent="0.2">
      <c r="A20" s="13" t="s">
        <v>40</v>
      </c>
      <c r="B20" s="14" t="s">
        <v>41</v>
      </c>
      <c r="C20" s="15">
        <f>'[19]Team Report'!BA42</f>
        <v>75042.680000000008</v>
      </c>
      <c r="E20" s="15">
        <f>((C20/9)*12)*1.3</f>
        <v>130073.97866666669</v>
      </c>
      <c r="H20" s="140">
        <f>(+([27]EOPs!H21)/170*$H$28)*0.917</f>
        <v>0</v>
      </c>
      <c r="I20" t="s">
        <v>94</v>
      </c>
      <c r="J20" s="25">
        <v>60000</v>
      </c>
      <c r="K20">
        <f>2+12+1</f>
        <v>15</v>
      </c>
      <c r="L20" s="17">
        <f t="shared" si="1"/>
        <v>900000</v>
      </c>
      <c r="Q20" s="15">
        <f t="shared" si="0"/>
        <v>0</v>
      </c>
    </row>
    <row r="21" spans="1:17" x14ac:dyDescent="0.2">
      <c r="A21" s="13" t="s">
        <v>43</v>
      </c>
      <c r="B21" s="14" t="s">
        <v>44</v>
      </c>
      <c r="C21" s="15">
        <f>'[19]Team Report'!BA44</f>
        <v>1226.24</v>
      </c>
      <c r="E21" s="15">
        <f>((C21/9)*12)*1.3</f>
        <v>2125.4826666666668</v>
      </c>
      <c r="H21" s="140">
        <f>(+([27]EOPs!H22)/170*$H$28)*0.917</f>
        <v>0</v>
      </c>
      <c r="I21" t="s">
        <v>36</v>
      </c>
      <c r="J21" s="25">
        <v>65000</v>
      </c>
      <c r="K21">
        <f>8+4+5+10+9+2+2+4+4+1</f>
        <v>49</v>
      </c>
      <c r="L21" s="17">
        <f t="shared" si="1"/>
        <v>3185000</v>
      </c>
      <c r="Q21" s="15">
        <f t="shared" si="0"/>
        <v>0</v>
      </c>
    </row>
    <row r="22" spans="1:17" x14ac:dyDescent="0.2">
      <c r="A22" s="26" t="s">
        <v>46</v>
      </c>
      <c r="B22" s="27" t="s">
        <v>47</v>
      </c>
      <c r="C22" s="28">
        <f>SUM(C8:C21)</f>
        <v>6646856.1299999999</v>
      </c>
      <c r="E22" s="28">
        <f>SUM(E8:E21)</f>
        <v>19251859.132000003</v>
      </c>
      <c r="H22" s="28">
        <f>SUM(H8:H21)</f>
        <v>1162017.9984000002</v>
      </c>
      <c r="I22" t="s">
        <v>108</v>
      </c>
      <c r="J22" s="25">
        <v>82500</v>
      </c>
      <c r="K22">
        <f>10+1+13+6+6+3+7+1+2+6</f>
        <v>55</v>
      </c>
      <c r="L22" s="17">
        <f t="shared" si="1"/>
        <v>4537500</v>
      </c>
      <c r="Q22" s="28">
        <f>SUM(Q8:Q21)</f>
        <v>89385.999876923088</v>
      </c>
    </row>
    <row r="23" spans="1:17" x14ac:dyDescent="0.2">
      <c r="I23" t="s">
        <v>96</v>
      </c>
      <c r="J23" s="25">
        <v>100000</v>
      </c>
      <c r="K23">
        <f>2+1+8+6+3+1+4</f>
        <v>25</v>
      </c>
      <c r="L23" s="17">
        <f t="shared" si="1"/>
        <v>2500000</v>
      </c>
    </row>
    <row r="24" spans="1:17" x14ac:dyDescent="0.2">
      <c r="B24" s="27" t="s">
        <v>50</v>
      </c>
      <c r="C24" s="55"/>
      <c r="E24" s="55">
        <v>114</v>
      </c>
      <c r="H24" s="55">
        <v>13</v>
      </c>
      <c r="I24" t="s">
        <v>97</v>
      </c>
      <c r="J24" s="25">
        <v>145000</v>
      </c>
      <c r="K24">
        <f>1+1+1+1+2+1+2</f>
        <v>9</v>
      </c>
      <c r="L24" s="17">
        <f t="shared" si="1"/>
        <v>1305000</v>
      </c>
      <c r="Q24" s="31">
        <f>+T15+T16+T17+T18+T19+T22+T23+T24+T25+T26</f>
        <v>0</v>
      </c>
    </row>
    <row r="25" spans="1:17" x14ac:dyDescent="0.2">
      <c r="I25" t="s">
        <v>98</v>
      </c>
      <c r="J25" s="25">
        <v>175000</v>
      </c>
      <c r="K25">
        <f>1+1</f>
        <v>2</v>
      </c>
      <c r="L25" s="17">
        <f t="shared" si="1"/>
        <v>350000</v>
      </c>
      <c r="Q25" s="15"/>
    </row>
    <row r="26" spans="1:17" x14ac:dyDescent="0.2">
      <c r="B26" s="27" t="s">
        <v>67</v>
      </c>
      <c r="C26" s="55"/>
      <c r="E26" s="55">
        <v>4</v>
      </c>
      <c r="H26" s="55">
        <v>0</v>
      </c>
      <c r="I26" t="s">
        <v>99</v>
      </c>
      <c r="J26" s="25">
        <v>237500</v>
      </c>
      <c r="K26">
        <f>1</f>
        <v>1</v>
      </c>
      <c r="L26" s="17">
        <f t="shared" si="1"/>
        <v>237500</v>
      </c>
      <c r="Q26" s="31">
        <f>+T20+T21</f>
        <v>0</v>
      </c>
    </row>
    <row r="27" spans="1:17" x14ac:dyDescent="0.2">
      <c r="I27" t="s">
        <v>100</v>
      </c>
      <c r="J27" s="25">
        <v>312500</v>
      </c>
      <c r="K27">
        <v>0</v>
      </c>
      <c r="L27" s="17">
        <f t="shared" si="1"/>
        <v>0</v>
      </c>
    </row>
    <row r="28" spans="1:17" x14ac:dyDescent="0.2">
      <c r="B28" s="27" t="s">
        <v>55</v>
      </c>
      <c r="C28" s="55"/>
      <c r="E28" s="55">
        <f>SUM(E24:E27)</f>
        <v>118</v>
      </c>
      <c r="H28" s="55">
        <f>SUM(H24:H27)</f>
        <v>13</v>
      </c>
      <c r="K28" s="25">
        <f>SUM(K16:K27)</f>
        <v>184</v>
      </c>
      <c r="L28" s="25">
        <f>SUM(L16:L27)</f>
        <v>14608750</v>
      </c>
      <c r="Q28" s="31">
        <v>1</v>
      </c>
    </row>
    <row r="29" spans="1:17" hidden="1" x14ac:dyDescent="0.2">
      <c r="B29" s="27"/>
    </row>
    <row r="30" spans="1:17" hidden="1" x14ac:dyDescent="0.2">
      <c r="A30" s="13" t="s">
        <v>71</v>
      </c>
      <c r="B30" s="14" t="s">
        <v>72</v>
      </c>
      <c r="C30" s="15">
        <f>'[19]Team Report'!BA29</f>
        <v>0</v>
      </c>
      <c r="E30" s="15">
        <f t="shared" ref="E30:E37" si="2">(C30/9)*12</f>
        <v>0</v>
      </c>
      <c r="I30" t="s">
        <v>102</v>
      </c>
      <c r="K30" s="52"/>
      <c r="L30" s="52">
        <v>0.2</v>
      </c>
    </row>
    <row r="31" spans="1:17" hidden="1" x14ac:dyDescent="0.2">
      <c r="A31" s="13" t="s">
        <v>73</v>
      </c>
      <c r="B31" s="14" t="s">
        <v>74</v>
      </c>
      <c r="C31" s="15">
        <f>'[19]Team Report'!BA30</f>
        <v>0</v>
      </c>
      <c r="E31" s="15">
        <f t="shared" si="2"/>
        <v>0</v>
      </c>
    </row>
    <row r="32" spans="1:17" hidden="1" x14ac:dyDescent="0.2">
      <c r="A32" s="13" t="s">
        <v>75</v>
      </c>
      <c r="B32" s="14" t="s">
        <v>76</v>
      </c>
      <c r="C32" s="15">
        <f>'[19]Team Report'!BA31</f>
        <v>0</v>
      </c>
      <c r="E32" s="15">
        <f t="shared" si="2"/>
        <v>0</v>
      </c>
      <c r="L32" s="25">
        <f>L28*1.2</f>
        <v>17530500</v>
      </c>
    </row>
    <row r="33" spans="1:8" hidden="1" x14ac:dyDescent="0.2">
      <c r="A33" s="13" t="s">
        <v>77</v>
      </c>
      <c r="B33" s="14" t="s">
        <v>78</v>
      </c>
      <c r="C33" s="15">
        <f>'[19]Team Report'!BA39</f>
        <v>0</v>
      </c>
      <c r="E33" s="15">
        <f t="shared" si="2"/>
        <v>0</v>
      </c>
    </row>
    <row r="34" spans="1:8" hidden="1" x14ac:dyDescent="0.2">
      <c r="A34" s="13" t="s">
        <v>79</v>
      </c>
      <c r="B34" s="14" t="s">
        <v>80</v>
      </c>
      <c r="C34" s="15">
        <f>'[19]Team Report'!BA40</f>
        <v>24670.390000000003</v>
      </c>
      <c r="E34" s="15">
        <f t="shared" si="2"/>
        <v>32893.85333333334</v>
      </c>
    </row>
    <row r="35" spans="1:8" hidden="1" x14ac:dyDescent="0.2">
      <c r="A35" s="13" t="s">
        <v>81</v>
      </c>
      <c r="B35" s="14" t="s">
        <v>82</v>
      </c>
      <c r="C35" s="15">
        <f>'[19]Team Report'!BA41</f>
        <v>481045.43000000005</v>
      </c>
      <c r="E35" s="15">
        <f t="shared" si="2"/>
        <v>641393.90666666673</v>
      </c>
    </row>
    <row r="36" spans="1:8" hidden="1" x14ac:dyDescent="0.2">
      <c r="A36" s="13" t="s">
        <v>83</v>
      </c>
      <c r="B36" s="14" t="s">
        <v>84</v>
      </c>
      <c r="C36" s="15">
        <f>'[19]Team Report'!BA43</f>
        <v>-771915.88</v>
      </c>
      <c r="E36" s="15">
        <f t="shared" si="2"/>
        <v>-1029221.1733333333</v>
      </c>
      <c r="H36" s="33" t="s">
        <v>56</v>
      </c>
    </row>
    <row r="37" spans="1:8" hidden="1" x14ac:dyDescent="0.2">
      <c r="A37" s="13" t="s">
        <v>85</v>
      </c>
      <c r="B37" s="14" t="s">
        <v>86</v>
      </c>
      <c r="C37" s="15">
        <f>'[19]Team Report'!BA45</f>
        <v>0</v>
      </c>
      <c r="E37" s="15">
        <f t="shared" si="2"/>
        <v>0</v>
      </c>
    </row>
    <row r="38" spans="1:8" hidden="1" x14ac:dyDescent="0.2">
      <c r="A38" s="13"/>
      <c r="B38" s="14"/>
      <c r="C38" s="15"/>
      <c r="E38" s="15"/>
      <c r="H38" t="s">
        <v>133</v>
      </c>
    </row>
    <row r="39" spans="1:8" hidden="1" x14ac:dyDescent="0.2"/>
    <row r="40" spans="1:8" hidden="1" x14ac:dyDescent="0.2"/>
    <row r="41" spans="1:8" hidden="1" x14ac:dyDescent="0.2"/>
    <row r="42" spans="1:8" hidden="1" x14ac:dyDescent="0.2"/>
    <row r="43" spans="1:8" hidden="1" x14ac:dyDescent="0.2">
      <c r="C43" s="54">
        <f>C22+C30+C31+C32+C33+C34+C35+C36+C37</f>
        <v>6380656.0699999994</v>
      </c>
    </row>
    <row r="44" spans="1:8" hidden="1" x14ac:dyDescent="0.2"/>
    <row r="45" spans="1:8" hidden="1" x14ac:dyDescent="0.2"/>
    <row r="46" spans="1:8" hidden="1" x14ac:dyDescent="0.2"/>
    <row r="47" spans="1:8" hidden="1" x14ac:dyDescent="0.2"/>
    <row r="48" spans="1: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/>
  <dimension ref="A1:AM56"/>
  <sheetViews>
    <sheetView workbookViewId="0">
      <selection activeCell="F8" sqref="F8:F21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8" hidden="1" customWidth="1"/>
    <col min="6" max="6" width="2.28515625" customWidth="1"/>
    <col min="7" max="7" width="0" hidden="1" customWidth="1"/>
    <col min="8" max="8" width="17.7109375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11.28515625" hidden="1" customWidth="1"/>
    <col min="17" max="17" width="9.140625" hidden="1" customWidth="1"/>
    <col min="18" max="29" width="0" hidden="1" customWidth="1"/>
  </cols>
  <sheetData>
    <row r="1" spans="1:39" ht="18" x14ac:dyDescent="0.25">
      <c r="B1" s="142" t="str">
        <f>'[19]Team Report'!B1</f>
        <v>Enron North America</v>
      </c>
      <c r="C1" s="142"/>
      <c r="D1" s="142"/>
      <c r="E1" s="142"/>
      <c r="F1" s="142"/>
      <c r="G1" s="142"/>
      <c r="H1" s="142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25">
      <c r="B2" s="142" t="s">
        <v>157</v>
      </c>
      <c r="C2" s="142"/>
      <c r="D2" s="142"/>
      <c r="E2" s="142"/>
      <c r="F2" s="142"/>
      <c r="G2" s="142"/>
      <c r="H2" s="142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25">
      <c r="B3" s="143" t="s">
        <v>0</v>
      </c>
      <c r="C3" s="143"/>
      <c r="D3" s="143"/>
      <c r="E3" s="143"/>
      <c r="F3" s="143"/>
      <c r="G3" s="143"/>
      <c r="H3" s="14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5" thickBot="1" x14ac:dyDescent="0.25">
      <c r="I4" s="147" t="s">
        <v>172</v>
      </c>
      <c r="J4" s="147"/>
      <c r="K4" s="147"/>
      <c r="L4" s="147"/>
    </row>
    <row r="5" spans="1:39" x14ac:dyDescent="0.2">
      <c r="I5" s="4"/>
      <c r="J5" s="40"/>
      <c r="K5" s="40"/>
      <c r="L5" s="41"/>
      <c r="M5" s="8"/>
    </row>
    <row r="6" spans="1:39" x14ac:dyDescent="0.2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x14ac:dyDescent="0.2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x14ac:dyDescent="0.2">
      <c r="A8" s="13" t="s">
        <v>9</v>
      </c>
      <c r="B8" s="14" t="s">
        <v>10</v>
      </c>
      <c r="C8" s="53">
        <f>'[19]Team Report'!BA25</f>
        <v>4985502.2300000004</v>
      </c>
      <c r="E8" s="15">
        <f>((C8/9)*12)*1.3</f>
        <v>8641537.1986666676</v>
      </c>
      <c r="H8" s="140">
        <f>((((2084000/32)*13)*1.2))*0.917</f>
        <v>931626.15</v>
      </c>
      <c r="I8" s="7"/>
      <c r="J8" s="17"/>
      <c r="K8" s="17"/>
      <c r="L8" s="43"/>
      <c r="M8" s="8"/>
      <c r="Q8" s="15">
        <f t="shared" ref="Q8:Q21" si="0">+H8/$H$28*$Q$28</f>
        <v>66544.725000000006</v>
      </c>
    </row>
    <row r="9" spans="1:39" x14ac:dyDescent="0.2">
      <c r="A9" s="13"/>
      <c r="B9" s="14" t="s">
        <v>122</v>
      </c>
      <c r="C9" s="15">
        <v>0</v>
      </c>
      <c r="E9" s="15">
        <f>(C9/9)*12</f>
        <v>0</v>
      </c>
      <c r="H9" s="140">
        <f>(((94274)*1.2))*0.917</f>
        <v>103739.10960000001</v>
      </c>
      <c r="I9" s="7"/>
      <c r="J9" s="17"/>
      <c r="K9" s="17"/>
      <c r="L9" s="43"/>
      <c r="M9" s="8"/>
      <c r="Q9" s="15">
        <f t="shared" si="0"/>
        <v>7409.9364000000005</v>
      </c>
    </row>
    <row r="10" spans="1:39" x14ac:dyDescent="0.2">
      <c r="A10" s="13" t="s">
        <v>13</v>
      </c>
      <c r="B10" s="14" t="s">
        <v>14</v>
      </c>
      <c r="C10" s="15">
        <f>'[19]Team Report'!BA26</f>
        <v>1210281.1100000001</v>
      </c>
      <c r="E10" s="15">
        <f>((C10/9)*12)*1.3</f>
        <v>2097820.5906666671</v>
      </c>
      <c r="H10" s="140">
        <f>((((H8+H9)*0.2)*1.2))*0.917</f>
        <v>227863.186332768</v>
      </c>
      <c r="I10" s="7"/>
      <c r="J10" s="17"/>
      <c r="K10" s="17"/>
      <c r="L10" s="43"/>
      <c r="M10" s="8"/>
      <c r="Q10" s="15">
        <f t="shared" si="0"/>
        <v>16275.941880912</v>
      </c>
    </row>
    <row r="11" spans="1:39" x14ac:dyDescent="0.2">
      <c r="A11" s="13" t="s">
        <v>16</v>
      </c>
      <c r="B11" s="14" t="s">
        <v>17</v>
      </c>
      <c r="C11" s="15">
        <f>'[19]Team Report'!BA27</f>
        <v>190029.97</v>
      </c>
      <c r="E11" s="15">
        <f>((C11/9)*12)*1.3</f>
        <v>329385.28133333335</v>
      </c>
      <c r="H11" s="140">
        <f>((((((105350+28800)/32)*14)/2)*1.2))*0.917</f>
        <v>32291.581875</v>
      </c>
      <c r="I11" s="7" t="s">
        <v>15</v>
      </c>
      <c r="J11" s="17">
        <f>(E11+E12+E13+E14+E15+E16+E17+E18+E19+E20+E21)/E28</f>
        <v>72139.841887005648</v>
      </c>
      <c r="K11" s="17">
        <f>K28</f>
        <v>184</v>
      </c>
      <c r="L11" s="43">
        <f>J11*K11</f>
        <v>13273730.907209039</v>
      </c>
      <c r="M11" s="8"/>
      <c r="Q11" s="15">
        <f t="shared" si="0"/>
        <v>2306.5415625000001</v>
      </c>
    </row>
    <row r="12" spans="1:39" x14ac:dyDescent="0.2">
      <c r="A12" s="13" t="s">
        <v>18</v>
      </c>
      <c r="B12" s="14" t="s">
        <v>19</v>
      </c>
      <c r="C12" s="15">
        <f>'[19]Team Report'!BA28</f>
        <v>78390.58</v>
      </c>
      <c r="E12" s="15">
        <f>((C12/9)*12)*1.3</f>
        <v>135877.00533333333</v>
      </c>
      <c r="H12" s="140">
        <v>38749.485600000007</v>
      </c>
      <c r="I12" s="7"/>
      <c r="J12" s="17"/>
      <c r="K12" s="17"/>
      <c r="L12" s="43"/>
      <c r="M12" s="8"/>
      <c r="Q12" s="15">
        <f t="shared" si="0"/>
        <v>2767.8204000000005</v>
      </c>
    </row>
    <row r="13" spans="1:39" ht="13.5" thickBot="1" x14ac:dyDescent="0.25">
      <c r="A13" s="13" t="s">
        <v>21</v>
      </c>
      <c r="B13" s="14" t="s">
        <v>22</v>
      </c>
      <c r="C13" s="15">
        <v>0</v>
      </c>
      <c r="E13" s="15">
        <f>(4000000*1.2)+222800</f>
        <v>5022800</v>
      </c>
      <c r="H13" s="140">
        <v>0</v>
      </c>
      <c r="I13" s="22" t="s">
        <v>20</v>
      </c>
      <c r="J13" s="47"/>
      <c r="K13" s="47"/>
      <c r="L13" s="48">
        <f>SUM(L9:L11)</f>
        <v>13273730.907209039</v>
      </c>
      <c r="M13" s="8"/>
      <c r="N13">
        <v>36500125</v>
      </c>
      <c r="P13" s="49">
        <f>N13-L13</f>
        <v>23226394.092790961</v>
      </c>
      <c r="Q13" s="15">
        <f t="shared" si="0"/>
        <v>0</v>
      </c>
    </row>
    <row r="14" spans="1:39" x14ac:dyDescent="0.2">
      <c r="A14" s="13" t="s">
        <v>23</v>
      </c>
      <c r="B14" s="14" t="s">
        <v>24</v>
      </c>
      <c r="C14" s="15">
        <f>'[19]Team Report'!BA33</f>
        <v>69921.63</v>
      </c>
      <c r="E14" s="15">
        <f>2087875*1.3</f>
        <v>2714237.5</v>
      </c>
      <c r="H14" s="140">
        <f>((((88248/32)*14)*1.2))*0.917</f>
        <v>42484.793400000002</v>
      </c>
      <c r="I14" s="8"/>
      <c r="J14" s="17"/>
      <c r="K14" s="17"/>
      <c r="L14" s="17"/>
      <c r="M14" s="8"/>
      <c r="Q14" s="15">
        <f t="shared" si="0"/>
        <v>3034.6281000000004</v>
      </c>
    </row>
    <row r="15" spans="1:39" x14ac:dyDescent="0.2">
      <c r="A15" s="13" t="s">
        <v>25</v>
      </c>
      <c r="B15" s="14" t="s">
        <v>26</v>
      </c>
      <c r="C15" s="15">
        <f>'[19]Team Report'!BA34</f>
        <v>0</v>
      </c>
      <c r="E15" s="15">
        <f>(C15/9)*12</f>
        <v>0</v>
      </c>
      <c r="H15" s="140">
        <v>0</v>
      </c>
      <c r="I15" s="8"/>
      <c r="J15" s="17"/>
      <c r="K15" s="17"/>
      <c r="L15" s="17"/>
      <c r="M15" s="8"/>
      <c r="Q15" s="15">
        <f t="shared" si="0"/>
        <v>0</v>
      </c>
    </row>
    <row r="16" spans="1:39" x14ac:dyDescent="0.2">
      <c r="A16" s="13" t="s">
        <v>28</v>
      </c>
      <c r="B16" s="14" t="s">
        <v>29</v>
      </c>
      <c r="C16" s="15">
        <f>'[19]Team Report'!BA35</f>
        <v>0</v>
      </c>
      <c r="E16" s="15">
        <f>(C16/9)*12</f>
        <v>0</v>
      </c>
      <c r="H16" s="140">
        <v>0</v>
      </c>
      <c r="I16" s="8" t="s">
        <v>27</v>
      </c>
      <c r="J16" s="25">
        <v>37500</v>
      </c>
      <c r="K16">
        <f>1+1</f>
        <v>2</v>
      </c>
      <c r="L16" s="17">
        <f t="shared" ref="L16:L27" si="1">J16*K16</f>
        <v>75000</v>
      </c>
      <c r="N16">
        <v>1.25</v>
      </c>
      <c r="Q16" s="15">
        <f t="shared" si="0"/>
        <v>0</v>
      </c>
    </row>
    <row r="17" spans="1:17" x14ac:dyDescent="0.2">
      <c r="A17" s="13" t="s">
        <v>31</v>
      </c>
      <c r="B17" s="14" t="s">
        <v>32</v>
      </c>
      <c r="C17" s="15">
        <f>'[19]Team Report'!BA36</f>
        <v>19039.670000000002</v>
      </c>
      <c r="E17" s="15">
        <f>((C17/9)*12)*1.3</f>
        <v>33002.094666666671</v>
      </c>
      <c r="H17" s="140">
        <f>((((268800/32)*14)*1.2))*0.917</f>
        <v>129407.04000000001</v>
      </c>
      <c r="I17" t="s">
        <v>93</v>
      </c>
      <c r="J17" s="25">
        <v>52500</v>
      </c>
      <c r="K17">
        <f>1+2+1+1</f>
        <v>5</v>
      </c>
      <c r="L17" s="17">
        <f t="shared" si="1"/>
        <v>262500</v>
      </c>
      <c r="Q17" s="15">
        <f t="shared" si="0"/>
        <v>9243.36</v>
      </c>
    </row>
    <row r="18" spans="1:17" x14ac:dyDescent="0.2">
      <c r="A18" s="13" t="s">
        <v>34</v>
      </c>
      <c r="B18" s="14" t="s">
        <v>35</v>
      </c>
      <c r="C18" s="15">
        <f>'[19]Team Report'!BA37</f>
        <v>17422.019999999997</v>
      </c>
      <c r="E18" s="15">
        <v>145000</v>
      </c>
      <c r="H18" s="140">
        <f>((((57600/32)*14)*1.2))*0.917</f>
        <v>27730.080000000002</v>
      </c>
      <c r="I18" t="s">
        <v>33</v>
      </c>
      <c r="J18" s="25">
        <v>56250</v>
      </c>
      <c r="K18">
        <f>7+2+1+1+4+2</f>
        <v>17</v>
      </c>
      <c r="L18" s="17">
        <f t="shared" si="1"/>
        <v>956250</v>
      </c>
      <c r="Q18" s="15">
        <f t="shared" si="0"/>
        <v>1980.72</v>
      </c>
    </row>
    <row r="19" spans="1:17" x14ac:dyDescent="0.2">
      <c r="A19" s="13" t="s">
        <v>37</v>
      </c>
      <c r="B19" s="14" t="s">
        <v>38</v>
      </c>
      <c r="C19" s="15">
        <f>'[19]Team Report'!BA38</f>
        <v>0</v>
      </c>
      <c r="E19" s="15">
        <f>(C19/9)*12</f>
        <v>0</v>
      </c>
      <c r="H19" s="140">
        <v>0</v>
      </c>
      <c r="I19" t="s">
        <v>45</v>
      </c>
      <c r="J19" s="25">
        <v>75000</v>
      </c>
      <c r="K19">
        <f>3+1</f>
        <v>4</v>
      </c>
      <c r="L19" s="17">
        <f t="shared" si="1"/>
        <v>300000</v>
      </c>
      <c r="Q19" s="15">
        <f t="shared" si="0"/>
        <v>0</v>
      </c>
    </row>
    <row r="20" spans="1:17" x14ac:dyDescent="0.2">
      <c r="A20" s="13" t="s">
        <v>40</v>
      </c>
      <c r="B20" s="14" t="s">
        <v>41</v>
      </c>
      <c r="C20" s="15">
        <f>'[19]Team Report'!BA42</f>
        <v>75042.680000000008</v>
      </c>
      <c r="E20" s="15">
        <f>((C20/9)*12)*1.3</f>
        <v>130073.97866666669</v>
      </c>
      <c r="H20" s="140">
        <v>0</v>
      </c>
      <c r="I20" t="s">
        <v>94</v>
      </c>
      <c r="J20" s="25">
        <v>60000</v>
      </c>
      <c r="K20">
        <f>2+12+1</f>
        <v>15</v>
      </c>
      <c r="L20" s="17">
        <f t="shared" si="1"/>
        <v>900000</v>
      </c>
      <c r="Q20" s="15">
        <f t="shared" si="0"/>
        <v>0</v>
      </c>
    </row>
    <row r="21" spans="1:17" x14ac:dyDescent="0.2">
      <c r="A21" s="13" t="s">
        <v>43</v>
      </c>
      <c r="B21" s="14" t="s">
        <v>44</v>
      </c>
      <c r="C21" s="15">
        <f>'[19]Team Report'!BA44</f>
        <v>1226.24</v>
      </c>
      <c r="E21" s="15">
        <f>((C21/9)*12)*1.3</f>
        <v>2125.4826666666668</v>
      </c>
      <c r="H21" s="140">
        <v>0</v>
      </c>
      <c r="I21" t="s">
        <v>36</v>
      </c>
      <c r="J21" s="25">
        <v>65000</v>
      </c>
      <c r="K21">
        <f>8+4+5+10+9+2+2+4+4+1</f>
        <v>49</v>
      </c>
      <c r="L21" s="17">
        <f t="shared" si="1"/>
        <v>3185000</v>
      </c>
      <c r="Q21" s="15">
        <f t="shared" si="0"/>
        <v>0</v>
      </c>
    </row>
    <row r="22" spans="1:17" x14ac:dyDescent="0.2">
      <c r="A22" s="26" t="s">
        <v>46</v>
      </c>
      <c r="B22" s="27" t="s">
        <v>47</v>
      </c>
      <c r="C22" s="28">
        <f>SUM(C8:C21)</f>
        <v>6646856.1299999999</v>
      </c>
      <c r="E22" s="28">
        <f>SUM(E8:E21)</f>
        <v>19251859.132000003</v>
      </c>
      <c r="H22" s="28">
        <f>SUM(H8:H21)</f>
        <v>1533891.4268077682</v>
      </c>
      <c r="I22" t="s">
        <v>108</v>
      </c>
      <c r="J22" s="25">
        <v>82500</v>
      </c>
      <c r="K22">
        <f>10+1+13+6+6+3+7+1+2+6</f>
        <v>55</v>
      </c>
      <c r="L22" s="17">
        <f t="shared" si="1"/>
        <v>4537500</v>
      </c>
      <c r="Q22" s="28">
        <f>SUM(Q8:Q21)</f>
        <v>109563.67334341201</v>
      </c>
    </row>
    <row r="23" spans="1:17" x14ac:dyDescent="0.2">
      <c r="I23" t="s">
        <v>96</v>
      </c>
      <c r="J23" s="25">
        <v>100000</v>
      </c>
      <c r="K23">
        <f>2+1+8+6+3+1+4</f>
        <v>25</v>
      </c>
      <c r="L23" s="17">
        <f t="shared" si="1"/>
        <v>2500000</v>
      </c>
    </row>
    <row r="24" spans="1:17" x14ac:dyDescent="0.2">
      <c r="B24" s="27" t="s">
        <v>50</v>
      </c>
      <c r="C24" s="55"/>
      <c r="E24" s="55">
        <v>114</v>
      </c>
      <c r="H24" s="55">
        <v>13</v>
      </c>
      <c r="I24" t="s">
        <v>97</v>
      </c>
      <c r="J24" s="25">
        <v>145000</v>
      </c>
      <c r="K24">
        <f>1+1+1+1+2+1+2</f>
        <v>9</v>
      </c>
      <c r="L24" s="17">
        <f t="shared" si="1"/>
        <v>1305000</v>
      </c>
      <c r="Q24" s="31">
        <f>+T15+T16+T17+T18+T19+T22+T23+T24+T25+T26</f>
        <v>0</v>
      </c>
    </row>
    <row r="25" spans="1:17" x14ac:dyDescent="0.2">
      <c r="I25" t="s">
        <v>98</v>
      </c>
      <c r="J25" s="25">
        <v>175000</v>
      </c>
      <c r="K25">
        <f>1+1</f>
        <v>2</v>
      </c>
      <c r="L25" s="17">
        <f t="shared" si="1"/>
        <v>350000</v>
      </c>
      <c r="Q25" s="15"/>
    </row>
    <row r="26" spans="1:17" x14ac:dyDescent="0.2">
      <c r="B26" s="27" t="s">
        <v>67</v>
      </c>
      <c r="C26" s="55"/>
      <c r="E26" s="55">
        <v>4</v>
      </c>
      <c r="H26" s="55">
        <v>1</v>
      </c>
      <c r="I26" t="s">
        <v>99</v>
      </c>
      <c r="J26" s="25">
        <v>237500</v>
      </c>
      <c r="K26">
        <f>1</f>
        <v>1</v>
      </c>
      <c r="L26" s="17">
        <f t="shared" si="1"/>
        <v>237500</v>
      </c>
      <c r="Q26" s="31">
        <f>+T20+T21</f>
        <v>0</v>
      </c>
    </row>
    <row r="27" spans="1:17" x14ac:dyDescent="0.2">
      <c r="I27" t="s">
        <v>100</v>
      </c>
      <c r="J27" s="25">
        <v>312500</v>
      </c>
      <c r="K27">
        <v>0</v>
      </c>
      <c r="L27" s="17">
        <f t="shared" si="1"/>
        <v>0</v>
      </c>
    </row>
    <row r="28" spans="1:17" x14ac:dyDescent="0.2">
      <c r="B28" s="27" t="s">
        <v>55</v>
      </c>
      <c r="C28" s="55"/>
      <c r="E28" s="55">
        <f>SUM(E24:E27)</f>
        <v>118</v>
      </c>
      <c r="H28" s="55">
        <f>SUM(H24:H27)</f>
        <v>14</v>
      </c>
      <c r="K28" s="25">
        <f>SUM(K16:K27)</f>
        <v>184</v>
      </c>
      <c r="L28" s="25">
        <f>SUM(L16:L27)</f>
        <v>14608750</v>
      </c>
      <c r="Q28" s="31">
        <v>1</v>
      </c>
    </row>
    <row r="29" spans="1:17" hidden="1" x14ac:dyDescent="0.2">
      <c r="B29" s="27"/>
    </row>
    <row r="30" spans="1:17" hidden="1" x14ac:dyDescent="0.2">
      <c r="A30" s="13" t="s">
        <v>71</v>
      </c>
      <c r="B30" s="14" t="s">
        <v>72</v>
      </c>
      <c r="C30" s="15">
        <f>'[19]Team Report'!BA29</f>
        <v>0</v>
      </c>
      <c r="E30" s="15">
        <f t="shared" ref="E30:E37" si="2">(C30/9)*12</f>
        <v>0</v>
      </c>
      <c r="I30" t="s">
        <v>102</v>
      </c>
      <c r="K30" s="52"/>
      <c r="L30" s="52">
        <v>0.2</v>
      </c>
    </row>
    <row r="31" spans="1:17" hidden="1" x14ac:dyDescent="0.2">
      <c r="A31" s="13" t="s">
        <v>73</v>
      </c>
      <c r="B31" s="14" t="s">
        <v>74</v>
      </c>
      <c r="C31" s="15">
        <f>'[19]Team Report'!BA30</f>
        <v>0</v>
      </c>
      <c r="E31" s="15">
        <f t="shared" si="2"/>
        <v>0</v>
      </c>
    </row>
    <row r="32" spans="1:17" hidden="1" x14ac:dyDescent="0.2">
      <c r="A32" s="13" t="s">
        <v>75</v>
      </c>
      <c r="B32" s="14" t="s">
        <v>76</v>
      </c>
      <c r="C32" s="15">
        <f>'[19]Team Report'!BA31</f>
        <v>0</v>
      </c>
      <c r="E32" s="15">
        <f t="shared" si="2"/>
        <v>0</v>
      </c>
      <c r="L32" s="25">
        <f>L28*1.2</f>
        <v>17530500</v>
      </c>
    </row>
    <row r="33" spans="1:8" hidden="1" x14ac:dyDescent="0.2">
      <c r="A33" s="13" t="s">
        <v>77</v>
      </c>
      <c r="B33" s="14" t="s">
        <v>78</v>
      </c>
      <c r="C33" s="15">
        <f>'[19]Team Report'!BA39</f>
        <v>0</v>
      </c>
      <c r="E33" s="15">
        <f t="shared" si="2"/>
        <v>0</v>
      </c>
    </row>
    <row r="34" spans="1:8" hidden="1" x14ac:dyDescent="0.2">
      <c r="A34" s="13" t="s">
        <v>79</v>
      </c>
      <c r="B34" s="14" t="s">
        <v>80</v>
      </c>
      <c r="C34" s="15">
        <f>'[19]Team Report'!BA40</f>
        <v>24670.390000000003</v>
      </c>
      <c r="E34" s="15">
        <f t="shared" si="2"/>
        <v>32893.85333333334</v>
      </c>
    </row>
    <row r="35" spans="1:8" hidden="1" x14ac:dyDescent="0.2">
      <c r="A35" s="13" t="s">
        <v>81</v>
      </c>
      <c r="B35" s="14" t="s">
        <v>82</v>
      </c>
      <c r="C35" s="15">
        <f>'[19]Team Report'!BA41</f>
        <v>481045.43000000005</v>
      </c>
      <c r="E35" s="15">
        <f t="shared" si="2"/>
        <v>641393.90666666673</v>
      </c>
    </row>
    <row r="36" spans="1:8" hidden="1" x14ac:dyDescent="0.2">
      <c r="A36" s="13" t="s">
        <v>83</v>
      </c>
      <c r="B36" s="14" t="s">
        <v>84</v>
      </c>
      <c r="C36" s="15">
        <f>'[19]Team Report'!BA43</f>
        <v>-771915.88</v>
      </c>
      <c r="E36" s="15">
        <f t="shared" si="2"/>
        <v>-1029221.1733333333</v>
      </c>
      <c r="H36" s="33" t="s">
        <v>56</v>
      </c>
    </row>
    <row r="37" spans="1:8" hidden="1" x14ac:dyDescent="0.2">
      <c r="A37" s="13" t="s">
        <v>85</v>
      </c>
      <c r="B37" s="14" t="s">
        <v>86</v>
      </c>
      <c r="C37" s="15">
        <f>'[19]Team Report'!BA45</f>
        <v>0</v>
      </c>
      <c r="E37" s="15">
        <f t="shared" si="2"/>
        <v>0</v>
      </c>
    </row>
    <row r="38" spans="1:8" hidden="1" x14ac:dyDescent="0.2">
      <c r="A38" s="13"/>
      <c r="B38" s="14"/>
      <c r="C38" s="15"/>
      <c r="E38" s="15"/>
      <c r="H38" t="s">
        <v>133</v>
      </c>
    </row>
    <row r="39" spans="1:8" hidden="1" x14ac:dyDescent="0.2"/>
    <row r="40" spans="1:8" hidden="1" x14ac:dyDescent="0.2"/>
    <row r="41" spans="1:8" hidden="1" x14ac:dyDescent="0.2"/>
    <row r="42" spans="1:8" hidden="1" x14ac:dyDescent="0.2"/>
    <row r="43" spans="1:8" hidden="1" x14ac:dyDescent="0.2">
      <c r="C43" s="54">
        <f>C22+C30+C31+C32+C33+C34+C35+C36+C37</f>
        <v>6380656.0699999994</v>
      </c>
    </row>
    <row r="44" spans="1:8" hidden="1" x14ac:dyDescent="0.2"/>
    <row r="45" spans="1:8" hidden="1" x14ac:dyDescent="0.2"/>
    <row r="46" spans="1:8" hidden="1" x14ac:dyDescent="0.2"/>
    <row r="47" spans="1:8" hidden="1" x14ac:dyDescent="0.2"/>
    <row r="48" spans="1: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/>
  <dimension ref="A1:AM56"/>
  <sheetViews>
    <sheetView workbookViewId="0">
      <selection activeCell="F8" sqref="F8:F21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8" hidden="1" customWidth="1"/>
    <col min="6" max="6" width="2.28515625" customWidth="1"/>
    <col min="7" max="7" width="0" hidden="1" customWidth="1"/>
    <col min="8" max="8" width="17.7109375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11.28515625" hidden="1" customWidth="1"/>
    <col min="17" max="17" width="9.140625" hidden="1" customWidth="1"/>
    <col min="18" max="29" width="0" hidden="1" customWidth="1"/>
  </cols>
  <sheetData>
    <row r="1" spans="1:39" ht="18" x14ac:dyDescent="0.25">
      <c r="B1" s="142" t="str">
        <f>'[19]Team Report'!B1</f>
        <v>Enron North America</v>
      </c>
      <c r="C1" s="142"/>
      <c r="D1" s="142"/>
      <c r="E1" s="142"/>
      <c r="F1" s="142"/>
      <c r="G1" s="142"/>
      <c r="H1" s="142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25">
      <c r="B2" s="142" t="s">
        <v>309</v>
      </c>
      <c r="C2" s="142"/>
      <c r="D2" s="142"/>
      <c r="E2" s="142"/>
      <c r="F2" s="142"/>
      <c r="G2" s="142"/>
      <c r="H2" s="142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25">
      <c r="B3" s="143" t="s">
        <v>0</v>
      </c>
      <c r="C3" s="143"/>
      <c r="D3" s="143"/>
      <c r="E3" s="143"/>
      <c r="F3" s="143"/>
      <c r="G3" s="143"/>
      <c r="H3" s="14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5" thickBot="1" x14ac:dyDescent="0.25">
      <c r="I4" s="147" t="s">
        <v>172</v>
      </c>
      <c r="J4" s="147"/>
      <c r="K4" s="147"/>
      <c r="L4" s="147"/>
    </row>
    <row r="5" spans="1:39" x14ac:dyDescent="0.2">
      <c r="I5" s="4"/>
      <c r="J5" s="40"/>
      <c r="K5" s="40"/>
      <c r="L5" s="41"/>
      <c r="M5" s="8"/>
    </row>
    <row r="6" spans="1:39" x14ac:dyDescent="0.2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x14ac:dyDescent="0.2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x14ac:dyDescent="0.2">
      <c r="A8" s="13" t="s">
        <v>9</v>
      </c>
      <c r="B8" s="14" t="s">
        <v>10</v>
      </c>
      <c r="C8" s="53">
        <f>'[19]Team Report'!BA25</f>
        <v>4985502.2300000004</v>
      </c>
      <c r="E8" s="15">
        <f>((C8/9)*12)*1.3</f>
        <v>8641537.1986666676</v>
      </c>
      <c r="H8" s="140">
        <v>642322.18680000002</v>
      </c>
      <c r="I8" s="7"/>
      <c r="J8" s="17"/>
      <c r="K8" s="17"/>
      <c r="L8" s="43"/>
      <c r="M8" s="8"/>
      <c r="Q8" s="15">
        <f t="shared" ref="Q8:Q21" si="0">+H8/$H$28*$Q$28</f>
        <v>80290.273350000003</v>
      </c>
    </row>
    <row r="9" spans="1:39" x14ac:dyDescent="0.2">
      <c r="A9" s="13"/>
      <c r="B9" s="14" t="s">
        <v>122</v>
      </c>
      <c r="C9" s="15">
        <v>0</v>
      </c>
      <c r="E9" s="15">
        <f>(C9/9)*12</f>
        <v>0</v>
      </c>
      <c r="H9" s="140">
        <v>0</v>
      </c>
      <c r="I9" s="7"/>
      <c r="J9" s="17"/>
      <c r="K9" s="17"/>
      <c r="L9" s="43"/>
      <c r="M9" s="8"/>
      <c r="Q9" s="15">
        <f t="shared" si="0"/>
        <v>0</v>
      </c>
    </row>
    <row r="10" spans="1:39" x14ac:dyDescent="0.2">
      <c r="A10" s="13" t="s">
        <v>13</v>
      </c>
      <c r="B10" s="14" t="s">
        <v>14</v>
      </c>
      <c r="C10" s="15">
        <f>'[19]Team Report'!BA26</f>
        <v>1210281.1100000001</v>
      </c>
      <c r="E10" s="15">
        <f>((C10/9)*12)*1.3</f>
        <v>2097820.5906666671</v>
      </c>
      <c r="H10" s="140">
        <v>160408.60920000001</v>
      </c>
      <c r="I10" s="7"/>
      <c r="J10" s="17"/>
      <c r="K10" s="17"/>
      <c r="L10" s="43"/>
      <c r="M10" s="8"/>
      <c r="Q10" s="15">
        <f t="shared" si="0"/>
        <v>20051.076150000001</v>
      </c>
    </row>
    <row r="11" spans="1:39" x14ac:dyDescent="0.2">
      <c r="A11" s="13" t="s">
        <v>16</v>
      </c>
      <c r="B11" s="14" t="s">
        <v>17</v>
      </c>
      <c r="C11" s="15">
        <f>'[19]Team Report'!BA27</f>
        <v>190029.97</v>
      </c>
      <c r="E11" s="15">
        <f>((C11/9)*12)*1.3</f>
        <v>329385.28133333335</v>
      </c>
      <c r="H11" s="140">
        <v>14305.2</v>
      </c>
      <c r="I11" s="7" t="s">
        <v>15</v>
      </c>
      <c r="J11" s="17">
        <f>(E11+E12+E13+E14+E15+E16+E17+E18+E19+E20+E21)/E28</f>
        <v>72139.841887005648</v>
      </c>
      <c r="K11" s="17">
        <f>K28</f>
        <v>184</v>
      </c>
      <c r="L11" s="43">
        <f>J11*K11</f>
        <v>13273730.907209039</v>
      </c>
      <c r="M11" s="8"/>
      <c r="Q11" s="15">
        <f t="shared" si="0"/>
        <v>1788.15</v>
      </c>
    </row>
    <row r="12" spans="1:39" x14ac:dyDescent="0.2">
      <c r="A12" s="13" t="s">
        <v>18</v>
      </c>
      <c r="B12" s="14" t="s">
        <v>19</v>
      </c>
      <c r="C12" s="15">
        <f>'[19]Team Report'!BA28</f>
        <v>78390.58</v>
      </c>
      <c r="E12" s="15">
        <f>((C12/9)*12)*1.3</f>
        <v>135877.00533333333</v>
      </c>
      <c r="H12" s="140">
        <v>0</v>
      </c>
      <c r="I12" s="7"/>
      <c r="J12" s="17"/>
      <c r="K12" s="17"/>
      <c r="L12" s="43"/>
      <c r="M12" s="8"/>
      <c r="Q12" s="15">
        <f t="shared" si="0"/>
        <v>0</v>
      </c>
    </row>
    <row r="13" spans="1:39" ht="13.5" thickBot="1" x14ac:dyDescent="0.25">
      <c r="A13" s="13" t="s">
        <v>21</v>
      </c>
      <c r="B13" s="14" t="s">
        <v>22</v>
      </c>
      <c r="C13" s="15">
        <v>0</v>
      </c>
      <c r="E13" s="15">
        <f>(4000000*1.2)+222800</f>
        <v>5022800</v>
      </c>
      <c r="H13" s="140">
        <v>0</v>
      </c>
      <c r="I13" s="22" t="s">
        <v>20</v>
      </c>
      <c r="J13" s="47"/>
      <c r="K13" s="47"/>
      <c r="L13" s="48">
        <f>SUM(L9:L11)</f>
        <v>13273730.907209039</v>
      </c>
      <c r="M13" s="8"/>
      <c r="N13">
        <v>36500125</v>
      </c>
      <c r="P13" s="49">
        <f>N13-L13</f>
        <v>23226394.092790961</v>
      </c>
      <c r="Q13" s="15">
        <f t="shared" si="0"/>
        <v>0</v>
      </c>
    </row>
    <row r="14" spans="1:39" x14ac:dyDescent="0.2">
      <c r="A14" s="13" t="s">
        <v>23</v>
      </c>
      <c r="B14" s="14" t="s">
        <v>24</v>
      </c>
      <c r="C14" s="15">
        <f>'[19]Team Report'!BA33</f>
        <v>69921.63</v>
      </c>
      <c r="E14" s="15">
        <f>2087875*1.3</f>
        <v>2714237.5</v>
      </c>
      <c r="H14" s="140">
        <v>19741.175999999999</v>
      </c>
      <c r="I14" s="8"/>
      <c r="J14" s="17"/>
      <c r="K14" s="17"/>
      <c r="L14" s="17"/>
      <c r="M14" s="8"/>
      <c r="Q14" s="15">
        <f t="shared" si="0"/>
        <v>2467.6469999999999</v>
      </c>
    </row>
    <row r="15" spans="1:39" x14ac:dyDescent="0.2">
      <c r="A15" s="13" t="s">
        <v>25</v>
      </c>
      <c r="B15" s="14" t="s">
        <v>26</v>
      </c>
      <c r="C15" s="15">
        <f>'[19]Team Report'!BA34</f>
        <v>0</v>
      </c>
      <c r="E15" s="15">
        <f>(C15/9)*12</f>
        <v>0</v>
      </c>
      <c r="H15" s="140">
        <f>((+([27]EOPs!H16)/170*$H$28)*1.2)*0.917</f>
        <v>0</v>
      </c>
      <c r="I15" s="8"/>
      <c r="J15" s="17"/>
      <c r="K15" s="17"/>
      <c r="L15" s="17"/>
      <c r="M15" s="8"/>
      <c r="Q15" s="15">
        <f t="shared" si="0"/>
        <v>0</v>
      </c>
    </row>
    <row r="16" spans="1:39" x14ac:dyDescent="0.2">
      <c r="A16" s="13" t="s">
        <v>28</v>
      </c>
      <c r="B16" s="14" t="s">
        <v>29</v>
      </c>
      <c r="C16" s="15">
        <f>'[19]Team Report'!BA35</f>
        <v>0</v>
      </c>
      <c r="E16" s="15">
        <f>(C16/9)*12</f>
        <v>0</v>
      </c>
      <c r="H16" s="140">
        <f>((+([27]EOPs!H17)/170*$H$28)*1.2)*0.917</f>
        <v>0</v>
      </c>
      <c r="I16" s="8" t="s">
        <v>27</v>
      </c>
      <c r="J16" s="25">
        <v>37500</v>
      </c>
      <c r="K16">
        <f>1+1</f>
        <v>2</v>
      </c>
      <c r="L16" s="17">
        <f t="shared" ref="L16:L27" si="1">J16*K16</f>
        <v>75000</v>
      </c>
      <c r="N16">
        <v>1.25</v>
      </c>
      <c r="Q16" s="15">
        <f t="shared" si="0"/>
        <v>0</v>
      </c>
    </row>
    <row r="17" spans="1:17" x14ac:dyDescent="0.2">
      <c r="A17" s="13" t="s">
        <v>31</v>
      </c>
      <c r="B17" s="14" t="s">
        <v>32</v>
      </c>
      <c r="C17" s="15">
        <f>'[19]Team Report'!BA36</f>
        <v>19039.670000000002</v>
      </c>
      <c r="E17" s="15">
        <f>((C17/9)*12)*1.3</f>
        <v>33002.094666666671</v>
      </c>
      <c r="H17" s="140">
        <v>92433.600000000006</v>
      </c>
      <c r="I17" t="s">
        <v>93</v>
      </c>
      <c r="J17" s="25">
        <v>52500</v>
      </c>
      <c r="K17">
        <f>1+2+1+1</f>
        <v>5</v>
      </c>
      <c r="L17" s="17">
        <f t="shared" si="1"/>
        <v>262500</v>
      </c>
      <c r="Q17" s="15">
        <f t="shared" si="0"/>
        <v>11554.2</v>
      </c>
    </row>
    <row r="18" spans="1:17" x14ac:dyDescent="0.2">
      <c r="A18" s="13" t="s">
        <v>34</v>
      </c>
      <c r="B18" s="14" t="s">
        <v>35</v>
      </c>
      <c r="C18" s="15">
        <f>'[19]Team Report'!BA37</f>
        <v>17422.019999999997</v>
      </c>
      <c r="E18" s="15">
        <v>145000</v>
      </c>
      <c r="H18" s="140">
        <v>19807.2</v>
      </c>
      <c r="I18" t="s">
        <v>33</v>
      </c>
      <c r="J18" s="25">
        <v>56250</v>
      </c>
      <c r="K18">
        <f>7+2+1+1+4+2</f>
        <v>17</v>
      </c>
      <c r="L18" s="17">
        <f t="shared" si="1"/>
        <v>956250</v>
      </c>
      <c r="Q18" s="15">
        <f t="shared" si="0"/>
        <v>2475.9</v>
      </c>
    </row>
    <row r="19" spans="1:17" x14ac:dyDescent="0.2">
      <c r="A19" s="13" t="s">
        <v>37</v>
      </c>
      <c r="B19" s="14" t="s">
        <v>38</v>
      </c>
      <c r="C19" s="15">
        <f>'[19]Team Report'!BA38</f>
        <v>0</v>
      </c>
      <c r="E19" s="15">
        <f>(C19/9)*12</f>
        <v>0</v>
      </c>
      <c r="H19" s="140">
        <f>((+([27]EOPs!H20)/170*$H$28)*1.2)*0.917</f>
        <v>0</v>
      </c>
      <c r="I19" t="s">
        <v>45</v>
      </c>
      <c r="J19" s="25">
        <v>75000</v>
      </c>
      <c r="K19">
        <f>3+1</f>
        <v>4</v>
      </c>
      <c r="L19" s="17">
        <f t="shared" si="1"/>
        <v>300000</v>
      </c>
      <c r="Q19" s="15">
        <f t="shared" si="0"/>
        <v>0</v>
      </c>
    </row>
    <row r="20" spans="1:17" x14ac:dyDescent="0.2">
      <c r="A20" s="13" t="s">
        <v>40</v>
      </c>
      <c r="B20" s="14" t="s">
        <v>41</v>
      </c>
      <c r="C20" s="15">
        <f>'[19]Team Report'!BA42</f>
        <v>75042.680000000008</v>
      </c>
      <c r="E20" s="15">
        <f>((C20/9)*12)*1.3</f>
        <v>130073.97866666669</v>
      </c>
      <c r="H20" s="140">
        <f>((+([27]EOPs!H21)/170*$H$28)*1.2)*0.917</f>
        <v>0</v>
      </c>
      <c r="I20" t="s">
        <v>94</v>
      </c>
      <c r="J20" s="25">
        <v>60000</v>
      </c>
      <c r="K20">
        <f>2+12+1</f>
        <v>15</v>
      </c>
      <c r="L20" s="17">
        <f t="shared" si="1"/>
        <v>900000</v>
      </c>
      <c r="Q20" s="15">
        <f t="shared" si="0"/>
        <v>0</v>
      </c>
    </row>
    <row r="21" spans="1:17" x14ac:dyDescent="0.2">
      <c r="A21" s="13" t="s">
        <v>43</v>
      </c>
      <c r="B21" s="14" t="s">
        <v>44</v>
      </c>
      <c r="C21" s="15">
        <f>'[19]Team Report'!BA44</f>
        <v>1226.24</v>
      </c>
      <c r="E21" s="15">
        <f>((C21/9)*12)*1.3</f>
        <v>2125.4826666666668</v>
      </c>
      <c r="H21" s="140">
        <f>(+([27]EOPs!H22)/170*$H$28)*0.917</f>
        <v>0</v>
      </c>
      <c r="I21" t="s">
        <v>36</v>
      </c>
      <c r="J21" s="25">
        <v>65000</v>
      </c>
      <c r="K21">
        <f>8+4+5+10+9+2+2+4+4+1</f>
        <v>49</v>
      </c>
      <c r="L21" s="17">
        <f t="shared" si="1"/>
        <v>3185000</v>
      </c>
      <c r="Q21" s="15">
        <f t="shared" si="0"/>
        <v>0</v>
      </c>
    </row>
    <row r="22" spans="1:17" x14ac:dyDescent="0.2">
      <c r="A22" s="26" t="s">
        <v>46</v>
      </c>
      <c r="B22" s="27" t="s">
        <v>47</v>
      </c>
      <c r="C22" s="28">
        <f>SUM(C8:C21)</f>
        <v>6646856.1299999999</v>
      </c>
      <c r="E22" s="28">
        <f>SUM(E8:E21)</f>
        <v>19251859.132000003</v>
      </c>
      <c r="H22" s="28">
        <f>SUM(H8:H21)</f>
        <v>949017.97199999995</v>
      </c>
      <c r="I22" t="s">
        <v>108</v>
      </c>
      <c r="J22" s="25">
        <v>82500</v>
      </c>
      <c r="K22">
        <f>10+1+13+6+6+3+7+1+2+6</f>
        <v>55</v>
      </c>
      <c r="L22" s="17">
        <f t="shared" si="1"/>
        <v>4537500</v>
      </c>
      <c r="Q22" s="28">
        <f>SUM(Q8:Q21)</f>
        <v>118627.24649999999</v>
      </c>
    </row>
    <row r="23" spans="1:17" x14ac:dyDescent="0.2">
      <c r="I23" t="s">
        <v>96</v>
      </c>
      <c r="J23" s="25">
        <v>100000</v>
      </c>
      <c r="K23">
        <f>2+1+8+6+3+1+4</f>
        <v>25</v>
      </c>
      <c r="L23" s="17">
        <f t="shared" si="1"/>
        <v>2500000</v>
      </c>
    </row>
    <row r="24" spans="1:17" x14ac:dyDescent="0.2">
      <c r="B24" s="27" t="s">
        <v>50</v>
      </c>
      <c r="C24" s="55"/>
      <c r="E24" s="55">
        <v>114</v>
      </c>
      <c r="H24" s="55">
        <v>8</v>
      </c>
      <c r="I24" t="s">
        <v>97</v>
      </c>
      <c r="J24" s="25">
        <v>145000</v>
      </c>
      <c r="K24">
        <f>1+1+1+1+2+1+2</f>
        <v>9</v>
      </c>
      <c r="L24" s="17">
        <f t="shared" si="1"/>
        <v>1305000</v>
      </c>
      <c r="Q24" s="31">
        <f>+T15+T16+T17+T18+T19+T22+T23+T24+T25+T26</f>
        <v>0</v>
      </c>
    </row>
    <row r="25" spans="1:17" x14ac:dyDescent="0.2">
      <c r="I25" t="s">
        <v>98</v>
      </c>
      <c r="J25" s="25">
        <v>175000</v>
      </c>
      <c r="K25">
        <f>1+1</f>
        <v>2</v>
      </c>
      <c r="L25" s="17">
        <f t="shared" si="1"/>
        <v>350000</v>
      </c>
      <c r="Q25" s="15"/>
    </row>
    <row r="26" spans="1:17" x14ac:dyDescent="0.2">
      <c r="B26" s="27" t="s">
        <v>67</v>
      </c>
      <c r="C26" s="55"/>
      <c r="E26" s="55">
        <v>4</v>
      </c>
      <c r="H26" s="55">
        <v>0</v>
      </c>
      <c r="I26" t="s">
        <v>99</v>
      </c>
      <c r="J26" s="25">
        <v>237500</v>
      </c>
      <c r="K26">
        <f>1</f>
        <v>1</v>
      </c>
      <c r="L26" s="17">
        <f t="shared" si="1"/>
        <v>237500</v>
      </c>
      <c r="Q26" s="31">
        <f>+T20+T21</f>
        <v>0</v>
      </c>
    </row>
    <row r="27" spans="1:17" x14ac:dyDescent="0.2">
      <c r="I27" t="s">
        <v>100</v>
      </c>
      <c r="J27" s="25">
        <v>312500</v>
      </c>
      <c r="K27">
        <v>0</v>
      </c>
      <c r="L27" s="17">
        <f t="shared" si="1"/>
        <v>0</v>
      </c>
    </row>
    <row r="28" spans="1:17" x14ac:dyDescent="0.2">
      <c r="B28" s="27" t="s">
        <v>55</v>
      </c>
      <c r="C28" s="55"/>
      <c r="E28" s="55">
        <f>SUM(E24:E27)</f>
        <v>118</v>
      </c>
      <c r="H28" s="55">
        <f>SUM(H24:H27)</f>
        <v>8</v>
      </c>
      <c r="K28" s="25">
        <f>SUM(K16:K27)</f>
        <v>184</v>
      </c>
      <c r="L28" s="25">
        <f>SUM(L16:L27)</f>
        <v>14608750</v>
      </c>
      <c r="Q28" s="31">
        <v>1</v>
      </c>
    </row>
    <row r="29" spans="1:17" hidden="1" x14ac:dyDescent="0.2">
      <c r="B29" s="27"/>
    </row>
    <row r="30" spans="1:17" hidden="1" x14ac:dyDescent="0.2">
      <c r="A30" s="13" t="s">
        <v>71</v>
      </c>
      <c r="B30" s="14" t="s">
        <v>72</v>
      </c>
      <c r="C30" s="15">
        <f>'[19]Team Report'!BA29</f>
        <v>0</v>
      </c>
      <c r="E30" s="15">
        <f t="shared" ref="E30:E37" si="2">(C30/9)*12</f>
        <v>0</v>
      </c>
      <c r="I30" t="s">
        <v>102</v>
      </c>
      <c r="K30" s="52"/>
      <c r="L30" s="52">
        <v>0.2</v>
      </c>
    </row>
    <row r="31" spans="1:17" hidden="1" x14ac:dyDescent="0.2">
      <c r="A31" s="13" t="s">
        <v>73</v>
      </c>
      <c r="B31" s="14" t="s">
        <v>74</v>
      </c>
      <c r="C31" s="15">
        <f>'[19]Team Report'!BA30</f>
        <v>0</v>
      </c>
      <c r="E31" s="15">
        <f t="shared" si="2"/>
        <v>0</v>
      </c>
    </row>
    <row r="32" spans="1:17" hidden="1" x14ac:dyDescent="0.2">
      <c r="A32" s="13" t="s">
        <v>75</v>
      </c>
      <c r="B32" s="14" t="s">
        <v>76</v>
      </c>
      <c r="C32" s="15">
        <f>'[19]Team Report'!BA31</f>
        <v>0</v>
      </c>
      <c r="E32" s="15">
        <f t="shared" si="2"/>
        <v>0</v>
      </c>
      <c r="L32" s="25">
        <f>L28*1.2</f>
        <v>17530500</v>
      </c>
    </row>
    <row r="33" spans="1:8" hidden="1" x14ac:dyDescent="0.2">
      <c r="A33" s="13" t="s">
        <v>77</v>
      </c>
      <c r="B33" s="14" t="s">
        <v>78</v>
      </c>
      <c r="C33" s="15">
        <f>'[19]Team Report'!BA39</f>
        <v>0</v>
      </c>
      <c r="E33" s="15">
        <f t="shared" si="2"/>
        <v>0</v>
      </c>
    </row>
    <row r="34" spans="1:8" hidden="1" x14ac:dyDescent="0.2">
      <c r="A34" s="13" t="s">
        <v>79</v>
      </c>
      <c r="B34" s="14" t="s">
        <v>80</v>
      </c>
      <c r="C34" s="15">
        <f>'[19]Team Report'!BA40</f>
        <v>24670.390000000003</v>
      </c>
      <c r="E34" s="15">
        <f t="shared" si="2"/>
        <v>32893.85333333334</v>
      </c>
    </row>
    <row r="35" spans="1:8" hidden="1" x14ac:dyDescent="0.2">
      <c r="A35" s="13" t="s">
        <v>81</v>
      </c>
      <c r="B35" s="14" t="s">
        <v>82</v>
      </c>
      <c r="C35" s="15">
        <f>'[19]Team Report'!BA41</f>
        <v>481045.43000000005</v>
      </c>
      <c r="E35" s="15">
        <f t="shared" si="2"/>
        <v>641393.90666666673</v>
      </c>
    </row>
    <row r="36" spans="1:8" hidden="1" x14ac:dyDescent="0.2">
      <c r="A36" s="13" t="s">
        <v>83</v>
      </c>
      <c r="B36" s="14" t="s">
        <v>84</v>
      </c>
      <c r="C36" s="15">
        <f>'[19]Team Report'!BA43</f>
        <v>-771915.88</v>
      </c>
      <c r="E36" s="15">
        <f t="shared" si="2"/>
        <v>-1029221.1733333333</v>
      </c>
      <c r="H36" s="33" t="s">
        <v>56</v>
      </c>
    </row>
    <row r="37" spans="1:8" hidden="1" x14ac:dyDescent="0.2">
      <c r="A37" s="13" t="s">
        <v>85</v>
      </c>
      <c r="B37" s="14" t="s">
        <v>86</v>
      </c>
      <c r="C37" s="15">
        <f>'[19]Team Report'!BA45</f>
        <v>0</v>
      </c>
      <c r="E37" s="15">
        <f t="shared" si="2"/>
        <v>0</v>
      </c>
    </row>
    <row r="38" spans="1:8" hidden="1" x14ac:dyDescent="0.2">
      <c r="A38" s="13"/>
      <c r="B38" s="14"/>
      <c r="C38" s="15"/>
      <c r="E38" s="15"/>
      <c r="H38" t="s">
        <v>133</v>
      </c>
    </row>
    <row r="39" spans="1:8" hidden="1" x14ac:dyDescent="0.2"/>
    <row r="40" spans="1:8" hidden="1" x14ac:dyDescent="0.2"/>
    <row r="41" spans="1:8" hidden="1" x14ac:dyDescent="0.2"/>
    <row r="42" spans="1:8" hidden="1" x14ac:dyDescent="0.2"/>
    <row r="43" spans="1:8" hidden="1" x14ac:dyDescent="0.2">
      <c r="C43" s="54">
        <f>C22+C30+C31+C32+C33+C34+C35+C36+C37</f>
        <v>6380656.0699999994</v>
      </c>
    </row>
    <row r="44" spans="1:8" hidden="1" x14ac:dyDescent="0.2"/>
    <row r="45" spans="1:8" hidden="1" x14ac:dyDescent="0.2"/>
    <row r="46" spans="1:8" hidden="1" x14ac:dyDescent="0.2"/>
    <row r="47" spans="1:8" hidden="1" x14ac:dyDescent="0.2"/>
    <row r="48" spans="1: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/>
  <dimension ref="A1:AM56"/>
  <sheetViews>
    <sheetView workbookViewId="0">
      <selection activeCell="F8" sqref="F8:F21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8" hidden="1" customWidth="1"/>
    <col min="6" max="6" width="2.28515625" customWidth="1"/>
    <col min="7" max="7" width="0" hidden="1" customWidth="1"/>
    <col min="8" max="8" width="17.7109375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11.28515625" hidden="1" customWidth="1"/>
    <col min="17" max="17" width="9.140625" hidden="1" customWidth="1"/>
    <col min="18" max="29" width="0" hidden="1" customWidth="1"/>
  </cols>
  <sheetData>
    <row r="1" spans="1:39" ht="18" x14ac:dyDescent="0.25">
      <c r="B1" s="142" t="str">
        <f>'[19]Team Report'!B1</f>
        <v>Enron North America</v>
      </c>
      <c r="C1" s="142"/>
      <c r="D1" s="142"/>
      <c r="E1" s="142"/>
      <c r="F1" s="142"/>
      <c r="G1" s="142"/>
      <c r="H1" s="142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25">
      <c r="B2" s="142" t="s">
        <v>217</v>
      </c>
      <c r="C2" s="142"/>
      <c r="D2" s="142"/>
      <c r="E2" s="142"/>
      <c r="F2" s="142"/>
      <c r="G2" s="142"/>
      <c r="H2" s="142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25">
      <c r="B3" s="143" t="s">
        <v>0</v>
      </c>
      <c r="C3" s="143"/>
      <c r="D3" s="143"/>
      <c r="E3" s="143"/>
      <c r="F3" s="143"/>
      <c r="G3" s="143"/>
      <c r="H3" s="14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5" thickBot="1" x14ac:dyDescent="0.25">
      <c r="I4" s="147" t="s">
        <v>172</v>
      </c>
      <c r="J4" s="147"/>
      <c r="K4" s="147"/>
      <c r="L4" s="147"/>
    </row>
    <row r="5" spans="1:39" x14ac:dyDescent="0.2">
      <c r="I5" s="4"/>
      <c r="J5" s="40"/>
      <c r="K5" s="40"/>
      <c r="L5" s="41"/>
      <c r="M5" s="8"/>
    </row>
    <row r="6" spans="1:39" x14ac:dyDescent="0.2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x14ac:dyDescent="0.2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x14ac:dyDescent="0.2">
      <c r="A8" s="13" t="s">
        <v>9</v>
      </c>
      <c r="B8" s="14" t="s">
        <v>10</v>
      </c>
      <c r="C8" s="53">
        <f>'[19]Team Report'!BA25</f>
        <v>4985502.2300000004</v>
      </c>
      <c r="E8" s="15">
        <f>((C8/9)*12)*1.3</f>
        <v>8641537.1986666676</v>
      </c>
      <c r="H8" s="140">
        <f>((791500+702603+588002+281684)*1.2)*0.917</f>
        <v>2601113.4155999999</v>
      </c>
      <c r="I8" s="7"/>
      <c r="J8" s="17"/>
      <c r="K8" s="17"/>
      <c r="L8" s="43"/>
      <c r="M8" s="8"/>
      <c r="Q8" s="15">
        <f t="shared" ref="Q8:Q21" si="0">+H8/$H$28*$Q$28</f>
        <v>72253.150433333329</v>
      </c>
    </row>
    <row r="9" spans="1:39" x14ac:dyDescent="0.2">
      <c r="A9" s="13"/>
      <c r="B9" s="14" t="s">
        <v>122</v>
      </c>
      <c r="C9" s="15">
        <v>0</v>
      </c>
      <c r="E9" s="15">
        <f>(C9/9)*12</f>
        <v>0</v>
      </c>
      <c r="H9" s="140">
        <v>110078.51400000001</v>
      </c>
      <c r="I9" s="7"/>
      <c r="J9" s="17"/>
      <c r="K9" s="17"/>
      <c r="L9" s="43"/>
      <c r="M9" s="8"/>
      <c r="Q9" s="15">
        <f t="shared" si="0"/>
        <v>3057.7365000000004</v>
      </c>
    </row>
    <row r="10" spans="1:39" x14ac:dyDescent="0.2">
      <c r="A10" s="13" t="s">
        <v>13</v>
      </c>
      <c r="B10" s="14" t="s">
        <v>14</v>
      </c>
      <c r="C10" s="15">
        <f>'[19]Team Report'!BA26</f>
        <v>1210281.1100000001</v>
      </c>
      <c r="E10" s="15">
        <f>((C10/9)*12)*1.3</f>
        <v>2097820.5906666671</v>
      </c>
      <c r="H10" s="140">
        <f>((199776+170486+141690+71182)*1.2)*0.917</f>
        <v>641680.65359999996</v>
      </c>
      <c r="I10" s="7"/>
      <c r="J10" s="17"/>
      <c r="K10" s="17"/>
      <c r="L10" s="43"/>
      <c r="M10" s="8"/>
      <c r="Q10" s="15">
        <f t="shared" si="0"/>
        <v>17824.462599999999</v>
      </c>
    </row>
    <row r="11" spans="1:39" x14ac:dyDescent="0.2">
      <c r="A11" s="13" t="s">
        <v>16</v>
      </c>
      <c r="B11" s="14" t="s">
        <v>17</v>
      </c>
      <c r="C11" s="15">
        <f>'[19]Team Report'!BA27</f>
        <v>190029.97</v>
      </c>
      <c r="E11" s="15">
        <f>((C11/9)*12)*1.3</f>
        <v>329385.28133333335</v>
      </c>
      <c r="H11" s="140">
        <f>((33285+5700+12700+38150+600+20150)*1.2)*0.917</f>
        <v>121687.73400000001</v>
      </c>
      <c r="I11" s="7" t="s">
        <v>15</v>
      </c>
      <c r="J11" s="17">
        <f>(E11+E12+E13+E14+E15+E16+E17+E18+E19+E20+E21)/E28</f>
        <v>72139.841887005648</v>
      </c>
      <c r="K11" s="17">
        <f>K28</f>
        <v>184</v>
      </c>
      <c r="L11" s="43">
        <f>J11*K11</f>
        <v>13273730.907209039</v>
      </c>
      <c r="M11" s="8"/>
      <c r="Q11" s="15">
        <f t="shared" si="0"/>
        <v>3380.2148333333334</v>
      </c>
    </row>
    <row r="12" spans="1:39" x14ac:dyDescent="0.2">
      <c r="A12" s="13" t="s">
        <v>18</v>
      </c>
      <c r="B12" s="14" t="s">
        <v>19</v>
      </c>
      <c r="C12" s="15">
        <f>'[19]Team Report'!BA28</f>
        <v>78390.58</v>
      </c>
      <c r="E12" s="15">
        <f>((C12/9)*12)*1.3</f>
        <v>135877.00533333333</v>
      </c>
      <c r="H12" s="140">
        <v>0</v>
      </c>
      <c r="I12" s="7"/>
      <c r="J12" s="17"/>
      <c r="K12" s="17"/>
      <c r="L12" s="43"/>
      <c r="M12" s="8"/>
      <c r="Q12" s="15">
        <f t="shared" si="0"/>
        <v>0</v>
      </c>
    </row>
    <row r="13" spans="1:39" ht="13.5" thickBot="1" x14ac:dyDescent="0.25">
      <c r="A13" s="13" t="s">
        <v>21</v>
      </c>
      <c r="B13" s="14" t="s">
        <v>22</v>
      </c>
      <c r="C13" s="15">
        <v>0</v>
      </c>
      <c r="E13" s="15">
        <f>(4000000*1.2)+222800</f>
        <v>5022800</v>
      </c>
      <c r="H13" s="140">
        <v>0</v>
      </c>
      <c r="I13" s="22" t="s">
        <v>20</v>
      </c>
      <c r="J13" s="47"/>
      <c r="K13" s="47"/>
      <c r="L13" s="48">
        <f>SUM(L9:L11)</f>
        <v>13273730.907209039</v>
      </c>
      <c r="M13" s="8"/>
      <c r="N13">
        <v>36500125</v>
      </c>
      <c r="P13" s="49">
        <f>N13-L13</f>
        <v>23226394.092790961</v>
      </c>
      <c r="Q13" s="15">
        <f t="shared" si="0"/>
        <v>0</v>
      </c>
    </row>
    <row r="14" spans="1:39" x14ac:dyDescent="0.2">
      <c r="A14" s="13" t="s">
        <v>23</v>
      </c>
      <c r="B14" s="14" t="s">
        <v>24</v>
      </c>
      <c r="C14" s="15">
        <f>'[19]Team Report'!BA33</f>
        <v>69921.63</v>
      </c>
      <c r="E14" s="15">
        <f>2087875*1.3</f>
        <v>2714237.5</v>
      </c>
      <c r="H14" s="140">
        <f>((25896+19404+17076+10020)*1.2)*0.917</f>
        <v>79664.558399999994</v>
      </c>
      <c r="I14" s="8"/>
      <c r="J14" s="17"/>
      <c r="K14" s="17"/>
      <c r="L14" s="17"/>
      <c r="M14" s="8"/>
      <c r="Q14" s="15">
        <f t="shared" si="0"/>
        <v>2212.9043999999999</v>
      </c>
    </row>
    <row r="15" spans="1:39" x14ac:dyDescent="0.2">
      <c r="A15" s="13" t="s">
        <v>25</v>
      </c>
      <c r="B15" s="14" t="s">
        <v>26</v>
      </c>
      <c r="C15" s="15">
        <f>'[19]Team Report'!BA34</f>
        <v>0</v>
      </c>
      <c r="E15" s="15">
        <f>(C15/9)*12</f>
        <v>0</v>
      </c>
      <c r="H15" s="140">
        <f>((+([27]EOPs!H16)/170*$H$28)*1.2)*0.917</f>
        <v>0</v>
      </c>
      <c r="I15" s="8"/>
      <c r="J15" s="17"/>
      <c r="K15" s="17"/>
      <c r="L15" s="17"/>
      <c r="M15" s="8"/>
      <c r="Q15" s="15">
        <f t="shared" si="0"/>
        <v>0</v>
      </c>
    </row>
    <row r="16" spans="1:39" x14ac:dyDescent="0.2">
      <c r="A16" s="13" t="s">
        <v>28</v>
      </c>
      <c r="B16" s="14" t="s">
        <v>29</v>
      </c>
      <c r="C16" s="15">
        <f>'[19]Team Report'!BA35</f>
        <v>0</v>
      </c>
      <c r="E16" s="15">
        <f>(C16/9)*12</f>
        <v>0</v>
      </c>
      <c r="H16" s="140">
        <f>((+([27]EOPs!H17)/170*$H$28)*1.2)*0.917</f>
        <v>0</v>
      </c>
      <c r="I16" s="8" t="s">
        <v>27</v>
      </c>
      <c r="J16" s="25">
        <v>37500</v>
      </c>
      <c r="K16">
        <f>1+1</f>
        <v>2</v>
      </c>
      <c r="L16" s="17">
        <f t="shared" ref="L16:L27" si="1">J16*K16</f>
        <v>75000</v>
      </c>
      <c r="N16">
        <v>1.25</v>
      </c>
      <c r="Q16" s="15">
        <f t="shared" si="0"/>
        <v>0</v>
      </c>
    </row>
    <row r="17" spans="1:17" x14ac:dyDescent="0.2">
      <c r="A17" s="13" t="s">
        <v>31</v>
      </c>
      <c r="B17" s="14" t="s">
        <v>32</v>
      </c>
      <c r="C17" s="15">
        <f>'[19]Team Report'!BA36</f>
        <v>19039.670000000002</v>
      </c>
      <c r="E17" s="15">
        <f>((C17/9)*12)*1.3</f>
        <v>33002.094666666671</v>
      </c>
      <c r="H17" s="140">
        <f>((117600+92400+75600+42000)*1.2)*0.917</f>
        <v>360491.04000000004</v>
      </c>
      <c r="I17" t="s">
        <v>93</v>
      </c>
      <c r="J17" s="25">
        <v>52500</v>
      </c>
      <c r="K17">
        <f>1+2+1+1</f>
        <v>5</v>
      </c>
      <c r="L17" s="17">
        <f t="shared" si="1"/>
        <v>262500</v>
      </c>
      <c r="Q17" s="15">
        <f t="shared" si="0"/>
        <v>10013.640000000001</v>
      </c>
    </row>
    <row r="18" spans="1:17" x14ac:dyDescent="0.2">
      <c r="A18" s="13" t="s">
        <v>34</v>
      </c>
      <c r="B18" s="14" t="s">
        <v>35</v>
      </c>
      <c r="C18" s="15">
        <f>'[19]Team Report'!BA37</f>
        <v>17422.019999999997</v>
      </c>
      <c r="E18" s="15">
        <v>145000</v>
      </c>
      <c r="H18" s="140">
        <f>((24200+19800+16200+9000)*1.2)*0.917</f>
        <v>76147.680000000008</v>
      </c>
      <c r="I18" t="s">
        <v>33</v>
      </c>
      <c r="J18" s="25">
        <v>56250</v>
      </c>
      <c r="K18">
        <f>7+2+1+1+4+2</f>
        <v>17</v>
      </c>
      <c r="L18" s="17">
        <f t="shared" si="1"/>
        <v>956250</v>
      </c>
      <c r="Q18" s="15">
        <f t="shared" si="0"/>
        <v>2115.2133333333336</v>
      </c>
    </row>
    <row r="19" spans="1:17" x14ac:dyDescent="0.2">
      <c r="A19" s="13" t="s">
        <v>37</v>
      </c>
      <c r="B19" s="14" t="s">
        <v>38</v>
      </c>
      <c r="C19" s="15">
        <f>'[19]Team Report'!BA38</f>
        <v>0</v>
      </c>
      <c r="E19" s="15">
        <f>(C19/9)*12</f>
        <v>0</v>
      </c>
      <c r="H19" s="140">
        <f>((+([27]EOPs!H20)/170*$H$28)*1.2)*0.917</f>
        <v>0</v>
      </c>
      <c r="I19" t="s">
        <v>45</v>
      </c>
      <c r="J19" s="25">
        <v>75000</v>
      </c>
      <c r="K19">
        <f>3+1</f>
        <v>4</v>
      </c>
      <c r="L19" s="17">
        <f t="shared" si="1"/>
        <v>300000</v>
      </c>
      <c r="Q19" s="15">
        <f t="shared" si="0"/>
        <v>0</v>
      </c>
    </row>
    <row r="20" spans="1:17" x14ac:dyDescent="0.2">
      <c r="A20" s="13" t="s">
        <v>40</v>
      </c>
      <c r="B20" s="14" t="s">
        <v>41</v>
      </c>
      <c r="C20" s="15">
        <f>'[19]Team Report'!BA42</f>
        <v>75042.680000000008</v>
      </c>
      <c r="E20" s="15">
        <f>((C20/9)*12)*1.3</f>
        <v>130073.97866666669</v>
      </c>
      <c r="H20" s="140">
        <f>((+([27]EOPs!H21)/170*$H$28)*1.2)*0.917</f>
        <v>0</v>
      </c>
      <c r="I20" t="s">
        <v>94</v>
      </c>
      <c r="J20" s="25">
        <v>60000</v>
      </c>
      <c r="K20">
        <f>2+12+1</f>
        <v>15</v>
      </c>
      <c r="L20" s="17">
        <f t="shared" si="1"/>
        <v>900000</v>
      </c>
      <c r="Q20" s="15">
        <f t="shared" si="0"/>
        <v>0</v>
      </c>
    </row>
    <row r="21" spans="1:17" x14ac:dyDescent="0.2">
      <c r="A21" s="13" t="s">
        <v>43</v>
      </c>
      <c r="B21" s="14" t="s">
        <v>44</v>
      </c>
      <c r="C21" s="15">
        <f>'[19]Team Report'!BA44</f>
        <v>1226.24</v>
      </c>
      <c r="E21" s="15">
        <f>((C21/9)*12)*1.3</f>
        <v>2125.4826666666668</v>
      </c>
      <c r="H21" s="140">
        <f>(+([27]EOPs!H22)/170*$H$28)*0.917</f>
        <v>0</v>
      </c>
      <c r="I21" t="s">
        <v>36</v>
      </c>
      <c r="J21" s="25">
        <v>65000</v>
      </c>
      <c r="K21">
        <f>8+4+5+10+9+2+2+4+4+1</f>
        <v>49</v>
      </c>
      <c r="L21" s="17">
        <f t="shared" si="1"/>
        <v>3185000</v>
      </c>
      <c r="Q21" s="15">
        <f t="shared" si="0"/>
        <v>0</v>
      </c>
    </row>
    <row r="22" spans="1:17" x14ac:dyDescent="0.2">
      <c r="A22" s="26" t="s">
        <v>46</v>
      </c>
      <c r="B22" s="27" t="s">
        <v>47</v>
      </c>
      <c r="C22" s="28">
        <f>SUM(C8:C21)</f>
        <v>6646856.1299999999</v>
      </c>
      <c r="E22" s="28">
        <f>SUM(E8:E21)</f>
        <v>19251859.132000003</v>
      </c>
      <c r="H22" s="28">
        <f>SUM(H8:H21)</f>
        <v>3990863.5956000001</v>
      </c>
      <c r="I22" t="s">
        <v>108</v>
      </c>
      <c r="J22" s="25">
        <v>82500</v>
      </c>
      <c r="K22">
        <f>10+1+13+6+6+3+7+1+2+6</f>
        <v>55</v>
      </c>
      <c r="L22" s="17">
        <f t="shared" si="1"/>
        <v>4537500</v>
      </c>
      <c r="Q22" s="28">
        <f>SUM(Q8:Q21)</f>
        <v>110857.32209999999</v>
      </c>
    </row>
    <row r="23" spans="1:17" x14ac:dyDescent="0.2">
      <c r="I23" t="s">
        <v>96</v>
      </c>
      <c r="J23" s="25">
        <v>100000</v>
      </c>
      <c r="K23">
        <f>2+1+8+6+3+1+4</f>
        <v>25</v>
      </c>
      <c r="L23" s="17">
        <f t="shared" si="1"/>
        <v>2500000</v>
      </c>
    </row>
    <row r="24" spans="1:17" x14ac:dyDescent="0.2">
      <c r="B24" s="27" t="s">
        <v>50</v>
      </c>
      <c r="C24" s="55"/>
      <c r="E24" s="55">
        <v>114</v>
      </c>
      <c r="H24" s="55">
        <v>36</v>
      </c>
      <c r="I24" t="s">
        <v>97</v>
      </c>
      <c r="J24" s="25">
        <v>145000</v>
      </c>
      <c r="K24">
        <f>1+1+1+1+2+1+2</f>
        <v>9</v>
      </c>
      <c r="L24" s="17">
        <f t="shared" si="1"/>
        <v>1305000</v>
      </c>
      <c r="Q24" s="31">
        <f>+T15+T16+T17+T18+T19+T22+T23+T24+T25+T26</f>
        <v>0</v>
      </c>
    </row>
    <row r="25" spans="1:17" x14ac:dyDescent="0.2">
      <c r="I25" t="s">
        <v>98</v>
      </c>
      <c r="J25" s="25">
        <v>175000</v>
      </c>
      <c r="K25">
        <f>1+1</f>
        <v>2</v>
      </c>
      <c r="L25" s="17">
        <f t="shared" si="1"/>
        <v>350000</v>
      </c>
      <c r="Q25" s="15"/>
    </row>
    <row r="26" spans="1:17" x14ac:dyDescent="0.2">
      <c r="B26" s="27" t="s">
        <v>67</v>
      </c>
      <c r="C26" s="55"/>
      <c r="E26" s="55">
        <v>4</v>
      </c>
      <c r="H26" s="55">
        <v>0</v>
      </c>
      <c r="I26" t="s">
        <v>99</v>
      </c>
      <c r="J26" s="25">
        <v>237500</v>
      </c>
      <c r="K26">
        <f>1</f>
        <v>1</v>
      </c>
      <c r="L26" s="17">
        <f t="shared" si="1"/>
        <v>237500</v>
      </c>
      <c r="Q26" s="31">
        <f>+T20+T21</f>
        <v>0</v>
      </c>
    </row>
    <row r="27" spans="1:17" x14ac:dyDescent="0.2">
      <c r="I27" t="s">
        <v>100</v>
      </c>
      <c r="J27" s="25">
        <v>312500</v>
      </c>
      <c r="K27">
        <v>0</v>
      </c>
      <c r="L27" s="17">
        <f t="shared" si="1"/>
        <v>0</v>
      </c>
    </row>
    <row r="28" spans="1:17" x14ac:dyDescent="0.2">
      <c r="B28" s="27" t="s">
        <v>55</v>
      </c>
      <c r="C28" s="55"/>
      <c r="E28" s="55">
        <f>SUM(E24:E27)</f>
        <v>118</v>
      </c>
      <c r="H28" s="55">
        <f>SUM(H24:H27)</f>
        <v>36</v>
      </c>
      <c r="K28" s="25">
        <f>SUM(K16:K27)</f>
        <v>184</v>
      </c>
      <c r="L28" s="25">
        <f>SUM(L16:L27)</f>
        <v>14608750</v>
      </c>
      <c r="Q28" s="31">
        <v>1</v>
      </c>
    </row>
    <row r="29" spans="1:17" hidden="1" x14ac:dyDescent="0.2">
      <c r="B29" s="27"/>
    </row>
    <row r="30" spans="1:17" hidden="1" x14ac:dyDescent="0.2">
      <c r="A30" s="13" t="s">
        <v>71</v>
      </c>
      <c r="B30" s="14" t="s">
        <v>72</v>
      </c>
      <c r="C30" s="15">
        <f>'[19]Team Report'!BA29</f>
        <v>0</v>
      </c>
      <c r="E30" s="15">
        <f t="shared" ref="E30:E37" si="2">(C30/9)*12</f>
        <v>0</v>
      </c>
      <c r="I30" t="s">
        <v>102</v>
      </c>
      <c r="K30" s="52"/>
      <c r="L30" s="52">
        <v>0.2</v>
      </c>
    </row>
    <row r="31" spans="1:17" hidden="1" x14ac:dyDescent="0.2">
      <c r="A31" s="13" t="s">
        <v>73</v>
      </c>
      <c r="B31" s="14" t="s">
        <v>74</v>
      </c>
      <c r="C31" s="15">
        <f>'[19]Team Report'!BA30</f>
        <v>0</v>
      </c>
      <c r="E31" s="15">
        <f t="shared" si="2"/>
        <v>0</v>
      </c>
    </row>
    <row r="32" spans="1:17" hidden="1" x14ac:dyDescent="0.2">
      <c r="A32" s="13" t="s">
        <v>75</v>
      </c>
      <c r="B32" s="14" t="s">
        <v>76</v>
      </c>
      <c r="C32" s="15">
        <f>'[19]Team Report'!BA31</f>
        <v>0</v>
      </c>
      <c r="E32" s="15">
        <f t="shared" si="2"/>
        <v>0</v>
      </c>
      <c r="L32" s="25">
        <f>L28*1.2</f>
        <v>17530500</v>
      </c>
    </row>
    <row r="33" spans="1:8" hidden="1" x14ac:dyDescent="0.2">
      <c r="A33" s="13" t="s">
        <v>77</v>
      </c>
      <c r="B33" s="14" t="s">
        <v>78</v>
      </c>
      <c r="C33" s="15">
        <f>'[19]Team Report'!BA39</f>
        <v>0</v>
      </c>
      <c r="E33" s="15">
        <f t="shared" si="2"/>
        <v>0</v>
      </c>
    </row>
    <row r="34" spans="1:8" hidden="1" x14ac:dyDescent="0.2">
      <c r="A34" s="13" t="s">
        <v>79</v>
      </c>
      <c r="B34" s="14" t="s">
        <v>80</v>
      </c>
      <c r="C34" s="15">
        <f>'[19]Team Report'!BA40</f>
        <v>24670.390000000003</v>
      </c>
      <c r="E34" s="15">
        <f t="shared" si="2"/>
        <v>32893.85333333334</v>
      </c>
    </row>
    <row r="35" spans="1:8" hidden="1" x14ac:dyDescent="0.2">
      <c r="A35" s="13" t="s">
        <v>81</v>
      </c>
      <c r="B35" s="14" t="s">
        <v>82</v>
      </c>
      <c r="C35" s="15">
        <f>'[19]Team Report'!BA41</f>
        <v>481045.43000000005</v>
      </c>
      <c r="E35" s="15">
        <f t="shared" si="2"/>
        <v>641393.90666666673</v>
      </c>
    </row>
    <row r="36" spans="1:8" hidden="1" x14ac:dyDescent="0.2">
      <c r="A36" s="13" t="s">
        <v>83</v>
      </c>
      <c r="B36" s="14" t="s">
        <v>84</v>
      </c>
      <c r="C36" s="15">
        <f>'[19]Team Report'!BA43</f>
        <v>-771915.88</v>
      </c>
      <c r="E36" s="15">
        <f t="shared" si="2"/>
        <v>-1029221.1733333333</v>
      </c>
      <c r="H36" s="33" t="s">
        <v>56</v>
      </c>
    </row>
    <row r="37" spans="1:8" hidden="1" x14ac:dyDescent="0.2">
      <c r="A37" s="13" t="s">
        <v>85</v>
      </c>
      <c r="B37" s="14" t="s">
        <v>86</v>
      </c>
      <c r="C37" s="15">
        <f>'[19]Team Report'!BA45</f>
        <v>0</v>
      </c>
      <c r="E37" s="15">
        <f t="shared" si="2"/>
        <v>0</v>
      </c>
    </row>
    <row r="38" spans="1:8" hidden="1" x14ac:dyDescent="0.2">
      <c r="A38" s="13"/>
      <c r="B38" s="14"/>
      <c r="C38" s="15"/>
      <c r="E38" s="15"/>
      <c r="H38" t="s">
        <v>133</v>
      </c>
    </row>
    <row r="39" spans="1:8" hidden="1" x14ac:dyDescent="0.2"/>
    <row r="40" spans="1:8" hidden="1" x14ac:dyDescent="0.2"/>
    <row r="41" spans="1:8" hidden="1" x14ac:dyDescent="0.2"/>
    <row r="42" spans="1:8" hidden="1" x14ac:dyDescent="0.2"/>
    <row r="43" spans="1:8" hidden="1" x14ac:dyDescent="0.2">
      <c r="C43" s="54">
        <f>C22+C30+C31+C32+C33+C34+C35+C36+C37</f>
        <v>6380656.0699999994</v>
      </c>
    </row>
    <row r="44" spans="1:8" hidden="1" x14ac:dyDescent="0.2"/>
    <row r="45" spans="1:8" hidden="1" x14ac:dyDescent="0.2"/>
    <row r="46" spans="1:8" hidden="1" x14ac:dyDescent="0.2"/>
    <row r="47" spans="1:8" hidden="1" x14ac:dyDescent="0.2"/>
    <row r="48" spans="1: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/>
  <dimension ref="A1:AM56"/>
  <sheetViews>
    <sheetView workbookViewId="0">
      <selection activeCell="F8" sqref="F8:F21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8" hidden="1" customWidth="1"/>
    <col min="6" max="6" width="2.28515625" customWidth="1"/>
    <col min="7" max="7" width="0" hidden="1" customWidth="1"/>
    <col min="8" max="8" width="17.7109375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11.28515625" hidden="1" customWidth="1"/>
    <col min="17" max="17" width="9.140625" hidden="1" customWidth="1"/>
    <col min="18" max="29" width="0" hidden="1" customWidth="1"/>
  </cols>
  <sheetData>
    <row r="1" spans="1:39" ht="18" x14ac:dyDescent="0.25">
      <c r="B1" s="142" t="str">
        <f>'[19]Team Report'!B1</f>
        <v>Enron North America</v>
      </c>
      <c r="C1" s="142"/>
      <c r="D1" s="142"/>
      <c r="E1" s="142"/>
      <c r="F1" s="142"/>
      <c r="G1" s="142"/>
      <c r="H1" s="142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25">
      <c r="B2" s="142" t="s">
        <v>218</v>
      </c>
      <c r="C2" s="142"/>
      <c r="D2" s="142"/>
      <c r="E2" s="142"/>
      <c r="F2" s="142"/>
      <c r="G2" s="142"/>
      <c r="H2" s="142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25">
      <c r="B3" s="143" t="s">
        <v>0</v>
      </c>
      <c r="C3" s="143"/>
      <c r="D3" s="143"/>
      <c r="E3" s="143"/>
      <c r="F3" s="143"/>
      <c r="G3" s="143"/>
      <c r="H3" s="14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5" thickBot="1" x14ac:dyDescent="0.25">
      <c r="I4" s="147" t="s">
        <v>172</v>
      </c>
      <c r="J4" s="147"/>
      <c r="K4" s="147"/>
      <c r="L4" s="147"/>
    </row>
    <row r="5" spans="1:39" x14ac:dyDescent="0.2">
      <c r="I5" s="4"/>
      <c r="J5" s="40"/>
      <c r="K5" s="40"/>
      <c r="L5" s="41"/>
      <c r="M5" s="8"/>
    </row>
    <row r="6" spans="1:39" x14ac:dyDescent="0.2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x14ac:dyDescent="0.2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x14ac:dyDescent="0.2">
      <c r="A8" s="13" t="s">
        <v>9</v>
      </c>
      <c r="B8" s="14" t="s">
        <v>10</v>
      </c>
      <c r="C8" s="53">
        <f>'[19]Team Report'!BA25</f>
        <v>4985502.2300000004</v>
      </c>
      <c r="E8" s="15">
        <f>((C8/9)*12)*1.3</f>
        <v>8641537.1986666676</v>
      </c>
      <c r="H8" s="140">
        <v>282857.82</v>
      </c>
      <c r="I8" s="7"/>
      <c r="J8" s="17"/>
      <c r="K8" s="17"/>
      <c r="L8" s="43"/>
      <c r="M8" s="8"/>
      <c r="Q8" s="15">
        <f t="shared" ref="Q8:Q21" si="0">+H8/$H$28*$Q$28</f>
        <v>70714.455000000002</v>
      </c>
    </row>
    <row r="9" spans="1:39" x14ac:dyDescent="0.2">
      <c r="A9" s="13"/>
      <c r="B9" s="14" t="s">
        <v>122</v>
      </c>
      <c r="C9" s="15">
        <v>0</v>
      </c>
      <c r="E9" s="15">
        <f>(C9/9)*12</f>
        <v>0</v>
      </c>
      <c r="H9" s="140">
        <v>0</v>
      </c>
      <c r="I9" s="7"/>
      <c r="J9" s="17"/>
      <c r="K9" s="17"/>
      <c r="L9" s="43"/>
      <c r="M9" s="8"/>
      <c r="Q9" s="15">
        <f t="shared" si="0"/>
        <v>0</v>
      </c>
    </row>
    <row r="10" spans="1:39" x14ac:dyDescent="0.2">
      <c r="A10" s="13" t="s">
        <v>13</v>
      </c>
      <c r="B10" s="14" t="s">
        <v>14</v>
      </c>
      <c r="C10" s="15">
        <f>'[19]Team Report'!BA26</f>
        <v>1210281.1100000001</v>
      </c>
      <c r="E10" s="15">
        <f>((C10/9)*12)*1.3</f>
        <v>2097820.5906666671</v>
      </c>
      <c r="H10" s="140">
        <v>63556.903200000008</v>
      </c>
      <c r="I10" s="7"/>
      <c r="J10" s="17"/>
      <c r="K10" s="17"/>
      <c r="L10" s="43"/>
      <c r="M10" s="8"/>
      <c r="Q10" s="15">
        <f t="shared" si="0"/>
        <v>15889.225800000002</v>
      </c>
    </row>
    <row r="11" spans="1:39" x14ac:dyDescent="0.2">
      <c r="A11" s="13" t="s">
        <v>16</v>
      </c>
      <c r="B11" s="14" t="s">
        <v>17</v>
      </c>
      <c r="C11" s="15">
        <f>'[19]Team Report'!BA27</f>
        <v>190029.97</v>
      </c>
      <c r="E11" s="15">
        <f>((C11/9)*12)*1.3</f>
        <v>329385.28133333335</v>
      </c>
      <c r="H11" s="140">
        <f>((24200+4000)*1.2)*0.917</f>
        <v>31031.280000000002</v>
      </c>
      <c r="I11" s="7" t="s">
        <v>15</v>
      </c>
      <c r="J11" s="17">
        <f>(E11+E12+E13+E14+E15+E16+E17+E18+E19+E20+E21)/E28</f>
        <v>72139.841887005648</v>
      </c>
      <c r="K11" s="17">
        <f>K28</f>
        <v>184</v>
      </c>
      <c r="L11" s="43">
        <f>J11*K11</f>
        <v>13273730.907209039</v>
      </c>
      <c r="M11" s="8"/>
      <c r="Q11" s="15">
        <f t="shared" si="0"/>
        <v>7757.8200000000006</v>
      </c>
    </row>
    <row r="12" spans="1:39" x14ac:dyDescent="0.2">
      <c r="A12" s="13" t="s">
        <v>18</v>
      </c>
      <c r="B12" s="14" t="s">
        <v>19</v>
      </c>
      <c r="C12" s="15">
        <f>'[19]Team Report'!BA28</f>
        <v>78390.58</v>
      </c>
      <c r="E12" s="15">
        <f>((C12/9)*12)*1.3</f>
        <v>135877.00533333333</v>
      </c>
      <c r="H12" s="140">
        <v>0</v>
      </c>
      <c r="I12" s="7"/>
      <c r="J12" s="17"/>
      <c r="K12" s="17"/>
      <c r="L12" s="43"/>
      <c r="M12" s="8"/>
      <c r="Q12" s="15">
        <f t="shared" si="0"/>
        <v>0</v>
      </c>
    </row>
    <row r="13" spans="1:39" ht="13.5" thickBot="1" x14ac:dyDescent="0.25">
      <c r="A13" s="13" t="s">
        <v>21</v>
      </c>
      <c r="B13" s="14" t="s">
        <v>22</v>
      </c>
      <c r="C13" s="15">
        <v>0</v>
      </c>
      <c r="E13" s="15">
        <f>(4000000*1.2)+222800</f>
        <v>5022800</v>
      </c>
      <c r="H13" s="140">
        <v>237686.39999999999</v>
      </c>
      <c r="I13" s="22" t="s">
        <v>20</v>
      </c>
      <c r="J13" s="47"/>
      <c r="K13" s="47"/>
      <c r="L13" s="48">
        <f>SUM(L9:L11)</f>
        <v>13273730.907209039</v>
      </c>
      <c r="M13" s="8"/>
      <c r="N13">
        <v>36500125</v>
      </c>
      <c r="P13" s="49">
        <f>N13-L13</f>
        <v>23226394.092790961</v>
      </c>
      <c r="Q13" s="15">
        <f t="shared" si="0"/>
        <v>59421.599999999999</v>
      </c>
    </row>
    <row r="14" spans="1:39" x14ac:dyDescent="0.2">
      <c r="A14" s="13" t="s">
        <v>23</v>
      </c>
      <c r="B14" s="14" t="s">
        <v>24</v>
      </c>
      <c r="C14" s="15">
        <f>'[19]Team Report'!BA33</f>
        <v>69921.63</v>
      </c>
      <c r="E14" s="15">
        <f>2087875*1.3</f>
        <v>2714237.5</v>
      </c>
      <c r="H14" s="140">
        <v>4661.2943999999998</v>
      </c>
      <c r="I14" s="8"/>
      <c r="J14" s="17"/>
      <c r="K14" s="17"/>
      <c r="L14" s="17"/>
      <c r="M14" s="8"/>
      <c r="Q14" s="15">
        <f t="shared" si="0"/>
        <v>1165.3235999999999</v>
      </c>
    </row>
    <row r="15" spans="1:39" x14ac:dyDescent="0.2">
      <c r="A15" s="13" t="s">
        <v>25</v>
      </c>
      <c r="B15" s="14" t="s">
        <v>26</v>
      </c>
      <c r="C15" s="15">
        <f>'[19]Team Report'!BA34</f>
        <v>0</v>
      </c>
      <c r="E15" s="15">
        <f>(C15/9)*12</f>
        <v>0</v>
      </c>
      <c r="H15" s="140">
        <f>((+([28]EOPs!H16)/170*$H$28)*1.2)*0.917</f>
        <v>0</v>
      </c>
      <c r="I15" s="8"/>
      <c r="J15" s="17"/>
      <c r="K15" s="17"/>
      <c r="L15" s="17"/>
      <c r="M15" s="8"/>
      <c r="Q15" s="15">
        <f t="shared" si="0"/>
        <v>0</v>
      </c>
    </row>
    <row r="16" spans="1:39" x14ac:dyDescent="0.2">
      <c r="A16" s="13" t="s">
        <v>28</v>
      </c>
      <c r="B16" s="14" t="s">
        <v>29</v>
      </c>
      <c r="C16" s="15">
        <f>'[19]Team Report'!BA35</f>
        <v>0</v>
      </c>
      <c r="E16" s="15">
        <f>(C16/9)*12</f>
        <v>0</v>
      </c>
      <c r="H16" s="140">
        <f>((+([28]EOPs!H17)/170*$H$28)*1.2)*0.917</f>
        <v>0</v>
      </c>
      <c r="I16" s="8" t="s">
        <v>27</v>
      </c>
      <c r="J16" s="25">
        <v>37500</v>
      </c>
      <c r="K16">
        <f>1+1</f>
        <v>2</v>
      </c>
      <c r="L16" s="17">
        <f t="shared" ref="L16:L27" si="1">J16*K16</f>
        <v>75000</v>
      </c>
      <c r="N16">
        <v>1.25</v>
      </c>
      <c r="Q16" s="15">
        <f t="shared" si="0"/>
        <v>0</v>
      </c>
    </row>
    <row r="17" spans="1:17" x14ac:dyDescent="0.2">
      <c r="A17" s="13" t="s">
        <v>31</v>
      </c>
      <c r="B17" s="14" t="s">
        <v>32</v>
      </c>
      <c r="C17" s="15">
        <f>'[19]Team Report'!BA36</f>
        <v>19039.670000000002</v>
      </c>
      <c r="E17" s="15">
        <f>((C17/9)*12)*1.3</f>
        <v>33002.094666666671</v>
      </c>
      <c r="H17" s="140">
        <v>36973.440000000002</v>
      </c>
      <c r="I17" t="s">
        <v>93</v>
      </c>
      <c r="J17" s="25">
        <v>52500</v>
      </c>
      <c r="K17">
        <f>1+2+1+1</f>
        <v>5</v>
      </c>
      <c r="L17" s="17">
        <f t="shared" si="1"/>
        <v>262500</v>
      </c>
      <c r="Q17" s="15">
        <f t="shared" si="0"/>
        <v>9243.36</v>
      </c>
    </row>
    <row r="18" spans="1:17" x14ac:dyDescent="0.2">
      <c r="A18" s="13" t="s">
        <v>34</v>
      </c>
      <c r="B18" s="14" t="s">
        <v>35</v>
      </c>
      <c r="C18" s="15">
        <f>'[19]Team Report'!BA37</f>
        <v>17422.019999999997</v>
      </c>
      <c r="E18" s="15">
        <v>145000</v>
      </c>
      <c r="H18" s="140">
        <v>7922.88</v>
      </c>
      <c r="I18" t="s">
        <v>33</v>
      </c>
      <c r="J18" s="25">
        <v>56250</v>
      </c>
      <c r="K18">
        <f>7+2+1+1+4+2</f>
        <v>17</v>
      </c>
      <c r="L18" s="17">
        <f t="shared" si="1"/>
        <v>956250</v>
      </c>
      <c r="Q18" s="15">
        <f t="shared" si="0"/>
        <v>1980.72</v>
      </c>
    </row>
    <row r="19" spans="1:17" x14ac:dyDescent="0.2">
      <c r="A19" s="13" t="s">
        <v>37</v>
      </c>
      <c r="B19" s="14" t="s">
        <v>38</v>
      </c>
      <c r="C19" s="15">
        <f>'[19]Team Report'!BA38</f>
        <v>0</v>
      </c>
      <c r="E19" s="15">
        <f>(C19/9)*12</f>
        <v>0</v>
      </c>
      <c r="H19" s="140">
        <f>((+([28]EOPs!H20)/170*$H$28)*1.2)*0.917</f>
        <v>0</v>
      </c>
      <c r="I19" t="s">
        <v>45</v>
      </c>
      <c r="J19" s="25">
        <v>75000</v>
      </c>
      <c r="K19">
        <f>3+1</f>
        <v>4</v>
      </c>
      <c r="L19" s="17">
        <f t="shared" si="1"/>
        <v>300000</v>
      </c>
      <c r="Q19" s="15">
        <f t="shared" si="0"/>
        <v>0</v>
      </c>
    </row>
    <row r="20" spans="1:17" x14ac:dyDescent="0.2">
      <c r="A20" s="13" t="s">
        <v>40</v>
      </c>
      <c r="B20" s="14" t="s">
        <v>41</v>
      </c>
      <c r="C20" s="15">
        <f>'[19]Team Report'!BA42</f>
        <v>75042.680000000008</v>
      </c>
      <c r="E20" s="15">
        <f>((C20/9)*12)*1.3</f>
        <v>130073.97866666669</v>
      </c>
      <c r="H20" s="140">
        <f>((+([28]EOPs!H21)/170*$H$28)*1.2)*0.917</f>
        <v>0</v>
      </c>
      <c r="I20" t="s">
        <v>94</v>
      </c>
      <c r="J20" s="25">
        <v>60000</v>
      </c>
      <c r="K20">
        <f>2+12+1</f>
        <v>15</v>
      </c>
      <c r="L20" s="17">
        <f t="shared" si="1"/>
        <v>900000</v>
      </c>
      <c r="Q20" s="15">
        <f t="shared" si="0"/>
        <v>0</v>
      </c>
    </row>
    <row r="21" spans="1:17" x14ac:dyDescent="0.2">
      <c r="A21" s="13" t="s">
        <v>43</v>
      </c>
      <c r="B21" s="14" t="s">
        <v>44</v>
      </c>
      <c r="C21" s="15">
        <f>'[19]Team Report'!BA44</f>
        <v>1226.24</v>
      </c>
      <c r="E21" s="15">
        <f>((C21/9)*12)*1.3</f>
        <v>2125.4826666666668</v>
      </c>
      <c r="H21" s="140">
        <f>((+([28]EOPs!H22)/170*$H$28)*1.2)*0.917</f>
        <v>0</v>
      </c>
      <c r="I21" t="s">
        <v>36</v>
      </c>
      <c r="J21" s="25">
        <v>65000</v>
      </c>
      <c r="K21">
        <f>8+4+5+10+9+2+2+4+4+1</f>
        <v>49</v>
      </c>
      <c r="L21" s="17">
        <f t="shared" si="1"/>
        <v>3185000</v>
      </c>
      <c r="Q21" s="15">
        <f t="shared" si="0"/>
        <v>0</v>
      </c>
    </row>
    <row r="22" spans="1:17" x14ac:dyDescent="0.2">
      <c r="A22" s="26" t="s">
        <v>46</v>
      </c>
      <c r="B22" s="27" t="s">
        <v>47</v>
      </c>
      <c r="C22" s="28">
        <f>SUM(C8:C21)</f>
        <v>6646856.1299999999</v>
      </c>
      <c r="E22" s="28">
        <f>SUM(E8:E21)</f>
        <v>19251859.132000003</v>
      </c>
      <c r="H22" s="28">
        <f>SUM(H8:H21)</f>
        <v>664690.01760000002</v>
      </c>
      <c r="I22" t="s">
        <v>108</v>
      </c>
      <c r="J22" s="25">
        <v>82500</v>
      </c>
      <c r="K22">
        <f>10+1+13+6+6+3+7+1+2+6</f>
        <v>55</v>
      </c>
      <c r="L22" s="17">
        <f t="shared" si="1"/>
        <v>4537500</v>
      </c>
      <c r="Q22" s="28">
        <f>SUM(Q8:Q21)</f>
        <v>166172.50440000001</v>
      </c>
    </row>
    <row r="23" spans="1:17" x14ac:dyDescent="0.2">
      <c r="I23" t="s">
        <v>96</v>
      </c>
      <c r="J23" s="25">
        <v>100000</v>
      </c>
      <c r="K23">
        <f>2+1+8+6+3+1+4</f>
        <v>25</v>
      </c>
      <c r="L23" s="17">
        <f t="shared" si="1"/>
        <v>2500000</v>
      </c>
    </row>
    <row r="24" spans="1:17" x14ac:dyDescent="0.2">
      <c r="B24" s="27" t="s">
        <v>50</v>
      </c>
      <c r="C24" s="55"/>
      <c r="E24" s="55">
        <v>114</v>
      </c>
      <c r="H24" s="55">
        <v>4</v>
      </c>
      <c r="I24" t="s">
        <v>97</v>
      </c>
      <c r="J24" s="25">
        <v>145000</v>
      </c>
      <c r="K24">
        <f>1+1+1+1+2+1+2</f>
        <v>9</v>
      </c>
      <c r="L24" s="17">
        <f t="shared" si="1"/>
        <v>1305000</v>
      </c>
      <c r="Q24" s="31">
        <f>+T15+T16+T17+T18+T19+T22+T23+T24+T25+T26</f>
        <v>0</v>
      </c>
    </row>
    <row r="25" spans="1:17" x14ac:dyDescent="0.2">
      <c r="I25" t="s">
        <v>98</v>
      </c>
      <c r="J25" s="25">
        <v>175000</v>
      </c>
      <c r="K25">
        <f>1+1</f>
        <v>2</v>
      </c>
      <c r="L25" s="17">
        <f t="shared" si="1"/>
        <v>350000</v>
      </c>
      <c r="Q25" s="15"/>
    </row>
    <row r="26" spans="1:17" x14ac:dyDescent="0.2">
      <c r="B26" s="27" t="s">
        <v>67</v>
      </c>
      <c r="C26" s="55"/>
      <c r="E26" s="55">
        <v>4</v>
      </c>
      <c r="H26" s="55">
        <v>0</v>
      </c>
      <c r="I26" t="s">
        <v>99</v>
      </c>
      <c r="J26" s="25">
        <v>237500</v>
      </c>
      <c r="K26">
        <f>1</f>
        <v>1</v>
      </c>
      <c r="L26" s="17">
        <f t="shared" si="1"/>
        <v>237500</v>
      </c>
      <c r="Q26" s="31">
        <f>+T20+T21</f>
        <v>0</v>
      </c>
    </row>
    <row r="27" spans="1:17" x14ac:dyDescent="0.2">
      <c r="I27" t="s">
        <v>100</v>
      </c>
      <c r="J27" s="25">
        <v>312500</v>
      </c>
      <c r="K27">
        <v>0</v>
      </c>
      <c r="L27" s="17">
        <f t="shared" si="1"/>
        <v>0</v>
      </c>
    </row>
    <row r="28" spans="1:17" x14ac:dyDescent="0.2">
      <c r="B28" s="27" t="s">
        <v>55</v>
      </c>
      <c r="C28" s="55"/>
      <c r="E28" s="55">
        <f>SUM(E24:E27)</f>
        <v>118</v>
      </c>
      <c r="H28" s="55">
        <f>SUM(H24:H27)</f>
        <v>4</v>
      </c>
      <c r="K28" s="25">
        <f>SUM(K16:K27)</f>
        <v>184</v>
      </c>
      <c r="L28" s="25">
        <f>SUM(L16:L27)</f>
        <v>14608750</v>
      </c>
      <c r="Q28" s="31">
        <v>1</v>
      </c>
    </row>
    <row r="29" spans="1:17" hidden="1" x14ac:dyDescent="0.2">
      <c r="B29" s="27"/>
    </row>
    <row r="30" spans="1:17" hidden="1" x14ac:dyDescent="0.2">
      <c r="A30" s="13" t="s">
        <v>71</v>
      </c>
      <c r="B30" s="14" t="s">
        <v>72</v>
      </c>
      <c r="C30" s="15">
        <f>'[19]Team Report'!BA29</f>
        <v>0</v>
      </c>
      <c r="E30" s="15">
        <f t="shared" ref="E30:E37" si="2">(C30/9)*12</f>
        <v>0</v>
      </c>
      <c r="I30" t="s">
        <v>102</v>
      </c>
      <c r="K30" s="52"/>
      <c r="L30" s="52">
        <v>0.2</v>
      </c>
    </row>
    <row r="31" spans="1:17" hidden="1" x14ac:dyDescent="0.2">
      <c r="A31" s="13" t="s">
        <v>73</v>
      </c>
      <c r="B31" s="14" t="s">
        <v>74</v>
      </c>
      <c r="C31" s="15">
        <f>'[19]Team Report'!BA30</f>
        <v>0</v>
      </c>
      <c r="E31" s="15">
        <f t="shared" si="2"/>
        <v>0</v>
      </c>
    </row>
    <row r="32" spans="1:17" hidden="1" x14ac:dyDescent="0.2">
      <c r="A32" s="13" t="s">
        <v>75</v>
      </c>
      <c r="B32" s="14" t="s">
        <v>76</v>
      </c>
      <c r="C32" s="15">
        <f>'[19]Team Report'!BA31</f>
        <v>0</v>
      </c>
      <c r="E32" s="15">
        <f t="shared" si="2"/>
        <v>0</v>
      </c>
      <c r="L32" s="25">
        <f>L28*1.2</f>
        <v>17530500</v>
      </c>
    </row>
    <row r="33" spans="1:8" hidden="1" x14ac:dyDescent="0.2">
      <c r="A33" s="13" t="s">
        <v>77</v>
      </c>
      <c r="B33" s="14" t="s">
        <v>78</v>
      </c>
      <c r="C33" s="15">
        <f>'[19]Team Report'!BA39</f>
        <v>0</v>
      </c>
      <c r="E33" s="15">
        <f t="shared" si="2"/>
        <v>0</v>
      </c>
    </row>
    <row r="34" spans="1:8" hidden="1" x14ac:dyDescent="0.2">
      <c r="A34" s="13" t="s">
        <v>79</v>
      </c>
      <c r="B34" s="14" t="s">
        <v>80</v>
      </c>
      <c r="C34" s="15">
        <f>'[19]Team Report'!BA40</f>
        <v>24670.390000000003</v>
      </c>
      <c r="E34" s="15">
        <f t="shared" si="2"/>
        <v>32893.85333333334</v>
      </c>
    </row>
    <row r="35" spans="1:8" hidden="1" x14ac:dyDescent="0.2">
      <c r="A35" s="13" t="s">
        <v>81</v>
      </c>
      <c r="B35" s="14" t="s">
        <v>82</v>
      </c>
      <c r="C35" s="15">
        <f>'[19]Team Report'!BA41</f>
        <v>481045.43000000005</v>
      </c>
      <c r="E35" s="15">
        <f t="shared" si="2"/>
        <v>641393.90666666673</v>
      </c>
    </row>
    <row r="36" spans="1:8" hidden="1" x14ac:dyDescent="0.2">
      <c r="A36" s="13" t="s">
        <v>83</v>
      </c>
      <c r="B36" s="14" t="s">
        <v>84</v>
      </c>
      <c r="C36" s="15">
        <f>'[19]Team Report'!BA43</f>
        <v>-771915.88</v>
      </c>
      <c r="E36" s="15">
        <f t="shared" si="2"/>
        <v>-1029221.1733333333</v>
      </c>
      <c r="H36" s="33" t="s">
        <v>56</v>
      </c>
    </row>
    <row r="37" spans="1:8" hidden="1" x14ac:dyDescent="0.2">
      <c r="A37" s="13" t="s">
        <v>85</v>
      </c>
      <c r="B37" s="14" t="s">
        <v>86</v>
      </c>
      <c r="C37" s="15">
        <f>'[19]Team Report'!BA45</f>
        <v>0</v>
      </c>
      <c r="E37" s="15">
        <f t="shared" si="2"/>
        <v>0</v>
      </c>
    </row>
    <row r="38" spans="1:8" hidden="1" x14ac:dyDescent="0.2">
      <c r="A38" s="13"/>
      <c r="B38" s="14"/>
      <c r="C38" s="15"/>
      <c r="E38" s="15"/>
      <c r="H38" t="s">
        <v>133</v>
      </c>
    </row>
    <row r="39" spans="1:8" hidden="1" x14ac:dyDescent="0.2"/>
    <row r="40" spans="1:8" hidden="1" x14ac:dyDescent="0.2"/>
    <row r="41" spans="1:8" hidden="1" x14ac:dyDescent="0.2"/>
    <row r="42" spans="1:8" hidden="1" x14ac:dyDescent="0.2"/>
    <row r="43" spans="1:8" hidden="1" x14ac:dyDescent="0.2">
      <c r="C43" s="54">
        <f>C22+C30+C31+C32+C33+C34+C35+C36+C37</f>
        <v>6380656.0699999994</v>
      </c>
    </row>
    <row r="44" spans="1:8" hidden="1" x14ac:dyDescent="0.2"/>
    <row r="45" spans="1:8" hidden="1" x14ac:dyDescent="0.2"/>
    <row r="46" spans="1:8" hidden="1" x14ac:dyDescent="0.2"/>
    <row r="47" spans="1:8" hidden="1" x14ac:dyDescent="0.2"/>
    <row r="48" spans="1: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pageSetUpPr fitToPage="1"/>
  </sheetPr>
  <dimension ref="A1:AS47"/>
  <sheetViews>
    <sheetView zoomScaleNormal="100" workbookViewId="0">
      <selection activeCell="F8" sqref="F8:F21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8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6" width="9.140625" hidden="1" customWidth="1"/>
    <col min="17" max="49" width="0" hidden="1" customWidth="1"/>
  </cols>
  <sheetData>
    <row r="1" spans="1:45" ht="18" x14ac:dyDescent="0.25">
      <c r="B1" s="142" t="str">
        <f>'[6]Team Report'!B1</f>
        <v>Enron North America</v>
      </c>
      <c r="C1" s="142"/>
      <c r="D1" s="142"/>
      <c r="E1" s="142"/>
      <c r="F1" s="144"/>
      <c r="G1" s="144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2" t="s">
        <v>134</v>
      </c>
      <c r="C2" s="142"/>
      <c r="D2" s="142"/>
      <c r="E2" s="142"/>
      <c r="F2" s="144"/>
      <c r="G2" s="144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42" t="s">
        <v>0</v>
      </c>
      <c r="C3" s="142"/>
      <c r="D3" s="142"/>
      <c r="E3" s="142"/>
      <c r="F3" s="144"/>
      <c r="G3" s="144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47"/>
      <c r="K4" s="147"/>
      <c r="L4" s="147"/>
      <c r="M4" s="147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1</v>
      </c>
      <c r="L6" s="19" t="s">
        <v>2</v>
      </c>
      <c r="M6" s="74" t="s">
        <v>107</v>
      </c>
      <c r="O6" s="11">
        <v>2002</v>
      </c>
    </row>
    <row r="7" spans="1:45" x14ac:dyDescent="0.2">
      <c r="C7" s="12" t="s">
        <v>5</v>
      </c>
      <c r="E7" s="12" t="s">
        <v>6</v>
      </c>
      <c r="F7" s="12"/>
      <c r="G7" s="12" t="s">
        <v>7</v>
      </c>
      <c r="J7" s="7"/>
      <c r="K7" s="17"/>
      <c r="L7" s="17"/>
      <c r="M7" s="43"/>
      <c r="O7" s="12" t="s">
        <v>7</v>
      </c>
    </row>
    <row r="8" spans="1:45" x14ac:dyDescent="0.2">
      <c r="A8" s="13" t="s">
        <v>9</v>
      </c>
      <c r="B8" s="14" t="s">
        <v>10</v>
      </c>
      <c r="C8" s="53">
        <f>'[6]Team Report'!BA25</f>
        <v>10228335.790000001</v>
      </c>
      <c r="E8" s="15">
        <f t="shared" ref="E8:E21" si="0">+C8/9*12</f>
        <v>13637781.053333335</v>
      </c>
      <c r="F8" s="15"/>
      <c r="G8" s="140">
        <f>((SUM(M16:M27)+348000)*1.2)*0.917</f>
        <v>18247713.120000001</v>
      </c>
      <c r="J8" s="7"/>
      <c r="K8" s="17"/>
      <c r="L8" s="17"/>
      <c r="M8" s="43"/>
      <c r="O8" s="15">
        <f t="shared" ref="O8:O21" si="1">+G8/$G$28*$O$28</f>
        <v>129416.40510638298</v>
      </c>
    </row>
    <row r="9" spans="1:45" x14ac:dyDescent="0.2">
      <c r="A9" s="13"/>
      <c r="B9" s="14" t="s">
        <v>122</v>
      </c>
      <c r="C9" s="15">
        <v>0</v>
      </c>
      <c r="E9" s="15">
        <f t="shared" si="0"/>
        <v>0</v>
      </c>
      <c r="F9" s="15"/>
      <c r="G9" s="140">
        <f>((+E9/9*12)*1.2)*0.917</f>
        <v>0</v>
      </c>
      <c r="J9" s="7"/>
      <c r="K9" s="17"/>
      <c r="L9" s="17"/>
      <c r="M9" s="43"/>
      <c r="O9" s="15">
        <f t="shared" si="1"/>
        <v>0</v>
      </c>
    </row>
    <row r="10" spans="1:45" x14ac:dyDescent="0.2">
      <c r="A10" s="13" t="s">
        <v>13</v>
      </c>
      <c r="B10" s="14" t="s">
        <v>14</v>
      </c>
      <c r="C10" s="15">
        <f>'[6]Team Report'!BA26</f>
        <v>1877442.13</v>
      </c>
      <c r="E10" s="15">
        <f t="shared" si="0"/>
        <v>2503256.1733333333</v>
      </c>
      <c r="F10" s="15"/>
      <c r="G10" s="140">
        <f>((+G8*0.2)*1.2)*0.917</f>
        <v>4015956.7034496008</v>
      </c>
      <c r="J10" s="7"/>
      <c r="K10" s="17"/>
      <c r="L10" s="17"/>
      <c r="M10" s="43"/>
      <c r="O10" s="15">
        <f t="shared" si="1"/>
        <v>28481.962435812773</v>
      </c>
    </row>
    <row r="11" spans="1:45" x14ac:dyDescent="0.2">
      <c r="A11" s="13" t="s">
        <v>16</v>
      </c>
      <c r="B11" s="14" t="s">
        <v>17</v>
      </c>
      <c r="C11" s="15">
        <f>'[6]Team Report'!BA27</f>
        <v>405632.98</v>
      </c>
      <c r="E11" s="15">
        <f t="shared" si="0"/>
        <v>540843.97333333339</v>
      </c>
      <c r="F11" s="15"/>
      <c r="G11" s="140">
        <f>((+'[22]IT Dev'!G12+'[22]IT EOL'!G12)*1.2)*0.917</f>
        <v>2425657.9367999998</v>
      </c>
      <c r="J11" s="7" t="s">
        <v>15</v>
      </c>
      <c r="K11" s="17">
        <f>18495*1.2</f>
        <v>22194</v>
      </c>
      <c r="L11" s="17">
        <f>+L34</f>
        <v>140</v>
      </c>
      <c r="M11" s="43">
        <f>K11*L11</f>
        <v>3107160</v>
      </c>
      <c r="O11" s="15">
        <f t="shared" si="1"/>
        <v>17203.247778723402</v>
      </c>
    </row>
    <row r="12" spans="1:45" x14ac:dyDescent="0.2">
      <c r="A12" s="13" t="s">
        <v>18</v>
      </c>
      <c r="B12" s="14" t="s">
        <v>19</v>
      </c>
      <c r="C12" s="15">
        <f>'[6]Team Report'!BA28</f>
        <v>648740.16999999993</v>
      </c>
      <c r="E12" s="15">
        <f t="shared" si="0"/>
        <v>864986.8933333332</v>
      </c>
      <c r="F12" s="15"/>
      <c r="G12" s="140">
        <f>((+'[22]IT Dev'!G13+'[22]IT EOL'!G13)*1.2)*0.917</f>
        <v>1316362.1271360002</v>
      </c>
      <c r="J12" s="7"/>
      <c r="K12" s="17"/>
      <c r="L12" s="17"/>
      <c r="M12" s="43"/>
      <c r="O12" s="15">
        <f t="shared" si="1"/>
        <v>9335.9016108936175</v>
      </c>
    </row>
    <row r="13" spans="1:45" ht="13.5" thickBot="1" x14ac:dyDescent="0.25">
      <c r="A13" s="13" t="s">
        <v>21</v>
      </c>
      <c r="B13" s="14" t="s">
        <v>22</v>
      </c>
      <c r="C13" s="15">
        <v>0</v>
      </c>
      <c r="E13" s="15">
        <f t="shared" si="0"/>
        <v>0</v>
      </c>
      <c r="F13" s="15"/>
      <c r="G13" s="140">
        <f>((+'[22]IT Dev'!G14+'[22]IT EOL'!G14)*1.2)*0.917</f>
        <v>0</v>
      </c>
      <c r="J13" s="22" t="s">
        <v>20</v>
      </c>
      <c r="K13" s="47"/>
      <c r="L13" s="47"/>
      <c r="M13" s="48">
        <f>SUM(M9:M11)</f>
        <v>3107160</v>
      </c>
      <c r="O13" s="15">
        <f t="shared" si="1"/>
        <v>0</v>
      </c>
    </row>
    <row r="14" spans="1:45" x14ac:dyDescent="0.2">
      <c r="A14" s="13" t="s">
        <v>23</v>
      </c>
      <c r="B14" s="14" t="s">
        <v>24</v>
      </c>
      <c r="C14" s="15">
        <f>'[6]Team Report'!BA33</f>
        <v>76876.320000000007</v>
      </c>
      <c r="E14" s="15">
        <f t="shared" si="0"/>
        <v>102501.76000000001</v>
      </c>
      <c r="F14" s="15"/>
      <c r="G14" s="140">
        <f>((+'[22]IT Dev'!G15+'[22]IT EOL'!G15)*1.2)*0.917</f>
        <v>545126.53977599996</v>
      </c>
      <c r="J14" s="8"/>
      <c r="K14" s="17"/>
      <c r="L14" s="17"/>
      <c r="M14" s="17"/>
      <c r="O14" s="15">
        <f t="shared" si="1"/>
        <v>3866.1456721702125</v>
      </c>
    </row>
    <row r="15" spans="1:45" x14ac:dyDescent="0.2">
      <c r="A15" s="13" t="s">
        <v>25</v>
      </c>
      <c r="B15" s="14" t="s">
        <v>26</v>
      </c>
      <c r="C15" s="15">
        <f>'[6]Team Report'!BA34</f>
        <v>0</v>
      </c>
      <c r="E15" s="15">
        <f t="shared" si="0"/>
        <v>0</v>
      </c>
      <c r="F15" s="15"/>
      <c r="G15" s="140">
        <f>((+'[22]IT Dev'!G16+'[22]IT EOL'!G16)*1.2)*0.917</f>
        <v>0</v>
      </c>
      <c r="J15" s="8"/>
      <c r="K15" s="17"/>
      <c r="L15" s="78"/>
      <c r="M15" s="17"/>
      <c r="O15" s="15">
        <f t="shared" si="1"/>
        <v>0</v>
      </c>
    </row>
    <row r="16" spans="1:45" x14ac:dyDescent="0.2">
      <c r="A16" s="13" t="s">
        <v>28</v>
      </c>
      <c r="B16" s="14" t="s">
        <v>29</v>
      </c>
      <c r="C16" s="15">
        <f>'[6]Team Report'!BA35</f>
        <v>0</v>
      </c>
      <c r="E16" s="15">
        <f t="shared" si="0"/>
        <v>0</v>
      </c>
      <c r="F16" s="15"/>
      <c r="G16" s="140">
        <f>((+'[22]IT Dev'!G17+'[22]IT EOL'!G17)*1.2)*0.917</f>
        <v>0</v>
      </c>
      <c r="J16" t="s">
        <v>27</v>
      </c>
      <c r="K16" s="25">
        <v>49200</v>
      </c>
      <c r="L16" s="25">
        <f>+'[22]IT Dev'!L17+'[22]IT EOL'!L17</f>
        <v>0</v>
      </c>
      <c r="M16" s="17">
        <f t="shared" ref="M16:M27" si="2">K16*L16</f>
        <v>0</v>
      </c>
      <c r="O16" s="15">
        <f t="shared" si="1"/>
        <v>0</v>
      </c>
    </row>
    <row r="17" spans="1:15" x14ac:dyDescent="0.2">
      <c r="A17" s="13" t="s">
        <v>31</v>
      </c>
      <c r="B17" s="14" t="s">
        <v>32</v>
      </c>
      <c r="C17" s="15">
        <f>'[6]Team Report'!BA36</f>
        <v>5744.1</v>
      </c>
      <c r="E17" s="15">
        <f t="shared" si="0"/>
        <v>7658.8</v>
      </c>
      <c r="F17" s="15"/>
      <c r="G17" s="140">
        <f>((+'[22]IT Dev'!G18+'[22]IT EOL'!G18)*1.2)*0.917</f>
        <v>0</v>
      </c>
      <c r="J17" t="s">
        <v>30</v>
      </c>
      <c r="K17" s="25">
        <v>57600</v>
      </c>
      <c r="L17" s="25">
        <v>3</v>
      </c>
      <c r="M17" s="17">
        <f t="shared" si="2"/>
        <v>172800</v>
      </c>
      <c r="O17" s="15">
        <f t="shared" si="1"/>
        <v>0</v>
      </c>
    </row>
    <row r="18" spans="1:15" x14ac:dyDescent="0.2">
      <c r="A18" s="13" t="s">
        <v>34</v>
      </c>
      <c r="B18" s="14" t="s">
        <v>35</v>
      </c>
      <c r="C18" s="15">
        <f>'[6]Team Report'!BA37</f>
        <v>67058.599999999991</v>
      </c>
      <c r="E18" s="15">
        <f t="shared" si="0"/>
        <v>89411.466666666645</v>
      </c>
      <c r="F18" s="15"/>
      <c r="G18" s="140">
        <f>((+'[22]IT Dev'!G19+'[22]IT EOL'!G19+2775700)*1.2)*0.917</f>
        <v>6163340.3119680006</v>
      </c>
      <c r="J18" t="s">
        <v>33</v>
      </c>
      <c r="K18" s="25">
        <v>60000</v>
      </c>
      <c r="L18" s="25">
        <v>1</v>
      </c>
      <c r="M18" s="17">
        <f t="shared" si="2"/>
        <v>60000</v>
      </c>
      <c r="O18" s="15">
        <f t="shared" si="1"/>
        <v>43711.633418212768</v>
      </c>
    </row>
    <row r="19" spans="1:15" x14ac:dyDescent="0.2">
      <c r="A19" s="13" t="s">
        <v>37</v>
      </c>
      <c r="B19" s="14" t="s">
        <v>38</v>
      </c>
      <c r="C19" s="15">
        <f>'[6]Team Report'!BA38</f>
        <v>0</v>
      </c>
      <c r="E19" s="15">
        <f t="shared" si="0"/>
        <v>0</v>
      </c>
      <c r="F19" s="15"/>
      <c r="G19" s="140">
        <f>((+'[22]IT Dev'!G20+'[22]IT EOL'!G20)*1.2)*0.917</f>
        <v>0</v>
      </c>
      <c r="J19" t="s">
        <v>36</v>
      </c>
      <c r="K19" s="25">
        <v>78000</v>
      </c>
      <c r="L19" s="25">
        <f>27+1</f>
        <v>28</v>
      </c>
      <c r="M19" s="17">
        <f t="shared" si="2"/>
        <v>2184000</v>
      </c>
      <c r="O19" s="15">
        <f t="shared" si="1"/>
        <v>0</v>
      </c>
    </row>
    <row r="20" spans="1:15" x14ac:dyDescent="0.2">
      <c r="A20" s="13" t="s">
        <v>40</v>
      </c>
      <c r="B20" s="14" t="s">
        <v>41</v>
      </c>
      <c r="C20" s="15">
        <f>'[6]Team Report'!BA42</f>
        <v>842429.76</v>
      </c>
      <c r="E20" s="15">
        <f t="shared" si="0"/>
        <v>1123239.6800000002</v>
      </c>
      <c r="F20" s="15"/>
      <c r="G20" s="140">
        <f>((+'[22]IT Dev'!G21+'[22]IT EOL'!G21-7942105)*1.2)*0.917</f>
        <v>2031308.0289600005</v>
      </c>
      <c r="J20" t="s">
        <v>39</v>
      </c>
      <c r="K20" s="25">
        <v>102000</v>
      </c>
      <c r="L20" s="25">
        <v>62</v>
      </c>
      <c r="M20" s="17">
        <f t="shared" si="2"/>
        <v>6324000</v>
      </c>
      <c r="O20" s="15">
        <f t="shared" si="1"/>
        <v>14406.439921702131</v>
      </c>
    </row>
    <row r="21" spans="1:15" x14ac:dyDescent="0.2">
      <c r="A21" s="13" t="s">
        <v>43</v>
      </c>
      <c r="B21" s="14" t="s">
        <v>44</v>
      </c>
      <c r="C21" s="15">
        <f>'[6]Team Report'!BA44</f>
        <v>6453.6999999999989</v>
      </c>
      <c r="E21" s="15">
        <f t="shared" si="0"/>
        <v>8604.9333333333325</v>
      </c>
      <c r="F21" s="15"/>
      <c r="G21" s="140">
        <f>((+'[22]IT Dev'!G22+'[22]IT EOL'!G22)*1.2)*0.917</f>
        <v>0</v>
      </c>
      <c r="J21" t="s">
        <v>135</v>
      </c>
      <c r="K21" s="25">
        <v>192000</v>
      </c>
      <c r="L21" s="25">
        <v>0</v>
      </c>
      <c r="M21" s="17">
        <f t="shared" si="2"/>
        <v>0</v>
      </c>
      <c r="O21" s="15">
        <f t="shared" si="1"/>
        <v>0</v>
      </c>
    </row>
    <row r="22" spans="1:15" x14ac:dyDescent="0.2">
      <c r="A22" s="26" t="s">
        <v>46</v>
      </c>
      <c r="B22" s="27" t="s">
        <v>47</v>
      </c>
      <c r="C22" s="28">
        <f>SUM(C8:C21)</f>
        <v>14158713.550000001</v>
      </c>
      <c r="E22" s="28">
        <f>SUM(E8:E21)</f>
        <v>18878284.733333334</v>
      </c>
      <c r="F22" s="29"/>
      <c r="G22" s="28">
        <f>SUM(G8:G21)</f>
        <v>34745464.7680896</v>
      </c>
      <c r="J22" t="s">
        <v>136</v>
      </c>
      <c r="K22" s="25">
        <v>192000</v>
      </c>
      <c r="L22" s="25">
        <v>0</v>
      </c>
      <c r="M22" s="17">
        <f t="shared" si="2"/>
        <v>0</v>
      </c>
      <c r="O22" s="28">
        <f>SUM(O8:O21)</f>
        <v>246421.73594389786</v>
      </c>
    </row>
    <row r="23" spans="1:15" x14ac:dyDescent="0.2">
      <c r="J23" t="s">
        <v>48</v>
      </c>
      <c r="K23" s="25">
        <v>144000</v>
      </c>
      <c r="L23" s="25">
        <v>28</v>
      </c>
      <c r="M23" s="17">
        <f t="shared" si="2"/>
        <v>4032000</v>
      </c>
    </row>
    <row r="24" spans="1:15" x14ac:dyDescent="0.2">
      <c r="B24" s="27" t="s">
        <v>50</v>
      </c>
      <c r="C24" s="55"/>
      <c r="E24" s="55">
        <v>111</v>
      </c>
      <c r="F24" s="60">
        <v>40</v>
      </c>
      <c r="G24" s="79">
        <v>141</v>
      </c>
      <c r="J24" t="s">
        <v>49</v>
      </c>
      <c r="K24" s="25">
        <v>168000</v>
      </c>
      <c r="L24" s="25">
        <v>9</v>
      </c>
      <c r="M24" s="17">
        <f t="shared" si="2"/>
        <v>1512000</v>
      </c>
      <c r="O24" s="31">
        <f>SUM(U15:U19,U22:U26)</f>
        <v>0</v>
      </c>
    </row>
    <row r="25" spans="1:15" x14ac:dyDescent="0.2">
      <c r="J25" t="s">
        <v>51</v>
      </c>
      <c r="K25" s="25">
        <v>216000</v>
      </c>
      <c r="L25" s="25">
        <v>8</v>
      </c>
      <c r="M25" s="17">
        <f t="shared" si="2"/>
        <v>1728000</v>
      </c>
      <c r="O25" s="15"/>
    </row>
    <row r="26" spans="1:15" x14ac:dyDescent="0.2">
      <c r="B26" s="27" t="s">
        <v>67</v>
      </c>
      <c r="C26" s="55"/>
      <c r="E26" s="55"/>
      <c r="F26" s="60"/>
      <c r="G26" s="55"/>
      <c r="J26" t="s">
        <v>52</v>
      </c>
      <c r="K26" s="25">
        <v>222000</v>
      </c>
      <c r="L26" s="25">
        <v>1</v>
      </c>
      <c r="M26" s="17">
        <f t="shared" si="2"/>
        <v>222000</v>
      </c>
      <c r="O26" s="31">
        <f>+U20+U21</f>
        <v>0</v>
      </c>
    </row>
    <row r="27" spans="1:15" x14ac:dyDescent="0.2">
      <c r="J27" t="s">
        <v>54</v>
      </c>
      <c r="K27" s="25">
        <v>300000</v>
      </c>
      <c r="L27" s="25">
        <f>+'[22]IT Dev'!L28+'[22]IT EOL'!L28</f>
        <v>0</v>
      </c>
      <c r="M27" s="17">
        <f t="shared" si="2"/>
        <v>0</v>
      </c>
    </row>
    <row r="28" spans="1:15" x14ac:dyDescent="0.2">
      <c r="B28" s="27" t="s">
        <v>55</v>
      </c>
      <c r="C28" s="55"/>
      <c r="E28" s="55">
        <f>SUM(E24:E27)</f>
        <v>111</v>
      </c>
      <c r="F28" s="60"/>
      <c r="G28" s="55">
        <f>SUM(G24:G27)</f>
        <v>141</v>
      </c>
      <c r="L28" s="25">
        <f>SUM(L16:L27)</f>
        <v>140</v>
      </c>
      <c r="M28" s="25">
        <f>SUM(M16:M27)</f>
        <v>16234800</v>
      </c>
      <c r="O28" s="31">
        <v>1</v>
      </c>
    </row>
    <row r="29" spans="1:15" x14ac:dyDescent="0.2">
      <c r="B29" s="27"/>
    </row>
    <row r="30" spans="1:15" hidden="1" x14ac:dyDescent="0.2">
      <c r="A30" s="13" t="s">
        <v>71</v>
      </c>
      <c r="B30" s="14" t="s">
        <v>72</v>
      </c>
      <c r="C30" s="15">
        <f>'[6]Team Report'!BA29</f>
        <v>-24140467.679999996</v>
      </c>
      <c r="E30" s="15">
        <v>0</v>
      </c>
      <c r="F30" s="15"/>
      <c r="J30" t="s">
        <v>102</v>
      </c>
      <c r="L30" s="52"/>
      <c r="M30" s="52">
        <v>0.2</v>
      </c>
    </row>
    <row r="31" spans="1:15" hidden="1" x14ac:dyDescent="0.2">
      <c r="A31" s="13" t="s">
        <v>73</v>
      </c>
      <c r="B31" s="14" t="s">
        <v>74</v>
      </c>
      <c r="C31" s="15">
        <f>'[6]Team Report'!BA30</f>
        <v>0</v>
      </c>
      <c r="E31" s="15">
        <f>(C31/9)*12</f>
        <v>0</v>
      </c>
      <c r="F31" s="15"/>
    </row>
    <row r="32" spans="1:15" hidden="1" x14ac:dyDescent="0.2">
      <c r="A32" s="13" t="s">
        <v>75</v>
      </c>
      <c r="B32" s="14" t="s">
        <v>76</v>
      </c>
      <c r="C32" s="15">
        <f>'[6]Team Report'!BA31</f>
        <v>0</v>
      </c>
      <c r="E32" s="15">
        <f>(C32/9)*12</f>
        <v>0</v>
      </c>
      <c r="F32" s="15"/>
      <c r="J32" t="s">
        <v>132</v>
      </c>
      <c r="K32" s="25">
        <v>160000</v>
      </c>
      <c r="L32" s="25">
        <v>0</v>
      </c>
      <c r="M32" s="17">
        <f>K32*L32</f>
        <v>0</v>
      </c>
    </row>
    <row r="33" spans="1:13" hidden="1" x14ac:dyDescent="0.2">
      <c r="A33" s="13" t="s">
        <v>77</v>
      </c>
      <c r="B33" s="14" t="s">
        <v>78</v>
      </c>
      <c r="C33" s="15">
        <f>'[6]Team Report'!BA39</f>
        <v>0</v>
      </c>
      <c r="E33" s="15">
        <f>(C33/9)*12</f>
        <v>0</v>
      </c>
      <c r="F33" s="15"/>
    </row>
    <row r="34" spans="1:13" hidden="1" x14ac:dyDescent="0.2">
      <c r="A34" s="13" t="s">
        <v>79</v>
      </c>
      <c r="B34" s="14" t="s">
        <v>80</v>
      </c>
      <c r="C34" s="15">
        <f>'[6]Team Report'!BA40</f>
        <v>164920.93000000002</v>
      </c>
      <c r="E34" s="15">
        <v>0</v>
      </c>
      <c r="F34" s="15"/>
      <c r="L34" s="25">
        <f>+L28+L32</f>
        <v>140</v>
      </c>
      <c r="M34" s="25">
        <f>M28*1.2+M32</f>
        <v>19481760</v>
      </c>
    </row>
    <row r="35" spans="1:13" hidden="1" x14ac:dyDescent="0.2">
      <c r="A35" s="13" t="s">
        <v>81</v>
      </c>
      <c r="B35" s="14" t="s">
        <v>82</v>
      </c>
      <c r="C35" s="15">
        <f>'[6]Team Report'!BA41</f>
        <v>945381.27</v>
      </c>
      <c r="E35" s="15">
        <v>0</v>
      </c>
      <c r="F35" s="15"/>
    </row>
    <row r="36" spans="1:13" hidden="1" x14ac:dyDescent="0.2">
      <c r="A36" s="13" t="s">
        <v>83</v>
      </c>
      <c r="B36" s="14" t="s">
        <v>84</v>
      </c>
      <c r="C36" s="15">
        <f>'[6]Team Report'!BA43</f>
        <v>-5121278.5200000005</v>
      </c>
      <c r="E36" s="15">
        <v>0</v>
      </c>
      <c r="F36" s="15"/>
      <c r="I36" s="33" t="s">
        <v>56</v>
      </c>
    </row>
    <row r="37" spans="1:13" hidden="1" x14ac:dyDescent="0.2">
      <c r="A37" s="13" t="s">
        <v>85</v>
      </c>
      <c r="B37" s="14" t="s">
        <v>86</v>
      </c>
      <c r="C37" s="15">
        <f>'[6]Team Report'!BA45</f>
        <v>0</v>
      </c>
      <c r="E37" s="15">
        <f>(C37/9)*12</f>
        <v>0</v>
      </c>
      <c r="F37" s="15"/>
    </row>
    <row r="38" spans="1:13" hidden="1" x14ac:dyDescent="0.2">
      <c r="A38" s="13" t="s">
        <v>21</v>
      </c>
      <c r="B38" s="14" t="s">
        <v>22</v>
      </c>
      <c r="C38" s="15">
        <v>24143776.43</v>
      </c>
      <c r="E38" s="15">
        <v>0</v>
      </c>
      <c r="F38" s="15"/>
      <c r="I38" t="s">
        <v>133</v>
      </c>
    </row>
    <row r="39" spans="1:13" hidden="1" x14ac:dyDescent="0.2"/>
    <row r="40" spans="1:13" hidden="1" x14ac:dyDescent="0.2"/>
    <row r="41" spans="1:13" hidden="1" x14ac:dyDescent="0.2"/>
    <row r="42" spans="1:13" hidden="1" x14ac:dyDescent="0.2"/>
    <row r="43" spans="1:13" hidden="1" x14ac:dyDescent="0.2">
      <c r="C43" s="54">
        <f>C22+C30+C31+C32+C33+C34+C35+C36+C37</f>
        <v>-13992730.449999996</v>
      </c>
    </row>
    <row r="45" spans="1:13" x14ac:dyDescent="0.2">
      <c r="B45" s="14" t="s">
        <v>168</v>
      </c>
    </row>
    <row r="46" spans="1:13" x14ac:dyDescent="0.2">
      <c r="B46" s="14" t="s">
        <v>169</v>
      </c>
    </row>
    <row r="47" spans="1:13" x14ac:dyDescent="0.2">
      <c r="B47" s="14" t="s">
        <v>170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scale="96" orientation="portrait" verticalDpi="196" r:id="rId1"/>
  <headerFooter alignWithMargins="0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AS43"/>
  <sheetViews>
    <sheetView zoomScaleNormal="100" workbookViewId="0">
      <selection activeCell="F8" sqref="F8:F21"/>
    </sheetView>
  </sheetViews>
  <sheetFormatPr defaultRowHeight="12.75" x14ac:dyDescent="0.2"/>
  <cols>
    <col min="1" max="1" width="5.140625" customWidth="1"/>
    <col min="2" max="2" width="23.42578125" bestFit="1" customWidth="1"/>
    <col min="3" max="3" width="15.85546875" hidden="1" customWidth="1"/>
    <col min="4" max="4" width="1.85546875" customWidth="1"/>
    <col min="5" max="5" width="13.85546875" hidden="1" customWidth="1"/>
    <col min="6" max="7" width="2.28515625" hidden="1" customWidth="1"/>
    <col min="8" max="8" width="13" customWidth="1"/>
    <col min="9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50" width="0" hidden="1" customWidth="1"/>
  </cols>
  <sheetData>
    <row r="1" spans="1:45" ht="18" x14ac:dyDescent="0.25">
      <c r="B1" s="142" t="str">
        <f>'[25]Team Report'!B1</f>
        <v>Enron North America</v>
      </c>
      <c r="C1" s="142"/>
      <c r="D1" s="142"/>
      <c r="E1" s="142"/>
      <c r="F1" s="144"/>
      <c r="G1" s="144"/>
      <c r="H1" s="144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2" t="str">
        <f>"IT Infrastructure"</f>
        <v>IT Infrastructure</v>
      </c>
      <c r="C2" s="142"/>
      <c r="D2" s="142"/>
      <c r="E2" s="142"/>
      <c r="F2" s="144"/>
      <c r="G2" s="144"/>
      <c r="H2" s="144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42" t="s">
        <v>0</v>
      </c>
      <c r="C3" s="142"/>
      <c r="D3" s="142"/>
      <c r="E3" s="142"/>
      <c r="F3" s="144"/>
      <c r="G3" s="144"/>
      <c r="H3" s="144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47"/>
      <c r="K4" s="147"/>
      <c r="L4" s="147"/>
      <c r="M4" s="147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H6" s="11">
        <v>2002</v>
      </c>
      <c r="J6" s="7"/>
      <c r="K6" s="19" t="s">
        <v>1</v>
      </c>
      <c r="L6" s="19" t="s">
        <v>2</v>
      </c>
      <c r="M6" s="74" t="s">
        <v>107</v>
      </c>
      <c r="Q6" s="44" t="s">
        <v>63</v>
      </c>
    </row>
    <row r="7" spans="1:45" x14ac:dyDescent="0.2">
      <c r="C7" s="12" t="s">
        <v>5</v>
      </c>
      <c r="E7" s="12" t="s">
        <v>6</v>
      </c>
      <c r="H7" s="12" t="s">
        <v>7</v>
      </c>
      <c r="J7" s="7"/>
      <c r="K7" s="17"/>
      <c r="L7" s="17"/>
      <c r="M7" s="43"/>
      <c r="Q7" s="12" t="s">
        <v>7</v>
      </c>
    </row>
    <row r="8" spans="1:45" x14ac:dyDescent="0.2">
      <c r="A8" s="13" t="s">
        <v>9</v>
      </c>
      <c r="B8" s="14" t="s">
        <v>10</v>
      </c>
      <c r="C8" s="53">
        <f>'[25]Team Report'!BA25</f>
        <v>10228335.790000001</v>
      </c>
      <c r="E8" s="15">
        <f>+C8/9*12</f>
        <v>13637781.053333335</v>
      </c>
      <c r="H8" s="140">
        <f>((+M28)*1.2)*0.917</f>
        <v>7715564.6400000006</v>
      </c>
      <c r="J8" s="7"/>
      <c r="K8" s="17"/>
      <c r="L8" s="17"/>
      <c r="M8" s="43"/>
      <c r="Q8" s="15">
        <f t="shared" ref="Q8:Q21" si="0">+H8/$H$28*$Q$28</f>
        <v>130772.28203389831</v>
      </c>
    </row>
    <row r="9" spans="1:45" x14ac:dyDescent="0.2">
      <c r="A9" s="13"/>
      <c r="B9" s="14" t="s">
        <v>122</v>
      </c>
      <c r="C9" s="15">
        <v>0</v>
      </c>
      <c r="E9" s="15">
        <f t="shared" ref="E9:E19" si="1">(C9/9)*12</f>
        <v>0</v>
      </c>
      <c r="H9" s="140">
        <f>(((F9/9)*12)*1.2)*0.917</f>
        <v>0</v>
      </c>
      <c r="J9" s="7"/>
      <c r="K9" s="17"/>
      <c r="L9" s="17"/>
      <c r="M9" s="43"/>
      <c r="Q9" s="15">
        <f t="shared" si="0"/>
        <v>0</v>
      </c>
    </row>
    <row r="10" spans="1:45" x14ac:dyDescent="0.2">
      <c r="A10" s="13" t="s">
        <v>13</v>
      </c>
      <c r="B10" s="14" t="s">
        <v>14</v>
      </c>
      <c r="C10" s="15">
        <f>'[25]Team Report'!BA26</f>
        <v>1877442.13</v>
      </c>
      <c r="E10" s="15">
        <f t="shared" si="1"/>
        <v>2503256.1733333333</v>
      </c>
      <c r="H10" s="140">
        <f>((+H8*0.2)*1.2)*0.917</f>
        <v>1698041.4659712005</v>
      </c>
      <c r="J10" s="7"/>
      <c r="K10" s="17"/>
      <c r="L10" s="17"/>
      <c r="M10" s="43"/>
      <c r="Q10" s="15">
        <f t="shared" si="0"/>
        <v>28780.363830020346</v>
      </c>
    </row>
    <row r="11" spans="1:45" x14ac:dyDescent="0.2">
      <c r="A11" s="13" t="s">
        <v>16</v>
      </c>
      <c r="B11" s="14" t="s">
        <v>17</v>
      </c>
      <c r="C11" s="15">
        <f>'[25]Team Report'!BA27</f>
        <v>405632.98</v>
      </c>
      <c r="E11" s="15">
        <f t="shared" si="1"/>
        <v>540843.97333333339</v>
      </c>
      <c r="H11" s="140">
        <f>(((2485728*0.35+1000000)*0.559633027522936)*1.2)*0.917</f>
        <v>1151586.6990561467</v>
      </c>
      <c r="J11" s="7" t="s">
        <v>15</v>
      </c>
      <c r="K11" s="17">
        <f>18495*1.2</f>
        <v>22194</v>
      </c>
      <c r="L11" s="17">
        <f>+L34</f>
        <v>67</v>
      </c>
      <c r="M11" s="43">
        <f>K11*L11+32600125</f>
        <v>34087123</v>
      </c>
      <c r="Q11" s="15">
        <f t="shared" si="0"/>
        <v>19518.418628070282</v>
      </c>
    </row>
    <row r="12" spans="1:45" x14ac:dyDescent="0.2">
      <c r="A12" s="13" t="s">
        <v>18</v>
      </c>
      <c r="B12" s="14" t="s">
        <v>19</v>
      </c>
      <c r="C12" s="15">
        <f>'[25]Team Report'!BA28</f>
        <v>648740.16999999993</v>
      </c>
      <c r="E12" s="15">
        <f t="shared" si="1"/>
        <v>864986.8933333332</v>
      </c>
      <c r="H12" s="140">
        <f>(((2485728*0.13+1000000)*0.559633027522936)*1.2)*0.917</f>
        <v>814819.1749836331</v>
      </c>
      <c r="J12" s="7"/>
      <c r="K12" s="17"/>
      <c r="L12" s="17"/>
      <c r="M12" s="43"/>
      <c r="Q12" s="15">
        <f t="shared" si="0"/>
        <v>13810.494491248019</v>
      </c>
    </row>
    <row r="13" spans="1:45" ht="13.5" thickBot="1" x14ac:dyDescent="0.25">
      <c r="A13" s="13" t="s">
        <v>21</v>
      </c>
      <c r="B13" s="14" t="s">
        <v>22</v>
      </c>
      <c r="C13" s="15">
        <v>0</v>
      </c>
      <c r="E13" s="15">
        <f t="shared" si="1"/>
        <v>0</v>
      </c>
      <c r="H13" s="140">
        <v>2200800</v>
      </c>
      <c r="J13" s="22" t="s">
        <v>20</v>
      </c>
      <c r="K13" s="47"/>
      <c r="L13" s="47"/>
      <c r="M13" s="48">
        <f>SUM(M9:M11)</f>
        <v>34087123</v>
      </c>
      <c r="Q13" s="15">
        <f t="shared" si="0"/>
        <v>37301.694915254237</v>
      </c>
    </row>
    <row r="14" spans="1:45" x14ac:dyDescent="0.2">
      <c r="A14" s="13" t="s">
        <v>23</v>
      </c>
      <c r="B14" s="14" t="s">
        <v>24</v>
      </c>
      <c r="C14" s="15">
        <f>'[25]Team Report'!BA33</f>
        <v>76876.320000000007</v>
      </c>
      <c r="E14" s="15">
        <f t="shared" si="1"/>
        <v>102501.76000000001</v>
      </c>
      <c r="H14" s="140">
        <f>(((2485728*0.08+100000)*0.559633027522936)*1.2)*0.917</f>
        <v>184042.9361931743</v>
      </c>
      <c r="J14" s="8"/>
      <c r="K14" s="17"/>
      <c r="L14" s="17"/>
      <c r="M14" s="17"/>
      <c r="Q14" s="15">
        <f t="shared" si="0"/>
        <v>3119.3717998843103</v>
      </c>
    </row>
    <row r="15" spans="1:45" x14ac:dyDescent="0.2">
      <c r="A15" s="13" t="s">
        <v>25</v>
      </c>
      <c r="B15" s="14" t="s">
        <v>26</v>
      </c>
      <c r="C15" s="15">
        <f>'[25]Team Report'!BA34</f>
        <v>0</v>
      </c>
      <c r="E15" s="15">
        <f t="shared" si="1"/>
        <v>0</v>
      </c>
      <c r="H15" s="140">
        <v>0</v>
      </c>
      <c r="J15" s="8"/>
      <c r="K15" s="17"/>
      <c r="L15" s="78"/>
      <c r="M15" s="17"/>
      <c r="Q15" s="15">
        <f t="shared" si="0"/>
        <v>0</v>
      </c>
    </row>
    <row r="16" spans="1:45" x14ac:dyDescent="0.2">
      <c r="A16" s="13" t="s">
        <v>28</v>
      </c>
      <c r="B16" s="14" t="s">
        <v>29</v>
      </c>
      <c r="C16" s="15">
        <f>'[25]Team Report'!BA35</f>
        <v>0</v>
      </c>
      <c r="E16" s="15">
        <f t="shared" si="1"/>
        <v>0</v>
      </c>
      <c r="H16" s="140">
        <v>0</v>
      </c>
      <c r="J16" t="s">
        <v>27</v>
      </c>
      <c r="K16" s="25">
        <v>49200</v>
      </c>
      <c r="L16" s="25">
        <v>0</v>
      </c>
      <c r="M16" s="17">
        <f t="shared" ref="M16:M27" si="2">K16*L16</f>
        <v>0</v>
      </c>
      <c r="Q16" s="15">
        <f t="shared" si="0"/>
        <v>0</v>
      </c>
    </row>
    <row r="17" spans="1:17" x14ac:dyDescent="0.2">
      <c r="A17" s="13" t="s">
        <v>31</v>
      </c>
      <c r="B17" s="14" t="s">
        <v>32</v>
      </c>
      <c r="C17" s="15">
        <f>'[25]Team Report'!BA36</f>
        <v>5744.1</v>
      </c>
      <c r="E17" s="15">
        <f t="shared" si="1"/>
        <v>7658.8</v>
      </c>
      <c r="H17" s="140">
        <v>2130374.4</v>
      </c>
      <c r="J17" t="s">
        <v>30</v>
      </c>
      <c r="K17" s="25">
        <v>57600</v>
      </c>
      <c r="L17" s="25">
        <v>1</v>
      </c>
      <c r="M17" s="17">
        <f t="shared" si="2"/>
        <v>57600</v>
      </c>
      <c r="Q17" s="15">
        <f t="shared" si="0"/>
        <v>36108.040677966099</v>
      </c>
    </row>
    <row r="18" spans="1:17" x14ac:dyDescent="0.2">
      <c r="A18" s="13" t="s">
        <v>34</v>
      </c>
      <c r="B18" s="14" t="s">
        <v>35</v>
      </c>
      <c r="C18" s="15">
        <f>'[25]Team Report'!BA37</f>
        <v>67058.599999999991</v>
      </c>
      <c r="E18" s="15">
        <f t="shared" si="1"/>
        <v>89411.466666666645</v>
      </c>
      <c r="H18" s="140">
        <f>(((2485728*0.29+2500000)*0.559633027522936+3445700)*1.2)*0.917</f>
        <v>5775119.5659020925</v>
      </c>
      <c r="J18" t="s">
        <v>33</v>
      </c>
      <c r="K18" s="25">
        <v>60000</v>
      </c>
      <c r="L18" s="25">
        <v>2</v>
      </c>
      <c r="M18" s="17">
        <f t="shared" si="2"/>
        <v>120000</v>
      </c>
      <c r="Q18" s="15">
        <f t="shared" si="0"/>
        <v>97883.382472916826</v>
      </c>
    </row>
    <row r="19" spans="1:17" x14ac:dyDescent="0.2">
      <c r="A19" s="13" t="s">
        <v>37</v>
      </c>
      <c r="B19" s="14" t="s">
        <v>38</v>
      </c>
      <c r="C19" s="15">
        <f>'[25]Team Report'!BA38</f>
        <v>0</v>
      </c>
      <c r="E19" s="15">
        <f t="shared" si="1"/>
        <v>0</v>
      </c>
      <c r="H19" s="140">
        <v>0</v>
      </c>
      <c r="J19" t="s">
        <v>36</v>
      </c>
      <c r="K19" s="25">
        <v>78000</v>
      </c>
      <c r="L19" s="25">
        <v>9</v>
      </c>
      <c r="M19" s="17">
        <f t="shared" si="2"/>
        <v>702000</v>
      </c>
      <c r="Q19" s="15">
        <f t="shared" si="0"/>
        <v>0</v>
      </c>
    </row>
    <row r="20" spans="1:17" x14ac:dyDescent="0.2">
      <c r="A20" s="13" t="s">
        <v>40</v>
      </c>
      <c r="B20" s="14" t="s">
        <v>41</v>
      </c>
      <c r="C20" s="15">
        <f>'[25]Team Report'!BA42</f>
        <v>842429.76</v>
      </c>
      <c r="E20" s="15">
        <f>(C20/9)*12+32600125</f>
        <v>33723364.68</v>
      </c>
      <c r="H20" s="140">
        <f>((2485728*0.15+2500000+35100000-32660209)*1.2)*0.917</f>
        <v>5846040.2800800027</v>
      </c>
      <c r="J20" t="s">
        <v>39</v>
      </c>
      <c r="K20" s="25">
        <v>102000</v>
      </c>
      <c r="L20" s="25">
        <v>25</v>
      </c>
      <c r="M20" s="17">
        <f t="shared" si="2"/>
        <v>2550000</v>
      </c>
      <c r="Q20" s="15">
        <f t="shared" si="0"/>
        <v>99085.428475932247</v>
      </c>
    </row>
    <row r="21" spans="1:17" x14ac:dyDescent="0.2">
      <c r="A21" s="13" t="s">
        <v>43</v>
      </c>
      <c r="B21" s="14" t="s">
        <v>44</v>
      </c>
      <c r="C21" s="15">
        <f>'[25]Team Report'!BA44</f>
        <v>6453.6999999999989</v>
      </c>
      <c r="E21" s="15">
        <f>(C21/9)*12</f>
        <v>8604.9333333333325</v>
      </c>
      <c r="H21" s="140">
        <f>(((F21/9)*12)*1.2)*0.917</f>
        <v>0</v>
      </c>
      <c r="J21" t="s">
        <v>42</v>
      </c>
      <c r="K21" s="25">
        <v>0</v>
      </c>
      <c r="L21" s="25">
        <v>0</v>
      </c>
      <c r="M21" s="17">
        <f t="shared" si="2"/>
        <v>0</v>
      </c>
      <c r="Q21" s="15">
        <f t="shared" si="0"/>
        <v>0</v>
      </c>
    </row>
    <row r="22" spans="1:17" x14ac:dyDescent="0.2">
      <c r="A22" s="26" t="s">
        <v>46</v>
      </c>
      <c r="B22" s="27" t="s">
        <v>47</v>
      </c>
      <c r="C22" s="28">
        <f>SUM(C8:C21)</f>
        <v>14158713.550000001</v>
      </c>
      <c r="E22" s="28">
        <f>SUM(E8:E21)</f>
        <v>51478409.733333327</v>
      </c>
      <c r="H22" s="28">
        <f>SUM(H8:H21)</f>
        <v>27516389.16218625</v>
      </c>
      <c r="J22" t="s">
        <v>136</v>
      </c>
      <c r="K22" s="25">
        <v>192000</v>
      </c>
      <c r="L22" s="25">
        <v>0</v>
      </c>
      <c r="M22" s="17">
        <f t="shared" si="2"/>
        <v>0</v>
      </c>
      <c r="Q22" s="28">
        <f>SUM(Q8:Q21)</f>
        <v>466379.47732519056</v>
      </c>
    </row>
    <row r="23" spans="1:17" x14ac:dyDescent="0.2">
      <c r="J23" t="s">
        <v>48</v>
      </c>
      <c r="K23" s="25">
        <v>144000</v>
      </c>
      <c r="L23" s="25">
        <v>15</v>
      </c>
      <c r="M23" s="17">
        <f t="shared" si="2"/>
        <v>2160000</v>
      </c>
    </row>
    <row r="24" spans="1:17" x14ac:dyDescent="0.2">
      <c r="B24" s="27" t="s">
        <v>50</v>
      </c>
      <c r="C24" s="55"/>
      <c r="E24" s="55">
        <v>111</v>
      </c>
      <c r="F24">
        <v>40</v>
      </c>
      <c r="H24" s="79">
        <f>+L28-1</f>
        <v>58</v>
      </c>
      <c r="J24" t="s">
        <v>49</v>
      </c>
      <c r="K24" s="25">
        <v>168000</v>
      </c>
      <c r="L24" s="25">
        <v>2</v>
      </c>
      <c r="M24" s="17">
        <f t="shared" si="2"/>
        <v>336000</v>
      </c>
      <c r="Q24" s="31">
        <f>+T15+T16+T17+T18+T19+T22+T23+T24+T25+T26</f>
        <v>0</v>
      </c>
    </row>
    <row r="25" spans="1:17" x14ac:dyDescent="0.2">
      <c r="J25" t="s">
        <v>51</v>
      </c>
      <c r="K25" s="25">
        <v>216000</v>
      </c>
      <c r="L25" s="25">
        <v>4</v>
      </c>
      <c r="M25" s="17">
        <f t="shared" si="2"/>
        <v>864000</v>
      </c>
      <c r="Q25" s="15"/>
    </row>
    <row r="26" spans="1:17" x14ac:dyDescent="0.2">
      <c r="B26" s="27" t="s">
        <v>67</v>
      </c>
      <c r="C26" s="55"/>
      <c r="E26" s="55"/>
      <c r="H26" s="55">
        <v>1</v>
      </c>
      <c r="J26" t="s">
        <v>52</v>
      </c>
      <c r="K26" s="25">
        <v>222000</v>
      </c>
      <c r="L26" s="25">
        <v>1</v>
      </c>
      <c r="M26" s="17">
        <f t="shared" si="2"/>
        <v>222000</v>
      </c>
      <c r="Q26" s="31">
        <f>+T20+T21</f>
        <v>0</v>
      </c>
    </row>
    <row r="27" spans="1:17" x14ac:dyDescent="0.2">
      <c r="J27" t="s">
        <v>54</v>
      </c>
      <c r="K27" s="25">
        <v>300000</v>
      </c>
      <c r="L27" s="25">
        <v>0</v>
      </c>
      <c r="M27" s="17">
        <f t="shared" si="2"/>
        <v>0</v>
      </c>
    </row>
    <row r="28" spans="1:17" x14ac:dyDescent="0.2">
      <c r="B28" s="27" t="s">
        <v>55</v>
      </c>
      <c r="C28" s="55"/>
      <c r="E28" s="55">
        <f>SUM(E24:E27)</f>
        <v>111</v>
      </c>
      <c r="H28" s="55">
        <f>SUM(H24:H27)</f>
        <v>59</v>
      </c>
      <c r="L28" s="25">
        <f>SUM(L16:L27)</f>
        <v>59</v>
      </c>
      <c r="M28" s="25">
        <f>SUM(M16:M27)</f>
        <v>7011600</v>
      </c>
      <c r="Q28" s="31">
        <v>1</v>
      </c>
    </row>
    <row r="29" spans="1:17" x14ac:dyDescent="0.2">
      <c r="B29" s="27"/>
    </row>
    <row r="30" spans="1:17" hidden="1" x14ac:dyDescent="0.2">
      <c r="A30" s="13" t="s">
        <v>71</v>
      </c>
      <c r="B30" s="14" t="s">
        <v>72</v>
      </c>
      <c r="C30" s="15">
        <f>'[25]Team Report'!BA29</f>
        <v>-24140467.679999996</v>
      </c>
      <c r="E30" s="15">
        <v>0</v>
      </c>
      <c r="J30" t="s">
        <v>102</v>
      </c>
      <c r="L30" s="52"/>
      <c r="M30" s="52">
        <v>0.2</v>
      </c>
    </row>
    <row r="31" spans="1:17" hidden="1" x14ac:dyDescent="0.2">
      <c r="A31" s="13" t="s">
        <v>73</v>
      </c>
      <c r="B31" s="14" t="s">
        <v>74</v>
      </c>
      <c r="C31" s="15">
        <f>'[25]Team Report'!BA30</f>
        <v>0</v>
      </c>
      <c r="E31" s="15">
        <f>(C31/9)*12</f>
        <v>0</v>
      </c>
    </row>
    <row r="32" spans="1:17" hidden="1" x14ac:dyDescent="0.2">
      <c r="A32" s="13" t="s">
        <v>75</v>
      </c>
      <c r="B32" s="14" t="s">
        <v>76</v>
      </c>
      <c r="C32" s="15">
        <f>'[25]Team Report'!BA31</f>
        <v>0</v>
      </c>
      <c r="E32" s="15">
        <f>(C32/9)*12</f>
        <v>0</v>
      </c>
      <c r="J32" t="s">
        <v>132</v>
      </c>
      <c r="K32" s="25">
        <v>192000</v>
      </c>
      <c r="L32" s="25">
        <v>8</v>
      </c>
      <c r="M32" s="17">
        <f>K32*L32</f>
        <v>1536000</v>
      </c>
    </row>
    <row r="33" spans="1:13" hidden="1" x14ac:dyDescent="0.2">
      <c r="A33" s="13" t="s">
        <v>77</v>
      </c>
      <c r="B33" s="14" t="s">
        <v>78</v>
      </c>
      <c r="C33" s="15">
        <f>'[25]Team Report'!BA39</f>
        <v>0</v>
      </c>
      <c r="E33" s="15">
        <f>(C33/9)*12</f>
        <v>0</v>
      </c>
    </row>
    <row r="34" spans="1:13" hidden="1" x14ac:dyDescent="0.2">
      <c r="A34" s="13" t="s">
        <v>79</v>
      </c>
      <c r="B34" s="14" t="s">
        <v>80</v>
      </c>
      <c r="C34" s="15">
        <f>'[25]Team Report'!BA40</f>
        <v>164920.93000000002</v>
      </c>
      <c r="E34" s="15">
        <v>0</v>
      </c>
      <c r="L34" s="25">
        <f>+L28+L32</f>
        <v>67</v>
      </c>
      <c r="M34" s="25">
        <f>M28*1.2+M32</f>
        <v>9949920</v>
      </c>
    </row>
    <row r="35" spans="1:13" hidden="1" x14ac:dyDescent="0.2">
      <c r="A35" s="13" t="s">
        <v>81</v>
      </c>
      <c r="B35" s="14" t="s">
        <v>82</v>
      </c>
      <c r="C35" s="15">
        <f>'[25]Team Report'!BA41</f>
        <v>945381.27</v>
      </c>
      <c r="E35" s="15">
        <v>0</v>
      </c>
    </row>
    <row r="36" spans="1:13" hidden="1" x14ac:dyDescent="0.2">
      <c r="A36" s="13" t="s">
        <v>83</v>
      </c>
      <c r="B36" s="14" t="s">
        <v>84</v>
      </c>
      <c r="C36" s="15">
        <f>'[25]Team Report'!BA43</f>
        <v>-5121278.5200000005</v>
      </c>
      <c r="E36" s="15">
        <v>0</v>
      </c>
      <c r="I36" s="33" t="s">
        <v>56</v>
      </c>
    </row>
    <row r="37" spans="1:13" hidden="1" x14ac:dyDescent="0.2">
      <c r="A37" s="13" t="s">
        <v>85</v>
      </c>
      <c r="B37" s="14" t="s">
        <v>86</v>
      </c>
      <c r="C37" s="15">
        <f>'[25]Team Report'!BA45</f>
        <v>0</v>
      </c>
      <c r="E37" s="15">
        <f>(C37/9)*12</f>
        <v>0</v>
      </c>
    </row>
    <row r="38" spans="1:13" hidden="1" x14ac:dyDescent="0.2">
      <c r="A38" s="13" t="s">
        <v>21</v>
      </c>
      <c r="B38" s="14" t="s">
        <v>22</v>
      </c>
      <c r="C38" s="15">
        <v>24143776.43</v>
      </c>
      <c r="E38" s="15">
        <v>0</v>
      </c>
      <c r="I38" t="s">
        <v>133</v>
      </c>
    </row>
    <row r="39" spans="1:13" x14ac:dyDescent="0.2">
      <c r="J39">
        <f>61/109</f>
        <v>0.55963302752293576</v>
      </c>
    </row>
    <row r="41" spans="1:13" x14ac:dyDescent="0.2">
      <c r="B41" s="14" t="s">
        <v>167</v>
      </c>
    </row>
    <row r="42" spans="1:13" x14ac:dyDescent="0.2">
      <c r="B42" s="14" t="s">
        <v>173</v>
      </c>
    </row>
    <row r="43" spans="1:13" x14ac:dyDescent="0.2">
      <c r="B43" s="14" t="s">
        <v>174</v>
      </c>
      <c r="C43" s="54">
        <f>C22+C30+C31+C32+C33+C34+C35+C36+C37</f>
        <v>-13992730.449999996</v>
      </c>
    </row>
  </sheetData>
  <mergeCells count="4">
    <mergeCell ref="J4:M4"/>
    <mergeCell ref="B1:H1"/>
    <mergeCell ref="B2:H2"/>
    <mergeCell ref="B3:H3"/>
  </mergeCells>
  <phoneticPr fontId="0" type="noConversion"/>
  <printOptions horizontalCentered="1"/>
  <pageMargins left="2.17" right="0.75" top="0.56000000000000005" bottom="0.48" header="0.94" footer="0.5"/>
  <pageSetup orientation="portrait" verticalDpi="196" r:id="rId1"/>
  <headerFooter alignWithMargins="0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>
    <pageSetUpPr fitToPage="1"/>
  </sheetPr>
  <dimension ref="A1:AS18"/>
  <sheetViews>
    <sheetView zoomScaleNormal="100" workbookViewId="0">
      <selection activeCell="F8" sqref="F8:F21"/>
    </sheetView>
  </sheetViews>
  <sheetFormatPr defaultRowHeight="12.75" x14ac:dyDescent="0.2"/>
  <cols>
    <col min="1" max="1" width="5.140625" customWidth="1"/>
    <col min="2" max="2" width="23.42578125" bestFit="1" customWidth="1"/>
    <col min="3" max="3" width="15.85546875" hidden="1" customWidth="1"/>
    <col min="4" max="4" width="1.85546875" customWidth="1"/>
    <col min="5" max="5" width="13.85546875" hidden="1" customWidth="1"/>
    <col min="6" max="7" width="2.28515625" hidden="1" customWidth="1"/>
    <col min="8" max="8" width="13" customWidth="1"/>
    <col min="9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50" width="0" hidden="1" customWidth="1"/>
  </cols>
  <sheetData>
    <row r="1" spans="1:45" ht="18" x14ac:dyDescent="0.25">
      <c r="B1" s="142" t="str">
        <f>'[25]Team Report'!B1</f>
        <v>Enron North America</v>
      </c>
      <c r="C1" s="142"/>
      <c r="D1" s="142"/>
      <c r="E1" s="142"/>
      <c r="F1" s="144"/>
      <c r="G1" s="144"/>
      <c r="H1" s="144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2" t="s">
        <v>323</v>
      </c>
      <c r="C2" s="142"/>
      <c r="D2" s="142"/>
      <c r="E2" s="142"/>
      <c r="F2" s="144"/>
      <c r="G2" s="144"/>
      <c r="H2" s="144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42" t="s">
        <v>0</v>
      </c>
      <c r="C3" s="142"/>
      <c r="D3" s="142"/>
      <c r="E3" s="142"/>
      <c r="F3" s="144"/>
      <c r="G3" s="144"/>
      <c r="H3" s="144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47"/>
      <c r="K4" s="147"/>
      <c r="L4" s="147"/>
      <c r="M4" s="147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H6" s="11">
        <v>2002</v>
      </c>
      <c r="J6" s="7"/>
      <c r="K6" s="19" t="s">
        <v>1</v>
      </c>
      <c r="L6" s="19" t="s">
        <v>2</v>
      </c>
      <c r="M6" s="74" t="s">
        <v>107</v>
      </c>
      <c r="Q6" s="44" t="s">
        <v>63</v>
      </c>
    </row>
    <row r="7" spans="1:45" x14ac:dyDescent="0.2">
      <c r="C7" s="12" t="s">
        <v>5</v>
      </c>
      <c r="E7" s="12" t="s">
        <v>6</v>
      </c>
      <c r="H7" s="12" t="s">
        <v>7</v>
      </c>
      <c r="J7" s="7"/>
      <c r="K7" s="17"/>
      <c r="L7" s="17"/>
      <c r="M7" s="43"/>
      <c r="Q7" s="12" t="s">
        <v>7</v>
      </c>
    </row>
    <row r="8" spans="1:45" x14ac:dyDescent="0.2">
      <c r="A8" s="13" t="s">
        <v>9</v>
      </c>
      <c r="B8" s="14" t="s">
        <v>324</v>
      </c>
      <c r="C8" s="53">
        <f>'[25]Team Report'!BA25</f>
        <v>10228335.790000001</v>
      </c>
      <c r="E8" s="15">
        <f>+C8/9*12</f>
        <v>13637781.053333335</v>
      </c>
      <c r="H8" s="140">
        <v>1100400</v>
      </c>
      <c r="I8" s="140"/>
      <c r="J8" s="140"/>
      <c r="K8" s="140"/>
      <c r="L8" s="140"/>
      <c r="M8" s="140"/>
      <c r="N8" s="140"/>
      <c r="O8" s="140"/>
      <c r="P8" s="140"/>
      <c r="Q8" s="140" t="e">
        <f>+H8/#REF!*#REF!</f>
        <v>#REF!</v>
      </c>
      <c r="R8" s="140"/>
      <c r="S8" s="140"/>
      <c r="T8" s="140"/>
      <c r="U8" s="140"/>
    </row>
    <row r="9" spans="1:45" hidden="1" x14ac:dyDescent="0.2">
      <c r="A9" s="13"/>
      <c r="B9" s="14" t="s">
        <v>11</v>
      </c>
      <c r="C9" s="15">
        <v>0</v>
      </c>
      <c r="E9" s="15">
        <f t="shared" ref="E9:E16" si="0">(C9/9)*12</f>
        <v>0</v>
      </c>
      <c r="H9">
        <f>((((F9/9)*12)*1.2)*1.2)*0.917</f>
        <v>0</v>
      </c>
      <c r="J9" s="7" t="s">
        <v>10</v>
      </c>
      <c r="K9" s="17">
        <v>0</v>
      </c>
      <c r="L9" s="17" t="e">
        <f>+#REF!</f>
        <v>#REF!</v>
      </c>
      <c r="M9" s="43" t="e">
        <f>#REF!</f>
        <v>#REF!</v>
      </c>
      <c r="Q9" s="15" t="e">
        <f>+H9/#REF!*#REF!</f>
        <v>#REF!</v>
      </c>
    </row>
    <row r="10" spans="1:45" hidden="1" x14ac:dyDescent="0.2">
      <c r="A10" s="13"/>
      <c r="B10" s="14" t="s">
        <v>122</v>
      </c>
      <c r="C10" s="15">
        <v>0</v>
      </c>
      <c r="E10" s="15">
        <f t="shared" si="0"/>
        <v>0</v>
      </c>
      <c r="H10">
        <f>((((F10/9)*12)*1.2)*1.2)*0.917</f>
        <v>0</v>
      </c>
      <c r="J10" s="7"/>
      <c r="K10" s="17"/>
      <c r="L10" s="17"/>
      <c r="M10" s="43"/>
      <c r="Q10" s="15" t="e">
        <f>+H10/#REF!*#REF!</f>
        <v>#REF!</v>
      </c>
    </row>
    <row r="11" spans="1:45" x14ac:dyDescent="0.2">
      <c r="A11" s="13" t="s">
        <v>13</v>
      </c>
      <c r="B11" s="14" t="s">
        <v>325</v>
      </c>
      <c r="C11" s="15">
        <f>'[25]Team Report'!BA26</f>
        <v>1877442.13</v>
      </c>
      <c r="E11" s="15">
        <f t="shared" si="0"/>
        <v>2503256.1733333333</v>
      </c>
      <c r="H11" s="140">
        <v>11004000</v>
      </c>
      <c r="J11" s="7"/>
      <c r="K11" s="17"/>
      <c r="L11" s="17"/>
      <c r="M11" s="43"/>
      <c r="Q11" s="15" t="e">
        <f>+H11/#REF!*#REF!</f>
        <v>#REF!</v>
      </c>
    </row>
    <row r="12" spans="1:45" x14ac:dyDescent="0.2">
      <c r="A12" s="13" t="s">
        <v>16</v>
      </c>
      <c r="B12" s="14" t="s">
        <v>326</v>
      </c>
      <c r="C12" s="15">
        <f>'[25]Team Report'!BA27</f>
        <v>405632.98</v>
      </c>
      <c r="E12" s="15">
        <f t="shared" si="0"/>
        <v>540843.97333333339</v>
      </c>
      <c r="H12" s="140">
        <v>330120</v>
      </c>
      <c r="J12" s="7" t="s">
        <v>15</v>
      </c>
      <c r="K12" s="17">
        <f>18495*1.2</f>
        <v>22194</v>
      </c>
      <c r="L12" s="17" t="e">
        <f>+#REF!</f>
        <v>#REF!</v>
      </c>
      <c r="M12" s="43" t="e">
        <f>K12*L12+32600125</f>
        <v>#REF!</v>
      </c>
      <c r="Q12" s="15" t="e">
        <f>+H12/#REF!*#REF!</f>
        <v>#REF!</v>
      </c>
    </row>
    <row r="13" spans="1:45" x14ac:dyDescent="0.2">
      <c r="A13" s="13" t="s">
        <v>18</v>
      </c>
      <c r="B13" s="14" t="s">
        <v>327</v>
      </c>
      <c r="C13" s="15">
        <f>'[25]Team Report'!BA28</f>
        <v>648740.16999999993</v>
      </c>
      <c r="E13" s="15">
        <f t="shared" si="0"/>
        <v>864986.8933333332</v>
      </c>
      <c r="H13" s="140">
        <v>165060</v>
      </c>
      <c r="J13" s="7"/>
      <c r="K13" s="17"/>
      <c r="L13" s="17"/>
      <c r="M13" s="43"/>
      <c r="Q13" s="15" t="e">
        <f>+H13/#REF!*#REF!</f>
        <v>#REF!</v>
      </c>
    </row>
    <row r="14" spans="1:45" ht="13.5" thickBot="1" x14ac:dyDescent="0.25">
      <c r="A14" s="13" t="s">
        <v>21</v>
      </c>
      <c r="B14" s="14" t="s">
        <v>328</v>
      </c>
      <c r="C14" s="15">
        <v>0</v>
      </c>
      <c r="E14" s="15">
        <f t="shared" si="0"/>
        <v>0</v>
      </c>
      <c r="H14" s="140">
        <v>2751000</v>
      </c>
      <c r="J14" s="22" t="s">
        <v>20</v>
      </c>
      <c r="K14" s="47"/>
      <c r="L14" s="47"/>
      <c r="M14" s="48" t="e">
        <f>SUM(M9:M12)</f>
        <v>#REF!</v>
      </c>
      <c r="Q14" s="15" t="e">
        <f>+H14/#REF!*#REF!</f>
        <v>#REF!</v>
      </c>
    </row>
    <row r="15" spans="1:45" x14ac:dyDescent="0.2">
      <c r="A15" s="13" t="s">
        <v>23</v>
      </c>
      <c r="B15" s="14" t="s">
        <v>329</v>
      </c>
      <c r="C15" s="15">
        <f>'[25]Team Report'!BA33</f>
        <v>76876.320000000007</v>
      </c>
      <c r="E15" s="15">
        <f t="shared" si="0"/>
        <v>102501.76000000001</v>
      </c>
      <c r="H15" s="140">
        <v>825300</v>
      </c>
      <c r="J15" s="8"/>
      <c r="K15" s="17"/>
      <c r="L15" s="17"/>
      <c r="M15" s="17"/>
      <c r="Q15" s="15" t="e">
        <f>+H15/#REF!*#REF!</f>
        <v>#REF!</v>
      </c>
    </row>
    <row r="16" spans="1:45" x14ac:dyDescent="0.2">
      <c r="A16" s="13" t="s">
        <v>25</v>
      </c>
      <c r="B16" s="14" t="s">
        <v>330</v>
      </c>
      <c r="C16" s="15">
        <f>'[25]Team Report'!BA34</f>
        <v>0</v>
      </c>
      <c r="E16" s="15">
        <f t="shared" si="0"/>
        <v>0</v>
      </c>
      <c r="H16" s="140">
        <v>5942.16</v>
      </c>
      <c r="J16" s="8"/>
      <c r="K16" s="17"/>
      <c r="L16" s="78"/>
      <c r="M16" s="17"/>
      <c r="Q16" s="15" t="e">
        <f>+H16/#REF!*#REF!</f>
        <v>#REF!</v>
      </c>
    </row>
    <row r="17" spans="1:17" x14ac:dyDescent="0.2">
      <c r="A17" s="26" t="s">
        <v>46</v>
      </c>
      <c r="B17" s="27" t="s">
        <v>331</v>
      </c>
      <c r="C17" s="28">
        <f>SUM(C8:C16)</f>
        <v>13237027.390000002</v>
      </c>
      <c r="E17" s="28">
        <f>SUM(E8:E16)</f>
        <v>17649369.853333335</v>
      </c>
      <c r="H17" s="28">
        <f>SUM(H8:H16)</f>
        <v>16181822.16</v>
      </c>
      <c r="J17" t="s">
        <v>136</v>
      </c>
      <c r="K17" s="25">
        <v>192000</v>
      </c>
      <c r="L17" s="25">
        <v>0</v>
      </c>
      <c r="M17" s="17">
        <f>K17*L17</f>
        <v>0</v>
      </c>
      <c r="Q17" s="28" t="e">
        <f>SUM(Q8:Q16)</f>
        <v>#REF!</v>
      </c>
    </row>
    <row r="18" spans="1:17" x14ac:dyDescent="0.2">
      <c r="J18" t="s">
        <v>48</v>
      </c>
      <c r="K18" s="25">
        <v>144000</v>
      </c>
      <c r="L18" s="25">
        <v>15</v>
      </c>
      <c r="M18" s="17">
        <f>K18*L18</f>
        <v>2160000</v>
      </c>
    </row>
  </sheetData>
  <mergeCells count="4">
    <mergeCell ref="J4:M4"/>
    <mergeCell ref="B1:H1"/>
    <mergeCell ref="B2:H2"/>
    <mergeCell ref="B3:H3"/>
  </mergeCells>
  <phoneticPr fontId="0" type="noConversion"/>
  <printOptions horizontalCentered="1"/>
  <pageMargins left="2.17" right="0.75" top="0.56000000000000005" bottom="0.48" header="0.94" footer="0.5"/>
  <pageSetup orientation="portrait" verticalDpi="196" r:id="rId1"/>
  <headerFooter alignWithMargins="0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S43"/>
  <sheetViews>
    <sheetView zoomScaleNormal="100" workbookViewId="0">
      <selection activeCell="F8" sqref="F8:F21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2" customWidth="1"/>
    <col min="7" max="7" width="13.85546875" customWidth="1"/>
    <col min="8" max="8" width="2.28515625" hidden="1" customWidth="1"/>
    <col min="9" max="10" width="9.140625" hidden="1" customWidth="1"/>
    <col min="11" max="11" width="13" hidden="1" customWidth="1"/>
    <col min="12" max="12" width="10.42578125" style="25" hidden="1" customWidth="1"/>
    <col min="13" max="13" width="10.85546875" style="25" hidden="1" customWidth="1"/>
    <col min="14" max="14" width="11.42578125" style="25" hidden="1" customWidth="1"/>
    <col min="15" max="15" width="9.140625" hidden="1" customWidth="1"/>
    <col min="16" max="16" width="12.85546875" hidden="1" customWidth="1"/>
    <col min="17" max="17" width="8.7109375" hidden="1" customWidth="1"/>
    <col min="18" max="18" width="8.85546875" hidden="1" customWidth="1"/>
    <col min="19" max="19" width="10.28515625" hidden="1" customWidth="1"/>
    <col min="20" max="49" width="0" hidden="1" customWidth="1"/>
  </cols>
  <sheetData>
    <row r="1" spans="1:45" ht="18" x14ac:dyDescent="0.25">
      <c r="B1" s="142" t="str">
        <f>'[19]Team Report'!B1</f>
        <v>Enron North America</v>
      </c>
      <c r="C1" s="142"/>
      <c r="D1" s="142"/>
      <c r="E1" s="142"/>
      <c r="F1" s="144"/>
      <c r="G1" s="144"/>
      <c r="H1" s="1"/>
      <c r="I1" s="1"/>
      <c r="J1" s="1"/>
      <c r="K1" s="1"/>
      <c r="L1" s="38"/>
      <c r="M1" s="38"/>
      <c r="N1" s="3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2" t="s">
        <v>138</v>
      </c>
      <c r="C2" s="142"/>
      <c r="D2" s="142"/>
      <c r="E2" s="142"/>
      <c r="F2" s="144"/>
      <c r="G2" s="144"/>
      <c r="H2" s="1"/>
      <c r="I2" s="1"/>
      <c r="J2" s="1"/>
      <c r="K2" s="1"/>
      <c r="L2" s="38"/>
      <c r="M2" s="38"/>
      <c r="N2" s="3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43" t="s">
        <v>0</v>
      </c>
      <c r="C3" s="143"/>
      <c r="D3" s="143"/>
      <c r="E3" s="143"/>
      <c r="F3" s="144"/>
      <c r="G3" s="144"/>
      <c r="H3" s="3"/>
      <c r="I3" s="3"/>
      <c r="J3" s="3"/>
      <c r="K3" s="3"/>
      <c r="L3" s="38"/>
      <c r="M3" s="38"/>
      <c r="N3" s="38"/>
      <c r="O3" s="3"/>
      <c r="P3" s="81"/>
      <c r="Q3" s="81"/>
      <c r="R3" s="81"/>
      <c r="S3" s="81"/>
      <c r="T3" s="81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K4" s="147"/>
      <c r="L4" s="147"/>
      <c r="M4" s="147"/>
      <c r="N4" s="147"/>
      <c r="P4" s="148"/>
      <c r="Q4" s="148"/>
      <c r="R4" s="148"/>
      <c r="S4" s="148"/>
      <c r="T4" s="8"/>
    </row>
    <row r="5" spans="1:45" x14ac:dyDescent="0.2">
      <c r="K5" s="4"/>
      <c r="L5" s="40"/>
      <c r="M5" s="40"/>
      <c r="N5" s="41"/>
      <c r="O5" s="8"/>
      <c r="P5" s="8"/>
      <c r="Q5" s="17"/>
      <c r="R5" s="17"/>
      <c r="S5" s="17"/>
      <c r="T5" s="8"/>
    </row>
    <row r="6" spans="1:45" x14ac:dyDescent="0.2">
      <c r="C6" s="10">
        <v>37135</v>
      </c>
      <c r="E6" s="11">
        <v>2001</v>
      </c>
      <c r="F6" s="11"/>
      <c r="G6" s="11">
        <v>2002</v>
      </c>
      <c r="I6" s="10"/>
      <c r="K6" s="7"/>
      <c r="L6" s="19" t="s">
        <v>1</v>
      </c>
      <c r="M6" s="19" t="s">
        <v>2</v>
      </c>
      <c r="N6" s="74" t="s">
        <v>107</v>
      </c>
      <c r="O6" s="11">
        <v>2002</v>
      </c>
      <c r="P6" s="8"/>
      <c r="Q6" s="19"/>
      <c r="R6" s="19"/>
      <c r="S6" s="82"/>
      <c r="T6" s="8"/>
    </row>
    <row r="7" spans="1:45" x14ac:dyDescent="0.2">
      <c r="C7" s="12" t="s">
        <v>5</v>
      </c>
      <c r="E7" s="12" t="s">
        <v>6</v>
      </c>
      <c r="F7" s="12"/>
      <c r="G7" s="12" t="s">
        <v>6</v>
      </c>
      <c r="I7" s="12"/>
      <c r="K7" s="7"/>
      <c r="L7" s="17"/>
      <c r="M7" s="17"/>
      <c r="N7" s="43"/>
      <c r="O7" s="12" t="s">
        <v>7</v>
      </c>
      <c r="P7" s="8"/>
      <c r="Q7" s="17"/>
      <c r="R7" s="17"/>
      <c r="S7" s="17"/>
      <c r="T7" s="8"/>
    </row>
    <row r="8" spans="1:45" x14ac:dyDescent="0.2">
      <c r="A8" s="13" t="s">
        <v>9</v>
      </c>
      <c r="B8" s="14" t="s">
        <v>10</v>
      </c>
      <c r="C8" s="53">
        <f>'[19]Team Report'!BA25</f>
        <v>4985502.2300000004</v>
      </c>
      <c r="E8" s="15">
        <f>(C8/9)*12</f>
        <v>6647336.3066666666</v>
      </c>
      <c r="F8" s="15"/>
      <c r="G8" s="140">
        <f>((SUM(N16:N18,N20:N26)+172800+561516)*1.2)*0.917</f>
        <v>3880798.2864000001</v>
      </c>
      <c r="K8" s="7"/>
      <c r="L8" s="17"/>
      <c r="M8" s="17"/>
      <c r="N8" s="43"/>
      <c r="O8" s="15">
        <f t="shared" ref="O8:O21" si="0">+G8/$G$28*$O$28</f>
        <v>99507.648369230767</v>
      </c>
      <c r="P8" s="8"/>
      <c r="Q8" s="17"/>
      <c r="R8" s="17"/>
      <c r="S8" s="17"/>
      <c r="T8" s="8"/>
    </row>
    <row r="9" spans="1:45" x14ac:dyDescent="0.2">
      <c r="A9" s="13"/>
      <c r="B9" s="14" t="s">
        <v>122</v>
      </c>
      <c r="C9" s="15">
        <v>0</v>
      </c>
      <c r="E9" s="15">
        <f>(C9/9)*12</f>
        <v>0</v>
      </c>
      <c r="F9" s="15"/>
      <c r="G9" s="140">
        <v>0</v>
      </c>
      <c r="K9" s="7"/>
      <c r="L9" s="17"/>
      <c r="M9" s="17"/>
      <c r="N9" s="43"/>
      <c r="O9" s="15">
        <f t="shared" si="0"/>
        <v>0</v>
      </c>
      <c r="P9" s="8"/>
      <c r="Q9" s="17"/>
      <c r="R9" s="17"/>
      <c r="S9" s="17"/>
      <c r="T9" s="8"/>
    </row>
    <row r="10" spans="1:45" x14ac:dyDescent="0.2">
      <c r="A10" s="13" t="s">
        <v>13</v>
      </c>
      <c r="B10" s="14" t="s">
        <v>14</v>
      </c>
      <c r="C10" s="15">
        <f>'[19]Team Report'!BA26</f>
        <v>1210281.1100000001</v>
      </c>
      <c r="E10" s="15">
        <f>(C10/9)*12</f>
        <v>1613708.146666667</v>
      </c>
      <c r="F10" s="15"/>
      <c r="G10" s="140">
        <f>((SUM(G8:G9)*0.2+49374)*1.2)*0.917</f>
        <v>908417.23647091212</v>
      </c>
      <c r="K10" s="7"/>
      <c r="L10" s="17"/>
      <c r="M10" s="17"/>
      <c r="N10" s="43"/>
      <c r="O10" s="15">
        <f t="shared" si="0"/>
        <v>23292.749653100309</v>
      </c>
      <c r="P10" s="8"/>
      <c r="Q10" s="17"/>
      <c r="R10" s="17"/>
      <c r="S10" s="17"/>
      <c r="T10" s="8"/>
    </row>
    <row r="11" spans="1:45" x14ac:dyDescent="0.2">
      <c r="A11" s="13" t="s">
        <v>16</v>
      </c>
      <c r="B11" s="14" t="s">
        <v>17</v>
      </c>
      <c r="C11" s="15">
        <f>'[19]Team Report'!BA27</f>
        <v>190029.97</v>
      </c>
      <c r="E11" s="15">
        <f>((C11/9)*12)*1.99</f>
        <v>504212.85373333335</v>
      </c>
      <c r="F11" s="15"/>
      <c r="G11" s="140">
        <f>((348924+240000-409440+61200)*1.2)*0.917</f>
        <v>264848.67359999998</v>
      </c>
      <c r="K11" s="7" t="s">
        <v>15</v>
      </c>
      <c r="L11" s="17">
        <f>(E11+E12+E13+E14+E15+E16+E17+E18+E19+E20+E21)/E28</f>
        <v>10001.264925423728</v>
      </c>
      <c r="M11" s="17">
        <f>M27</f>
        <v>39</v>
      </c>
      <c r="N11" s="43">
        <f>L11*M11+500000+630554</f>
        <v>1520603.3320915254</v>
      </c>
      <c r="O11" s="15">
        <f t="shared" si="0"/>
        <v>6790.9916307692301</v>
      </c>
      <c r="P11" s="8"/>
      <c r="Q11" s="17"/>
      <c r="R11" s="17"/>
      <c r="S11" s="17"/>
      <c r="T11" s="8"/>
    </row>
    <row r="12" spans="1:45" x14ac:dyDescent="0.2">
      <c r="A12" s="13" t="s">
        <v>18</v>
      </c>
      <c r="B12" s="14" t="s">
        <v>19</v>
      </c>
      <c r="C12" s="15">
        <f>'[19]Team Report'!BA28</f>
        <v>78390.58</v>
      </c>
      <c r="E12" s="15">
        <f>((C12/9)*12)*2.35</f>
        <v>245623.81733333334</v>
      </c>
      <c r="F12" s="15"/>
      <c r="G12" s="140">
        <f>((262411+100000-5411)*1.2)*0.917</f>
        <v>392842.8</v>
      </c>
      <c r="K12" s="7"/>
      <c r="L12" s="17"/>
      <c r="M12" s="17"/>
      <c r="N12" s="43"/>
      <c r="O12" s="15">
        <f t="shared" si="0"/>
        <v>10072.892307692307</v>
      </c>
      <c r="P12" s="8"/>
      <c r="Q12" s="17"/>
      <c r="R12" s="17"/>
      <c r="S12" s="17"/>
      <c r="T12" s="8"/>
    </row>
    <row r="13" spans="1:45" ht="13.5" thickBot="1" x14ac:dyDescent="0.25">
      <c r="A13" s="13" t="s">
        <v>21</v>
      </c>
      <c r="B13" s="14" t="s">
        <v>22</v>
      </c>
      <c r="C13" s="15">
        <v>0</v>
      </c>
      <c r="E13" s="15">
        <f>((C13/9)*12)*1.2</f>
        <v>0</v>
      </c>
      <c r="F13" s="15"/>
      <c r="G13" s="140">
        <v>28060.2</v>
      </c>
      <c r="K13" s="22" t="s">
        <v>20</v>
      </c>
      <c r="L13" s="47"/>
      <c r="M13" s="47"/>
      <c r="N13" s="48">
        <f>SUM(N9:N11)</f>
        <v>1520603.3320915254</v>
      </c>
      <c r="O13" s="15">
        <f t="shared" si="0"/>
        <v>719.49230769230769</v>
      </c>
      <c r="P13" s="8"/>
      <c r="Q13" s="17"/>
      <c r="R13" s="17"/>
      <c r="S13" s="17"/>
      <c r="T13" s="8"/>
    </row>
    <row r="14" spans="1:45" x14ac:dyDescent="0.2">
      <c r="A14" s="13" t="s">
        <v>23</v>
      </c>
      <c r="B14" s="14" t="s">
        <v>24</v>
      </c>
      <c r="C14" s="15">
        <f>'[19]Team Report'!BA33</f>
        <v>69921.63</v>
      </c>
      <c r="E14" s="15">
        <f>((C14/9)*12)*1.81</f>
        <v>168744.20040000003</v>
      </c>
      <c r="F14" s="15"/>
      <c r="G14" s="140">
        <f>((96365+40000-136365+92328)*1.2)*0.917</f>
        <v>101597.73119999999</v>
      </c>
      <c r="K14" s="8"/>
      <c r="L14" s="17"/>
      <c r="M14" s="17"/>
      <c r="N14" s="17"/>
      <c r="O14" s="15">
        <f t="shared" si="0"/>
        <v>2605.0700307692305</v>
      </c>
      <c r="P14" s="8"/>
      <c r="Q14" s="8"/>
      <c r="R14" s="8"/>
      <c r="S14" s="8"/>
      <c r="T14" s="8"/>
    </row>
    <row r="15" spans="1:45" x14ac:dyDescent="0.2">
      <c r="A15" s="13" t="s">
        <v>25</v>
      </c>
      <c r="B15" s="14" t="s">
        <v>26</v>
      </c>
      <c r="C15" s="15">
        <f>'[19]Team Report'!BA34</f>
        <v>0</v>
      </c>
      <c r="E15" s="15">
        <f>((C15/9)*12)*1.2</f>
        <v>0</v>
      </c>
      <c r="F15" s="15"/>
      <c r="G15" s="140">
        <v>374136</v>
      </c>
      <c r="K15" s="8"/>
      <c r="L15" s="17"/>
      <c r="M15" s="17"/>
      <c r="N15" s="17"/>
      <c r="O15" s="15">
        <f t="shared" si="0"/>
        <v>9593.2307692307695</v>
      </c>
      <c r="P15" s="8"/>
      <c r="Q15" s="8"/>
      <c r="R15" s="8"/>
      <c r="S15" s="8"/>
      <c r="T15" s="8"/>
    </row>
    <row r="16" spans="1:45" x14ac:dyDescent="0.2">
      <c r="A16" s="13" t="s">
        <v>28</v>
      </c>
      <c r="B16" s="14" t="s">
        <v>29</v>
      </c>
      <c r="C16" s="15">
        <f>'[19]Team Report'!BA35</f>
        <v>0</v>
      </c>
      <c r="E16" s="15">
        <f>((C16/9)*12)*1.2</f>
        <v>0</v>
      </c>
      <c r="F16" s="15"/>
      <c r="G16" s="140">
        <v>0</v>
      </c>
      <c r="K16" s="8" t="s">
        <v>27</v>
      </c>
      <c r="L16" s="17">
        <v>36000</v>
      </c>
      <c r="M16">
        <v>0</v>
      </c>
      <c r="N16" s="17">
        <f t="shared" ref="N16:N26" si="1">L16*M16</f>
        <v>0</v>
      </c>
      <c r="O16" s="15">
        <f t="shared" si="0"/>
        <v>0</v>
      </c>
      <c r="P16" s="8"/>
      <c r="Q16" s="17"/>
      <c r="R16" s="8"/>
      <c r="S16" s="75"/>
      <c r="T16" s="8"/>
    </row>
    <row r="17" spans="1:19" x14ac:dyDescent="0.2">
      <c r="A17" s="13" t="s">
        <v>31</v>
      </c>
      <c r="B17" s="14" t="s">
        <v>32</v>
      </c>
      <c r="C17" s="15">
        <f>'[19]Team Report'!BA36</f>
        <v>19039.670000000002</v>
      </c>
      <c r="E17" s="15">
        <f>((C17/9)*12)*1.29</f>
        <v>32748.232400000004</v>
      </c>
      <c r="F17" s="15"/>
      <c r="G17" s="140">
        <f>((6000)*1.2)*0.917</f>
        <v>6602.4000000000005</v>
      </c>
      <c r="K17" t="s">
        <v>93</v>
      </c>
      <c r="L17" s="25">
        <v>48000</v>
      </c>
      <c r="M17">
        <v>2</v>
      </c>
      <c r="N17" s="17">
        <f t="shared" si="1"/>
        <v>96000</v>
      </c>
      <c r="O17" s="15">
        <f t="shared" si="0"/>
        <v>169.2923076923077</v>
      </c>
      <c r="Q17" s="25"/>
      <c r="S17" s="49"/>
    </row>
    <row r="18" spans="1:19" x14ac:dyDescent="0.2">
      <c r="A18" s="13" t="s">
        <v>34</v>
      </c>
      <c r="B18" s="14" t="s">
        <v>35</v>
      </c>
      <c r="C18" s="15">
        <f>'[19]Team Report'!BA37</f>
        <v>17422.019999999997</v>
      </c>
      <c r="E18" s="15">
        <f>((C18/9)*12)*2.2</f>
        <v>51104.591999999997</v>
      </c>
      <c r="F18" s="15"/>
      <c r="G18" s="140">
        <f>((+$N$11*0.19+150000-438915+107240+169200+435536)*1.2)*0.917</f>
        <v>783457.98666036781</v>
      </c>
      <c r="K18" t="s">
        <v>33</v>
      </c>
      <c r="L18" s="25">
        <v>49200</v>
      </c>
      <c r="M18">
        <v>7</v>
      </c>
      <c r="N18" s="17">
        <f t="shared" si="1"/>
        <v>344400</v>
      </c>
      <c r="O18" s="15">
        <f t="shared" si="0"/>
        <v>20088.666324624817</v>
      </c>
      <c r="Q18" s="25"/>
      <c r="S18" s="49"/>
    </row>
    <row r="19" spans="1:19" x14ac:dyDescent="0.2">
      <c r="A19" s="13" t="s">
        <v>37</v>
      </c>
      <c r="B19" s="14" t="s">
        <v>38</v>
      </c>
      <c r="C19" s="15">
        <f>'[19]Team Report'!BA38</f>
        <v>0</v>
      </c>
      <c r="E19" s="15">
        <f>((C19/9)*12)*1.2</f>
        <v>0</v>
      </c>
      <c r="F19" s="15"/>
      <c r="G19" s="140">
        <v>0</v>
      </c>
      <c r="K19" t="s">
        <v>94</v>
      </c>
      <c r="L19" s="25">
        <v>57600</v>
      </c>
      <c r="M19">
        <v>3</v>
      </c>
      <c r="N19" s="17">
        <f t="shared" si="1"/>
        <v>172800</v>
      </c>
      <c r="O19" s="15">
        <f t="shared" si="0"/>
        <v>0</v>
      </c>
      <c r="Q19" s="25"/>
      <c r="S19" s="49"/>
    </row>
    <row r="20" spans="1:19" x14ac:dyDescent="0.2">
      <c r="A20" s="13" t="s">
        <v>40</v>
      </c>
      <c r="B20" s="14" t="s">
        <v>41</v>
      </c>
      <c r="C20" s="15">
        <f>'[19]Team Report'!BA42</f>
        <v>75042.680000000008</v>
      </c>
      <c r="E20" s="15">
        <f>((C20/9)*12)*1.75</f>
        <v>175099.58666666667</v>
      </c>
      <c r="F20" s="15"/>
      <c r="G20" s="140">
        <f>((264168+100000+405121-769289+553800+420160+443302)*1.2)*0.917</f>
        <v>1559555.1048000001</v>
      </c>
      <c r="K20" t="s">
        <v>36</v>
      </c>
      <c r="L20" s="25">
        <v>62400</v>
      </c>
      <c r="M20">
        <v>8</v>
      </c>
      <c r="N20" s="17">
        <f t="shared" si="1"/>
        <v>499200</v>
      </c>
      <c r="O20" s="15">
        <f t="shared" si="0"/>
        <v>39988.592430769233</v>
      </c>
      <c r="Q20" s="25"/>
      <c r="S20" s="49"/>
    </row>
    <row r="21" spans="1:19" x14ac:dyDescent="0.2">
      <c r="A21" s="13" t="s">
        <v>43</v>
      </c>
      <c r="B21" s="14" t="s">
        <v>44</v>
      </c>
      <c r="C21" s="15">
        <f>'[19]Team Report'!BA44</f>
        <v>1226.24</v>
      </c>
      <c r="E21" s="15">
        <f>((C21/9)*12)*1.6</f>
        <v>2615.9786666666669</v>
      </c>
      <c r="F21" s="15"/>
      <c r="G21" s="140">
        <v>0</v>
      </c>
      <c r="K21" t="s">
        <v>108</v>
      </c>
      <c r="L21" s="25">
        <v>74400</v>
      </c>
      <c r="M21">
        <v>7</v>
      </c>
      <c r="N21" s="17">
        <f t="shared" si="1"/>
        <v>520800</v>
      </c>
      <c r="O21" s="15">
        <f t="shared" si="0"/>
        <v>0</v>
      </c>
      <c r="Q21" s="25"/>
      <c r="S21" s="49"/>
    </row>
    <row r="22" spans="1:19" x14ac:dyDescent="0.2">
      <c r="A22" s="26" t="s">
        <v>46</v>
      </c>
      <c r="B22" s="27" t="s">
        <v>47</v>
      </c>
      <c r="C22" s="28">
        <f>SUM(C8:C21)</f>
        <v>6646856.1299999999</v>
      </c>
      <c r="E22" s="28">
        <f>SUM(E8:E21)</f>
        <v>9441193.7145333327</v>
      </c>
      <c r="F22" s="29"/>
      <c r="G22" s="28">
        <f>SUM(G8:G21)</f>
        <v>8300316.4191312809</v>
      </c>
      <c r="K22" t="s">
        <v>96</v>
      </c>
      <c r="L22" s="25">
        <v>96000</v>
      </c>
      <c r="M22">
        <v>8</v>
      </c>
      <c r="N22" s="17">
        <f t="shared" si="1"/>
        <v>768000</v>
      </c>
      <c r="O22" s="28">
        <f>SUM(O8:O21)</f>
        <v>212828.62613157128</v>
      </c>
      <c r="Q22" s="25"/>
      <c r="S22" s="49"/>
    </row>
    <row r="23" spans="1:19" x14ac:dyDescent="0.2">
      <c r="K23" t="s">
        <v>97</v>
      </c>
      <c r="L23" s="25">
        <v>120000</v>
      </c>
      <c r="M23">
        <v>3</v>
      </c>
      <c r="N23" s="17">
        <f t="shared" si="1"/>
        <v>360000</v>
      </c>
      <c r="Q23" s="25"/>
      <c r="S23" s="49"/>
    </row>
    <row r="24" spans="1:19" x14ac:dyDescent="0.2">
      <c r="B24" s="27" t="s">
        <v>50</v>
      </c>
      <c r="C24" s="55"/>
      <c r="E24" s="55">
        <v>114</v>
      </c>
      <c r="F24" s="60"/>
      <c r="G24" s="55">
        <f>SUM(M16:M18,M20:M26)</f>
        <v>36</v>
      </c>
      <c r="K24" t="s">
        <v>98</v>
      </c>
      <c r="L24" s="25">
        <v>156000</v>
      </c>
      <c r="M24">
        <v>0</v>
      </c>
      <c r="N24" s="17">
        <f t="shared" si="1"/>
        <v>0</v>
      </c>
      <c r="O24" s="31">
        <f>SUM(U15:U19,U22:U26)</f>
        <v>0</v>
      </c>
      <c r="Q24" s="25"/>
      <c r="S24" s="49"/>
    </row>
    <row r="25" spans="1:19" x14ac:dyDescent="0.2">
      <c r="K25" t="s">
        <v>99</v>
      </c>
      <c r="L25" s="25">
        <v>204000</v>
      </c>
      <c r="M25">
        <v>1</v>
      </c>
      <c r="N25" s="17">
        <f t="shared" si="1"/>
        <v>204000</v>
      </c>
      <c r="O25" s="15"/>
      <c r="Q25" s="25"/>
      <c r="S25" s="49"/>
    </row>
    <row r="26" spans="1:19" x14ac:dyDescent="0.2">
      <c r="B26" s="27" t="s">
        <v>67</v>
      </c>
      <c r="C26" s="55"/>
      <c r="E26" s="55">
        <v>4</v>
      </c>
      <c r="F26" s="60"/>
      <c r="G26" s="55">
        <f>SUM(M19)</f>
        <v>3</v>
      </c>
      <c r="K26" t="s">
        <v>100</v>
      </c>
      <c r="L26" s="25">
        <v>240000</v>
      </c>
      <c r="M26">
        <v>0</v>
      </c>
      <c r="N26" s="17">
        <f t="shared" si="1"/>
        <v>0</v>
      </c>
      <c r="O26" s="31">
        <f>+U20+U21</f>
        <v>0</v>
      </c>
      <c r="Q26" s="25"/>
      <c r="S26" s="49"/>
    </row>
    <row r="27" spans="1:19" x14ac:dyDescent="0.2">
      <c r="M27" s="25">
        <f>SUM(M16:M26)</f>
        <v>39</v>
      </c>
      <c r="N27" s="25">
        <f>SUM(N16:N26)</f>
        <v>2965200</v>
      </c>
      <c r="Q27" s="25"/>
      <c r="S27" s="49"/>
    </row>
    <row r="28" spans="1:19" x14ac:dyDescent="0.2">
      <c r="B28" s="27" t="s">
        <v>55</v>
      </c>
      <c r="C28" s="55"/>
      <c r="E28" s="55">
        <f>SUM(E24:E27)</f>
        <v>118</v>
      </c>
      <c r="F28" s="60"/>
      <c r="G28" s="55">
        <f>SUM(G24:G27)</f>
        <v>39</v>
      </c>
      <c r="O28" s="31">
        <v>1</v>
      </c>
      <c r="Q28" s="25"/>
      <c r="R28" s="25"/>
    </row>
    <row r="29" spans="1:19" x14ac:dyDescent="0.2">
      <c r="B29" s="27"/>
      <c r="K29" t="s">
        <v>102</v>
      </c>
      <c r="M29" s="52"/>
      <c r="N29" s="52">
        <v>0.2</v>
      </c>
      <c r="Q29" s="25"/>
      <c r="R29" s="52"/>
      <c r="S29" s="52"/>
    </row>
    <row r="30" spans="1:19" hidden="1" x14ac:dyDescent="0.2">
      <c r="A30" s="13" t="s">
        <v>71</v>
      </c>
      <c r="B30" s="14" t="s">
        <v>72</v>
      </c>
      <c r="C30" s="15">
        <f>'[19]Team Report'!BA29</f>
        <v>0</v>
      </c>
      <c r="E30" s="15">
        <f t="shared" ref="E30:E37" si="2">(C30/9)*12</f>
        <v>0</v>
      </c>
      <c r="F30" s="15"/>
      <c r="G30" s="15"/>
      <c r="Q30" s="25"/>
      <c r="R30" s="25"/>
    </row>
    <row r="31" spans="1:19" hidden="1" x14ac:dyDescent="0.2">
      <c r="A31" s="13" t="s">
        <v>73</v>
      </c>
      <c r="B31" s="14" t="s">
        <v>74</v>
      </c>
      <c r="C31" s="15">
        <f>'[19]Team Report'!BA30</f>
        <v>0</v>
      </c>
      <c r="E31" s="15">
        <f t="shared" si="2"/>
        <v>0</v>
      </c>
      <c r="F31" s="15"/>
      <c r="G31" s="15"/>
      <c r="N31" s="25">
        <f>N27*1.2</f>
        <v>3558240</v>
      </c>
      <c r="Q31" s="25"/>
      <c r="R31" s="25"/>
      <c r="S31" s="25"/>
    </row>
    <row r="32" spans="1:19" hidden="1" x14ac:dyDescent="0.2">
      <c r="A32" s="13" t="s">
        <v>75</v>
      </c>
      <c r="B32" s="14" t="s">
        <v>76</v>
      </c>
      <c r="C32" s="15">
        <f>'[19]Team Report'!BA31</f>
        <v>0</v>
      </c>
      <c r="E32" s="15">
        <f t="shared" si="2"/>
        <v>0</v>
      </c>
      <c r="F32" s="15"/>
      <c r="G32" s="15"/>
      <c r="Q32" s="25"/>
      <c r="R32" s="25"/>
    </row>
    <row r="33" spans="1:10" hidden="1" x14ac:dyDescent="0.2">
      <c r="A33" s="13" t="s">
        <v>77</v>
      </c>
      <c r="B33" s="14" t="s">
        <v>78</v>
      </c>
      <c r="C33" s="15">
        <f>'[19]Team Report'!BA39</f>
        <v>0</v>
      </c>
      <c r="E33" s="15">
        <f t="shared" si="2"/>
        <v>0</v>
      </c>
      <c r="F33" s="15"/>
      <c r="G33" s="15"/>
    </row>
    <row r="34" spans="1:10" hidden="1" x14ac:dyDescent="0.2">
      <c r="A34" s="13" t="s">
        <v>79</v>
      </c>
      <c r="B34" s="14" t="s">
        <v>80</v>
      </c>
      <c r="C34" s="15">
        <f>'[19]Team Report'!BA40</f>
        <v>24670.390000000003</v>
      </c>
      <c r="E34" s="15">
        <f t="shared" si="2"/>
        <v>32893.85333333334</v>
      </c>
      <c r="F34" s="15"/>
      <c r="G34" s="15"/>
    </row>
    <row r="35" spans="1:10" hidden="1" x14ac:dyDescent="0.2">
      <c r="A35" s="13" t="s">
        <v>81</v>
      </c>
      <c r="B35" s="14" t="s">
        <v>82</v>
      </c>
      <c r="C35" s="15">
        <f>'[19]Team Report'!BA41</f>
        <v>481045.43000000005</v>
      </c>
      <c r="E35" s="15">
        <f t="shared" si="2"/>
        <v>641393.90666666673</v>
      </c>
      <c r="F35" s="15"/>
      <c r="G35" s="15"/>
    </row>
    <row r="36" spans="1:10" hidden="1" x14ac:dyDescent="0.2">
      <c r="A36" s="13" t="s">
        <v>83</v>
      </c>
      <c r="B36" s="14" t="s">
        <v>84</v>
      </c>
      <c r="C36" s="15">
        <f>'[19]Team Report'!BA43</f>
        <v>-771915.88</v>
      </c>
      <c r="E36" s="15">
        <f t="shared" si="2"/>
        <v>-1029221.1733333333</v>
      </c>
      <c r="F36" s="15"/>
      <c r="G36" s="15"/>
      <c r="J36" s="33" t="s">
        <v>56</v>
      </c>
    </row>
    <row r="37" spans="1:10" hidden="1" x14ac:dyDescent="0.2">
      <c r="A37" s="13" t="s">
        <v>85</v>
      </c>
      <c r="B37" s="14" t="s">
        <v>86</v>
      </c>
      <c r="C37" s="15">
        <f>'[19]Team Report'!BA45</f>
        <v>0</v>
      </c>
      <c r="E37" s="15">
        <f t="shared" si="2"/>
        <v>0</v>
      </c>
      <c r="F37" s="15"/>
      <c r="G37" s="15"/>
    </row>
    <row r="38" spans="1:10" x14ac:dyDescent="0.2">
      <c r="A38" s="13"/>
      <c r="B38" s="14"/>
      <c r="C38" s="15"/>
      <c r="E38" s="15"/>
      <c r="F38" s="15"/>
      <c r="G38" s="15"/>
      <c r="J38" t="s">
        <v>133</v>
      </c>
    </row>
    <row r="43" spans="1:10" x14ac:dyDescent="0.2">
      <c r="C43" s="54">
        <f>C22+C30+C31+C32+C33+C34+C35+C36+C37</f>
        <v>6380656.0699999994</v>
      </c>
    </row>
  </sheetData>
  <mergeCells count="5">
    <mergeCell ref="P4:S4"/>
    <mergeCell ref="K4:N4"/>
    <mergeCell ref="B1:G1"/>
    <mergeCell ref="B2:G2"/>
    <mergeCell ref="B3:G3"/>
  </mergeCells>
  <phoneticPr fontId="0" type="noConversion"/>
  <printOptions horizontalCentered="1"/>
  <pageMargins left="0.75" right="0.75" top="0.88" bottom="0.48" header="1.23" footer="0.5"/>
  <pageSetup orientation="portrait" verticalDpi="196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AR39"/>
  <sheetViews>
    <sheetView zoomScaleNormal="100" workbookViewId="0">
      <selection activeCell="H13" sqref="H1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7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85546875" customWidth="1"/>
    <col min="14" max="14" width="16.85546875" customWidth="1"/>
    <col min="15" max="15" width="17.7109375" customWidth="1"/>
    <col min="16" max="16" width="10.28515625" customWidth="1"/>
    <col min="17" max="17" width="10.7109375" customWidth="1"/>
  </cols>
  <sheetData>
    <row r="1" spans="1:44" ht="18" x14ac:dyDescent="0.2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2" t="s">
        <v>271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'[11]Central Trading'!C8+'[11]Central Origination'!C8+[11]Derivatives!C8+'[11]East Trading'!C8+'[11]East Origination'!C8+'[11]Financial Gas'!C8+[11]Structuring!C8+'[11]Texas Trading'!C8+'[11]Texas Origination'!C8+'[11]West Trading'!C8+'[11]West Origination'!C8+[11]Fundamentals!C8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985248</v>
      </c>
      <c r="M8" s="49"/>
      <c r="Q8" s="15"/>
    </row>
    <row r="9" spans="1:44" hidden="1" x14ac:dyDescent="0.2">
      <c r="A9" s="13"/>
      <c r="B9" s="14" t="s">
        <v>11</v>
      </c>
      <c r="C9" s="15">
        <f>'[11]Central Trading'!C9+'[11]Central Origination'!C9+[11]Derivatives!C9+'[11]East Trading'!C9+'[11]East Origination'!C9+'[11]Financial Gas'!C9+[11]Structuring!C9+'[11]Texas Trading'!C9+'[11]Texas Origination'!C9+'[11]West Trading'!C9+'[11]West Origination'!C9+[11]Fundamentals!C9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'[11]Central Trading'!C10+'[11]Central Origination'!C10+[11]Derivatives!C10+'[11]East Trading'!C10+'[11]East Origination'!C10+'[11]Financial Gas'!C10+[11]Structuring!C10+'[11]Texas Trading'!C10+'[11]Texas Origination'!C10+'[11]West Trading'!C10+'[11]West Origination'!C10+[11]Fundamentals!C10</f>
        <v>3095252.76</v>
      </c>
      <c r="D10" s="15"/>
      <c r="E10" s="15">
        <f>('[11]Central Trading'!E9+'[11]Central Origination'!E10+[11]Derivatives!E10+'[11]East Trading'!E10+'[11]East Origination'!E10+'[11]Financial Gas'!E10+[11]Structuring!E10+'[11]Texas Trading'!E10+'[11]Texas Origination'!E10+'[11]West Trading'!E10+'[11]West Origination'!E10+[11]Fundamentals!E10)-4000000</f>
        <v>82420.999999999534</v>
      </c>
      <c r="G10" s="45">
        <f t="shared" si="0"/>
        <v>3.7797619139155266E-3</v>
      </c>
      <c r="H10" s="15">
        <v>178200</v>
      </c>
      <c r="I10" s="42"/>
      <c r="J10" s="17"/>
      <c r="K10" s="17"/>
      <c r="L10" s="43"/>
      <c r="M10" s="49"/>
      <c r="N10" s="123"/>
      <c r="O10" s="123"/>
      <c r="P10" s="123"/>
      <c r="Q10" s="15"/>
    </row>
    <row r="11" spans="1:44" x14ac:dyDescent="0.2">
      <c r="A11" s="13" t="s">
        <v>13</v>
      </c>
      <c r="B11" s="14" t="s">
        <v>14</v>
      </c>
      <c r="C11" s="15">
        <f>'[11]Central Trading'!C11+'[11]Central Origination'!C11+[11]Derivatives!C11+'[11]East Trading'!C11+'[11]East Origination'!C11+'[11]Financial Gas'!C11+[11]Structuring!C11+'[11]Texas Trading'!C11+'[11]Texas Origination'!C11+'[11]West Trading'!C11+'[11]West Origination'!C11+[11]Fundamentals!C11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</f>
        <v>35640</v>
      </c>
      <c r="I11" s="42" t="s">
        <v>15</v>
      </c>
      <c r="J11" s="17">
        <f>(E12+E13+E14+E15+E16+E17+E18+E19+E20+E21+E22)/E29</f>
        <v>48270.181250000009</v>
      </c>
      <c r="K11" s="17">
        <f>K28</f>
        <v>5</v>
      </c>
      <c r="L11" s="43">
        <f>J11*K11</f>
        <v>241350.90625000006</v>
      </c>
      <c r="M11" s="49"/>
      <c r="N11" s="123"/>
      <c r="O11" s="123"/>
      <c r="P11" s="123"/>
      <c r="Q11" s="15"/>
    </row>
    <row r="12" spans="1:44" x14ac:dyDescent="0.2">
      <c r="A12" s="13" t="s">
        <v>16</v>
      </c>
      <c r="B12" s="14" t="s">
        <v>17</v>
      </c>
      <c r="C12" s="15">
        <f>'[11]Central Trading'!C12+'[11]Central Origination'!C12+[11]Derivatives!C12+'[11]East Trading'!C12+'[11]East Origination'!C12+'[11]Financial Gas'!C12+[11]Structuring!C12+'[11]Texas Trading'!C12+'[11]Texas Origination'!C12+'[11]West Trading'!C12+'[11]West Origination'!C12+[11]Fundamentals!C12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>10000+4000</f>
        <v>14000</v>
      </c>
      <c r="I12" s="42"/>
      <c r="J12" s="17"/>
      <c r="K12" s="17"/>
      <c r="L12" s="43"/>
      <c r="M12" s="49"/>
      <c r="N12" s="123"/>
      <c r="O12" s="123"/>
      <c r="P12" s="123"/>
      <c r="Q12" s="15"/>
    </row>
    <row r="13" spans="1:44" ht="13.5" thickBot="1" x14ac:dyDescent="0.25">
      <c r="A13" s="13" t="s">
        <v>18</v>
      </c>
      <c r="B13" s="14" t="s">
        <v>19</v>
      </c>
      <c r="C13" s="15">
        <f>'[11]Central Trading'!C13+'[11]Central Origination'!C13+[11]Derivatives!C13+'[11]East Trading'!C13+'[11]East Origination'!C13+'[11]Financial Gas'!C13+[11]Structuring!C13+'[11]Texas Trading'!C13+'[11]Texas Origination'!C13+'[11]West Trading'!C13+'[11]West Origination'!C13+[11]Fundamentals!C13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14000</v>
      </c>
      <c r="I13" s="46" t="s">
        <v>20</v>
      </c>
      <c r="J13" s="47"/>
      <c r="K13" s="47"/>
      <c r="L13" s="48">
        <f>L8+L11</f>
        <v>1226598.90625</v>
      </c>
      <c r="M13" s="49"/>
      <c r="N13" s="123"/>
      <c r="O13" s="123"/>
      <c r="P13" s="123"/>
      <c r="Q13" s="15"/>
    </row>
    <row r="14" spans="1:44" x14ac:dyDescent="0.2">
      <c r="A14" s="13" t="s">
        <v>21</v>
      </c>
      <c r="B14" s="14" t="s">
        <v>22</v>
      </c>
      <c r="C14" s="15">
        <f>'[11]Central Trading'!C14+'[11]Central Origination'!C14+[11]Derivatives!C14+'[11]East Trading'!C14+'[11]East Origination'!C14+'[11]Financial Gas'!C14+[11]Structuring!C14+'[11]Texas Trading'!C14+'[11]Texas Origination'!C14+'[11]West Trading'!C14+'[11]West Origination'!C14+[11]Fundamentals!C14-C32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2000</v>
      </c>
      <c r="M14" s="49"/>
      <c r="N14" s="123"/>
      <c r="O14" s="123"/>
      <c r="P14" s="123"/>
      <c r="Q14" s="15"/>
    </row>
    <row r="15" spans="1:44" x14ac:dyDescent="0.2">
      <c r="A15" s="13" t="s">
        <v>23</v>
      </c>
      <c r="B15" s="14" t="s">
        <v>24</v>
      </c>
      <c r="C15" s="15">
        <f>'[11]Central Trading'!C15+'[11]Central Origination'!C15+[11]Derivatives!C15+'[11]East Trading'!C15+'[11]East Origination'!C15+'[11]Financial Gas'!C15+[11]Structuring!C15+'[11]Texas Trading'!C15+'[11]Texas Origination'!C15+'[11]West Trading'!C15+'[11]West Origination'!C15+[11]Fundamentals!C15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8000</v>
      </c>
      <c r="M15" s="49"/>
      <c r="Q15" s="15"/>
    </row>
    <row r="16" spans="1:44" x14ac:dyDescent="0.2">
      <c r="A16" s="13" t="s">
        <v>25</v>
      </c>
      <c r="B16" s="14" t="s">
        <v>26</v>
      </c>
      <c r="C16" s="15">
        <f>'[11]Central Trading'!C16+'[11]Central Origination'!C16+[11]Derivatives!C16+'[11]East Trading'!C16+'[11]East Origination'!C16+'[11]Financial Gas'!C16+[11]Structuring!C16+'[11]Texas Trading'!C16+'[11]Texas Origination'!C16+'[11]West Trading'!C16+'[11]West Origination'!C16+[11]Fundamentals!C16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M16" s="49"/>
      <c r="Q16" s="15"/>
    </row>
    <row r="17" spans="1:17" x14ac:dyDescent="0.2">
      <c r="A17" s="13" t="s">
        <v>28</v>
      </c>
      <c r="B17" s="14" t="s">
        <v>29</v>
      </c>
      <c r="C17" s="15">
        <f>'[11]Central Trading'!C17+'[11]Central Origination'!C17+[11]Derivatives!C17+'[11]East Trading'!C17+'[11]East Origination'!C17+'[11]Financial Gas'!C17+[11]Structuring!C17+'[11]Texas Trading'!C17+'[11]Texas Origination'!C17+'[11]West Trading'!C17+'[11]West Origination'!C17+[11]Fundamentals!C17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98.333333333333329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M17" s="49"/>
      <c r="Q17" s="15"/>
    </row>
    <row r="18" spans="1:17" x14ac:dyDescent="0.2">
      <c r="A18" s="13" t="s">
        <v>31</v>
      </c>
      <c r="B18" s="14" t="s">
        <v>32</v>
      </c>
      <c r="C18" s="15">
        <f>'[11]Central Trading'!C18+'[11]Central Origination'!C18+[11]Derivatives!C18+'[11]East Trading'!C18+'[11]East Origination'!C18+'[11]Financial Gas'!C18+[11]Structuring!C18+'[11]Texas Trading'!C18+'[11]Texas Origination'!C18+'[11]West Trading'!C18+'[11]West Origination'!C18+[11]Fundamentals!C18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-8.4666666666453241E-2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M18" s="49"/>
      <c r="Q18" s="15"/>
    </row>
    <row r="19" spans="1:17" x14ac:dyDescent="0.2">
      <c r="A19" s="13" t="s">
        <v>34</v>
      </c>
      <c r="B19" s="14" t="s">
        <v>35</v>
      </c>
      <c r="C19" s="15">
        <f>'[11]Central Trading'!C19+'[11]Central Origination'!C19+[11]Derivatives!C19+'[11]East Trading'!C19+'[11]East Origination'!C19+'[11]Financial Gas'!C19+[11]Structuring!C19+'[11]Texas Trading'!C19+'[11]Texas Origination'!C19+'[11]West Trading'!C19+'[11]West Origination'!C19+[11]Fundamentals!C19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1820.1720000000003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M19" s="49"/>
      <c r="Q19" s="15"/>
    </row>
    <row r="20" spans="1:17" x14ac:dyDescent="0.2">
      <c r="A20" s="13" t="s">
        <v>37</v>
      </c>
      <c r="B20" s="14" t="s">
        <v>38</v>
      </c>
      <c r="C20" s="15">
        <f>'[11]Central Trading'!C20+'[11]Central Origination'!C20+[11]Derivatives!C20+'[11]East Trading'!C20+'[11]East Origination'!C20+'[11]Financial Gas'!C20+[11]Structuring!C20+'[11]Texas Trading'!C20+'[11]Texas Origination'!C20+'[11]West Trading'!C20+'[11]West Origination'!C20+[11]Fundamentals!C20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0.26666666666666666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M20" s="49"/>
      <c r="Q20" s="15"/>
    </row>
    <row r="21" spans="1:17" x14ac:dyDescent="0.2">
      <c r="A21" s="13" t="s">
        <v>40</v>
      </c>
      <c r="B21" s="14" t="s">
        <v>41</v>
      </c>
      <c r="C21" s="15">
        <f>'[11]Central Trading'!C21+'[11]Central Origination'!C21+[11]Derivatives!C21+'[11]East Trading'!C21+'[11]East Origination'!C21+'[11]Financial Gas'!C21+[11]Structuring!C21+'[11]Texas Trading'!C21+'[11]Texas Origination'!C21+'[11]West Trading'!C21+'[11]West Origination'!C21+[11]Fundamentals!C21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2400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M21" s="49"/>
      <c r="P21" s="8"/>
      <c r="Q21" s="32"/>
    </row>
    <row r="22" spans="1:17" x14ac:dyDescent="0.2">
      <c r="A22" s="13" t="s">
        <v>43</v>
      </c>
      <c r="B22" s="14" t="s">
        <v>44</v>
      </c>
      <c r="C22" s="15">
        <f>'[11]Central Trading'!C22+'[11]Central Origination'!C22+[11]Derivatives!C22+'[11]East Trading'!C22+'[11]East Origination'!C22+'[11]Financial Gas'!C22+[11]Structuring!C22+'[11]Texas Trading'!C22+'[11]Texas Origination'!C22+'[11]West Trading'!C22+'[11]West Origination'!C22+[11]Fundamentals!C22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2</v>
      </c>
      <c r="L22" s="25">
        <f t="shared" si="1"/>
        <v>178200</v>
      </c>
      <c r="M22" s="49"/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256158.68733333334</v>
      </c>
      <c r="I23" s="25" t="s">
        <v>48</v>
      </c>
      <c r="J23" s="25">
        <v>110000</v>
      </c>
      <c r="K23" s="25">
        <v>1</v>
      </c>
      <c r="L23" s="25">
        <f t="shared" si="1"/>
        <v>110000</v>
      </c>
      <c r="M23" s="29"/>
      <c r="P23" s="8"/>
      <c r="Q23" s="29"/>
    </row>
    <row r="24" spans="1:17" x14ac:dyDescent="0.2">
      <c r="I24" s="25" t="s">
        <v>49</v>
      </c>
      <c r="J24" s="25">
        <v>143000</v>
      </c>
      <c r="K24" s="25">
        <v>0</v>
      </c>
      <c r="L24" s="25">
        <f t="shared" si="1"/>
        <v>0</v>
      </c>
      <c r="P24" s="8"/>
      <c r="Q24" s="8"/>
    </row>
    <row r="25" spans="1:17" x14ac:dyDescent="0.2">
      <c r="B25" s="27" t="s">
        <v>50</v>
      </c>
      <c r="C25" s="15"/>
      <c r="E25" s="31">
        <f>'[11]Central Trading'!E25+'[11]Central Origination'!E25+[11]Derivatives!E25+'[11]East Trading'!E25+'[11]East Origination'!E25+'[11]Financial Gas'!E25+[11]Structuring!E25+'[11]Texas Trading'!E25+'[11]Texas Origination'!E25+'[11]West Trading'!E25+'[11]West Origination'!E25+[11]Fundamentals!E25</f>
        <v>108</v>
      </c>
      <c r="H25" s="31">
        <v>0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1"/>
        <v>396000</v>
      </c>
      <c r="P26" s="8"/>
      <c r="Q26" s="32"/>
    </row>
    <row r="27" spans="1:17" x14ac:dyDescent="0.2">
      <c r="B27" s="27" t="s">
        <v>67</v>
      </c>
      <c r="C27" s="15"/>
      <c r="E27" s="31">
        <f>'[11]Central Trading'!E27+'[11]Central Origination'!E27+[11]Derivatives!E27+'[11]East Trading'!E27+'[11]East Origination'!E27+'[11]Financial Gas'!E27+[11]Structuring!E27+'[11]Texas Trading'!E27+'[11]Texas Origination'!E27+'[11]West Trading'!E27+'[11]West Origination'!E27+[11]Fundamentals!E27</f>
        <v>52</v>
      </c>
      <c r="H27" s="31">
        <f>+K21+K22</f>
        <v>2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">
      <c r="K28" s="25">
        <f>SUM(K16:K27)</f>
        <v>5</v>
      </c>
      <c r="L28" s="25">
        <f>SUM(L16:L27)*1.2</f>
        <v>821040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2</v>
      </c>
      <c r="L29" s="52">
        <v>0.2</v>
      </c>
      <c r="P29" s="8"/>
      <c r="Q29" s="32"/>
    </row>
    <row r="30" spans="1:17" hidden="1" x14ac:dyDescent="0.2">
      <c r="L30" s="25">
        <f>L28*1.2</f>
        <v>985248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5</v>
      </c>
      <c r="L34" s="37">
        <f>+J34*K34</f>
        <v>241350.90625000006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I124"/>
  <sheetViews>
    <sheetView zoomScaleNormal="100" workbookViewId="0">
      <selection activeCell="F8" sqref="F8:F21"/>
    </sheetView>
  </sheetViews>
  <sheetFormatPr defaultRowHeight="12.75" x14ac:dyDescent="0.2"/>
  <cols>
    <col min="1" max="1" width="7.140625" customWidth="1"/>
    <col min="2" max="2" width="23.5703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10.42578125" hidden="1" customWidth="1"/>
    <col min="8" max="8" width="2.5703125" hidden="1" customWidth="1"/>
    <col min="9" max="9" width="5.28515625" hidden="1" customWidth="1"/>
    <col min="10" max="10" width="13.140625" hidden="1" customWidth="1"/>
    <col min="11" max="11" width="10.28515625" hidden="1" customWidth="1"/>
    <col min="12" max="12" width="9.42578125" hidden="1" customWidth="1"/>
    <col min="13" max="13" width="13.85546875" hidden="1" customWidth="1"/>
    <col min="14" max="14" width="9.28515625" hidden="1" customWidth="1"/>
    <col min="15" max="15" width="9.140625" hidden="1" customWidth="1"/>
    <col min="16" max="50" width="0" hidden="1" customWidth="1"/>
  </cols>
  <sheetData>
    <row r="1" spans="1:35" ht="18" x14ac:dyDescent="0.25">
      <c r="B1" s="142" t="str">
        <f>'[24]Team Report'!B1</f>
        <v>Enron North America</v>
      </c>
      <c r="C1" s="142"/>
      <c r="D1" s="144"/>
      <c r="E1" s="144"/>
      <c r="F1" s="14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8" x14ac:dyDescent="0.25">
      <c r="B2" s="142" t="str">
        <f>'[24]Pull Sheet'!E9</f>
        <v>Canada Support</v>
      </c>
      <c r="C2" s="142"/>
      <c r="D2" s="144"/>
      <c r="E2" s="144"/>
      <c r="F2" s="14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8.75" thickBot="1" x14ac:dyDescent="0.3">
      <c r="B3" s="142" t="s">
        <v>0</v>
      </c>
      <c r="C3" s="142"/>
      <c r="D3" s="144"/>
      <c r="E3" s="144"/>
      <c r="F3" s="14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">
      <c r="J4" s="4"/>
      <c r="K4" s="5"/>
      <c r="L4" s="5"/>
      <c r="M4" s="6"/>
    </row>
    <row r="5" spans="1:35" x14ac:dyDescent="0.2">
      <c r="J5" s="7"/>
      <c r="K5" s="8" t="s">
        <v>1</v>
      </c>
      <c r="L5" s="8" t="s">
        <v>2</v>
      </c>
      <c r="M5" s="9" t="s">
        <v>3</v>
      </c>
    </row>
    <row r="6" spans="1:35" x14ac:dyDescent="0.2">
      <c r="C6" s="10">
        <v>37135</v>
      </c>
      <c r="E6" s="44" t="s">
        <v>61</v>
      </c>
      <c r="F6" s="76">
        <v>2002</v>
      </c>
      <c r="J6" s="7"/>
      <c r="K6" s="8"/>
      <c r="L6" s="8"/>
      <c r="M6" s="9"/>
      <c r="O6" s="44" t="s">
        <v>63</v>
      </c>
    </row>
    <row r="7" spans="1:35" x14ac:dyDescent="0.2">
      <c r="C7" s="12" t="s">
        <v>5</v>
      </c>
      <c r="E7" s="12" t="s">
        <v>6</v>
      </c>
      <c r="F7" s="12" t="s">
        <v>7</v>
      </c>
      <c r="H7" s="33"/>
      <c r="J7" s="7"/>
      <c r="K7" s="8"/>
      <c r="L7" s="8"/>
      <c r="M7" s="9"/>
      <c r="O7" s="12" t="s">
        <v>7</v>
      </c>
    </row>
    <row r="8" spans="1:35" x14ac:dyDescent="0.2">
      <c r="A8" s="13" t="s">
        <v>9</v>
      </c>
      <c r="B8" s="14" t="s">
        <v>10</v>
      </c>
      <c r="C8" s="15">
        <f>'[24]Team Report'!BA25</f>
        <v>3097005.1799999992</v>
      </c>
      <c r="E8" s="15">
        <f>(C8/9)*12</f>
        <v>4129340.2399999993</v>
      </c>
      <c r="F8" s="140">
        <f>((SUM(M15:M20,M24:M26,M30:M35,M39:M41,M45,M48:M49)-1205200)*1.2)*0.917</f>
        <v>2200800</v>
      </c>
      <c r="J8" s="7" t="s">
        <v>10</v>
      </c>
      <c r="K8" s="17">
        <v>0</v>
      </c>
      <c r="L8" s="8"/>
      <c r="M8" s="18">
        <f>M21+M27+M36+M42+M46+M50</f>
        <v>3846240</v>
      </c>
      <c r="O8" s="15">
        <f t="shared" ref="O8:O21" si="0">+F8/$F$28*$O$28</f>
        <v>66690.909090909088</v>
      </c>
    </row>
    <row r="9" spans="1:35" x14ac:dyDescent="0.2">
      <c r="B9" s="14" t="s">
        <v>12</v>
      </c>
      <c r="C9" s="15">
        <v>0</v>
      </c>
      <c r="E9" s="15">
        <f>(C9/9)*12</f>
        <v>0</v>
      </c>
      <c r="F9" s="140">
        <f>(((D9/9)*12)*1.2)*0.917</f>
        <v>0</v>
      </c>
      <c r="J9" s="7"/>
      <c r="K9" s="8"/>
      <c r="L9" s="8"/>
      <c r="M9" s="9"/>
      <c r="O9" s="15">
        <f t="shared" si="0"/>
        <v>0</v>
      </c>
    </row>
    <row r="10" spans="1:35" x14ac:dyDescent="0.2">
      <c r="A10" s="13" t="s">
        <v>13</v>
      </c>
      <c r="B10" s="14" t="s">
        <v>14</v>
      </c>
      <c r="C10" s="15">
        <f>'[24]Team Report'!BA26</f>
        <v>405010.39999999997</v>
      </c>
      <c r="E10" s="15">
        <f>(C10/9)*12</f>
        <v>540013.8666666667</v>
      </c>
      <c r="F10" s="140">
        <f>((+F8*0.2-100)*1.2)*0.917</f>
        <v>484242.02400000003</v>
      </c>
      <c r="J10" s="7" t="s">
        <v>15</v>
      </c>
      <c r="K10" s="19">
        <f>(E11+E12+E13+E14+E15+E16+E17+E18+E19+E20+E21)/E28</f>
        <v>28886.151724137919</v>
      </c>
      <c r="L10" s="8">
        <f>+L21+L27+L36+L42+L46+L50</f>
        <v>32</v>
      </c>
      <c r="M10" s="18">
        <f>K10*L10</f>
        <v>924356.8551724134</v>
      </c>
      <c r="O10" s="15">
        <f t="shared" si="0"/>
        <v>14674.000727272729</v>
      </c>
    </row>
    <row r="11" spans="1:35" x14ac:dyDescent="0.2">
      <c r="A11" s="13" t="s">
        <v>16</v>
      </c>
      <c r="B11" s="14" t="s">
        <v>17</v>
      </c>
      <c r="C11" s="15">
        <f>'[24]Team Report'!BA27</f>
        <v>309437.02</v>
      </c>
      <c r="E11" s="20">
        <f t="shared" ref="E11:E21" si="1">(C11/9)*12*1.2</f>
        <v>495099.23200000002</v>
      </c>
      <c r="F11" s="140">
        <f>((+E11/$E$28*$L$10)*1.2)*0.917</f>
        <v>200388.85329390346</v>
      </c>
      <c r="J11" s="7"/>
      <c r="K11" s="8"/>
      <c r="L11" s="8"/>
      <c r="M11" s="9"/>
      <c r="O11" s="15">
        <f t="shared" si="0"/>
        <v>6072.3894937546502</v>
      </c>
    </row>
    <row r="12" spans="1:35" ht="13.5" thickBot="1" x14ac:dyDescent="0.25">
      <c r="A12" s="13" t="s">
        <v>18</v>
      </c>
      <c r="B12" s="14" t="s">
        <v>19</v>
      </c>
      <c r="C12" s="15">
        <f>'[24]Team Report'!BA28</f>
        <v>270791.23</v>
      </c>
      <c r="E12" s="20">
        <f t="shared" si="1"/>
        <v>433265.96799999999</v>
      </c>
      <c r="F12" s="140">
        <f>((+E12/$E$28*$L$10)*1.2)*0.917</f>
        <v>175362.15951713102</v>
      </c>
      <c r="J12" s="22" t="s">
        <v>20</v>
      </c>
      <c r="K12" s="23"/>
      <c r="L12" s="23"/>
      <c r="M12" s="24">
        <f>M8+M10</f>
        <v>4770596.8551724134</v>
      </c>
      <c r="O12" s="15">
        <f t="shared" si="0"/>
        <v>5314.0048338524548</v>
      </c>
    </row>
    <row r="13" spans="1:35" x14ac:dyDescent="0.2">
      <c r="A13" s="13" t="s">
        <v>21</v>
      </c>
      <c r="B13" s="14" t="s">
        <v>22</v>
      </c>
      <c r="C13" s="15">
        <f>'[24]Team Report'!BA32-C38</f>
        <v>-0.42000000085681677</v>
      </c>
      <c r="E13" s="20">
        <f t="shared" si="1"/>
        <v>-0.67200000137090676</v>
      </c>
      <c r="F13" s="140">
        <v>0</v>
      </c>
      <c r="N13" s="49"/>
      <c r="O13" s="15">
        <f t="shared" si="0"/>
        <v>0</v>
      </c>
    </row>
    <row r="14" spans="1:35" x14ac:dyDescent="0.2">
      <c r="A14" s="13" t="s">
        <v>23</v>
      </c>
      <c r="B14" s="14" t="s">
        <v>24</v>
      </c>
      <c r="C14" s="15">
        <f>'[24]Team Report'!BA33</f>
        <v>132382.80000000002</v>
      </c>
      <c r="E14" s="20">
        <f t="shared" si="1"/>
        <v>211812.48000000001</v>
      </c>
      <c r="F14" s="140">
        <f t="shared" ref="F14:F21" si="2">((+E14/$E$28*$L$10)*1.2)*0.917</f>
        <v>85730.005698206907</v>
      </c>
      <c r="J14" s="33" t="s">
        <v>125</v>
      </c>
      <c r="N14" s="25"/>
      <c r="O14" s="15">
        <f t="shared" si="0"/>
        <v>2597.8789605517245</v>
      </c>
    </row>
    <row r="15" spans="1:35" x14ac:dyDescent="0.2">
      <c r="A15" s="13" t="s">
        <v>25</v>
      </c>
      <c r="B15" s="14" t="s">
        <v>26</v>
      </c>
      <c r="C15" s="15">
        <f>'[24]Team Report'!BA34</f>
        <v>0</v>
      </c>
      <c r="E15" s="20">
        <f t="shared" si="1"/>
        <v>0</v>
      </c>
      <c r="F15" s="140">
        <f t="shared" si="2"/>
        <v>0</v>
      </c>
      <c r="J15" t="s">
        <v>27</v>
      </c>
      <c r="K15" s="25">
        <v>36000</v>
      </c>
      <c r="L15">
        <v>1</v>
      </c>
      <c r="M15" s="25">
        <f t="shared" ref="M15:M20" si="3">K15*L15</f>
        <v>36000</v>
      </c>
      <c r="O15" s="15">
        <f t="shared" si="0"/>
        <v>0</v>
      </c>
    </row>
    <row r="16" spans="1:35" x14ac:dyDescent="0.2">
      <c r="A16" s="13" t="s">
        <v>28</v>
      </c>
      <c r="B16" s="14" t="s">
        <v>29</v>
      </c>
      <c r="C16" s="15">
        <f>'[24]Team Report'!BA35</f>
        <v>36209.440000000002</v>
      </c>
      <c r="E16" s="20">
        <f t="shared" si="1"/>
        <v>57935.103999999999</v>
      </c>
      <c r="F16" s="140">
        <f t="shared" si="2"/>
        <v>23448.933679668964</v>
      </c>
      <c r="J16" t="s">
        <v>33</v>
      </c>
      <c r="K16" s="25">
        <v>54000</v>
      </c>
      <c r="L16">
        <v>2</v>
      </c>
      <c r="M16" s="25">
        <f t="shared" si="3"/>
        <v>108000</v>
      </c>
      <c r="O16" s="15">
        <f t="shared" si="0"/>
        <v>710.57374786875653</v>
      </c>
    </row>
    <row r="17" spans="1:15" x14ac:dyDescent="0.2">
      <c r="A17" s="13" t="s">
        <v>31</v>
      </c>
      <c r="B17" s="14" t="s">
        <v>32</v>
      </c>
      <c r="C17" s="15">
        <f>'[24]Team Report'!BA36</f>
        <v>489327.92000000004</v>
      </c>
      <c r="E17" s="20">
        <f t="shared" si="1"/>
        <v>782924.67200000014</v>
      </c>
      <c r="F17" s="140">
        <f t="shared" si="2"/>
        <v>316884.71138162765</v>
      </c>
      <c r="J17" t="s">
        <v>36</v>
      </c>
      <c r="K17" s="25">
        <v>62400</v>
      </c>
      <c r="L17">
        <f>3+1</f>
        <v>4</v>
      </c>
      <c r="M17" s="25">
        <f t="shared" si="3"/>
        <v>249600</v>
      </c>
      <c r="N17" t="s">
        <v>215</v>
      </c>
      <c r="O17" s="15">
        <f t="shared" si="0"/>
        <v>9602.5670115644753</v>
      </c>
    </row>
    <row r="18" spans="1:15" x14ac:dyDescent="0.2">
      <c r="A18" s="13" t="s">
        <v>34</v>
      </c>
      <c r="B18" s="14" t="s">
        <v>35</v>
      </c>
      <c r="C18" s="15">
        <f>'[24]Team Report'!BA37</f>
        <v>23628.120000000003</v>
      </c>
      <c r="E18" s="20">
        <f t="shared" si="1"/>
        <v>37804.992000000006</v>
      </c>
      <c r="F18" s="140">
        <f t="shared" si="2"/>
        <v>15301.374968937935</v>
      </c>
      <c r="J18" t="s">
        <v>39</v>
      </c>
      <c r="K18" s="25">
        <v>79200</v>
      </c>
      <c r="L18">
        <v>2</v>
      </c>
      <c r="M18" s="25">
        <f t="shared" si="3"/>
        <v>158400</v>
      </c>
      <c r="O18" s="15">
        <f t="shared" si="0"/>
        <v>463.67802936175559</v>
      </c>
    </row>
    <row r="19" spans="1:15" x14ac:dyDescent="0.2">
      <c r="A19" s="13" t="s">
        <v>37</v>
      </c>
      <c r="B19" s="14" t="s">
        <v>38</v>
      </c>
      <c r="C19" s="15">
        <f>'[24]Team Report'!BA38</f>
        <v>0</v>
      </c>
      <c r="E19" s="20">
        <f t="shared" si="1"/>
        <v>0</v>
      </c>
      <c r="F19" s="140">
        <f t="shared" si="2"/>
        <v>0</v>
      </c>
      <c r="J19" t="s">
        <v>48</v>
      </c>
      <c r="K19" s="25">
        <v>96000</v>
      </c>
      <c r="L19">
        <v>2</v>
      </c>
      <c r="M19" s="25">
        <f t="shared" si="3"/>
        <v>192000</v>
      </c>
      <c r="O19" s="15">
        <f t="shared" si="0"/>
        <v>0</v>
      </c>
    </row>
    <row r="20" spans="1:15" x14ac:dyDescent="0.2">
      <c r="A20" s="13" t="s">
        <v>40</v>
      </c>
      <c r="B20" s="14" t="s">
        <v>41</v>
      </c>
      <c r="C20" s="15">
        <f>'[24]Team Report'!BA42</f>
        <v>308878.27000000008</v>
      </c>
      <c r="E20" s="20">
        <f t="shared" si="1"/>
        <v>494205.23200000013</v>
      </c>
      <c r="F20" s="140">
        <f t="shared" si="2"/>
        <v>200027.01141804142</v>
      </c>
      <c r="J20" t="s">
        <v>52</v>
      </c>
      <c r="K20" s="25">
        <v>216000</v>
      </c>
      <c r="L20">
        <v>1</v>
      </c>
      <c r="M20" s="25">
        <f t="shared" si="3"/>
        <v>216000</v>
      </c>
      <c r="O20" s="15">
        <f t="shared" si="0"/>
        <v>6061.4245884254979</v>
      </c>
    </row>
    <row r="21" spans="1:15" x14ac:dyDescent="0.2">
      <c r="A21" s="13" t="s">
        <v>43</v>
      </c>
      <c r="B21" s="14" t="s">
        <v>44</v>
      </c>
      <c r="C21" s="15">
        <f>'[24]Team Report'!BA44</f>
        <v>30.12</v>
      </c>
      <c r="E21" s="20">
        <f t="shared" si="1"/>
        <v>48.191999999999993</v>
      </c>
      <c r="F21" s="140">
        <f t="shared" si="2"/>
        <v>19.505462731034481</v>
      </c>
      <c r="L21">
        <f>SUM(L15:L20)</f>
        <v>12</v>
      </c>
      <c r="M21" s="25">
        <f>SUM(M15:M20)*1.2</f>
        <v>1152000</v>
      </c>
      <c r="O21" s="15">
        <f t="shared" si="0"/>
        <v>0.59107462821316603</v>
      </c>
    </row>
    <row r="22" spans="1:15" ht="13.5" thickBot="1" x14ac:dyDescent="0.25">
      <c r="A22" s="26" t="s">
        <v>46</v>
      </c>
      <c r="B22" s="27" t="s">
        <v>47</v>
      </c>
      <c r="C22" s="28">
        <f>SUM(C8:C21)</f>
        <v>5072700.0799999991</v>
      </c>
      <c r="E22" s="28">
        <f>SUM(E8:E21)</f>
        <v>7182449.3066666648</v>
      </c>
      <c r="F22" s="28">
        <f>SUM(F8:F21)</f>
        <v>3702204.579420249</v>
      </c>
      <c r="O22" s="58">
        <f>SUM(O8:O21)</f>
        <v>112188.01755818931</v>
      </c>
    </row>
    <row r="23" spans="1:15" x14ac:dyDescent="0.2">
      <c r="J23" s="33" t="s">
        <v>126</v>
      </c>
    </row>
    <row r="24" spans="1:15" x14ac:dyDescent="0.2">
      <c r="B24" s="27" t="s">
        <v>50</v>
      </c>
      <c r="C24" s="15"/>
      <c r="E24" s="31">
        <v>82</v>
      </c>
      <c r="F24" s="31">
        <v>32</v>
      </c>
      <c r="J24" t="s">
        <v>33</v>
      </c>
      <c r="K24" s="25">
        <v>60000</v>
      </c>
      <c r="L24">
        <v>2</v>
      </c>
      <c r="M24" s="25">
        <f>K24*L24</f>
        <v>120000</v>
      </c>
      <c r="O24" s="31">
        <f>SUM(U15:U19,U22:U26)</f>
        <v>0</v>
      </c>
    </row>
    <row r="25" spans="1:15" x14ac:dyDescent="0.2">
      <c r="C25" s="15"/>
      <c r="E25" s="15"/>
      <c r="F25" s="15"/>
      <c r="J25" t="s">
        <v>36</v>
      </c>
      <c r="K25" s="25">
        <v>78000</v>
      </c>
      <c r="L25">
        <v>1</v>
      </c>
      <c r="M25" s="25">
        <f>K25*L25</f>
        <v>78000</v>
      </c>
      <c r="O25" s="15"/>
    </row>
    <row r="26" spans="1:15" x14ac:dyDescent="0.2">
      <c r="B26" s="27" t="s">
        <v>101</v>
      </c>
      <c r="C26" s="15"/>
      <c r="E26" s="31">
        <v>5</v>
      </c>
      <c r="F26" s="31">
        <v>1</v>
      </c>
      <c r="J26" t="s">
        <v>39</v>
      </c>
      <c r="K26" s="25">
        <v>102000</v>
      </c>
      <c r="L26">
        <v>0</v>
      </c>
      <c r="M26" s="25">
        <f>K26*L26</f>
        <v>0</v>
      </c>
      <c r="O26" s="31">
        <f>SUM(U20:U21)</f>
        <v>0</v>
      </c>
    </row>
    <row r="27" spans="1:15" x14ac:dyDescent="0.2">
      <c r="L27">
        <f>SUM(L24:L26)</f>
        <v>3</v>
      </c>
      <c r="M27" s="25">
        <f>SUM(M24:M26)*1.2</f>
        <v>237600</v>
      </c>
    </row>
    <row r="28" spans="1:15" x14ac:dyDescent="0.2">
      <c r="B28" s="27" t="s">
        <v>55</v>
      </c>
      <c r="C28" s="15"/>
      <c r="E28" s="31">
        <f>+E26+E24</f>
        <v>87</v>
      </c>
      <c r="F28" s="31">
        <f>+F26+F24</f>
        <v>33</v>
      </c>
      <c r="G28" s="32"/>
      <c r="H28" s="25"/>
      <c r="O28" s="31">
        <v>1</v>
      </c>
    </row>
    <row r="29" spans="1:15" ht="11.25" customHeight="1" x14ac:dyDescent="0.2">
      <c r="J29" s="33" t="s">
        <v>127</v>
      </c>
    </row>
    <row r="30" spans="1:15" hidden="1" x14ac:dyDescent="0.2">
      <c r="A30" s="13" t="s">
        <v>71</v>
      </c>
      <c r="B30" s="14" t="s">
        <v>72</v>
      </c>
      <c r="C30" s="15">
        <f>'[24]Team Report'!BA29</f>
        <v>0</v>
      </c>
      <c r="E30" s="15">
        <f t="shared" ref="E30:E37" si="4">(C30/9)*12</f>
        <v>0</v>
      </c>
      <c r="F30" s="15"/>
      <c r="J30" t="s">
        <v>33</v>
      </c>
      <c r="K30" s="25">
        <v>49200</v>
      </c>
      <c r="L30">
        <v>0</v>
      </c>
      <c r="M30" s="25">
        <f t="shared" ref="M30:M35" si="5">K30*L30</f>
        <v>0</v>
      </c>
    </row>
    <row r="31" spans="1:15" hidden="1" x14ac:dyDescent="0.2">
      <c r="A31" s="13" t="s">
        <v>73</v>
      </c>
      <c r="B31" s="14" t="s">
        <v>74</v>
      </c>
      <c r="C31" s="15">
        <f>'[24]Team Report'!BA30</f>
        <v>0</v>
      </c>
      <c r="E31" s="15">
        <f t="shared" si="4"/>
        <v>0</v>
      </c>
      <c r="F31" s="15"/>
      <c r="J31" t="s">
        <v>36</v>
      </c>
      <c r="K31" s="25">
        <v>62400</v>
      </c>
      <c r="L31">
        <v>2</v>
      </c>
      <c r="M31" s="25">
        <f t="shared" si="5"/>
        <v>124800</v>
      </c>
    </row>
    <row r="32" spans="1:15" hidden="1" x14ac:dyDescent="0.2">
      <c r="A32" s="13" t="s">
        <v>75</v>
      </c>
      <c r="B32" s="14" t="s">
        <v>76</v>
      </c>
      <c r="C32" s="15">
        <f>'[24]Team Report'!BA31</f>
        <v>0</v>
      </c>
      <c r="E32" s="15">
        <f t="shared" si="4"/>
        <v>0</v>
      </c>
      <c r="F32" s="15"/>
      <c r="J32" t="s">
        <v>39</v>
      </c>
      <c r="K32" s="25">
        <v>74400</v>
      </c>
      <c r="L32">
        <f>2+1</f>
        <v>3</v>
      </c>
      <c r="M32" s="25">
        <f t="shared" si="5"/>
        <v>223200</v>
      </c>
      <c r="N32" t="s">
        <v>195</v>
      </c>
    </row>
    <row r="33" spans="1:14" hidden="1" x14ac:dyDescent="0.2">
      <c r="A33" s="13" t="s">
        <v>77</v>
      </c>
      <c r="B33" s="14" t="s">
        <v>78</v>
      </c>
      <c r="C33" s="15">
        <f>'[24]Team Report'!BA39</f>
        <v>0</v>
      </c>
      <c r="E33" s="15">
        <f t="shared" si="4"/>
        <v>0</v>
      </c>
      <c r="F33" s="15"/>
      <c r="J33" t="s">
        <v>48</v>
      </c>
      <c r="K33" s="25">
        <v>90000</v>
      </c>
      <c r="L33">
        <v>1</v>
      </c>
      <c r="M33" s="25">
        <f t="shared" si="5"/>
        <v>90000</v>
      </c>
    </row>
    <row r="34" spans="1:14" hidden="1" x14ac:dyDescent="0.2">
      <c r="A34" s="13" t="s">
        <v>79</v>
      </c>
      <c r="B34" s="14" t="s">
        <v>80</v>
      </c>
      <c r="C34" s="15">
        <f>'[24]Team Report'!BA40</f>
        <v>25924.200000000004</v>
      </c>
      <c r="E34" s="15">
        <f t="shared" si="4"/>
        <v>34565.600000000006</v>
      </c>
      <c r="F34" s="15"/>
      <c r="J34" t="s">
        <v>49</v>
      </c>
      <c r="K34" s="25">
        <v>120000</v>
      </c>
      <c r="L34">
        <v>1</v>
      </c>
      <c r="M34" s="25">
        <f t="shared" si="5"/>
        <v>120000</v>
      </c>
    </row>
    <row r="35" spans="1:14" hidden="1" x14ac:dyDescent="0.2">
      <c r="A35" s="13" t="s">
        <v>81</v>
      </c>
      <c r="B35" s="14" t="s">
        <v>82</v>
      </c>
      <c r="C35" s="15">
        <f>'[24]Team Report'!BA41</f>
        <v>1904.7300000000002</v>
      </c>
      <c r="E35" s="15">
        <f t="shared" si="4"/>
        <v>2539.6400000000003</v>
      </c>
      <c r="F35" s="15"/>
      <c r="J35" t="s">
        <v>52</v>
      </c>
      <c r="K35" s="25">
        <v>216000</v>
      </c>
      <c r="L35">
        <v>1</v>
      </c>
      <c r="M35" s="25">
        <f t="shared" si="5"/>
        <v>216000</v>
      </c>
    </row>
    <row r="36" spans="1:14" hidden="1" x14ac:dyDescent="0.2">
      <c r="A36" s="13" t="s">
        <v>83</v>
      </c>
      <c r="B36" s="14" t="s">
        <v>84</v>
      </c>
      <c r="C36" s="15">
        <f>'[24]Team Report'!BA43</f>
        <v>-612901.88</v>
      </c>
      <c r="E36" s="15">
        <f t="shared" si="4"/>
        <v>-817202.5066666666</v>
      </c>
      <c r="F36" s="15"/>
      <c r="L36">
        <f>SUM(L30:L35)</f>
        <v>8</v>
      </c>
      <c r="M36" s="25">
        <f>SUM(M30:M35)*1.2</f>
        <v>928800</v>
      </c>
    </row>
    <row r="37" spans="1:14" hidden="1" x14ac:dyDescent="0.2">
      <c r="A37" s="13" t="s">
        <v>85</v>
      </c>
      <c r="B37" s="14" t="s">
        <v>86</v>
      </c>
      <c r="C37" s="15">
        <f>'[24]Team Report'!BA45</f>
        <v>0</v>
      </c>
      <c r="E37" s="15">
        <f t="shared" si="4"/>
        <v>0</v>
      </c>
      <c r="F37" s="15"/>
    </row>
    <row r="38" spans="1:14" hidden="1" x14ac:dyDescent="0.2">
      <c r="A38" s="13"/>
      <c r="B38" s="14" t="s">
        <v>22</v>
      </c>
      <c r="C38" s="15">
        <v>5703580</v>
      </c>
      <c r="E38" s="15"/>
      <c r="F38" s="15"/>
      <c r="J38" s="33" t="s">
        <v>128</v>
      </c>
    </row>
    <row r="39" spans="1:14" hidden="1" x14ac:dyDescent="0.2">
      <c r="J39" t="s">
        <v>30</v>
      </c>
      <c r="K39" s="25">
        <v>52800</v>
      </c>
      <c r="L39">
        <v>1</v>
      </c>
      <c r="M39" s="25">
        <f>K39*L39</f>
        <v>52800</v>
      </c>
    </row>
    <row r="40" spans="1:14" hidden="1" x14ac:dyDescent="0.2">
      <c r="C40" s="54">
        <f>C22+C30+C31+C32+C33+C34+C35+C36+C37</f>
        <v>4487627.13</v>
      </c>
      <c r="J40" t="s">
        <v>129</v>
      </c>
      <c r="K40" s="25">
        <v>195600</v>
      </c>
      <c r="L40">
        <f>2+1</f>
        <v>3</v>
      </c>
      <c r="M40" s="25">
        <f>K40*L40</f>
        <v>586800</v>
      </c>
      <c r="N40" t="s">
        <v>214</v>
      </c>
    </row>
    <row r="41" spans="1:14" hidden="1" x14ac:dyDescent="0.2">
      <c r="J41" t="s">
        <v>52</v>
      </c>
      <c r="K41" s="25">
        <v>217200</v>
      </c>
      <c r="L41">
        <v>1</v>
      </c>
      <c r="M41" s="25">
        <f>K41*L41</f>
        <v>217200</v>
      </c>
    </row>
    <row r="42" spans="1:14" hidden="1" x14ac:dyDescent="0.2">
      <c r="L42">
        <f>SUM(L39:L41)</f>
        <v>5</v>
      </c>
      <c r="M42" s="25">
        <f>SUM(M39:M41)*1.2</f>
        <v>1028160</v>
      </c>
    </row>
    <row r="43" spans="1:14" hidden="1" x14ac:dyDescent="0.2">
      <c r="A43" s="33" t="s">
        <v>56</v>
      </c>
      <c r="B43" s="25"/>
      <c r="C43" s="25"/>
      <c r="D43" s="25"/>
    </row>
    <row r="44" spans="1:14" hidden="1" x14ac:dyDescent="0.2">
      <c r="B44" s="25"/>
      <c r="C44" s="25"/>
      <c r="D44" s="25"/>
      <c r="J44" s="33" t="s">
        <v>30</v>
      </c>
    </row>
    <row r="45" spans="1:14" hidden="1" x14ac:dyDescent="0.2">
      <c r="A45" s="34" t="s">
        <v>8</v>
      </c>
      <c r="B45" s="35" t="s">
        <v>58</v>
      </c>
      <c r="C45" s="35" t="s">
        <v>59</v>
      </c>
      <c r="E45" s="35" t="s">
        <v>2</v>
      </c>
      <c r="F45" s="35"/>
      <c r="G45" s="35" t="s">
        <v>60</v>
      </c>
      <c r="J45" t="s">
        <v>30</v>
      </c>
      <c r="K45" s="25">
        <v>52800</v>
      </c>
      <c r="L45">
        <v>3</v>
      </c>
      <c r="M45" s="25">
        <f>K45*L45</f>
        <v>158400</v>
      </c>
    </row>
    <row r="46" spans="1:14" hidden="1" x14ac:dyDescent="0.2">
      <c r="A46" s="36">
        <f>SUM(E11:E21)</f>
        <v>2513095.1999999988</v>
      </c>
      <c r="B46" s="56">
        <f>+E28</f>
        <v>87</v>
      </c>
      <c r="C46" s="37">
        <f>+A46/B46</f>
        <v>28886.151724137919</v>
      </c>
      <c r="D46" s="37"/>
      <c r="E46" s="56">
        <f>+L10</f>
        <v>32</v>
      </c>
      <c r="F46" s="56"/>
      <c r="G46" s="25">
        <f>+E46*C46</f>
        <v>924356.8551724134</v>
      </c>
      <c r="L46">
        <f>SUM(L45:L45)</f>
        <v>3</v>
      </c>
      <c r="M46" s="25">
        <f>SUM(M45:M45)*1.2</f>
        <v>190080</v>
      </c>
    </row>
    <row r="47" spans="1:14" hidden="1" x14ac:dyDescent="0.2">
      <c r="J47" s="33" t="s">
        <v>130</v>
      </c>
    </row>
    <row r="48" spans="1:14" hidden="1" x14ac:dyDescent="0.2">
      <c r="J48" t="s">
        <v>48</v>
      </c>
      <c r="K48" s="25">
        <v>90000</v>
      </c>
      <c r="L48">
        <v>1</v>
      </c>
      <c r="M48" s="25">
        <f>K48*L48</f>
        <v>90000</v>
      </c>
    </row>
    <row r="49" spans="10:13" hidden="1" x14ac:dyDescent="0.2">
      <c r="J49" t="s">
        <v>49</v>
      </c>
      <c r="K49" s="25">
        <v>168000</v>
      </c>
      <c r="L49">
        <v>1</v>
      </c>
      <c r="M49" s="25">
        <f>K49*L49</f>
        <v>168000</v>
      </c>
    </row>
    <row r="50" spans="10:13" hidden="1" x14ac:dyDescent="0.2">
      <c r="L50">
        <f>SUM(L49:L49)</f>
        <v>1</v>
      </c>
      <c r="M50" s="25">
        <f>SUM(M48:M49)*1.2</f>
        <v>309600</v>
      </c>
    </row>
    <row r="51" spans="10:13" hidden="1" x14ac:dyDescent="0.2"/>
    <row r="52" spans="10:13" hidden="1" x14ac:dyDescent="0.2"/>
    <row r="53" spans="10:13" hidden="1" x14ac:dyDescent="0.2"/>
    <row r="54" spans="10:13" hidden="1" x14ac:dyDescent="0.2"/>
    <row r="55" spans="10:13" hidden="1" x14ac:dyDescent="0.2"/>
    <row r="56" spans="10:13" hidden="1" x14ac:dyDescent="0.2"/>
    <row r="57" spans="10:13" hidden="1" x14ac:dyDescent="0.2"/>
    <row r="58" spans="10:13" hidden="1" x14ac:dyDescent="0.2"/>
    <row r="59" spans="10:13" hidden="1" x14ac:dyDescent="0.2"/>
    <row r="60" spans="10:13" hidden="1" x14ac:dyDescent="0.2"/>
    <row r="61" spans="10:13" hidden="1" x14ac:dyDescent="0.2"/>
    <row r="62" spans="10:13" hidden="1" x14ac:dyDescent="0.2"/>
    <row r="63" spans="10:13" hidden="1" x14ac:dyDescent="0.2"/>
    <row r="64" spans="10:13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1.01" bottom="0.48" header="1.37" footer="0.5"/>
  <pageSetup orientation="portrait" verticalDpi="196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43"/>
  <sheetViews>
    <sheetView topLeftCell="A4" zoomScaleNormal="100" workbookViewId="0">
      <selection activeCell="F8" sqref="F8:F21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2.28515625" customWidth="1"/>
    <col min="8" max="8" width="9.85546875" hidden="1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4" width="9.140625" hidden="1" customWidth="1"/>
    <col min="15" max="15" width="12.140625" hidden="1" customWidth="1"/>
    <col min="16" max="42" width="0" hidden="1" customWidth="1"/>
  </cols>
  <sheetData>
    <row r="1" spans="1:36" ht="18" x14ac:dyDescent="0.25">
      <c r="B1" s="142" t="str">
        <f>'[19]Team Report'!B1</f>
        <v>Enron North America</v>
      </c>
      <c r="C1" s="142"/>
      <c r="D1" s="142"/>
      <c r="E1" s="142"/>
      <c r="F1" s="142"/>
      <c r="G1" s="142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8" x14ac:dyDescent="0.25">
      <c r="B2" s="142" t="s">
        <v>120</v>
      </c>
      <c r="C2" s="142"/>
      <c r="D2" s="142"/>
      <c r="E2" s="142"/>
      <c r="F2" s="142"/>
      <c r="G2" s="142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8" x14ac:dyDescent="0.25">
      <c r="B3" s="143" t="s">
        <v>0</v>
      </c>
      <c r="C3" s="143"/>
      <c r="D3" s="143"/>
      <c r="E3" s="143"/>
      <c r="F3" s="143"/>
      <c r="G3" s="14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ht="13.5" thickBot="1" x14ac:dyDescent="0.25">
      <c r="I4" s="147" t="s">
        <v>121</v>
      </c>
      <c r="J4" s="147"/>
      <c r="K4" s="147"/>
      <c r="L4" s="147"/>
    </row>
    <row r="5" spans="1:36" x14ac:dyDescent="0.2">
      <c r="I5" s="4"/>
      <c r="J5" s="40"/>
      <c r="K5" s="40"/>
      <c r="L5" s="41"/>
      <c r="M5" s="8"/>
    </row>
    <row r="6" spans="1:36" x14ac:dyDescent="0.2">
      <c r="C6" s="10">
        <v>37135</v>
      </c>
      <c r="E6" s="76">
        <v>2001</v>
      </c>
      <c r="G6" s="76">
        <v>2002</v>
      </c>
      <c r="I6" s="7"/>
      <c r="J6" s="19" t="s">
        <v>1</v>
      </c>
      <c r="K6" s="19" t="s">
        <v>2</v>
      </c>
      <c r="L6" s="74" t="s">
        <v>107</v>
      </c>
      <c r="M6" s="8"/>
      <c r="O6" s="76">
        <v>2002</v>
      </c>
    </row>
    <row r="7" spans="1:36" x14ac:dyDescent="0.2">
      <c r="C7" s="12" t="s">
        <v>5</v>
      </c>
      <c r="E7" s="12" t="s">
        <v>6</v>
      </c>
      <c r="G7" s="12" t="s">
        <v>7</v>
      </c>
      <c r="I7" s="7"/>
      <c r="J7" s="17"/>
      <c r="K7" s="17"/>
      <c r="L7" s="43"/>
      <c r="M7" s="8"/>
      <c r="O7" s="12" t="s">
        <v>7</v>
      </c>
    </row>
    <row r="8" spans="1:36" x14ac:dyDescent="0.2">
      <c r="A8" s="13" t="s">
        <v>9</v>
      </c>
      <c r="B8" s="14" t="s">
        <v>10</v>
      </c>
      <c r="C8" s="53">
        <v>0</v>
      </c>
      <c r="E8" s="15">
        <v>2625993</v>
      </c>
      <c r="G8" s="140">
        <f>((L27-G9)*1.2)*0.917</f>
        <v>1867397.462784</v>
      </c>
      <c r="I8" s="7"/>
      <c r="J8" s="17"/>
      <c r="K8" s="17"/>
      <c r="L8" s="43"/>
      <c r="M8" s="8"/>
      <c r="O8" s="15">
        <f t="shared" ref="O8:O21" si="0">+G8/$G$28*$O$28</f>
        <v>248986.32837119998</v>
      </c>
    </row>
    <row r="9" spans="1:36" x14ac:dyDescent="0.2">
      <c r="A9" s="13"/>
      <c r="B9" s="14" t="s">
        <v>122</v>
      </c>
      <c r="C9" s="15">
        <v>0</v>
      </c>
      <c r="E9" s="15">
        <f>(C9/9)*12</f>
        <v>0</v>
      </c>
      <c r="G9" s="140">
        <f>((L19)*1.2)*0.917</f>
        <v>63383.040000000001</v>
      </c>
      <c r="I9" s="7"/>
      <c r="J9" s="17"/>
      <c r="K9" s="17"/>
      <c r="L9" s="43"/>
      <c r="M9" s="8"/>
      <c r="O9" s="15">
        <f t="shared" si="0"/>
        <v>8451.0720000000001</v>
      </c>
    </row>
    <row r="10" spans="1:36" x14ac:dyDescent="0.2">
      <c r="A10" s="13" t="s">
        <v>13</v>
      </c>
      <c r="B10" s="14" t="s">
        <v>14</v>
      </c>
      <c r="C10" s="15">
        <v>0</v>
      </c>
      <c r="E10" s="15">
        <f>247074+290236+2376</f>
        <v>539686</v>
      </c>
      <c r="G10" s="140">
        <f>((L31-L27)*1.2)*0.917</f>
        <v>387428.83199999999</v>
      </c>
      <c r="I10" s="7"/>
      <c r="J10" s="17"/>
      <c r="K10" s="17"/>
      <c r="L10" s="43"/>
      <c r="M10" s="8"/>
      <c r="O10" s="15">
        <f t="shared" si="0"/>
        <v>51657.177600000003</v>
      </c>
    </row>
    <row r="11" spans="1:36" x14ac:dyDescent="0.2">
      <c r="A11" s="13" t="s">
        <v>16</v>
      </c>
      <c r="B11" s="14" t="s">
        <v>17</v>
      </c>
      <c r="C11" s="15">
        <v>115211.17</v>
      </c>
      <c r="E11" s="20">
        <f t="shared" ref="E11:E21" si="1">(C11/9)*12*1.2</f>
        <v>184337.87199999997</v>
      </c>
      <c r="G11" s="140">
        <f>(((E11/$E$28)*$G$28)*1.2)*0.917</f>
        <v>52460.015779862064</v>
      </c>
      <c r="I11" s="7" t="s">
        <v>15</v>
      </c>
      <c r="J11" s="17">
        <f>(E11+E12+E13+E14+E15+E16+E17+E18+E19+E20+E21)/E28</f>
        <v>9254.6982068965517</v>
      </c>
      <c r="K11" s="17">
        <f>K27</f>
        <v>15</v>
      </c>
      <c r="L11" s="43">
        <f>J11*K11</f>
        <v>138820.47310344828</v>
      </c>
      <c r="M11" s="8"/>
      <c r="O11" s="15">
        <f t="shared" si="0"/>
        <v>6994.6687706482753</v>
      </c>
    </row>
    <row r="12" spans="1:36" x14ac:dyDescent="0.2">
      <c r="A12" s="13" t="s">
        <v>18</v>
      </c>
      <c r="B12" s="14" t="s">
        <v>19</v>
      </c>
      <c r="C12" s="15">
        <v>158715.85999999999</v>
      </c>
      <c r="E12" s="20">
        <f t="shared" si="1"/>
        <v>253945.37599999999</v>
      </c>
      <c r="G12" s="140">
        <f>(((E12/$E$28)*$G$28+9324)*1.2)*0.917</f>
        <v>82529.480914758606</v>
      </c>
      <c r="I12" s="7"/>
      <c r="J12" s="17"/>
      <c r="K12" s="17"/>
      <c r="L12" s="43"/>
      <c r="M12" s="8"/>
      <c r="O12" s="15">
        <f t="shared" si="0"/>
        <v>11003.930788634481</v>
      </c>
    </row>
    <row r="13" spans="1:36" ht="13.5" thickBot="1" x14ac:dyDescent="0.25">
      <c r="A13" s="13" t="s">
        <v>21</v>
      </c>
      <c r="B13" s="14" t="s">
        <v>22</v>
      </c>
      <c r="C13" s="15">
        <v>0</v>
      </c>
      <c r="E13" s="20">
        <f t="shared" si="1"/>
        <v>0</v>
      </c>
      <c r="G13" s="140">
        <f>(((E13/$E$28)*$G$28+25000)*1.2)*0.917</f>
        <v>27510</v>
      </c>
      <c r="I13" s="22" t="s">
        <v>20</v>
      </c>
      <c r="J13" s="47"/>
      <c r="K13" s="47"/>
      <c r="L13" s="48">
        <f>SUM(L9:L11)</f>
        <v>138820.47310344828</v>
      </c>
      <c r="M13" s="8"/>
      <c r="O13" s="15">
        <f t="shared" si="0"/>
        <v>3668</v>
      </c>
    </row>
    <row r="14" spans="1:36" x14ac:dyDescent="0.2">
      <c r="A14" s="13" t="s">
        <v>23</v>
      </c>
      <c r="B14" s="14" t="s">
        <v>24</v>
      </c>
      <c r="C14" s="15">
        <v>28163.05</v>
      </c>
      <c r="E14" s="20">
        <f t="shared" si="1"/>
        <v>45060.88</v>
      </c>
      <c r="G14" s="140">
        <f>(((E14/$E$28)*$G$28)*1.2)*0.917</f>
        <v>12823.704918620688</v>
      </c>
      <c r="I14" s="8"/>
      <c r="J14" s="17"/>
      <c r="K14" s="17"/>
      <c r="L14" s="17"/>
      <c r="M14" s="75"/>
      <c r="O14" s="15">
        <f t="shared" si="0"/>
        <v>1709.8273224827583</v>
      </c>
    </row>
    <row r="15" spans="1:36" x14ac:dyDescent="0.2">
      <c r="A15" s="13" t="s">
        <v>25</v>
      </c>
      <c r="B15" s="14" t="s">
        <v>26</v>
      </c>
      <c r="C15" s="15">
        <f>'[19]Team Report'!BA34</f>
        <v>0</v>
      </c>
      <c r="E15" s="20">
        <f t="shared" si="1"/>
        <v>0</v>
      </c>
      <c r="G15" s="140">
        <f>(((E15/$E$28)*$G$28)*1.2)*0.917</f>
        <v>0</v>
      </c>
      <c r="I15" s="8"/>
      <c r="J15" s="17"/>
      <c r="K15" s="17"/>
      <c r="L15" s="17"/>
      <c r="M15" s="8"/>
      <c r="O15" s="15">
        <f t="shared" si="0"/>
        <v>0</v>
      </c>
    </row>
    <row r="16" spans="1:36" x14ac:dyDescent="0.2">
      <c r="A16" s="13" t="s">
        <v>28</v>
      </c>
      <c r="B16" s="14" t="s">
        <v>29</v>
      </c>
      <c r="C16" s="15">
        <f>'[19]Team Report'!BA35</f>
        <v>0</v>
      </c>
      <c r="E16" s="20">
        <f t="shared" si="1"/>
        <v>0</v>
      </c>
      <c r="G16" s="140">
        <f>(((E16/$E$28)*$G$28)*1.2)*0.917</f>
        <v>0</v>
      </c>
      <c r="I16" s="8" t="s">
        <v>27</v>
      </c>
      <c r="J16" s="17">
        <v>36000</v>
      </c>
      <c r="K16">
        <v>0</v>
      </c>
      <c r="L16" s="17">
        <f t="shared" ref="L16:L26" si="2">J16*K16</f>
        <v>0</v>
      </c>
      <c r="O16" s="15">
        <f t="shared" si="0"/>
        <v>0</v>
      </c>
    </row>
    <row r="17" spans="1:15" x14ac:dyDescent="0.2">
      <c r="A17" s="13" t="s">
        <v>31</v>
      </c>
      <c r="B17" s="14" t="s">
        <v>32</v>
      </c>
      <c r="C17" s="15">
        <v>1844.33</v>
      </c>
      <c r="E17" s="20">
        <f t="shared" si="1"/>
        <v>2950.9279999999999</v>
      </c>
      <c r="G17" s="140">
        <f>(((E17/$E$28)*$G$28+237)*1.2)*0.917</f>
        <v>1100.5882063448273</v>
      </c>
      <c r="I17" t="s">
        <v>93</v>
      </c>
      <c r="J17" s="17">
        <v>49200</v>
      </c>
      <c r="K17">
        <v>1</v>
      </c>
      <c r="L17" s="17">
        <f t="shared" si="2"/>
        <v>49200</v>
      </c>
      <c r="O17" s="15">
        <f t="shared" si="0"/>
        <v>146.74509417931031</v>
      </c>
    </row>
    <row r="18" spans="1:15" x14ac:dyDescent="0.2">
      <c r="A18" s="13" t="s">
        <v>34</v>
      </c>
      <c r="B18" s="14" t="s">
        <v>35</v>
      </c>
      <c r="C18" s="15">
        <v>29491.73</v>
      </c>
      <c r="E18" s="20">
        <f t="shared" si="1"/>
        <v>47186.768000000004</v>
      </c>
      <c r="G18" s="140">
        <f>(((E18/$E$28)*$G$28+37797)*1.2)*0.917</f>
        <v>55020.522120827591</v>
      </c>
      <c r="I18" t="s">
        <v>33</v>
      </c>
      <c r="J18" s="17">
        <v>49200</v>
      </c>
      <c r="K18">
        <v>0</v>
      </c>
      <c r="L18" s="17">
        <f t="shared" si="2"/>
        <v>0</v>
      </c>
      <c r="O18" s="15">
        <f t="shared" si="0"/>
        <v>7336.0696161103451</v>
      </c>
    </row>
    <row r="19" spans="1:15" x14ac:dyDescent="0.2">
      <c r="A19" s="13" t="s">
        <v>37</v>
      </c>
      <c r="B19" s="14" t="s">
        <v>38</v>
      </c>
      <c r="C19" s="15">
        <f>'[19]Team Report'!BA38</f>
        <v>0</v>
      </c>
      <c r="E19" s="20">
        <f t="shared" si="1"/>
        <v>0</v>
      </c>
      <c r="G19" s="140">
        <f>(((E19/$E$28)*$G$28)*1.2)*0.917</f>
        <v>0</v>
      </c>
      <c r="I19" t="s">
        <v>94</v>
      </c>
      <c r="J19" s="17">
        <v>57600</v>
      </c>
      <c r="K19">
        <v>1</v>
      </c>
      <c r="L19" s="17">
        <f t="shared" si="2"/>
        <v>57600</v>
      </c>
      <c r="O19" s="15">
        <f t="shared" si="0"/>
        <v>0</v>
      </c>
    </row>
    <row r="20" spans="1:15" x14ac:dyDescent="0.2">
      <c r="A20" s="13" t="s">
        <v>40</v>
      </c>
      <c r="B20" s="14" t="s">
        <v>41</v>
      </c>
      <c r="C20" s="15">
        <v>2056.67</v>
      </c>
      <c r="E20" s="20">
        <f t="shared" si="1"/>
        <v>3290.672</v>
      </c>
      <c r="G20" s="140">
        <f>(((E20/$E$28)*$G$28+299149)*1.2)*0.917</f>
        <v>330120.03946262063</v>
      </c>
      <c r="I20" t="s">
        <v>36</v>
      </c>
      <c r="J20" s="17">
        <v>66000</v>
      </c>
      <c r="K20">
        <v>1</v>
      </c>
      <c r="L20" s="17">
        <f t="shared" si="2"/>
        <v>66000</v>
      </c>
      <c r="O20" s="15">
        <f t="shared" si="0"/>
        <v>44016.005261682752</v>
      </c>
    </row>
    <row r="21" spans="1:15" x14ac:dyDescent="0.2">
      <c r="A21" s="13" t="s">
        <v>43</v>
      </c>
      <c r="B21" s="14" t="s">
        <v>44</v>
      </c>
      <c r="C21" s="15">
        <v>0</v>
      </c>
      <c r="E21" s="15">
        <f t="shared" si="1"/>
        <v>0</v>
      </c>
      <c r="G21" s="140">
        <f>(((E21/$E$28)*$G$28)*1.2)*0.917</f>
        <v>0</v>
      </c>
      <c r="I21" t="s">
        <v>108</v>
      </c>
      <c r="J21" s="17">
        <v>84000</v>
      </c>
      <c r="K21">
        <v>2</v>
      </c>
      <c r="L21" s="17">
        <f t="shared" si="2"/>
        <v>168000</v>
      </c>
      <c r="O21" s="15">
        <f t="shared" si="0"/>
        <v>0</v>
      </c>
    </row>
    <row r="22" spans="1:15" x14ac:dyDescent="0.2">
      <c r="A22" s="26" t="s">
        <v>46</v>
      </c>
      <c r="B22" s="27" t="s">
        <v>47</v>
      </c>
      <c r="C22" s="28">
        <f>SUM(C8:C21)</f>
        <v>335482.80999999994</v>
      </c>
      <c r="E22" s="28">
        <f>SUM(E8:E21)</f>
        <v>3702451.4959999998</v>
      </c>
      <c r="G22" s="28">
        <f>SUM(G8:G21)</f>
        <v>2879773.6861870345</v>
      </c>
      <c r="I22" t="s">
        <v>96</v>
      </c>
      <c r="J22" s="17">
        <v>105600</v>
      </c>
      <c r="K22">
        <v>5</v>
      </c>
      <c r="L22" s="17">
        <f t="shared" si="2"/>
        <v>528000</v>
      </c>
      <c r="O22" s="28">
        <f>SUM(O8:O21)</f>
        <v>383969.82482493785</v>
      </c>
    </row>
    <row r="23" spans="1:15" x14ac:dyDescent="0.2">
      <c r="I23" t="s">
        <v>97</v>
      </c>
      <c r="J23" s="17">
        <v>156000</v>
      </c>
      <c r="K23">
        <v>2</v>
      </c>
      <c r="L23" s="17">
        <f t="shared" si="2"/>
        <v>312000</v>
      </c>
    </row>
    <row r="24" spans="1:15" x14ac:dyDescent="0.2">
      <c r="B24" s="27" t="s">
        <v>50</v>
      </c>
      <c r="C24" s="55"/>
      <c r="E24" s="55">
        <v>58</v>
      </c>
      <c r="G24" s="55">
        <f>SUM(K16:K18,K20:K26)</f>
        <v>14</v>
      </c>
      <c r="I24" t="s">
        <v>98</v>
      </c>
      <c r="J24" s="17">
        <v>184800</v>
      </c>
      <c r="K24">
        <v>2</v>
      </c>
      <c r="L24" s="17">
        <f t="shared" si="2"/>
        <v>369600</v>
      </c>
      <c r="O24" s="55">
        <v>1</v>
      </c>
    </row>
    <row r="25" spans="1:15" x14ac:dyDescent="0.2">
      <c r="I25" t="s">
        <v>99</v>
      </c>
      <c r="J25" s="17">
        <v>210000</v>
      </c>
      <c r="K25">
        <v>1</v>
      </c>
      <c r="L25" s="17">
        <f t="shared" si="2"/>
        <v>210000</v>
      </c>
    </row>
    <row r="26" spans="1:15" x14ac:dyDescent="0.2">
      <c r="B26" s="27" t="s">
        <v>67</v>
      </c>
      <c r="C26" s="55"/>
      <c r="E26" s="55">
        <v>0</v>
      </c>
      <c r="G26" s="55">
        <f>SUM(K19)</f>
        <v>1</v>
      </c>
      <c r="I26" t="s">
        <v>123</v>
      </c>
      <c r="J26" s="17">
        <v>476400</v>
      </c>
      <c r="K26">
        <v>0</v>
      </c>
      <c r="L26" s="17">
        <f t="shared" si="2"/>
        <v>0</v>
      </c>
      <c r="O26" s="55">
        <v>1</v>
      </c>
    </row>
    <row r="27" spans="1:15" x14ac:dyDescent="0.2">
      <c r="K27" s="25">
        <f>SUM(K16:K26)</f>
        <v>15</v>
      </c>
      <c r="L27" s="25">
        <f>SUM(L16:L26)</f>
        <v>1760400</v>
      </c>
    </row>
    <row r="28" spans="1:15" x14ac:dyDescent="0.2">
      <c r="B28" s="27" t="s">
        <v>55</v>
      </c>
      <c r="C28" s="55"/>
      <c r="E28" s="55">
        <f>SUM(E24:E27)</f>
        <v>58</v>
      </c>
      <c r="G28" s="55">
        <f>SUM(G24:G27)</f>
        <v>15</v>
      </c>
      <c r="O28" s="55">
        <f>SUM(O24:O27)</f>
        <v>2</v>
      </c>
    </row>
    <row r="29" spans="1:15" x14ac:dyDescent="0.2">
      <c r="B29" s="27"/>
      <c r="I29" t="s">
        <v>102</v>
      </c>
      <c r="K29" s="52"/>
      <c r="L29" s="52">
        <v>0.2</v>
      </c>
    </row>
    <row r="30" spans="1:15" hidden="1" x14ac:dyDescent="0.2">
      <c r="A30" s="13" t="s">
        <v>71</v>
      </c>
      <c r="B30" s="14" t="s">
        <v>72</v>
      </c>
      <c r="C30" s="15">
        <f>'[19]Team Report'!BA29</f>
        <v>0</v>
      </c>
      <c r="E30" s="15">
        <f t="shared" ref="E30:E37" si="3">(C30/9)*12</f>
        <v>0</v>
      </c>
    </row>
    <row r="31" spans="1:15" hidden="1" x14ac:dyDescent="0.2">
      <c r="A31" s="13" t="s">
        <v>73</v>
      </c>
      <c r="B31" s="14" t="s">
        <v>74</v>
      </c>
      <c r="C31" s="15">
        <f>'[19]Team Report'!BA30</f>
        <v>0</v>
      </c>
      <c r="E31" s="15">
        <f t="shared" si="3"/>
        <v>0</v>
      </c>
      <c r="L31" s="25">
        <f>L27*1.2</f>
        <v>2112480</v>
      </c>
    </row>
    <row r="32" spans="1:15" hidden="1" x14ac:dyDescent="0.2">
      <c r="A32" s="13" t="s">
        <v>75</v>
      </c>
      <c r="B32" s="14" t="s">
        <v>76</v>
      </c>
      <c r="C32" s="15">
        <f>'[19]Team Report'!BA31</f>
        <v>0</v>
      </c>
      <c r="E32" s="15">
        <f t="shared" si="3"/>
        <v>0</v>
      </c>
    </row>
    <row r="33" spans="1:13" hidden="1" x14ac:dyDescent="0.2">
      <c r="A33" s="13" t="s">
        <v>77</v>
      </c>
      <c r="B33" s="14" t="s">
        <v>78</v>
      </c>
      <c r="C33" s="15">
        <f>'[19]Team Report'!BA39</f>
        <v>0</v>
      </c>
      <c r="E33" s="15">
        <f t="shared" si="3"/>
        <v>0</v>
      </c>
    </row>
    <row r="34" spans="1:13" hidden="1" x14ac:dyDescent="0.2">
      <c r="A34" s="13" t="s">
        <v>79</v>
      </c>
      <c r="B34" s="14" t="s">
        <v>80</v>
      </c>
      <c r="C34" s="15">
        <f>'[19]Team Report'!BA40</f>
        <v>24670.390000000003</v>
      </c>
      <c r="E34" s="15">
        <f t="shared" si="3"/>
        <v>32893.85333333334</v>
      </c>
    </row>
    <row r="35" spans="1:13" hidden="1" x14ac:dyDescent="0.2">
      <c r="A35" s="13" t="s">
        <v>81</v>
      </c>
      <c r="B35" s="14" t="s">
        <v>82</v>
      </c>
      <c r="C35" s="15">
        <f>'[19]Team Report'!BA41</f>
        <v>481045.43000000005</v>
      </c>
      <c r="E35" s="15">
        <f t="shared" si="3"/>
        <v>641393.90666666673</v>
      </c>
      <c r="H35" s="33" t="s">
        <v>56</v>
      </c>
      <c r="I35" s="25"/>
      <c r="L35"/>
    </row>
    <row r="36" spans="1:13" hidden="1" x14ac:dyDescent="0.2">
      <c r="A36" s="13" t="s">
        <v>83</v>
      </c>
      <c r="B36" s="14" t="s">
        <v>84</v>
      </c>
      <c r="C36" s="15">
        <f>'[19]Team Report'!BA43</f>
        <v>-771915.88</v>
      </c>
      <c r="E36" s="15">
        <f t="shared" si="3"/>
        <v>-1029221.1733333333</v>
      </c>
      <c r="I36" s="25"/>
      <c r="L36"/>
    </row>
    <row r="37" spans="1:13" hidden="1" x14ac:dyDescent="0.2">
      <c r="A37" s="13" t="s">
        <v>85</v>
      </c>
      <c r="B37" s="14" t="s">
        <v>86</v>
      </c>
      <c r="C37" s="15">
        <f>'[19]Team Report'!BA45</f>
        <v>0</v>
      </c>
      <c r="E37" s="15">
        <f t="shared" si="3"/>
        <v>0</v>
      </c>
      <c r="H37" s="34" t="s">
        <v>57</v>
      </c>
      <c r="I37" s="35" t="s">
        <v>58</v>
      </c>
      <c r="J37" s="35" t="s">
        <v>59</v>
      </c>
      <c r="K37" s="35" t="s">
        <v>2</v>
      </c>
      <c r="L37" s="35" t="s">
        <v>60</v>
      </c>
    </row>
    <row r="38" spans="1:13" hidden="1" x14ac:dyDescent="0.2">
      <c r="A38" s="13"/>
      <c r="B38" s="14"/>
      <c r="C38" s="15"/>
      <c r="E38" s="15"/>
      <c r="H38" s="36">
        <f>SUM(E11:E20)</f>
        <v>536772.49600000004</v>
      </c>
      <c r="I38" s="56">
        <f>+E28</f>
        <v>58</v>
      </c>
      <c r="J38" s="37">
        <f>+H38/I38</f>
        <v>9254.6982068965517</v>
      </c>
      <c r="K38" s="37">
        <f>+K11</f>
        <v>15</v>
      </c>
      <c r="L38" s="37">
        <f>+J38*K38</f>
        <v>138820.47310344828</v>
      </c>
      <c r="M38" s="25"/>
    </row>
    <row r="39" spans="1:13" hidden="1" x14ac:dyDescent="0.2"/>
    <row r="40" spans="1:13" hidden="1" x14ac:dyDescent="0.2"/>
    <row r="41" spans="1:13" hidden="1" x14ac:dyDescent="0.2"/>
    <row r="43" spans="1:13" x14ac:dyDescent="0.2">
      <c r="C43" s="54">
        <f>C22+C30+C31+C32+C33+C34+C35+C36+C37</f>
        <v>69282.75</v>
      </c>
    </row>
  </sheetData>
  <mergeCells count="4">
    <mergeCell ref="I4:L4"/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scale="110" orientation="portrait" verticalDpi="196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O52"/>
  <sheetViews>
    <sheetView zoomScaleNormal="100" workbookViewId="0">
      <selection activeCell="F8" sqref="F8:F21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2" customWidth="1"/>
    <col min="7" max="7" width="12.7109375" customWidth="1"/>
    <col min="8" max="8" width="1.7109375" customWidth="1"/>
    <col min="9" max="9" width="20.7109375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8" width="9.140625" hidden="1" customWidth="1"/>
  </cols>
  <sheetData>
    <row r="1" spans="1:41" ht="18" x14ac:dyDescent="0.25">
      <c r="B1" s="142" t="str">
        <f>'[4]Team Report'!B1</f>
        <v>Enron North America</v>
      </c>
      <c r="C1" s="142"/>
      <c r="D1" s="142"/>
      <c r="E1" s="142"/>
      <c r="F1" s="142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25">
      <c r="B2" s="142" t="s">
        <v>176</v>
      </c>
      <c r="C2" s="142"/>
      <c r="D2" s="142"/>
      <c r="E2" s="142"/>
      <c r="F2" s="142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25">
      <c r="B3" s="143" t="s">
        <v>0</v>
      </c>
      <c r="C3" s="143"/>
      <c r="D3" s="143"/>
      <c r="E3" s="143"/>
      <c r="F3" s="143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5" thickBot="1" x14ac:dyDescent="0.25"/>
    <row r="5" spans="1:41" x14ac:dyDescent="0.2">
      <c r="I5" s="4"/>
      <c r="J5" s="40"/>
      <c r="K5" s="40"/>
      <c r="L5" s="41"/>
    </row>
    <row r="6" spans="1:41" x14ac:dyDescent="0.2">
      <c r="C6" s="10">
        <v>37135</v>
      </c>
      <c r="E6" s="44" t="s">
        <v>61</v>
      </c>
      <c r="F6" s="44" t="s">
        <v>63</v>
      </c>
      <c r="I6" s="7"/>
      <c r="J6" s="19" t="s">
        <v>1</v>
      </c>
      <c r="K6" s="19" t="s">
        <v>2</v>
      </c>
      <c r="L6" s="74" t="s">
        <v>107</v>
      </c>
      <c r="O6" s="44" t="s">
        <v>63</v>
      </c>
    </row>
    <row r="7" spans="1:41" x14ac:dyDescent="0.2">
      <c r="C7" s="12" t="s">
        <v>5</v>
      </c>
      <c r="E7" s="12" t="s">
        <v>6</v>
      </c>
      <c r="F7" s="12" t="s">
        <v>7</v>
      </c>
      <c r="G7" s="33"/>
      <c r="I7" s="7"/>
      <c r="J7" s="17"/>
      <c r="K7" s="17"/>
      <c r="L7" s="43"/>
      <c r="O7" s="12" t="s">
        <v>7</v>
      </c>
    </row>
    <row r="8" spans="1:41" x14ac:dyDescent="0.2">
      <c r="A8" s="13" t="s">
        <v>9</v>
      </c>
      <c r="B8" s="14" t="s">
        <v>10</v>
      </c>
      <c r="C8" s="15">
        <f>'[4]Team Report'!BA25</f>
        <v>3640949.9</v>
      </c>
      <c r="E8" s="15">
        <f>((C8/9)*12)*1.2</f>
        <v>5825519.8399999989</v>
      </c>
      <c r="F8" s="140">
        <f>((L28+(433200/11*8))*1.2)*0.917</f>
        <v>1705459.9418181817</v>
      </c>
      <c r="I8" s="7"/>
      <c r="J8" s="17"/>
      <c r="K8" s="17"/>
      <c r="L8" s="43"/>
      <c r="O8" s="15">
        <f t="shared" ref="O8:O21" si="0">+F8/$F$28*$O$28</f>
        <v>213182.49272727271</v>
      </c>
    </row>
    <row r="9" spans="1:41" x14ac:dyDescent="0.2">
      <c r="B9" s="14" t="s">
        <v>12</v>
      </c>
      <c r="C9" s="15">
        <v>0</v>
      </c>
      <c r="E9" s="15">
        <f>(C9/9)*12</f>
        <v>0</v>
      </c>
      <c r="F9" s="140">
        <f>(((D9/9)*12)*1.2)*0.917</f>
        <v>0</v>
      </c>
      <c r="I9" s="7"/>
      <c r="J9" s="17"/>
      <c r="K9" s="17"/>
      <c r="L9" s="43"/>
      <c r="O9" s="15">
        <f t="shared" si="0"/>
        <v>0</v>
      </c>
    </row>
    <row r="10" spans="1:41" x14ac:dyDescent="0.2">
      <c r="A10" s="13" t="s">
        <v>13</v>
      </c>
      <c r="B10" s="14" t="s">
        <v>14</v>
      </c>
      <c r="C10" s="15">
        <f>'[4]Team Report'!BA26</f>
        <v>762369.14000000013</v>
      </c>
      <c r="E10" s="15">
        <f>((C10/9)*12)*1.2</f>
        <v>1219790.6240000003</v>
      </c>
      <c r="F10" s="140">
        <f>((L32-L28+(86640/11*8))*1.2)*0.917</f>
        <v>341091.98836363637</v>
      </c>
      <c r="I10" s="7"/>
      <c r="J10" s="17"/>
      <c r="K10" s="17"/>
      <c r="L10" s="43"/>
      <c r="O10" s="15">
        <f t="shared" si="0"/>
        <v>42636.498545454546</v>
      </c>
    </row>
    <row r="11" spans="1:41" x14ac:dyDescent="0.2">
      <c r="A11" s="13" t="s">
        <v>16</v>
      </c>
      <c r="B11" s="14" t="s">
        <v>17</v>
      </c>
      <c r="C11" s="15">
        <f>'[4]Team Report'!BA27</f>
        <v>173944.72999999998</v>
      </c>
      <c r="E11" s="20">
        <f>((C11/9)*12)*1.2</f>
        <v>278311.56799999997</v>
      </c>
      <c r="F11" s="140">
        <f t="shared" ref="F11:F17" si="1">(((E11/$E$28)*$F$28)*1.2)*0.917</f>
        <v>50000.661130971428</v>
      </c>
      <c r="I11" s="7" t="s">
        <v>15</v>
      </c>
      <c r="J11" s="17">
        <f>(E11+E12+E13+E14+E15+E16+E17+E18+E19+E20+E21)/E28</f>
        <v>33269.805387755099</v>
      </c>
      <c r="K11" s="17">
        <f>K28</f>
        <v>8</v>
      </c>
      <c r="L11" s="43">
        <f>J11*K11</f>
        <v>266158.44310204079</v>
      </c>
      <c r="O11" s="15">
        <f t="shared" si="0"/>
        <v>6250.0826413714285</v>
      </c>
    </row>
    <row r="12" spans="1:41" x14ac:dyDescent="0.2">
      <c r="A12" s="13" t="s">
        <v>18</v>
      </c>
      <c r="B12" s="14" t="s">
        <v>19</v>
      </c>
      <c r="C12" s="15">
        <f>'[4]Team Report'!BA28</f>
        <v>293972.73</v>
      </c>
      <c r="E12" s="20">
        <f>((C12/9)*12)*1.2</f>
        <v>470356.36800000002</v>
      </c>
      <c r="F12" s="140">
        <f t="shared" si="1"/>
        <v>84502.88119954287</v>
      </c>
      <c r="I12" s="7"/>
      <c r="J12" s="17"/>
      <c r="K12" s="17"/>
      <c r="L12" s="43"/>
      <c r="O12" s="15">
        <f t="shared" si="0"/>
        <v>10562.860149942859</v>
      </c>
    </row>
    <row r="13" spans="1:41" ht="13.5" thickBot="1" x14ac:dyDescent="0.25">
      <c r="A13" s="13" t="s">
        <v>21</v>
      </c>
      <c r="B13" s="14" t="s">
        <v>22</v>
      </c>
      <c r="C13" s="15">
        <f>'[4]Team Report'!BA32</f>
        <v>67481.55</v>
      </c>
      <c r="E13" s="20">
        <f>((C13/9)*12)*1.2</f>
        <v>107970.48000000001</v>
      </c>
      <c r="F13" s="140">
        <f t="shared" si="1"/>
        <v>19397.667949714287</v>
      </c>
      <c r="I13" s="22" t="s">
        <v>20</v>
      </c>
      <c r="J13" s="47"/>
      <c r="K13" s="47"/>
      <c r="L13" s="48">
        <f>SUM(L9:L11)</f>
        <v>266158.44310204079</v>
      </c>
      <c r="N13">
        <v>1699109</v>
      </c>
      <c r="O13" s="15">
        <f t="shared" si="0"/>
        <v>2424.7084937142859</v>
      </c>
      <c r="P13" s="49"/>
    </row>
    <row r="14" spans="1:41" x14ac:dyDescent="0.2">
      <c r="A14" s="13" t="s">
        <v>23</v>
      </c>
      <c r="B14" s="14" t="s">
        <v>24</v>
      </c>
      <c r="C14" s="15">
        <f>'[4]Team Report'!BA33</f>
        <v>48511.92</v>
      </c>
      <c r="E14" s="20">
        <f>((C14/9)*12)*1.2</f>
        <v>77619.072</v>
      </c>
      <c r="F14" s="140">
        <f t="shared" si="1"/>
        <v>13944.820706742858</v>
      </c>
      <c r="I14" s="8"/>
      <c r="J14" s="17"/>
      <c r="K14" s="17"/>
      <c r="L14" s="17"/>
      <c r="O14" s="15">
        <f t="shared" si="0"/>
        <v>1743.1025883428572</v>
      </c>
    </row>
    <row r="15" spans="1:41" x14ac:dyDescent="0.2">
      <c r="A15" s="13" t="s">
        <v>25</v>
      </c>
      <c r="B15" s="14" t="s">
        <v>26</v>
      </c>
      <c r="C15" s="15">
        <f>'[4]Team Report'!BA34</f>
        <v>0</v>
      </c>
      <c r="E15" s="20">
        <f>(C15/9)*12</f>
        <v>0</v>
      </c>
      <c r="F15" s="140">
        <f t="shared" si="1"/>
        <v>0</v>
      </c>
      <c r="I15" s="8"/>
      <c r="J15" s="17"/>
      <c r="K15" s="17"/>
      <c r="L15" s="17"/>
      <c r="O15" s="15">
        <f t="shared" si="0"/>
        <v>0</v>
      </c>
    </row>
    <row r="16" spans="1:41" x14ac:dyDescent="0.2">
      <c r="A16" s="13" t="s">
        <v>28</v>
      </c>
      <c r="B16" s="14" t="s">
        <v>29</v>
      </c>
      <c r="C16" s="15">
        <f>'[4]Team Report'!BA35</f>
        <v>2500</v>
      </c>
      <c r="E16" s="20">
        <f>((C16/9)*12)*1.2</f>
        <v>3999.9999999999995</v>
      </c>
      <c r="F16" s="140">
        <f t="shared" si="1"/>
        <v>718.62857142857126</v>
      </c>
      <c r="I16" s="8" t="s">
        <v>27</v>
      </c>
      <c r="J16" s="17">
        <f>30000*1.2</f>
        <v>36000</v>
      </c>
      <c r="K16" s="17">
        <f>H16*J16</f>
        <v>0</v>
      </c>
      <c r="L16" s="17">
        <f t="shared" ref="L16:L27" si="2">J16*K16</f>
        <v>0</v>
      </c>
      <c r="O16" s="15">
        <f t="shared" si="0"/>
        <v>89.828571428571408</v>
      </c>
    </row>
    <row r="17" spans="1:15" x14ac:dyDescent="0.2">
      <c r="A17" s="13" t="s">
        <v>31</v>
      </c>
      <c r="B17" s="14" t="s">
        <v>32</v>
      </c>
      <c r="C17" s="15">
        <f>'[4]Team Report'!BA36</f>
        <v>0</v>
      </c>
      <c r="E17" s="20">
        <f>(C17/9)*12</f>
        <v>0</v>
      </c>
      <c r="F17" s="140">
        <f t="shared" si="1"/>
        <v>0</v>
      </c>
      <c r="I17" t="s">
        <v>93</v>
      </c>
      <c r="J17" s="17">
        <v>48000</v>
      </c>
      <c r="K17" s="17">
        <v>1</v>
      </c>
      <c r="L17" s="17">
        <f t="shared" si="2"/>
        <v>48000</v>
      </c>
      <c r="O17" s="15">
        <f t="shared" si="0"/>
        <v>0</v>
      </c>
    </row>
    <row r="18" spans="1:15" x14ac:dyDescent="0.2">
      <c r="A18" s="13" t="s">
        <v>34</v>
      </c>
      <c r="B18" s="14" t="s">
        <v>35</v>
      </c>
      <c r="C18" s="15">
        <f>'[4]Team Report'!BA37</f>
        <v>129576.91999999998</v>
      </c>
      <c r="E18" s="20">
        <f>((C18/9)*12)*1.2</f>
        <v>207323.07199999999</v>
      </c>
      <c r="F18" s="140">
        <f>(((E18/$E$28)*$F$28+(60000/11*8))*1.2)*0.917</f>
        <v>85264.525309340257</v>
      </c>
      <c r="I18" t="s">
        <v>33</v>
      </c>
      <c r="J18" s="17">
        <v>49200</v>
      </c>
      <c r="K18" s="17">
        <v>0</v>
      </c>
      <c r="L18" s="17">
        <f t="shared" si="2"/>
        <v>0</v>
      </c>
      <c r="O18" s="15">
        <f t="shared" si="0"/>
        <v>10658.065663667532</v>
      </c>
    </row>
    <row r="19" spans="1:15" x14ac:dyDescent="0.2">
      <c r="A19" s="13" t="s">
        <v>37</v>
      </c>
      <c r="B19" s="14" t="s">
        <v>38</v>
      </c>
      <c r="C19" s="15">
        <f>'[4]Team Report'!BA38</f>
        <v>10.029999999999999</v>
      </c>
      <c r="E19" s="20">
        <f>((C19/9)*12)*1.2</f>
        <v>16.047999999999998</v>
      </c>
      <c r="F19" s="140">
        <f>(((E19/$E$28)*$F$28)*1.2)*0.917</f>
        <v>2.883137828571428</v>
      </c>
      <c r="I19" t="s">
        <v>94</v>
      </c>
      <c r="J19" s="17">
        <v>57600</v>
      </c>
      <c r="K19" s="17">
        <v>0</v>
      </c>
      <c r="L19" s="17">
        <f t="shared" si="2"/>
        <v>0</v>
      </c>
      <c r="O19" s="15">
        <f t="shared" si="0"/>
        <v>0.3603922285714285</v>
      </c>
    </row>
    <row r="20" spans="1:15" x14ac:dyDescent="0.2">
      <c r="A20" s="13" t="s">
        <v>40</v>
      </c>
      <c r="B20" s="14" t="s">
        <v>41</v>
      </c>
      <c r="C20" s="15">
        <f>'[4]Team Report'!BA42</f>
        <v>302115.48</v>
      </c>
      <c r="E20" s="20">
        <f>((C20/9)*12)*1.2</f>
        <v>483384.76799999998</v>
      </c>
      <c r="F20" s="140">
        <f>(((E20/$E$28)*$F$28)*1.2)*0.917</f>
        <v>86843.526319542871</v>
      </c>
      <c r="I20" t="s">
        <v>45</v>
      </c>
      <c r="J20" s="17">
        <v>72000</v>
      </c>
      <c r="K20" s="25">
        <v>0</v>
      </c>
      <c r="L20" s="17">
        <f t="shared" si="2"/>
        <v>0</v>
      </c>
      <c r="O20" s="15">
        <f t="shared" si="0"/>
        <v>10855.440789942859</v>
      </c>
    </row>
    <row r="21" spans="1:15" x14ac:dyDescent="0.2">
      <c r="A21" s="13" t="s">
        <v>43</v>
      </c>
      <c r="B21" s="14" t="s">
        <v>44</v>
      </c>
      <c r="C21" s="15">
        <f>'[4]Team Report'!BA44</f>
        <v>774.43</v>
      </c>
      <c r="E21" s="20">
        <f>((C21/9)*12)*1.2</f>
        <v>1239.088</v>
      </c>
      <c r="F21" s="140">
        <f>(((E21/$E$28)*$F$28)*1.2)*0.917</f>
        <v>222.61100982857141</v>
      </c>
      <c r="I21" t="s">
        <v>36</v>
      </c>
      <c r="J21" s="17">
        <v>62400</v>
      </c>
      <c r="K21" s="17">
        <v>0</v>
      </c>
      <c r="L21" s="17">
        <f t="shared" si="2"/>
        <v>0</v>
      </c>
      <c r="O21" s="15">
        <f t="shared" si="0"/>
        <v>27.826376228571426</v>
      </c>
    </row>
    <row r="22" spans="1:15" ht="13.5" thickBot="1" x14ac:dyDescent="0.25">
      <c r="A22" s="26" t="s">
        <v>46</v>
      </c>
      <c r="B22" s="27" t="s">
        <v>47</v>
      </c>
      <c r="C22" s="28">
        <f>SUM(C8:C21)</f>
        <v>5422206.8300000001</v>
      </c>
      <c r="E22" s="28">
        <f>SUM(E8:E21)</f>
        <v>8675530.9279999994</v>
      </c>
      <c r="F22" s="28">
        <f>SUM(F8:F21)</f>
        <v>2387450.1355167581</v>
      </c>
      <c r="I22" t="s">
        <v>95</v>
      </c>
      <c r="J22" s="17">
        <v>74400</v>
      </c>
      <c r="K22" s="17">
        <v>0</v>
      </c>
      <c r="L22" s="17">
        <f t="shared" si="2"/>
        <v>0</v>
      </c>
      <c r="O22" s="58">
        <f>SUM(O8:O21)</f>
        <v>298431.26693959476</v>
      </c>
    </row>
    <row r="23" spans="1:15" x14ac:dyDescent="0.2">
      <c r="I23" t="s">
        <v>96</v>
      </c>
      <c r="J23" s="17">
        <v>90000</v>
      </c>
      <c r="K23" s="17">
        <v>0</v>
      </c>
      <c r="L23" s="17">
        <f t="shared" si="2"/>
        <v>0</v>
      </c>
    </row>
    <row r="24" spans="1:15" x14ac:dyDescent="0.2">
      <c r="B24" s="27" t="s">
        <v>50</v>
      </c>
      <c r="C24" s="15"/>
      <c r="E24" s="31">
        <v>44</v>
      </c>
      <c r="F24" s="31">
        <f>+K28</f>
        <v>8</v>
      </c>
      <c r="I24" t="s">
        <v>97</v>
      </c>
      <c r="J24" s="17">
        <v>120000</v>
      </c>
      <c r="K24" s="17">
        <v>4</v>
      </c>
      <c r="L24" s="17">
        <f t="shared" si="2"/>
        <v>480000</v>
      </c>
      <c r="O24" s="31">
        <f>SUM(U15:U19,U22:U26)</f>
        <v>0</v>
      </c>
    </row>
    <row r="25" spans="1:15" x14ac:dyDescent="0.2">
      <c r="C25" s="15"/>
      <c r="E25" s="15"/>
      <c r="F25" s="15"/>
      <c r="I25" t="s">
        <v>98</v>
      </c>
      <c r="J25" s="17">
        <v>178800</v>
      </c>
      <c r="K25" s="17">
        <v>1</v>
      </c>
      <c r="L25" s="17">
        <f t="shared" si="2"/>
        <v>178800</v>
      </c>
      <c r="O25" s="15"/>
    </row>
    <row r="26" spans="1:15" x14ac:dyDescent="0.2">
      <c r="B26" s="27" t="s">
        <v>101</v>
      </c>
      <c r="C26" s="15"/>
      <c r="E26" s="31">
        <v>5</v>
      </c>
      <c r="F26" s="31">
        <v>0</v>
      </c>
      <c r="I26" t="s">
        <v>99</v>
      </c>
      <c r="J26" s="17">
        <v>216000</v>
      </c>
      <c r="K26" s="17">
        <v>1</v>
      </c>
      <c r="L26" s="17">
        <f t="shared" si="2"/>
        <v>216000</v>
      </c>
      <c r="O26" s="31">
        <f>SUM(U20:U21)</f>
        <v>0</v>
      </c>
    </row>
    <row r="27" spans="1:15" x14ac:dyDescent="0.2">
      <c r="I27" t="s">
        <v>100</v>
      </c>
      <c r="J27" s="17">
        <v>312000</v>
      </c>
      <c r="K27" s="17">
        <v>1</v>
      </c>
      <c r="L27" s="17">
        <f t="shared" si="2"/>
        <v>312000</v>
      </c>
    </row>
    <row r="28" spans="1:15" x14ac:dyDescent="0.2">
      <c r="B28" s="27" t="s">
        <v>55</v>
      </c>
      <c r="C28" s="15"/>
      <c r="E28" s="31">
        <f>+E26+E24</f>
        <v>49</v>
      </c>
      <c r="F28" s="31">
        <f>+F26+F24</f>
        <v>8</v>
      </c>
      <c r="G28" s="25"/>
      <c r="K28" s="25">
        <f>SUM(K16:K27)</f>
        <v>8</v>
      </c>
      <c r="L28" s="17">
        <f>SUM(L16:L27)</f>
        <v>1234800</v>
      </c>
      <c r="O28" s="31">
        <v>1</v>
      </c>
    </row>
    <row r="29" spans="1:15" hidden="1" x14ac:dyDescent="0.2"/>
    <row r="30" spans="1:15" hidden="1" x14ac:dyDescent="0.2">
      <c r="A30" s="13" t="s">
        <v>71</v>
      </c>
      <c r="B30" s="14" t="s">
        <v>72</v>
      </c>
      <c r="C30" s="15">
        <f>'[4]Team Report'!BA29</f>
        <v>0</v>
      </c>
      <c r="E30" s="15">
        <f t="shared" ref="E30:E37" si="3">(C30/9)*12</f>
        <v>0</v>
      </c>
      <c r="I30" t="s">
        <v>102</v>
      </c>
      <c r="K30" s="52"/>
      <c r="L30" s="52">
        <v>0.2</v>
      </c>
    </row>
    <row r="31" spans="1:15" hidden="1" x14ac:dyDescent="0.2">
      <c r="A31" s="13" t="s">
        <v>73</v>
      </c>
      <c r="B31" s="14" t="s">
        <v>74</v>
      </c>
      <c r="C31" s="15">
        <f>'[4]Team Report'!BA30</f>
        <v>0</v>
      </c>
      <c r="E31" s="15">
        <f t="shared" si="3"/>
        <v>0</v>
      </c>
    </row>
    <row r="32" spans="1:15" hidden="1" x14ac:dyDescent="0.2">
      <c r="A32" s="13" t="s">
        <v>75</v>
      </c>
      <c r="B32" s="14" t="s">
        <v>76</v>
      </c>
      <c r="C32" s="15">
        <f>'[4]Team Report'!BA31</f>
        <v>0</v>
      </c>
      <c r="E32" s="15">
        <f t="shared" si="3"/>
        <v>0</v>
      </c>
      <c r="L32" s="25">
        <f>L28*1.2</f>
        <v>1481760</v>
      </c>
    </row>
    <row r="33" spans="1:12" hidden="1" x14ac:dyDescent="0.2">
      <c r="A33" s="13" t="s">
        <v>77</v>
      </c>
      <c r="B33" s="14" t="s">
        <v>78</v>
      </c>
      <c r="C33" s="15">
        <f>'[4]Team Report'!BA39</f>
        <v>0</v>
      </c>
      <c r="E33" s="15">
        <f t="shared" si="3"/>
        <v>0</v>
      </c>
    </row>
    <row r="34" spans="1:12" hidden="1" x14ac:dyDescent="0.2">
      <c r="A34" s="13" t="s">
        <v>79</v>
      </c>
      <c r="B34" s="14" t="s">
        <v>80</v>
      </c>
      <c r="C34" s="15">
        <f>'[4]Team Report'!BA40</f>
        <v>147341.90000000002</v>
      </c>
      <c r="E34" s="15">
        <f t="shared" si="3"/>
        <v>196455.8666666667</v>
      </c>
    </row>
    <row r="35" spans="1:12" hidden="1" x14ac:dyDescent="0.2">
      <c r="A35" s="13" t="s">
        <v>81</v>
      </c>
      <c r="B35" s="14" t="s">
        <v>82</v>
      </c>
      <c r="C35" s="15">
        <f>'[4]Team Report'!BA41</f>
        <v>285701.8</v>
      </c>
      <c r="E35" s="15">
        <f t="shared" si="3"/>
        <v>380935.73333333328</v>
      </c>
    </row>
    <row r="36" spans="1:12" hidden="1" x14ac:dyDescent="0.2">
      <c r="A36" s="13" t="s">
        <v>83</v>
      </c>
      <c r="B36" s="14" t="s">
        <v>84</v>
      </c>
      <c r="C36" s="15">
        <f>'[4]Team Report'!BA43</f>
        <v>-4445984</v>
      </c>
      <c r="E36" s="15">
        <f t="shared" si="3"/>
        <v>-5927978.666666667</v>
      </c>
      <c r="G36" s="33" t="s">
        <v>56</v>
      </c>
      <c r="I36" s="25"/>
      <c r="L36"/>
    </row>
    <row r="37" spans="1:12" hidden="1" x14ac:dyDescent="0.2">
      <c r="A37" s="13" t="s">
        <v>85</v>
      </c>
      <c r="B37" s="14" t="s">
        <v>86</v>
      </c>
      <c r="C37" s="15">
        <f>'[4]Team Report'!BA45</f>
        <v>1176.06</v>
      </c>
      <c r="E37" s="15">
        <f t="shared" si="3"/>
        <v>1568.08</v>
      </c>
      <c r="I37" s="25"/>
      <c r="L37"/>
    </row>
    <row r="38" spans="1:12" hidden="1" x14ac:dyDescent="0.2">
      <c r="G38" s="34" t="s">
        <v>57</v>
      </c>
      <c r="I38" s="35" t="s">
        <v>58</v>
      </c>
      <c r="J38" s="35" t="s">
        <v>59</v>
      </c>
      <c r="K38" s="35" t="s">
        <v>2</v>
      </c>
      <c r="L38" s="35" t="s">
        <v>60</v>
      </c>
    </row>
    <row r="39" spans="1:12" hidden="1" x14ac:dyDescent="0.2">
      <c r="C39" s="54">
        <f>C22+C30+C31+C32+C33+C34+C35+C36+C37</f>
        <v>1410442.5900000003</v>
      </c>
      <c r="G39" s="36">
        <f>SUM(E11:E21)</f>
        <v>1630220.4639999999</v>
      </c>
      <c r="I39" s="56">
        <f>+E28</f>
        <v>49</v>
      </c>
      <c r="J39" s="37">
        <f>+G39/I39</f>
        <v>33269.805387755099</v>
      </c>
      <c r="K39" s="56">
        <f>+K11</f>
        <v>8</v>
      </c>
      <c r="L39" s="37">
        <f>+J39*K39</f>
        <v>266158.44310204079</v>
      </c>
    </row>
    <row r="40" spans="1:12" hidden="1" x14ac:dyDescent="0.2"/>
    <row r="41" spans="1:12" hidden="1" x14ac:dyDescent="0.2"/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O52"/>
  <sheetViews>
    <sheetView zoomScaleNormal="100" workbookViewId="0">
      <selection activeCell="F8" sqref="F8:F21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2" customWidth="1"/>
    <col min="7" max="7" width="12.7109375" customWidth="1"/>
    <col min="8" max="8" width="1.7109375" customWidth="1"/>
    <col min="9" max="9" width="20.7109375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6" width="9.140625" hidden="1" customWidth="1"/>
  </cols>
  <sheetData>
    <row r="1" spans="1:41" ht="18" x14ac:dyDescent="0.25">
      <c r="B1" s="142" t="str">
        <f>'[4]Team Report'!B1</f>
        <v>Enron North America</v>
      </c>
      <c r="C1" s="142"/>
      <c r="D1" s="142"/>
      <c r="E1" s="142"/>
      <c r="F1" s="142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25">
      <c r="B2" s="142" t="s">
        <v>290</v>
      </c>
      <c r="C2" s="142"/>
      <c r="D2" s="142"/>
      <c r="E2" s="142"/>
      <c r="F2" s="142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25">
      <c r="B3" s="143" t="s">
        <v>0</v>
      </c>
      <c r="C3" s="143"/>
      <c r="D3" s="143"/>
      <c r="E3" s="143"/>
      <c r="F3" s="143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5" thickBot="1" x14ac:dyDescent="0.25"/>
    <row r="5" spans="1:41" x14ac:dyDescent="0.2">
      <c r="I5" s="4"/>
      <c r="J5" s="40"/>
      <c r="K5" s="40"/>
      <c r="L5" s="41"/>
    </row>
    <row r="6" spans="1:41" x14ac:dyDescent="0.2">
      <c r="C6" s="10">
        <v>37135</v>
      </c>
      <c r="E6" s="44" t="s">
        <v>61</v>
      </c>
      <c r="F6" s="44" t="s">
        <v>63</v>
      </c>
      <c r="I6" s="7"/>
      <c r="J6" s="19" t="s">
        <v>1</v>
      </c>
      <c r="K6" s="19" t="s">
        <v>2</v>
      </c>
      <c r="L6" s="74" t="s">
        <v>107</v>
      </c>
      <c r="O6" s="44" t="s">
        <v>63</v>
      </c>
    </row>
    <row r="7" spans="1:41" x14ac:dyDescent="0.2">
      <c r="C7" s="12" t="s">
        <v>5</v>
      </c>
      <c r="E7" s="12" t="s">
        <v>6</v>
      </c>
      <c r="F7" s="12" t="s">
        <v>7</v>
      </c>
      <c r="G7" s="33"/>
      <c r="I7" s="7"/>
      <c r="J7" s="17"/>
      <c r="K7" s="17"/>
      <c r="L7" s="43"/>
      <c r="O7" s="12" t="s">
        <v>7</v>
      </c>
    </row>
    <row r="8" spans="1:41" x14ac:dyDescent="0.2">
      <c r="A8" s="13" t="s">
        <v>9</v>
      </c>
      <c r="B8" s="14" t="s">
        <v>10</v>
      </c>
      <c r="C8" s="15">
        <f>'[4]Team Report'!BA25</f>
        <v>3640949.9</v>
      </c>
      <c r="E8" s="15">
        <f>((C8/9)*12)*1.2</f>
        <v>5825519.8399999989</v>
      </c>
      <c r="F8" s="140">
        <f>((L28+(433200/11*3))*1.2)*0.917</f>
        <v>442961.01818181819</v>
      </c>
      <c r="I8" s="7"/>
      <c r="J8" s="17"/>
      <c r="K8" s="17"/>
      <c r="L8" s="43"/>
      <c r="O8" s="15">
        <f t="shared" ref="O8:O21" si="0">+F8/$F$28*$O$28</f>
        <v>147653.67272727273</v>
      </c>
    </row>
    <row r="9" spans="1:41" x14ac:dyDescent="0.2">
      <c r="B9" s="14" t="s">
        <v>12</v>
      </c>
      <c r="C9" s="15">
        <v>0</v>
      </c>
      <c r="E9" s="15">
        <f>(C9/9)*12</f>
        <v>0</v>
      </c>
      <c r="F9" s="140">
        <f>(((D9/9)*12)*1.2)*0.917</f>
        <v>0</v>
      </c>
      <c r="I9" s="7"/>
      <c r="J9" s="17"/>
      <c r="K9" s="17"/>
      <c r="L9" s="43"/>
      <c r="O9" s="15">
        <f t="shared" si="0"/>
        <v>0</v>
      </c>
    </row>
    <row r="10" spans="1:41" x14ac:dyDescent="0.2">
      <c r="A10" s="13" t="s">
        <v>13</v>
      </c>
      <c r="B10" s="14" t="s">
        <v>14</v>
      </c>
      <c r="C10" s="15">
        <f>'[4]Team Report'!BA26</f>
        <v>762369.14000000013</v>
      </c>
      <c r="E10" s="15">
        <f>((C10/9)*12)*1.2</f>
        <v>1219790.6240000003</v>
      </c>
      <c r="F10" s="140">
        <f>((L32-L28+(86640/11*3))*1.2)*0.917</f>
        <v>88592.203636363643</v>
      </c>
      <c r="I10" s="7"/>
      <c r="J10" s="17"/>
      <c r="K10" s="17"/>
      <c r="L10" s="43"/>
      <c r="O10" s="15">
        <f t="shared" si="0"/>
        <v>29530.734545454547</v>
      </c>
    </row>
    <row r="11" spans="1:41" x14ac:dyDescent="0.2">
      <c r="A11" s="13" t="s">
        <v>16</v>
      </c>
      <c r="B11" s="14" t="s">
        <v>17</v>
      </c>
      <c r="C11" s="15">
        <f>'[4]Team Report'!BA27</f>
        <v>173944.72999999998</v>
      </c>
      <c r="E11" s="20">
        <f>((C11/9)*12)*1.2</f>
        <v>278311.56799999997</v>
      </c>
      <c r="F11" s="140">
        <f t="shared" ref="F11:F17" si="1">(((E11/$E$28)*$F$28)*1.2)*0.917</f>
        <v>18750.247924114283</v>
      </c>
      <c r="I11" s="7" t="s">
        <v>15</v>
      </c>
      <c r="J11" s="17">
        <f>(E11+E12+E13+E14+E15+E16+E17+E18+E19+E20+E21)/E28</f>
        <v>33269.805387755099</v>
      </c>
      <c r="K11" s="17">
        <f>K28</f>
        <v>3</v>
      </c>
      <c r="L11" s="43">
        <f>J11*K11</f>
        <v>99809.416163265298</v>
      </c>
      <c r="O11" s="15">
        <f t="shared" si="0"/>
        <v>6250.0826413714276</v>
      </c>
    </row>
    <row r="12" spans="1:41" x14ac:dyDescent="0.2">
      <c r="A12" s="13" t="s">
        <v>18</v>
      </c>
      <c r="B12" s="14" t="s">
        <v>19</v>
      </c>
      <c r="C12" s="15">
        <f>'[4]Team Report'!BA28</f>
        <v>293972.73</v>
      </c>
      <c r="E12" s="20">
        <f>((C12/9)*12)*1.2</f>
        <v>470356.36800000002</v>
      </c>
      <c r="F12" s="140">
        <f t="shared" si="1"/>
        <v>31688.580449828572</v>
      </c>
      <c r="I12" s="7"/>
      <c r="J12" s="17"/>
      <c r="K12" s="17"/>
      <c r="L12" s="43"/>
      <c r="O12" s="15">
        <f t="shared" si="0"/>
        <v>10562.860149942857</v>
      </c>
    </row>
    <row r="13" spans="1:41" ht="13.5" thickBot="1" x14ac:dyDescent="0.25">
      <c r="A13" s="13" t="s">
        <v>21</v>
      </c>
      <c r="B13" s="14" t="s">
        <v>22</v>
      </c>
      <c r="C13" s="15">
        <f>'[4]Team Report'!BA32</f>
        <v>67481.55</v>
      </c>
      <c r="E13" s="20">
        <f>((C13/9)*12)*1.2</f>
        <v>107970.48000000001</v>
      </c>
      <c r="F13" s="140">
        <f t="shared" si="1"/>
        <v>7274.1254811428571</v>
      </c>
      <c r="I13" s="22" t="s">
        <v>20</v>
      </c>
      <c r="J13" s="47"/>
      <c r="K13" s="47"/>
      <c r="L13" s="48">
        <f>SUM(L9:L11)</f>
        <v>99809.416163265298</v>
      </c>
      <c r="N13">
        <v>1699109</v>
      </c>
      <c r="O13" s="15">
        <f t="shared" si="0"/>
        <v>2424.7084937142859</v>
      </c>
      <c r="P13" s="49"/>
    </row>
    <row r="14" spans="1:41" x14ac:dyDescent="0.2">
      <c r="A14" s="13" t="s">
        <v>23</v>
      </c>
      <c r="B14" s="14" t="s">
        <v>24</v>
      </c>
      <c r="C14" s="15">
        <f>'[4]Team Report'!BA33</f>
        <v>48511.92</v>
      </c>
      <c r="E14" s="20">
        <f>((C14/9)*12)*1.2</f>
        <v>77619.072</v>
      </c>
      <c r="F14" s="140">
        <f t="shared" si="1"/>
        <v>5229.3077650285713</v>
      </c>
      <c r="I14" s="8"/>
      <c r="J14" s="17"/>
      <c r="K14" s="17"/>
      <c r="L14" s="17"/>
      <c r="O14" s="15">
        <f t="shared" si="0"/>
        <v>1743.1025883428572</v>
      </c>
    </row>
    <row r="15" spans="1:41" x14ac:dyDescent="0.2">
      <c r="A15" s="13" t="s">
        <v>25</v>
      </c>
      <c r="B15" s="14" t="s">
        <v>26</v>
      </c>
      <c r="C15" s="15">
        <f>'[4]Team Report'!BA34</f>
        <v>0</v>
      </c>
      <c r="E15" s="20">
        <f>(C15/9)*12</f>
        <v>0</v>
      </c>
      <c r="F15" s="140">
        <f t="shared" si="1"/>
        <v>0</v>
      </c>
      <c r="I15" s="8"/>
      <c r="J15" s="17"/>
      <c r="K15" s="17"/>
      <c r="L15" s="17"/>
      <c r="O15" s="15">
        <f t="shared" si="0"/>
        <v>0</v>
      </c>
    </row>
    <row r="16" spans="1:41" x14ac:dyDescent="0.2">
      <c r="A16" s="13" t="s">
        <v>28</v>
      </c>
      <c r="B16" s="14" t="s">
        <v>29</v>
      </c>
      <c r="C16" s="15">
        <f>'[4]Team Report'!BA35</f>
        <v>2500</v>
      </c>
      <c r="E16" s="20">
        <f>((C16/9)*12)*1.2</f>
        <v>3999.9999999999995</v>
      </c>
      <c r="F16" s="140">
        <f t="shared" si="1"/>
        <v>269.48571428571427</v>
      </c>
      <c r="I16" s="8" t="s">
        <v>27</v>
      </c>
      <c r="J16" s="17">
        <f>30000*1.2</f>
        <v>36000</v>
      </c>
      <c r="K16" s="17">
        <f>H16*J16</f>
        <v>0</v>
      </c>
      <c r="L16" s="17">
        <f t="shared" ref="L16:L27" si="2">J16*K16</f>
        <v>0</v>
      </c>
      <c r="O16" s="15">
        <f t="shared" si="0"/>
        <v>89.828571428571422</v>
      </c>
    </row>
    <row r="17" spans="1:15" x14ac:dyDescent="0.2">
      <c r="A17" s="13" t="s">
        <v>31</v>
      </c>
      <c r="B17" s="14" t="s">
        <v>32</v>
      </c>
      <c r="C17" s="15">
        <f>'[4]Team Report'!BA36</f>
        <v>0</v>
      </c>
      <c r="E17" s="20">
        <f>(C17/9)*12</f>
        <v>0</v>
      </c>
      <c r="F17" s="140">
        <f t="shared" si="1"/>
        <v>0</v>
      </c>
      <c r="I17" t="s">
        <v>93</v>
      </c>
      <c r="J17" s="17">
        <v>48000</v>
      </c>
      <c r="K17" s="17">
        <v>0</v>
      </c>
      <c r="L17" s="17">
        <f t="shared" si="2"/>
        <v>0</v>
      </c>
      <c r="O17" s="15">
        <f t="shared" si="0"/>
        <v>0</v>
      </c>
    </row>
    <row r="18" spans="1:15" x14ac:dyDescent="0.2">
      <c r="A18" s="13" t="s">
        <v>34</v>
      </c>
      <c r="B18" s="14" t="s">
        <v>35</v>
      </c>
      <c r="C18" s="15">
        <f>'[4]Team Report'!BA37</f>
        <v>129576.91999999998</v>
      </c>
      <c r="E18" s="20">
        <f>((C18/9)*12)*1.2</f>
        <v>207323.07199999999</v>
      </c>
      <c r="F18" s="140">
        <f>(((E18/$E$28)*$F$28+(60000/11*3))*1.2)*0.917</f>
        <v>31974.196991002598</v>
      </c>
      <c r="I18" t="s">
        <v>33</v>
      </c>
      <c r="J18" s="17">
        <v>49200</v>
      </c>
      <c r="K18" s="17">
        <v>0</v>
      </c>
      <c r="L18" s="17">
        <f t="shared" si="2"/>
        <v>0</v>
      </c>
      <c r="O18" s="15">
        <f t="shared" si="0"/>
        <v>10658.065663667532</v>
      </c>
    </row>
    <row r="19" spans="1:15" x14ac:dyDescent="0.2">
      <c r="A19" s="13" t="s">
        <v>37</v>
      </c>
      <c r="B19" s="14" t="s">
        <v>38</v>
      </c>
      <c r="C19" s="15">
        <f>'[4]Team Report'!BA38</f>
        <v>10.029999999999999</v>
      </c>
      <c r="E19" s="20">
        <f>((C19/9)*12)*1.2</f>
        <v>16.047999999999998</v>
      </c>
      <c r="F19" s="140">
        <f>(((E19/$E$28)*$F$28)*1.2)*0.917</f>
        <v>1.0811766857142855</v>
      </c>
      <c r="I19" t="s">
        <v>94</v>
      </c>
      <c r="J19" s="17">
        <v>57600</v>
      </c>
      <c r="K19" s="17">
        <v>0</v>
      </c>
      <c r="L19" s="17">
        <f t="shared" si="2"/>
        <v>0</v>
      </c>
      <c r="O19" s="15">
        <f t="shared" si="0"/>
        <v>0.3603922285714285</v>
      </c>
    </row>
    <row r="20" spans="1:15" x14ac:dyDescent="0.2">
      <c r="A20" s="13" t="s">
        <v>40</v>
      </c>
      <c r="B20" s="14" t="s">
        <v>41</v>
      </c>
      <c r="C20" s="15">
        <f>'[4]Team Report'!BA42</f>
        <v>302115.48</v>
      </c>
      <c r="E20" s="20">
        <f>((C20/9)*12)*1.2</f>
        <v>483384.76799999998</v>
      </c>
      <c r="F20" s="140">
        <f>(((E20/$E$28)*$F$28)*1.2)*0.917</f>
        <v>32566.322369828569</v>
      </c>
      <c r="I20" t="s">
        <v>45</v>
      </c>
      <c r="J20" s="17">
        <v>72000</v>
      </c>
      <c r="K20" s="25">
        <v>0</v>
      </c>
      <c r="L20" s="17">
        <f t="shared" si="2"/>
        <v>0</v>
      </c>
      <c r="O20" s="15">
        <f t="shared" si="0"/>
        <v>10855.440789942857</v>
      </c>
    </row>
    <row r="21" spans="1:15" x14ac:dyDescent="0.2">
      <c r="A21" s="13" t="s">
        <v>43</v>
      </c>
      <c r="B21" s="14" t="s">
        <v>44</v>
      </c>
      <c r="C21" s="15">
        <f>'[4]Team Report'!BA44</f>
        <v>774.43</v>
      </c>
      <c r="E21" s="20">
        <f>((C21/9)*12)*1.2</f>
        <v>1239.088</v>
      </c>
      <c r="F21" s="140">
        <f>(((E21/$E$28)*$F$28)*1.2)*0.917</f>
        <v>83.479128685714286</v>
      </c>
      <c r="I21" t="s">
        <v>36</v>
      </c>
      <c r="J21" s="17">
        <v>62400</v>
      </c>
      <c r="K21" s="17">
        <v>0</v>
      </c>
      <c r="L21" s="17">
        <f t="shared" si="2"/>
        <v>0</v>
      </c>
      <c r="O21" s="15">
        <f t="shared" si="0"/>
        <v>27.82637622857143</v>
      </c>
    </row>
    <row r="22" spans="1:15" ht="13.5" thickBot="1" x14ac:dyDescent="0.25">
      <c r="A22" s="26" t="s">
        <v>46</v>
      </c>
      <c r="B22" s="27" t="s">
        <v>47</v>
      </c>
      <c r="C22" s="28">
        <f>SUM(C8:C21)</f>
        <v>5422206.8300000001</v>
      </c>
      <c r="E22" s="28">
        <f>SUM(E8:E21)</f>
        <v>8675530.9279999994</v>
      </c>
      <c r="F22" s="28">
        <f>SUM(F8:F21)</f>
        <v>659390.04881878442</v>
      </c>
      <c r="I22" t="s">
        <v>95</v>
      </c>
      <c r="J22" s="17">
        <v>74400</v>
      </c>
      <c r="K22" s="17">
        <v>1</v>
      </c>
      <c r="L22" s="17">
        <f t="shared" si="2"/>
        <v>74400</v>
      </c>
      <c r="O22" s="58">
        <f>SUM(O8:O21)</f>
        <v>219796.68293959484</v>
      </c>
    </row>
    <row r="23" spans="1:15" x14ac:dyDescent="0.2">
      <c r="I23" t="s">
        <v>96</v>
      </c>
      <c r="J23" s="17">
        <v>90000</v>
      </c>
      <c r="K23" s="17">
        <v>1</v>
      </c>
      <c r="L23" s="17">
        <f t="shared" si="2"/>
        <v>90000</v>
      </c>
    </row>
    <row r="24" spans="1:15" x14ac:dyDescent="0.2">
      <c r="B24" s="27" t="s">
        <v>50</v>
      </c>
      <c r="C24" s="15"/>
      <c r="E24" s="31">
        <v>44</v>
      </c>
      <c r="F24" s="31">
        <f>+K28</f>
        <v>3</v>
      </c>
      <c r="I24" t="s">
        <v>97</v>
      </c>
      <c r="J24" s="17">
        <v>120000</v>
      </c>
      <c r="K24" s="17">
        <v>1</v>
      </c>
      <c r="L24" s="17">
        <f t="shared" si="2"/>
        <v>120000</v>
      </c>
      <c r="O24" s="31">
        <f>SUM(U15:U19,U22:U26)</f>
        <v>0</v>
      </c>
    </row>
    <row r="25" spans="1:15" x14ac:dyDescent="0.2">
      <c r="C25" s="15"/>
      <c r="E25" s="15"/>
      <c r="F25" s="15"/>
      <c r="I25" t="s">
        <v>98</v>
      </c>
      <c r="J25" s="17">
        <v>178800</v>
      </c>
      <c r="K25" s="17">
        <v>0</v>
      </c>
      <c r="L25" s="17">
        <f t="shared" si="2"/>
        <v>0</v>
      </c>
      <c r="O25" s="15"/>
    </row>
    <row r="26" spans="1:15" x14ac:dyDescent="0.2">
      <c r="B26" s="27" t="s">
        <v>101</v>
      </c>
      <c r="C26" s="15"/>
      <c r="E26" s="31">
        <v>5</v>
      </c>
      <c r="F26" s="31">
        <v>0</v>
      </c>
      <c r="I26" t="s">
        <v>99</v>
      </c>
      <c r="J26" s="17">
        <v>216000</v>
      </c>
      <c r="K26" s="17">
        <v>0</v>
      </c>
      <c r="L26" s="17">
        <f t="shared" si="2"/>
        <v>0</v>
      </c>
      <c r="O26" s="31">
        <f>SUM(U20:U21)</f>
        <v>0</v>
      </c>
    </row>
    <row r="27" spans="1:15" x14ac:dyDescent="0.2">
      <c r="I27" t="s">
        <v>100</v>
      </c>
      <c r="J27" s="17">
        <v>312000</v>
      </c>
      <c r="K27" s="17">
        <v>0</v>
      </c>
      <c r="L27" s="17">
        <f t="shared" si="2"/>
        <v>0</v>
      </c>
    </row>
    <row r="28" spans="1:15" x14ac:dyDescent="0.2">
      <c r="B28" s="27" t="s">
        <v>55</v>
      </c>
      <c r="C28" s="15"/>
      <c r="E28" s="31">
        <f>+E26+E24</f>
        <v>49</v>
      </c>
      <c r="F28" s="31">
        <f>+F26+F24</f>
        <v>3</v>
      </c>
      <c r="G28" s="25"/>
      <c r="K28" s="25">
        <f>SUM(K16:K27)</f>
        <v>3</v>
      </c>
      <c r="L28" s="17">
        <f>SUM(L16:L27)</f>
        <v>284400</v>
      </c>
      <c r="O28" s="31">
        <v>1</v>
      </c>
    </row>
    <row r="29" spans="1:15" hidden="1" x14ac:dyDescent="0.2"/>
    <row r="30" spans="1:15" hidden="1" x14ac:dyDescent="0.2">
      <c r="A30" s="13" t="s">
        <v>71</v>
      </c>
      <c r="B30" s="14" t="s">
        <v>72</v>
      </c>
      <c r="C30" s="15">
        <f>'[4]Team Report'!BA29</f>
        <v>0</v>
      </c>
      <c r="E30" s="15">
        <f t="shared" ref="E30:E37" si="3">(C30/9)*12</f>
        <v>0</v>
      </c>
      <c r="I30" t="s">
        <v>102</v>
      </c>
      <c r="K30" s="52"/>
      <c r="L30" s="52">
        <v>0.2</v>
      </c>
    </row>
    <row r="31" spans="1:15" hidden="1" x14ac:dyDescent="0.2">
      <c r="A31" s="13" t="s">
        <v>73</v>
      </c>
      <c r="B31" s="14" t="s">
        <v>74</v>
      </c>
      <c r="C31" s="15">
        <f>'[4]Team Report'!BA30</f>
        <v>0</v>
      </c>
      <c r="E31" s="15">
        <f t="shared" si="3"/>
        <v>0</v>
      </c>
    </row>
    <row r="32" spans="1:15" hidden="1" x14ac:dyDescent="0.2">
      <c r="A32" s="13" t="s">
        <v>75</v>
      </c>
      <c r="B32" s="14" t="s">
        <v>76</v>
      </c>
      <c r="C32" s="15">
        <f>'[4]Team Report'!BA31</f>
        <v>0</v>
      </c>
      <c r="E32" s="15">
        <f t="shared" si="3"/>
        <v>0</v>
      </c>
      <c r="L32" s="25">
        <f>L28*1.2</f>
        <v>341280</v>
      </c>
    </row>
    <row r="33" spans="1:12" hidden="1" x14ac:dyDescent="0.2">
      <c r="A33" s="13" t="s">
        <v>77</v>
      </c>
      <c r="B33" s="14" t="s">
        <v>78</v>
      </c>
      <c r="C33" s="15">
        <f>'[4]Team Report'!BA39</f>
        <v>0</v>
      </c>
      <c r="E33" s="15">
        <f t="shared" si="3"/>
        <v>0</v>
      </c>
    </row>
    <row r="34" spans="1:12" hidden="1" x14ac:dyDescent="0.2">
      <c r="A34" s="13" t="s">
        <v>79</v>
      </c>
      <c r="B34" s="14" t="s">
        <v>80</v>
      </c>
      <c r="C34" s="15">
        <f>'[4]Team Report'!BA40</f>
        <v>147341.90000000002</v>
      </c>
      <c r="E34" s="15">
        <f t="shared" si="3"/>
        <v>196455.8666666667</v>
      </c>
    </row>
    <row r="35" spans="1:12" hidden="1" x14ac:dyDescent="0.2">
      <c r="A35" s="13" t="s">
        <v>81</v>
      </c>
      <c r="B35" s="14" t="s">
        <v>82</v>
      </c>
      <c r="C35" s="15">
        <f>'[4]Team Report'!BA41</f>
        <v>285701.8</v>
      </c>
      <c r="E35" s="15">
        <f t="shared" si="3"/>
        <v>380935.73333333328</v>
      </c>
    </row>
    <row r="36" spans="1:12" hidden="1" x14ac:dyDescent="0.2">
      <c r="A36" s="13" t="s">
        <v>83</v>
      </c>
      <c r="B36" s="14" t="s">
        <v>84</v>
      </c>
      <c r="C36" s="15">
        <f>'[4]Team Report'!BA43</f>
        <v>-4445984</v>
      </c>
      <c r="E36" s="15">
        <f t="shared" si="3"/>
        <v>-5927978.666666667</v>
      </c>
      <c r="G36" s="33" t="s">
        <v>56</v>
      </c>
      <c r="I36" s="25"/>
      <c r="L36"/>
    </row>
    <row r="37" spans="1:12" hidden="1" x14ac:dyDescent="0.2">
      <c r="A37" s="13" t="s">
        <v>85</v>
      </c>
      <c r="B37" s="14" t="s">
        <v>86</v>
      </c>
      <c r="C37" s="15">
        <f>'[4]Team Report'!BA45</f>
        <v>1176.06</v>
      </c>
      <c r="E37" s="15">
        <f t="shared" si="3"/>
        <v>1568.08</v>
      </c>
      <c r="I37" s="25"/>
      <c r="L37"/>
    </row>
    <row r="38" spans="1:12" hidden="1" x14ac:dyDescent="0.2">
      <c r="G38" s="34" t="s">
        <v>57</v>
      </c>
      <c r="I38" s="35" t="s">
        <v>58</v>
      </c>
      <c r="J38" s="35" t="s">
        <v>59</v>
      </c>
      <c r="K38" s="35" t="s">
        <v>2</v>
      </c>
      <c r="L38" s="35" t="s">
        <v>60</v>
      </c>
    </row>
    <row r="39" spans="1:12" hidden="1" x14ac:dyDescent="0.2">
      <c r="C39" s="54">
        <f>C22+C30+C31+C32+C33+C34+C35+C36+C37</f>
        <v>1410442.5900000003</v>
      </c>
      <c r="G39" s="36">
        <f>SUM(E11:E21)</f>
        <v>1630220.4639999999</v>
      </c>
      <c r="I39" s="56">
        <f>+E28</f>
        <v>49</v>
      </c>
      <c r="J39" s="37">
        <f>+G39/I39</f>
        <v>33269.805387755099</v>
      </c>
      <c r="K39" s="56">
        <f>+K11</f>
        <v>3</v>
      </c>
      <c r="L39" s="37">
        <f>+J39*K39</f>
        <v>99809.416163265298</v>
      </c>
    </row>
    <row r="40" spans="1:12" hidden="1" x14ac:dyDescent="0.2"/>
    <row r="41" spans="1:12" hidden="1" x14ac:dyDescent="0.2"/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R45"/>
  <sheetViews>
    <sheetView zoomScaleNormal="100" workbookViewId="0">
      <selection activeCell="F8" sqref="F8:F21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5" customWidth="1"/>
    <col min="7" max="7" width="2.28515625" hidden="1" customWidth="1"/>
    <col min="8" max="9" width="9.14062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10.28515625" hidden="1" customWidth="1"/>
    <col min="15" max="15" width="12.85546875" hidden="1" customWidth="1"/>
    <col min="16" max="16" width="8.7109375" hidden="1" customWidth="1"/>
    <col min="17" max="17" width="8.85546875" hidden="1" customWidth="1"/>
    <col min="18" max="18" width="10.28515625" hidden="1" customWidth="1"/>
    <col min="19" max="22" width="9.140625" hidden="1" customWidth="1"/>
    <col min="23" max="52" width="0" hidden="1" customWidth="1"/>
  </cols>
  <sheetData>
    <row r="1" spans="1:44" ht="18" x14ac:dyDescent="0.25">
      <c r="B1" s="142" t="str">
        <f>'[19]Team Report'!B1</f>
        <v>Enron North America</v>
      </c>
      <c r="C1" s="142"/>
      <c r="D1" s="142"/>
      <c r="E1" s="142"/>
      <c r="F1" s="142"/>
      <c r="G1" s="142"/>
      <c r="H1" s="142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2" t="s">
        <v>104</v>
      </c>
      <c r="C2" s="142"/>
      <c r="D2" s="142"/>
      <c r="E2" s="142"/>
      <c r="F2" s="142"/>
      <c r="G2" s="142"/>
      <c r="H2" s="142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43" t="s">
        <v>0</v>
      </c>
      <c r="C3" s="149"/>
      <c r="D3" s="149"/>
      <c r="E3" s="149"/>
      <c r="F3" s="149"/>
      <c r="G3" s="149"/>
      <c r="H3" s="149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>
      <c r="J4" s="147" t="s">
        <v>105</v>
      </c>
      <c r="K4" s="147"/>
      <c r="L4" s="147"/>
      <c r="M4" s="147"/>
      <c r="O4" s="147" t="s">
        <v>106</v>
      </c>
      <c r="P4" s="147"/>
      <c r="Q4" s="147"/>
      <c r="R4" s="147"/>
    </row>
    <row r="5" spans="1:44" x14ac:dyDescent="0.2">
      <c r="J5" s="4"/>
      <c r="K5" s="40"/>
      <c r="L5" s="40"/>
      <c r="M5" s="41"/>
      <c r="N5" s="8"/>
      <c r="O5" s="4"/>
      <c r="P5" s="40"/>
      <c r="Q5" s="40"/>
      <c r="R5" s="41"/>
    </row>
    <row r="6" spans="1:44" x14ac:dyDescent="0.2">
      <c r="C6" s="10">
        <v>37135</v>
      </c>
      <c r="E6" s="44" t="s">
        <v>61</v>
      </c>
      <c r="F6" s="44" t="s">
        <v>63</v>
      </c>
      <c r="H6" s="10" t="s">
        <v>4</v>
      </c>
      <c r="J6" s="7"/>
      <c r="K6" s="19" t="s">
        <v>1</v>
      </c>
      <c r="L6" s="19" t="s">
        <v>2</v>
      </c>
      <c r="M6" s="74" t="s">
        <v>107</v>
      </c>
      <c r="N6" s="8"/>
      <c r="O6" s="7"/>
      <c r="P6" s="19" t="s">
        <v>1</v>
      </c>
      <c r="Q6" s="19" t="s">
        <v>2</v>
      </c>
      <c r="R6" s="74" t="s">
        <v>107</v>
      </c>
      <c r="V6" s="44" t="s">
        <v>63</v>
      </c>
    </row>
    <row r="7" spans="1:44" x14ac:dyDescent="0.2">
      <c r="C7" s="12" t="s">
        <v>5</v>
      </c>
      <c r="E7" s="12" t="s">
        <v>6</v>
      </c>
      <c r="F7" s="12" t="s">
        <v>7</v>
      </c>
      <c r="H7" s="12" t="s">
        <v>8</v>
      </c>
      <c r="J7" s="7"/>
      <c r="K7" s="17"/>
      <c r="L7" s="17"/>
      <c r="M7" s="43"/>
      <c r="N7" s="8"/>
      <c r="O7" s="7"/>
      <c r="P7" s="17"/>
      <c r="Q7" s="17"/>
      <c r="R7" s="43"/>
      <c r="V7" s="12" t="s">
        <v>7</v>
      </c>
    </row>
    <row r="8" spans="1:44" x14ac:dyDescent="0.2">
      <c r="A8" s="13" t="s">
        <v>9</v>
      </c>
      <c r="B8" s="14" t="s">
        <v>10</v>
      </c>
      <c r="C8" s="53">
        <f>'[19]Team Report'!BA25</f>
        <v>4985502.2300000004</v>
      </c>
      <c r="E8" s="15">
        <f>M27</f>
        <v>4339200</v>
      </c>
      <c r="F8" s="140">
        <f>(+M16+M17+M18+M20+M21+M22+M23+M24+M25+M26)</f>
        <v>4224000</v>
      </c>
      <c r="J8" s="7"/>
      <c r="K8" s="17"/>
      <c r="L8" s="17"/>
      <c r="M8" s="43"/>
      <c r="N8" s="8"/>
      <c r="O8" s="7"/>
      <c r="P8" s="17"/>
      <c r="Q8" s="17"/>
      <c r="R8" s="43"/>
      <c r="V8" s="15">
        <f t="shared" ref="V8:V21" si="0">+F8/$F$28*$V$28</f>
        <v>93866.666666666672</v>
      </c>
    </row>
    <row r="9" spans="1:44" x14ac:dyDescent="0.2">
      <c r="A9" s="13"/>
      <c r="B9" s="14" t="s">
        <v>70</v>
      </c>
      <c r="C9" s="15">
        <v>0</v>
      </c>
      <c r="E9" s="15">
        <f>(C9/9)*12</f>
        <v>0</v>
      </c>
      <c r="F9" s="140">
        <f>(M19)</f>
        <v>115200</v>
      </c>
      <c r="J9" s="7"/>
      <c r="K9" s="17"/>
      <c r="L9" s="17"/>
      <c r="M9" s="43"/>
      <c r="N9" s="8"/>
      <c r="O9" s="7"/>
      <c r="P9" s="17"/>
      <c r="Q9" s="17"/>
      <c r="R9" s="43"/>
      <c r="V9" s="15">
        <f t="shared" si="0"/>
        <v>2560</v>
      </c>
    </row>
    <row r="10" spans="1:44" x14ac:dyDescent="0.2">
      <c r="A10" s="13" t="s">
        <v>13</v>
      </c>
      <c r="B10" s="14" t="s">
        <v>14</v>
      </c>
      <c r="C10" s="15">
        <f>'[19]Team Report'!BA26</f>
        <v>1210281.1100000001</v>
      </c>
      <c r="E10" s="15">
        <f>M31</f>
        <v>5207040</v>
      </c>
      <c r="F10" s="140">
        <f>((F8+F9)*0.2)</f>
        <v>867840</v>
      </c>
      <c r="H10">
        <v>1.2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19285.333333333332</v>
      </c>
    </row>
    <row r="11" spans="1:44" x14ac:dyDescent="0.2">
      <c r="A11" s="13" t="s">
        <v>16</v>
      </c>
      <c r="B11" s="14" t="s">
        <v>17</v>
      </c>
      <c r="C11" s="15">
        <f>'[19]Team Report'!BA27</f>
        <v>190029.97</v>
      </c>
      <c r="E11" s="15">
        <f t="shared" ref="E11:E21" si="1">(C11/9)*12</f>
        <v>253373.29333333333</v>
      </c>
      <c r="F11" s="140">
        <f>((E11/$E$28*46)+220000)</f>
        <v>333157.00478964404</v>
      </c>
      <c r="J11" s="7" t="s">
        <v>15</v>
      </c>
      <c r="K11" s="17">
        <f>(E11+E12+E13+E14+E15+E16+E17+E18+E19+E20+22)/E28</f>
        <v>5823.4699029126214</v>
      </c>
      <c r="L11" s="17">
        <f>L27</f>
        <v>45</v>
      </c>
      <c r="M11" s="43">
        <f>K11*L11+600000+704684</f>
        <v>1566740.1456310679</v>
      </c>
      <c r="N11" s="8"/>
      <c r="O11" s="7" t="s">
        <v>15</v>
      </c>
      <c r="P11" s="17">
        <f>K11</f>
        <v>5823.4699029126214</v>
      </c>
      <c r="Q11" s="17">
        <f>Q27</f>
        <v>7</v>
      </c>
      <c r="R11" s="43">
        <f>P11*Q11+360000-3367</f>
        <v>397397.28932038834</v>
      </c>
      <c r="V11" s="15">
        <f t="shared" si="0"/>
        <v>7403.4889953254233</v>
      </c>
    </row>
    <row r="12" spans="1:44" x14ac:dyDescent="0.2">
      <c r="A12" s="13" t="s">
        <v>18</v>
      </c>
      <c r="B12" s="14" t="s">
        <v>19</v>
      </c>
      <c r="C12" s="15">
        <f>'[19]Team Report'!BA28</f>
        <v>78390.58</v>
      </c>
      <c r="E12" s="15">
        <f t="shared" si="1"/>
        <v>104520.77333333333</v>
      </c>
      <c r="F12" s="140">
        <f>((E12/$E$28*43))</f>
        <v>43634.885954692552</v>
      </c>
      <c r="J12" s="7"/>
      <c r="K12" s="17"/>
      <c r="L12" s="17"/>
      <c r="M12" s="43"/>
      <c r="N12" s="8"/>
      <c r="O12" s="7"/>
      <c r="P12" s="17"/>
      <c r="Q12" s="17"/>
      <c r="R12" s="43"/>
      <c r="V12" s="15">
        <f t="shared" si="0"/>
        <v>969.6641323265012</v>
      </c>
    </row>
    <row r="13" spans="1:44" ht="13.5" thickBot="1" x14ac:dyDescent="0.25">
      <c r="A13" s="13" t="s">
        <v>21</v>
      </c>
      <c r="B13" s="14" t="s">
        <v>22</v>
      </c>
      <c r="C13" s="15">
        <v>0</v>
      </c>
      <c r="E13" s="15">
        <f t="shared" si="1"/>
        <v>0</v>
      </c>
      <c r="F13" s="140">
        <f>(700000+300000)</f>
        <v>1000000</v>
      </c>
      <c r="J13" s="22" t="s">
        <v>20</v>
      </c>
      <c r="K13" s="47"/>
      <c r="L13" s="47"/>
      <c r="M13" s="48">
        <f>SUM(M9:M11)</f>
        <v>1566740.1456310679</v>
      </c>
      <c r="N13" s="8"/>
      <c r="O13" s="22" t="s">
        <v>20</v>
      </c>
      <c r="P13" s="47"/>
      <c r="Q13" s="47"/>
      <c r="R13" s="48">
        <f>SUM(R9:R11)</f>
        <v>397397.28932038834</v>
      </c>
      <c r="V13" s="15">
        <f t="shared" si="0"/>
        <v>22222.222222222223</v>
      </c>
    </row>
    <row r="14" spans="1:44" x14ac:dyDescent="0.2">
      <c r="A14" s="13" t="s">
        <v>23</v>
      </c>
      <c r="B14" s="14" t="s">
        <v>24</v>
      </c>
      <c r="C14" s="15">
        <f>'[19]Team Report'!BA33</f>
        <v>69921.63</v>
      </c>
      <c r="E14" s="15">
        <f t="shared" si="1"/>
        <v>93228.840000000011</v>
      </c>
      <c r="F14" s="140">
        <f>((E14/$E$28*46)+75000)</f>
        <v>116636.1809708738</v>
      </c>
      <c r="J14" s="8"/>
      <c r="K14" s="17"/>
      <c r="L14" s="17"/>
      <c r="M14" s="17"/>
      <c r="N14" s="8"/>
      <c r="V14" s="15">
        <f t="shared" si="0"/>
        <v>2591.9151326860842</v>
      </c>
    </row>
    <row r="15" spans="1:44" x14ac:dyDescent="0.2">
      <c r="A15" s="13" t="s">
        <v>25</v>
      </c>
      <c r="B15" s="14" t="s">
        <v>26</v>
      </c>
      <c r="C15" s="15">
        <f>'[19]Team Report'!BA34</f>
        <v>0</v>
      </c>
      <c r="E15" s="15">
        <f t="shared" si="1"/>
        <v>0</v>
      </c>
      <c r="F15" s="140">
        <f>(E15/$E$28*46)*0.917</f>
        <v>0</v>
      </c>
      <c r="I15" s="49">
        <f>M13-F22</f>
        <v>-5512863.6541100331</v>
      </c>
      <c r="J15" s="8"/>
      <c r="K15" s="17"/>
      <c r="L15" s="17"/>
      <c r="M15" s="17">
        <f>N15-F22</f>
        <v>-5115466.3647896443</v>
      </c>
      <c r="N15" s="75">
        <f>M13+R13</f>
        <v>1964137.4349514563</v>
      </c>
      <c r="V15" s="15">
        <f t="shared" si="0"/>
        <v>0</v>
      </c>
    </row>
    <row r="16" spans="1:44" x14ac:dyDescent="0.2">
      <c r="A16" s="13" t="s">
        <v>28</v>
      </c>
      <c r="B16" s="14" t="s">
        <v>29</v>
      </c>
      <c r="C16" s="15">
        <f>'[19]Team Report'!BA35</f>
        <v>0</v>
      </c>
      <c r="E16" s="15">
        <f t="shared" si="1"/>
        <v>0</v>
      </c>
      <c r="F16" s="140">
        <f>(E16/$E$28*46)*0.917</f>
        <v>0</v>
      </c>
      <c r="J16" s="8" t="s">
        <v>27</v>
      </c>
      <c r="K16" s="17">
        <f>(30000*1.2)</f>
        <v>36000</v>
      </c>
      <c r="L16">
        <v>0</v>
      </c>
      <c r="M16" s="17">
        <f t="shared" ref="M16:M26" si="2">K16*L16</f>
        <v>0</v>
      </c>
      <c r="O16" s="8" t="s">
        <v>27</v>
      </c>
      <c r="P16" s="17">
        <f>(30000*1.2)</f>
        <v>36000</v>
      </c>
      <c r="Q16" s="8">
        <v>1</v>
      </c>
      <c r="R16" s="49">
        <f t="shared" ref="R16:R26" si="3">P16*Q16</f>
        <v>36000</v>
      </c>
      <c r="V16" s="15">
        <f t="shared" si="0"/>
        <v>0</v>
      </c>
    </row>
    <row r="17" spans="1:22" x14ac:dyDescent="0.2">
      <c r="A17" s="13" t="s">
        <v>31</v>
      </c>
      <c r="B17" s="14" t="s">
        <v>32</v>
      </c>
      <c r="C17" s="15">
        <f>'[19]Team Report'!BA36</f>
        <v>19039.670000000002</v>
      </c>
      <c r="E17" s="15">
        <f t="shared" si="1"/>
        <v>25386.226666666669</v>
      </c>
      <c r="F17" s="140">
        <f>((E17/$E$28*46)+50000)</f>
        <v>61337.538122977348</v>
      </c>
      <c r="J17" t="s">
        <v>93</v>
      </c>
      <c r="K17" s="17">
        <f>(40000*1.2)*1.2</f>
        <v>57600</v>
      </c>
      <c r="L17">
        <v>4</v>
      </c>
      <c r="M17" s="17">
        <f t="shared" si="2"/>
        <v>230400</v>
      </c>
      <c r="O17" t="s">
        <v>93</v>
      </c>
      <c r="P17" s="17">
        <f>(40000*1.2)*1.2</f>
        <v>57600</v>
      </c>
      <c r="Q17">
        <v>1</v>
      </c>
      <c r="R17" s="49">
        <f t="shared" si="3"/>
        <v>57600</v>
      </c>
      <c r="V17" s="15">
        <f t="shared" si="0"/>
        <v>1363.0564027328301</v>
      </c>
    </row>
    <row r="18" spans="1:22" x14ac:dyDescent="0.2">
      <c r="A18" s="13" t="s">
        <v>34</v>
      </c>
      <c r="B18" s="14" t="s">
        <v>35</v>
      </c>
      <c r="C18" s="15">
        <f>'[19]Team Report'!BA37</f>
        <v>17422.019999999997</v>
      </c>
      <c r="E18" s="15">
        <f t="shared" si="1"/>
        <v>23229.359999999997</v>
      </c>
      <c r="F18" s="140">
        <f>((E18/$E$28*46)+136897)</f>
        <v>147271.2772815534</v>
      </c>
      <c r="J18" t="s">
        <v>33</v>
      </c>
      <c r="K18" s="17">
        <v>49200</v>
      </c>
      <c r="L18">
        <v>2</v>
      </c>
      <c r="M18" s="17">
        <f t="shared" si="2"/>
        <v>98400</v>
      </c>
      <c r="O18" t="s">
        <v>33</v>
      </c>
      <c r="P18" s="17">
        <v>49200</v>
      </c>
      <c r="Q18">
        <v>1</v>
      </c>
      <c r="R18" s="49">
        <f t="shared" si="3"/>
        <v>49200</v>
      </c>
      <c r="V18" s="15">
        <f t="shared" si="0"/>
        <v>3272.6950507011866</v>
      </c>
    </row>
    <row r="19" spans="1:22" x14ac:dyDescent="0.2">
      <c r="A19" s="13" t="s">
        <v>37</v>
      </c>
      <c r="B19" s="14" t="s">
        <v>38</v>
      </c>
      <c r="C19" s="15">
        <f>'[19]Team Report'!BA38</f>
        <v>0</v>
      </c>
      <c r="E19" s="15">
        <f t="shared" si="1"/>
        <v>0</v>
      </c>
      <c r="F19" s="140">
        <f>(E19/$E$28*46)</f>
        <v>0</v>
      </c>
      <c r="J19" t="s">
        <v>94</v>
      </c>
      <c r="K19" s="17">
        <v>57600</v>
      </c>
      <c r="L19">
        <v>2</v>
      </c>
      <c r="M19" s="17">
        <f t="shared" si="2"/>
        <v>115200</v>
      </c>
      <c r="O19" t="s">
        <v>94</v>
      </c>
      <c r="P19" s="17">
        <v>57600</v>
      </c>
      <c r="Q19">
        <v>0</v>
      </c>
      <c r="R19" s="49">
        <f t="shared" si="3"/>
        <v>0</v>
      </c>
      <c r="V19" s="15">
        <f t="shared" si="0"/>
        <v>0</v>
      </c>
    </row>
    <row r="20" spans="1:22" x14ac:dyDescent="0.2">
      <c r="A20" s="13" t="s">
        <v>40</v>
      </c>
      <c r="B20" s="14" t="s">
        <v>41</v>
      </c>
      <c r="C20" s="15">
        <f>'[19]Team Report'!BA42</f>
        <v>75042.680000000008</v>
      </c>
      <c r="E20" s="15">
        <f t="shared" si="1"/>
        <v>100056.90666666668</v>
      </c>
      <c r="F20" s="140">
        <f>((E20/$E$28*46)+125000)</f>
        <v>169685.60880258901</v>
      </c>
      <c r="J20" t="s">
        <v>36</v>
      </c>
      <c r="K20" s="17">
        <v>62400</v>
      </c>
      <c r="L20">
        <v>7</v>
      </c>
      <c r="M20" s="17">
        <f t="shared" si="2"/>
        <v>436800</v>
      </c>
      <c r="O20" t="s">
        <v>36</v>
      </c>
      <c r="P20" s="17">
        <v>62400</v>
      </c>
      <c r="Q20">
        <v>0</v>
      </c>
      <c r="R20" s="49">
        <f t="shared" si="3"/>
        <v>0</v>
      </c>
      <c r="V20" s="15">
        <f t="shared" si="0"/>
        <v>3770.7913067242002</v>
      </c>
    </row>
    <row r="21" spans="1:22" x14ac:dyDescent="0.2">
      <c r="A21" s="13" t="s">
        <v>43</v>
      </c>
      <c r="B21" s="14" t="s">
        <v>44</v>
      </c>
      <c r="C21" s="15">
        <f>'[19]Team Report'!BA44</f>
        <v>1226.24</v>
      </c>
      <c r="E21" s="15">
        <f t="shared" si="1"/>
        <v>1634.9866666666667</v>
      </c>
      <c r="F21" s="140">
        <f>(E21/$E$28*53)</f>
        <v>841.3038187702266</v>
      </c>
      <c r="J21" t="s">
        <v>108</v>
      </c>
      <c r="K21" s="17">
        <v>74400</v>
      </c>
      <c r="L21">
        <v>11</v>
      </c>
      <c r="M21" s="17">
        <f t="shared" si="2"/>
        <v>818400</v>
      </c>
      <c r="O21" t="s">
        <v>108</v>
      </c>
      <c r="P21" s="17">
        <v>74400</v>
      </c>
      <c r="Q21">
        <v>0</v>
      </c>
      <c r="R21" s="49">
        <f t="shared" si="3"/>
        <v>0</v>
      </c>
      <c r="V21" s="15">
        <f t="shared" si="0"/>
        <v>18.695640417116145</v>
      </c>
    </row>
    <row r="22" spans="1:22" ht="13.5" thickBot="1" x14ac:dyDescent="0.25">
      <c r="A22" s="26" t="s">
        <v>46</v>
      </c>
      <c r="B22" s="27" t="s">
        <v>47</v>
      </c>
      <c r="C22" s="28">
        <f>SUM(C8:C21)</f>
        <v>6646856.1299999999</v>
      </c>
      <c r="E22" s="31">
        <f>SUM(E8:E21)</f>
        <v>10147670.386666665</v>
      </c>
      <c r="F22" s="31">
        <f>SUM(F8:F21)</f>
        <v>7079603.7997411005</v>
      </c>
      <c r="J22" t="s">
        <v>96</v>
      </c>
      <c r="K22" s="17">
        <v>90000</v>
      </c>
      <c r="L22">
        <v>9</v>
      </c>
      <c r="M22" s="17">
        <f t="shared" si="2"/>
        <v>810000</v>
      </c>
      <c r="O22" t="s">
        <v>96</v>
      </c>
      <c r="P22" s="17">
        <v>90000</v>
      </c>
      <c r="Q22">
        <v>2</v>
      </c>
      <c r="R22" s="49">
        <f t="shared" si="3"/>
        <v>180000</v>
      </c>
      <c r="V22" s="58">
        <f>SUM(V8:V21)</f>
        <v>157324.52888313553</v>
      </c>
    </row>
    <row r="23" spans="1:22" x14ac:dyDescent="0.2">
      <c r="J23" t="s">
        <v>97</v>
      </c>
      <c r="K23" s="17">
        <v>120000</v>
      </c>
      <c r="L23">
        <v>4</v>
      </c>
      <c r="M23" s="17">
        <f t="shared" si="2"/>
        <v>480000</v>
      </c>
      <c r="O23" t="s">
        <v>97</v>
      </c>
      <c r="P23" s="17">
        <v>120000</v>
      </c>
      <c r="Q23">
        <v>1</v>
      </c>
      <c r="R23" s="49">
        <f t="shared" si="3"/>
        <v>120000</v>
      </c>
    </row>
    <row r="24" spans="1:22" x14ac:dyDescent="0.2">
      <c r="B24" s="27" t="s">
        <v>50</v>
      </c>
      <c r="C24" s="55"/>
      <c r="E24" s="55">
        <v>99</v>
      </c>
      <c r="F24" s="55">
        <f>SUM(L16:L18,L20:L26)</f>
        <v>43</v>
      </c>
      <c r="J24" t="s">
        <v>98</v>
      </c>
      <c r="K24" s="17">
        <v>174000</v>
      </c>
      <c r="L24">
        <v>1</v>
      </c>
      <c r="M24" s="17">
        <f t="shared" si="2"/>
        <v>174000</v>
      </c>
      <c r="O24" t="s">
        <v>98</v>
      </c>
      <c r="P24" s="17">
        <v>174000</v>
      </c>
      <c r="Q24">
        <v>1</v>
      </c>
      <c r="R24" s="49">
        <f t="shared" si="3"/>
        <v>174000</v>
      </c>
      <c r="V24" s="31">
        <f>SUM(AB15:AB19,AB22:AB26)</f>
        <v>0</v>
      </c>
    </row>
    <row r="25" spans="1:22" x14ac:dyDescent="0.2">
      <c r="J25" t="s">
        <v>99</v>
      </c>
      <c r="K25" s="17">
        <v>216000</v>
      </c>
      <c r="L25">
        <v>4</v>
      </c>
      <c r="M25" s="17">
        <f t="shared" si="2"/>
        <v>864000</v>
      </c>
      <c r="O25" t="s">
        <v>99</v>
      </c>
      <c r="P25" s="17">
        <v>216000</v>
      </c>
      <c r="R25" s="49">
        <f t="shared" si="3"/>
        <v>0</v>
      </c>
      <c r="V25" s="15"/>
    </row>
    <row r="26" spans="1:22" x14ac:dyDescent="0.2">
      <c r="B26" s="27" t="s">
        <v>67</v>
      </c>
      <c r="C26" s="55"/>
      <c r="E26" s="55">
        <v>4</v>
      </c>
      <c r="F26" s="55">
        <v>2</v>
      </c>
      <c r="J26" t="s">
        <v>100</v>
      </c>
      <c r="K26" s="17">
        <v>312000</v>
      </c>
      <c r="L26">
        <v>1</v>
      </c>
      <c r="M26" s="17">
        <f t="shared" si="2"/>
        <v>312000</v>
      </c>
      <c r="O26" t="s">
        <v>100</v>
      </c>
      <c r="P26" s="17">
        <v>312000</v>
      </c>
      <c r="R26" s="49">
        <f t="shared" si="3"/>
        <v>0</v>
      </c>
      <c r="V26" s="31">
        <f>SUM(AB20:AB21)</f>
        <v>0</v>
      </c>
    </row>
    <row r="27" spans="1:22" x14ac:dyDescent="0.2">
      <c r="L27" s="25">
        <f>SUM(L16:L26)</f>
        <v>45</v>
      </c>
      <c r="M27" s="25">
        <f>SUM(M16:M26)</f>
        <v>4339200</v>
      </c>
      <c r="P27" s="25"/>
      <c r="Q27">
        <f>SUM(Q16:Q26)</f>
        <v>7</v>
      </c>
      <c r="R27" s="49">
        <f>SUM(R16:R26)</f>
        <v>616800</v>
      </c>
    </row>
    <row r="28" spans="1:22" x14ac:dyDescent="0.2">
      <c r="B28" s="27" t="s">
        <v>55</v>
      </c>
      <c r="C28" s="55"/>
      <c r="E28" s="55">
        <f>SUM(E24:E27)</f>
        <v>103</v>
      </c>
      <c r="F28" s="55">
        <f>SUM(F24:F26)</f>
        <v>45</v>
      </c>
      <c r="P28" s="25"/>
      <c r="Q28" s="25"/>
      <c r="V28" s="31">
        <v>1</v>
      </c>
    </row>
    <row r="29" spans="1:22" x14ac:dyDescent="0.2">
      <c r="B29" s="27"/>
      <c r="J29" t="s">
        <v>102</v>
      </c>
      <c r="L29" s="52"/>
      <c r="M29" s="52">
        <v>0.2</v>
      </c>
      <c r="O29" t="s">
        <v>102</v>
      </c>
      <c r="P29" s="25"/>
      <c r="Q29" s="52"/>
      <c r="R29" s="52">
        <v>0.2</v>
      </c>
    </row>
    <row r="30" spans="1:22" hidden="1" x14ac:dyDescent="0.2">
      <c r="A30" s="13" t="s">
        <v>71</v>
      </c>
      <c r="B30" s="14" t="s">
        <v>72</v>
      </c>
      <c r="C30" s="15">
        <f>'[19]Team Report'!BA29</f>
        <v>0</v>
      </c>
      <c r="E30" s="15">
        <f t="shared" ref="E30:E37" si="4">(C30/9)*12</f>
        <v>0</v>
      </c>
      <c r="F30" s="15"/>
      <c r="P30" s="25"/>
      <c r="Q30" s="25"/>
    </row>
    <row r="31" spans="1:22" hidden="1" x14ac:dyDescent="0.2">
      <c r="A31" s="13" t="s">
        <v>73</v>
      </c>
      <c r="B31" s="14" t="s">
        <v>74</v>
      </c>
      <c r="C31" s="15">
        <f>'[19]Team Report'!BA30</f>
        <v>0</v>
      </c>
      <c r="E31" s="15">
        <f t="shared" si="4"/>
        <v>0</v>
      </c>
      <c r="F31" s="15"/>
      <c r="M31" s="25">
        <f>M27*1.2</f>
        <v>5207040</v>
      </c>
      <c r="P31" s="25"/>
      <c r="Q31" s="25"/>
      <c r="R31" s="25">
        <f>R27*1.2</f>
        <v>740160</v>
      </c>
    </row>
    <row r="32" spans="1:22" hidden="1" x14ac:dyDescent="0.2">
      <c r="A32" s="13" t="s">
        <v>75</v>
      </c>
      <c r="B32" s="14" t="s">
        <v>76</v>
      </c>
      <c r="C32" s="15">
        <f>'[19]Team Report'!BA31</f>
        <v>0</v>
      </c>
      <c r="E32" s="15">
        <f t="shared" si="4"/>
        <v>0</v>
      </c>
      <c r="F32" s="15"/>
      <c r="P32" s="25"/>
      <c r="Q32" s="25"/>
    </row>
    <row r="33" spans="1:16" hidden="1" x14ac:dyDescent="0.2">
      <c r="A33" s="13" t="s">
        <v>77</v>
      </c>
      <c r="B33" s="14" t="s">
        <v>78</v>
      </c>
      <c r="C33" s="15">
        <f>'[19]Team Report'!BA39</f>
        <v>0</v>
      </c>
      <c r="E33" s="15">
        <f t="shared" si="4"/>
        <v>0</v>
      </c>
      <c r="F33" s="15"/>
      <c r="J33" s="33" t="s">
        <v>56</v>
      </c>
      <c r="N33" s="25"/>
    </row>
    <row r="34" spans="1:16" ht="13.5" hidden="1" thickBot="1" x14ac:dyDescent="0.25">
      <c r="A34" s="13" t="s">
        <v>79</v>
      </c>
      <c r="B34" s="14" t="s">
        <v>80</v>
      </c>
      <c r="C34" s="15">
        <f>'[19]Team Report'!BA40</f>
        <v>24670.390000000003</v>
      </c>
      <c r="E34" s="15">
        <f t="shared" si="4"/>
        <v>32893.85333333334</v>
      </c>
      <c r="F34" s="15"/>
      <c r="J34" s="147" t="s">
        <v>105</v>
      </c>
      <c r="K34" s="147"/>
      <c r="L34" s="147"/>
      <c r="M34" s="147"/>
      <c r="N34" s="25"/>
    </row>
    <row r="35" spans="1:16" hidden="1" x14ac:dyDescent="0.2">
      <c r="A35" s="13" t="s">
        <v>81</v>
      </c>
      <c r="B35" s="14" t="s">
        <v>82</v>
      </c>
      <c r="C35" s="15">
        <f>'[19]Team Report'!BA41</f>
        <v>481045.43000000005</v>
      </c>
      <c r="E35" s="15">
        <f t="shared" si="4"/>
        <v>641393.90666666673</v>
      </c>
      <c r="F35" s="15"/>
      <c r="J35" s="34" t="s">
        <v>57</v>
      </c>
      <c r="L35" s="35" t="s">
        <v>58</v>
      </c>
      <c r="M35" s="35" t="s">
        <v>59</v>
      </c>
      <c r="N35" s="35" t="s">
        <v>2</v>
      </c>
      <c r="O35" s="35" t="s">
        <v>60</v>
      </c>
    </row>
    <row r="36" spans="1:16" hidden="1" x14ac:dyDescent="0.2">
      <c r="A36" s="13" t="s">
        <v>83</v>
      </c>
      <c r="B36" s="14" t="s">
        <v>84</v>
      </c>
      <c r="C36" s="15">
        <f>'[19]Team Report'!BA43</f>
        <v>-771915.88</v>
      </c>
      <c r="E36" s="15">
        <f t="shared" si="4"/>
        <v>-1029221.1733333333</v>
      </c>
      <c r="F36" s="15"/>
      <c r="J36" s="36">
        <f>SUM(E11:E20)</f>
        <v>599795.4</v>
      </c>
      <c r="L36" s="56">
        <f>E28</f>
        <v>103</v>
      </c>
      <c r="M36" s="37">
        <f>+J36/L36</f>
        <v>5823.2563106796115</v>
      </c>
      <c r="N36" s="56">
        <v>46</v>
      </c>
      <c r="O36" s="37">
        <f>+M36*N36+500000+571398</f>
        <v>1339267.7902912621</v>
      </c>
      <c r="P36" t="s">
        <v>109</v>
      </c>
    </row>
    <row r="37" spans="1:16" hidden="1" x14ac:dyDescent="0.2">
      <c r="A37" s="13" t="s">
        <v>85</v>
      </c>
      <c r="B37" s="14" t="s">
        <v>86</v>
      </c>
      <c r="C37" s="15">
        <f>'[19]Team Report'!BA45</f>
        <v>0</v>
      </c>
      <c r="E37" s="15">
        <f t="shared" si="4"/>
        <v>0</v>
      </c>
      <c r="F37" s="15"/>
      <c r="P37" t="s">
        <v>110</v>
      </c>
    </row>
    <row r="38" spans="1:16" x14ac:dyDescent="0.2">
      <c r="A38" s="13"/>
      <c r="B38" s="14"/>
      <c r="C38" s="15"/>
      <c r="E38" s="15"/>
      <c r="F38" s="15"/>
      <c r="P38" t="s">
        <v>111</v>
      </c>
    </row>
    <row r="39" spans="1:16" x14ac:dyDescent="0.2">
      <c r="A39" s="13"/>
      <c r="B39" s="14"/>
      <c r="C39" s="15"/>
      <c r="E39" s="15"/>
      <c r="F39" s="15"/>
      <c r="P39" t="s">
        <v>112</v>
      </c>
    </row>
    <row r="40" spans="1:16" ht="13.5" thickBot="1" x14ac:dyDescent="0.25">
      <c r="A40" s="13"/>
      <c r="B40" s="14"/>
      <c r="C40" s="15"/>
      <c r="E40" s="15"/>
      <c r="F40" s="15"/>
      <c r="J40" s="147" t="s">
        <v>106</v>
      </c>
      <c r="K40" s="147"/>
      <c r="L40" s="147"/>
      <c r="M40" s="147"/>
      <c r="N40" s="25"/>
      <c r="P40" t="s">
        <v>113</v>
      </c>
    </row>
    <row r="41" spans="1:16" x14ac:dyDescent="0.2">
      <c r="J41" s="34" t="s">
        <v>57</v>
      </c>
      <c r="L41" s="35" t="s">
        <v>58</v>
      </c>
      <c r="M41" s="35" t="s">
        <v>59</v>
      </c>
      <c r="N41" s="35" t="s">
        <v>2</v>
      </c>
      <c r="O41" s="35" t="s">
        <v>60</v>
      </c>
    </row>
    <row r="42" spans="1:16" x14ac:dyDescent="0.2">
      <c r="J42" s="36">
        <f>SUM(E11:E20)</f>
        <v>599795.4</v>
      </c>
      <c r="L42" s="56">
        <v>103</v>
      </c>
      <c r="M42" s="37">
        <f>+J42/L42</f>
        <v>5823.2563106796115</v>
      </c>
      <c r="N42" s="56">
        <v>7</v>
      </c>
      <c r="O42" s="37">
        <f>+M42*N42+300000</f>
        <v>340762.79417475726</v>
      </c>
      <c r="P42" t="s">
        <v>114</v>
      </c>
    </row>
    <row r="43" spans="1:16" x14ac:dyDescent="0.2">
      <c r="P43" t="s">
        <v>115</v>
      </c>
    </row>
    <row r="45" spans="1:16" x14ac:dyDescent="0.2">
      <c r="C45" s="54">
        <f>C22+C30+C31+C32+C33+C34+C35+C36+C37</f>
        <v>6380656.0699999994</v>
      </c>
    </row>
  </sheetData>
  <mergeCells count="7">
    <mergeCell ref="J40:M40"/>
    <mergeCell ref="O4:R4"/>
    <mergeCell ref="J4:M4"/>
    <mergeCell ref="B1:H1"/>
    <mergeCell ref="B2:H2"/>
    <mergeCell ref="B3:H3"/>
    <mergeCell ref="J34:M34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R45"/>
  <sheetViews>
    <sheetView topLeftCell="A3" zoomScaleNormal="100" workbookViewId="0">
      <selection activeCell="F8" sqref="F8:F21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5" customWidth="1"/>
    <col min="7" max="7" width="2.28515625" hidden="1" customWidth="1"/>
    <col min="8" max="8" width="9.140625" hidden="1" customWidth="1"/>
    <col min="9" max="9" width="10.8554687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10.28515625" hidden="1" customWidth="1"/>
    <col min="15" max="15" width="12.85546875" hidden="1" customWidth="1"/>
    <col min="16" max="16" width="8.7109375" hidden="1" customWidth="1"/>
    <col min="17" max="17" width="8.85546875" hidden="1" customWidth="1"/>
    <col min="18" max="18" width="10.28515625" hidden="1" customWidth="1"/>
    <col min="19" max="23" width="9.140625" hidden="1" customWidth="1"/>
    <col min="24" max="56" width="0" hidden="1" customWidth="1"/>
  </cols>
  <sheetData>
    <row r="1" spans="1:44" ht="18" x14ac:dyDescent="0.25">
      <c r="B1" s="142" t="str">
        <f>'[19]Team Report'!B1</f>
        <v>Enron North America</v>
      </c>
      <c r="C1" s="142"/>
      <c r="D1" s="142"/>
      <c r="E1" s="142"/>
      <c r="F1" s="142"/>
      <c r="G1" s="142"/>
      <c r="H1" s="142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2" t="s">
        <v>106</v>
      </c>
      <c r="C2" s="142"/>
      <c r="D2" s="142"/>
      <c r="E2" s="142"/>
      <c r="F2" s="142"/>
      <c r="G2" s="142"/>
      <c r="H2" s="142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43" t="s">
        <v>0</v>
      </c>
      <c r="C3" s="149"/>
      <c r="D3" s="149"/>
      <c r="E3" s="149"/>
      <c r="F3" s="149"/>
      <c r="G3" s="149"/>
      <c r="H3" s="149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>
      <c r="J4" s="147" t="s">
        <v>105</v>
      </c>
      <c r="K4" s="147"/>
      <c r="L4" s="147"/>
      <c r="M4" s="147"/>
      <c r="O4" s="147" t="s">
        <v>106</v>
      </c>
      <c r="P4" s="147"/>
      <c r="Q4" s="147"/>
      <c r="R4" s="147"/>
    </row>
    <row r="5" spans="1:44" x14ac:dyDescent="0.2">
      <c r="J5" s="4"/>
      <c r="K5" s="40"/>
      <c r="L5" s="40"/>
      <c r="M5" s="41"/>
      <c r="N5" s="8"/>
      <c r="O5" s="4"/>
      <c r="P5" s="40"/>
      <c r="Q5" s="40"/>
      <c r="R5" s="41"/>
    </row>
    <row r="6" spans="1:44" x14ac:dyDescent="0.2">
      <c r="C6" s="10">
        <v>37135</v>
      </c>
      <c r="E6" s="44" t="s">
        <v>61</v>
      </c>
      <c r="F6" s="44" t="s">
        <v>63</v>
      </c>
      <c r="H6" s="10" t="s">
        <v>4</v>
      </c>
      <c r="J6" s="7"/>
      <c r="K6" s="19" t="s">
        <v>1</v>
      </c>
      <c r="L6" s="19" t="s">
        <v>2</v>
      </c>
      <c r="M6" s="74" t="s">
        <v>107</v>
      </c>
      <c r="N6" s="8"/>
      <c r="O6" s="7"/>
      <c r="P6" s="19" t="s">
        <v>1</v>
      </c>
      <c r="Q6" s="19" t="s">
        <v>2</v>
      </c>
      <c r="R6" s="74" t="s">
        <v>107</v>
      </c>
      <c r="V6" s="44" t="s">
        <v>63</v>
      </c>
    </row>
    <row r="7" spans="1:44" x14ac:dyDescent="0.2">
      <c r="C7" s="12" t="s">
        <v>5</v>
      </c>
      <c r="E7" s="12" t="s">
        <v>6</v>
      </c>
      <c r="F7" s="12" t="s">
        <v>7</v>
      </c>
      <c r="H7" s="12" t="s">
        <v>8</v>
      </c>
      <c r="J7" s="7"/>
      <c r="K7" s="17"/>
      <c r="L7" s="17"/>
      <c r="M7" s="43"/>
      <c r="N7" s="8"/>
      <c r="O7" s="7"/>
      <c r="P7" s="17"/>
      <c r="Q7" s="17"/>
      <c r="R7" s="43"/>
      <c r="V7" s="12" t="s">
        <v>7</v>
      </c>
    </row>
    <row r="8" spans="1:44" x14ac:dyDescent="0.2">
      <c r="A8" s="13" t="s">
        <v>9</v>
      </c>
      <c r="B8" s="14" t="s">
        <v>10</v>
      </c>
      <c r="C8" s="53">
        <f>'[19]Team Report'!BA25</f>
        <v>4985502.2300000004</v>
      </c>
      <c r="E8" s="15">
        <f>M27</f>
        <v>4252800</v>
      </c>
      <c r="F8" s="140">
        <f>((R16+R17+R18+R22+R23+R24)*1.2)*0.917</f>
        <v>603459.36</v>
      </c>
      <c r="J8" s="7"/>
      <c r="K8" s="17"/>
      <c r="L8" s="17"/>
      <c r="M8" s="43"/>
      <c r="N8" s="8"/>
      <c r="O8" s="7"/>
      <c r="P8" s="17"/>
      <c r="Q8" s="17"/>
      <c r="R8" s="43"/>
      <c r="V8" s="15">
        <f t="shared" ref="V8:V21" si="0">+F8/$F$28*$V$28</f>
        <v>100576.56</v>
      </c>
    </row>
    <row r="9" spans="1:44" x14ac:dyDescent="0.2">
      <c r="A9" s="13"/>
      <c r="B9" s="14" t="s">
        <v>122</v>
      </c>
      <c r="C9" s="15">
        <v>0</v>
      </c>
      <c r="E9" s="15">
        <f>(C9/9)*12</f>
        <v>0</v>
      </c>
      <c r="F9" s="140">
        <v>0</v>
      </c>
      <c r="J9" s="7"/>
      <c r="K9" s="17"/>
      <c r="L9" s="17"/>
      <c r="M9" s="43"/>
      <c r="N9" s="8"/>
      <c r="O9" s="7"/>
      <c r="P9" s="17"/>
      <c r="Q9" s="17"/>
      <c r="R9" s="43"/>
      <c r="V9" s="15">
        <f t="shared" si="0"/>
        <v>0</v>
      </c>
    </row>
    <row r="10" spans="1:44" x14ac:dyDescent="0.2">
      <c r="A10" s="13" t="s">
        <v>13</v>
      </c>
      <c r="B10" s="14" t="s">
        <v>14</v>
      </c>
      <c r="C10" s="15">
        <f>'[19]Team Report'!BA26</f>
        <v>1210281.1100000001</v>
      </c>
      <c r="E10" s="15">
        <f>M31</f>
        <v>5103360</v>
      </c>
      <c r="F10" s="140">
        <f>(((F8+F9)*0.2)*1.2)*0.917</f>
        <v>132809.3359488</v>
      </c>
      <c r="H10">
        <v>1.2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22134.889324799999</v>
      </c>
    </row>
    <row r="11" spans="1:44" x14ac:dyDescent="0.2">
      <c r="A11" s="13" t="s">
        <v>16</v>
      </c>
      <c r="B11" s="14" t="s">
        <v>17</v>
      </c>
      <c r="C11" s="15">
        <f>'[19]Team Report'!BA27</f>
        <v>190029.97</v>
      </c>
      <c r="E11" s="15">
        <f t="shared" ref="E11:E21" si="1">(C11/9)*12</f>
        <v>253373.29333333333</v>
      </c>
      <c r="F11" s="140">
        <f>(((E11/$E$28*7)+7477+46)*1.2)*0.917</f>
        <v>27226.695645514563</v>
      </c>
      <c r="J11" s="7" t="s">
        <v>15</v>
      </c>
      <c r="K11" s="17">
        <f>(E11+E12+E13+E14+E15+E16+E17+E18+E19+E20+22)/E28</f>
        <v>5823.4699029126214</v>
      </c>
      <c r="L11" s="17">
        <f>L27</f>
        <v>46</v>
      </c>
      <c r="M11" s="43">
        <f>K11*L11+600000+704684</f>
        <v>1572563.6155339805</v>
      </c>
      <c r="N11" s="8"/>
      <c r="O11" s="7" t="s">
        <v>15</v>
      </c>
      <c r="P11" s="17">
        <f>K11</f>
        <v>5823.4699029126214</v>
      </c>
      <c r="Q11" s="17">
        <f>Q27</f>
        <v>6</v>
      </c>
      <c r="R11" s="43">
        <f>P11*Q11+360000-3367</f>
        <v>391573.81941747572</v>
      </c>
      <c r="V11" s="15">
        <f t="shared" si="0"/>
        <v>4537.7826075857602</v>
      </c>
    </row>
    <row r="12" spans="1:44" x14ac:dyDescent="0.2">
      <c r="A12" s="13" t="s">
        <v>18</v>
      </c>
      <c r="B12" s="14" t="s">
        <v>19</v>
      </c>
      <c r="C12" s="15">
        <f>'[19]Team Report'!BA28</f>
        <v>78390.58</v>
      </c>
      <c r="E12" s="15">
        <f t="shared" si="1"/>
        <v>104520.77333333333</v>
      </c>
      <c r="F12" s="140">
        <f>(((E12/$E$28*7)+6000)*1.2)*0.917</f>
        <v>14418.930221669903</v>
      </c>
      <c r="J12" s="7"/>
      <c r="K12" s="17"/>
      <c r="L12" s="17"/>
      <c r="M12" s="43"/>
      <c r="N12" s="8"/>
      <c r="O12" s="7"/>
      <c r="P12" s="17"/>
      <c r="Q12" s="17"/>
      <c r="R12" s="43"/>
      <c r="V12" s="15">
        <f t="shared" si="0"/>
        <v>2403.1550369449837</v>
      </c>
    </row>
    <row r="13" spans="1:44" ht="13.5" thickBot="1" x14ac:dyDescent="0.25">
      <c r="A13" s="13" t="s">
        <v>21</v>
      </c>
      <c r="B13" s="14" t="s">
        <v>22</v>
      </c>
      <c r="C13" s="15">
        <v>0</v>
      </c>
      <c r="E13" s="15">
        <f t="shared" si="1"/>
        <v>0</v>
      </c>
      <c r="F13" s="140">
        <v>363132</v>
      </c>
      <c r="J13" s="22" t="s">
        <v>20</v>
      </c>
      <c r="K13" s="47"/>
      <c r="L13" s="47"/>
      <c r="M13" s="48">
        <f>SUM(M9:M11)</f>
        <v>1572563.6155339805</v>
      </c>
      <c r="N13" s="8"/>
      <c r="O13" s="22" t="s">
        <v>20</v>
      </c>
      <c r="P13" s="47"/>
      <c r="Q13" s="47"/>
      <c r="R13" s="48">
        <f>SUM(R9:R11)</f>
        <v>391573.81941747572</v>
      </c>
      <c r="V13" s="15">
        <f t="shared" si="0"/>
        <v>60522</v>
      </c>
    </row>
    <row r="14" spans="1:44" x14ac:dyDescent="0.2">
      <c r="A14" s="13" t="s">
        <v>23</v>
      </c>
      <c r="B14" s="14" t="s">
        <v>24</v>
      </c>
      <c r="C14" s="15">
        <f>'[19]Team Report'!BA33</f>
        <v>69921.63</v>
      </c>
      <c r="E14" s="15">
        <f t="shared" si="1"/>
        <v>93228.840000000011</v>
      </c>
      <c r="F14" s="140">
        <f>(((E14/$E$28*7)+2000)*1.2)*0.917</f>
        <v>9172.8690170097088</v>
      </c>
      <c r="J14" s="8"/>
      <c r="K14" s="17"/>
      <c r="L14" s="17"/>
      <c r="M14" s="17"/>
      <c r="N14" s="8"/>
      <c r="V14" s="15">
        <f t="shared" si="0"/>
        <v>1528.8115028349514</v>
      </c>
    </row>
    <row r="15" spans="1:44" x14ac:dyDescent="0.2">
      <c r="A15" s="13" t="s">
        <v>25</v>
      </c>
      <c r="B15" s="14" t="s">
        <v>26</v>
      </c>
      <c r="C15" s="15">
        <f>'[19]Team Report'!BA34</f>
        <v>0</v>
      </c>
      <c r="E15" s="15">
        <f t="shared" si="1"/>
        <v>0</v>
      </c>
      <c r="F15" s="140">
        <f>((E15/$E$28*7)*1.2)*0.917</f>
        <v>0</v>
      </c>
      <c r="I15" s="49"/>
      <c r="J15" s="8"/>
      <c r="K15" s="17"/>
      <c r="L15" s="17"/>
      <c r="M15" s="17">
        <f>N15-F22</f>
        <v>515473.17948793829</v>
      </c>
      <c r="N15" s="75">
        <f>M13+R13</f>
        <v>1964137.4349514563</v>
      </c>
      <c r="V15" s="15">
        <f t="shared" si="0"/>
        <v>0</v>
      </c>
    </row>
    <row r="16" spans="1:44" x14ac:dyDescent="0.2">
      <c r="A16" s="13" t="s">
        <v>28</v>
      </c>
      <c r="B16" s="14" t="s">
        <v>29</v>
      </c>
      <c r="C16" s="15">
        <f>'[19]Team Report'!BA35</f>
        <v>0</v>
      </c>
      <c r="E16" s="15">
        <f t="shared" si="1"/>
        <v>0</v>
      </c>
      <c r="F16" s="140">
        <f>((E16/$E$28*7)*1.2)*0.917</f>
        <v>0</v>
      </c>
      <c r="J16" s="8" t="s">
        <v>27</v>
      </c>
      <c r="K16" s="17">
        <f>(30000*1.2)</f>
        <v>36000</v>
      </c>
      <c r="L16">
        <v>0</v>
      </c>
      <c r="M16" s="17">
        <f t="shared" ref="M16:M26" si="2">K16*L16</f>
        <v>0</v>
      </c>
      <c r="O16" s="8" t="s">
        <v>27</v>
      </c>
      <c r="P16" s="17">
        <f>(30000*1.2)</f>
        <v>36000</v>
      </c>
      <c r="Q16" s="8">
        <v>0</v>
      </c>
      <c r="R16" s="49">
        <f t="shared" ref="R16:R26" si="3">P16*Q16</f>
        <v>0</v>
      </c>
      <c r="V16" s="15">
        <f t="shared" si="0"/>
        <v>0</v>
      </c>
    </row>
    <row r="17" spans="1:22" x14ac:dyDescent="0.2">
      <c r="A17" s="13" t="s">
        <v>31</v>
      </c>
      <c r="B17" s="14" t="s">
        <v>32</v>
      </c>
      <c r="C17" s="15">
        <f>'[19]Team Report'!BA36</f>
        <v>19039.670000000002</v>
      </c>
      <c r="E17" s="15">
        <f t="shared" si="1"/>
        <v>25386.226666666669</v>
      </c>
      <c r="F17" s="140">
        <f>(((E17/$E$28*7)+2000)*1.2)*0.917</f>
        <v>4099.2954055145638</v>
      </c>
      <c r="J17" t="s">
        <v>93</v>
      </c>
      <c r="K17" s="17">
        <f>(40000*1.2)*1.2</f>
        <v>57600</v>
      </c>
      <c r="L17">
        <v>3</v>
      </c>
      <c r="M17" s="17">
        <f t="shared" si="2"/>
        <v>172800</v>
      </c>
      <c r="O17" t="s">
        <v>93</v>
      </c>
      <c r="P17" s="17">
        <f>(40000*1.2)*1.2</f>
        <v>57600</v>
      </c>
      <c r="Q17">
        <v>2</v>
      </c>
      <c r="R17" s="49">
        <f t="shared" si="3"/>
        <v>115200</v>
      </c>
      <c r="V17" s="15">
        <f t="shared" si="0"/>
        <v>683.215900919094</v>
      </c>
    </row>
    <row r="18" spans="1:22" x14ac:dyDescent="0.2">
      <c r="A18" s="13" t="s">
        <v>34</v>
      </c>
      <c r="B18" s="14" t="s">
        <v>35</v>
      </c>
      <c r="C18" s="15">
        <f>'[19]Team Report'!BA37</f>
        <v>17422.019999999997</v>
      </c>
      <c r="E18" s="15">
        <f t="shared" si="1"/>
        <v>23229.359999999997</v>
      </c>
      <c r="F18" s="140">
        <f>(((E18/$E$28*7)+7000)*1.2)*0.917</f>
        <v>9439.9952835728163</v>
      </c>
      <c r="J18" t="s">
        <v>33</v>
      </c>
      <c r="K18" s="17">
        <v>49200</v>
      </c>
      <c r="L18">
        <v>1</v>
      </c>
      <c r="M18" s="17">
        <f t="shared" si="2"/>
        <v>49200</v>
      </c>
      <c r="O18" t="s">
        <v>33</v>
      </c>
      <c r="P18" s="17">
        <v>49200</v>
      </c>
      <c r="Q18">
        <v>1</v>
      </c>
      <c r="R18" s="49">
        <f t="shared" si="3"/>
        <v>49200</v>
      </c>
      <c r="V18" s="15">
        <f t="shared" si="0"/>
        <v>1573.3325472621361</v>
      </c>
    </row>
    <row r="19" spans="1:22" x14ac:dyDescent="0.2">
      <c r="A19" s="13" t="s">
        <v>37</v>
      </c>
      <c r="B19" s="14" t="s">
        <v>38</v>
      </c>
      <c r="C19" s="15">
        <f>'[19]Team Report'!BA38</f>
        <v>0</v>
      </c>
      <c r="E19" s="15">
        <f t="shared" si="1"/>
        <v>0</v>
      </c>
      <c r="F19" s="140">
        <f>((E19/$E$28*46)*1.2)*0.917</f>
        <v>0</v>
      </c>
      <c r="J19" t="s">
        <v>94</v>
      </c>
      <c r="K19" s="17">
        <v>57600</v>
      </c>
      <c r="L19">
        <v>3</v>
      </c>
      <c r="M19" s="17">
        <f t="shared" si="2"/>
        <v>172800</v>
      </c>
      <c r="O19" t="s">
        <v>94</v>
      </c>
      <c r="P19" s="17">
        <v>57600</v>
      </c>
      <c r="Q19">
        <v>0</v>
      </c>
      <c r="R19" s="49">
        <f t="shared" si="3"/>
        <v>0</v>
      </c>
      <c r="V19" s="15">
        <f t="shared" si="0"/>
        <v>0</v>
      </c>
    </row>
    <row r="20" spans="1:22" x14ac:dyDescent="0.2">
      <c r="A20" s="13" t="s">
        <v>40</v>
      </c>
      <c r="B20" s="14" t="s">
        <v>41</v>
      </c>
      <c r="C20" s="15">
        <f>'[19]Team Report'!BA42</f>
        <v>75042.680000000008</v>
      </c>
      <c r="E20" s="15">
        <f t="shared" si="1"/>
        <v>100056.90666666668</v>
      </c>
      <c r="F20" s="140">
        <f>(((E20/$E$28*7)+2000+250000)*1.2)*0.917</f>
        <v>284783.50233662134</v>
      </c>
      <c r="J20" t="s">
        <v>36</v>
      </c>
      <c r="K20" s="17">
        <v>62400</v>
      </c>
      <c r="L20">
        <v>12</v>
      </c>
      <c r="M20" s="17">
        <f t="shared" si="2"/>
        <v>748800</v>
      </c>
      <c r="O20" t="s">
        <v>36</v>
      </c>
      <c r="P20" s="17">
        <v>62400</v>
      </c>
      <c r="Q20">
        <v>0</v>
      </c>
      <c r="R20" s="49">
        <f t="shared" si="3"/>
        <v>0</v>
      </c>
      <c r="V20" s="15">
        <f t="shared" si="0"/>
        <v>47463.917056103557</v>
      </c>
    </row>
    <row r="21" spans="1:22" x14ac:dyDescent="0.2">
      <c r="A21" s="13" t="s">
        <v>43</v>
      </c>
      <c r="B21" s="14" t="s">
        <v>44</v>
      </c>
      <c r="C21" s="15">
        <f>'[19]Team Report'!BA44</f>
        <v>1226.24</v>
      </c>
      <c r="E21" s="15">
        <f t="shared" si="1"/>
        <v>1634.9866666666667</v>
      </c>
      <c r="F21" s="140">
        <f>((E21/$E$28*7)*1.2)*0.917</f>
        <v>122.27160481553399</v>
      </c>
      <c r="J21" t="s">
        <v>108</v>
      </c>
      <c r="K21" s="17">
        <v>74400</v>
      </c>
      <c r="L21">
        <v>8</v>
      </c>
      <c r="M21" s="17">
        <f t="shared" si="2"/>
        <v>595200</v>
      </c>
      <c r="O21" t="s">
        <v>108</v>
      </c>
      <c r="P21" s="17">
        <v>74400</v>
      </c>
      <c r="Q21">
        <v>0</v>
      </c>
      <c r="R21" s="49">
        <f t="shared" si="3"/>
        <v>0</v>
      </c>
      <c r="V21" s="15">
        <f t="shared" si="0"/>
        <v>20.378600802588998</v>
      </c>
    </row>
    <row r="22" spans="1:22" ht="13.5" thickBot="1" x14ac:dyDescent="0.25">
      <c r="A22" s="26" t="s">
        <v>46</v>
      </c>
      <c r="B22" s="27" t="s">
        <v>47</v>
      </c>
      <c r="C22" s="28">
        <f>SUM(C8:C21)</f>
        <v>6646856.1299999999</v>
      </c>
      <c r="E22" s="31">
        <f>SUM(E8:E21)</f>
        <v>9957590.3866666649</v>
      </c>
      <c r="F22" s="31">
        <f>SUM(F8:F21)</f>
        <v>1448664.255463518</v>
      </c>
      <c r="J22" t="s">
        <v>96</v>
      </c>
      <c r="K22" s="17">
        <v>90000</v>
      </c>
      <c r="L22">
        <v>10</v>
      </c>
      <c r="M22" s="17">
        <f t="shared" si="2"/>
        <v>900000</v>
      </c>
      <c r="O22" t="s">
        <v>96</v>
      </c>
      <c r="P22" s="17">
        <v>90000</v>
      </c>
      <c r="Q22">
        <v>1</v>
      </c>
      <c r="R22" s="49">
        <f t="shared" si="3"/>
        <v>90000</v>
      </c>
      <c r="V22" s="58">
        <f>SUM(V8:V21)</f>
        <v>241444.04257725304</v>
      </c>
    </row>
    <row r="23" spans="1:22" x14ac:dyDescent="0.2">
      <c r="J23" t="s">
        <v>97</v>
      </c>
      <c r="K23" s="17">
        <v>120000</v>
      </c>
      <c r="L23">
        <v>4</v>
      </c>
      <c r="M23" s="17">
        <f t="shared" si="2"/>
        <v>480000</v>
      </c>
      <c r="O23" t="s">
        <v>97</v>
      </c>
      <c r="P23" s="17">
        <v>120000</v>
      </c>
      <c r="Q23">
        <v>1</v>
      </c>
      <c r="R23" s="49">
        <f t="shared" si="3"/>
        <v>120000</v>
      </c>
    </row>
    <row r="24" spans="1:22" x14ac:dyDescent="0.2">
      <c r="B24" s="27" t="s">
        <v>50</v>
      </c>
      <c r="C24" s="55"/>
      <c r="E24" s="55">
        <v>99</v>
      </c>
      <c r="F24" s="55">
        <f>+Q27</f>
        <v>6</v>
      </c>
      <c r="J24" t="s">
        <v>98</v>
      </c>
      <c r="K24" s="17">
        <v>174000</v>
      </c>
      <c r="L24">
        <v>1</v>
      </c>
      <c r="M24" s="17">
        <f t="shared" si="2"/>
        <v>174000</v>
      </c>
      <c r="O24" t="s">
        <v>98</v>
      </c>
      <c r="P24" s="17">
        <v>174000</v>
      </c>
      <c r="Q24">
        <v>1</v>
      </c>
      <c r="R24" s="49">
        <f t="shared" si="3"/>
        <v>174000</v>
      </c>
      <c r="V24" s="31">
        <f>SUM(AB15:AB19,AB22:AB26)</f>
        <v>0</v>
      </c>
    </row>
    <row r="25" spans="1:22" x14ac:dyDescent="0.2">
      <c r="J25" t="s">
        <v>99</v>
      </c>
      <c r="K25" s="17">
        <v>216000</v>
      </c>
      <c r="L25">
        <v>3</v>
      </c>
      <c r="M25" s="17">
        <f t="shared" si="2"/>
        <v>648000</v>
      </c>
      <c r="O25" t="s">
        <v>99</v>
      </c>
      <c r="P25" s="17">
        <v>216000</v>
      </c>
      <c r="Q25">
        <v>0</v>
      </c>
      <c r="R25" s="49">
        <f t="shared" si="3"/>
        <v>0</v>
      </c>
      <c r="V25" s="15"/>
    </row>
    <row r="26" spans="1:22" x14ac:dyDescent="0.2">
      <c r="B26" s="27" t="s">
        <v>67</v>
      </c>
      <c r="C26" s="55"/>
      <c r="E26" s="55">
        <v>4</v>
      </c>
      <c r="F26" s="55">
        <v>0</v>
      </c>
      <c r="J26" t="s">
        <v>100</v>
      </c>
      <c r="K26" s="17">
        <v>312000</v>
      </c>
      <c r="L26">
        <v>1</v>
      </c>
      <c r="M26" s="17">
        <f t="shared" si="2"/>
        <v>312000</v>
      </c>
      <c r="O26" t="s">
        <v>100</v>
      </c>
      <c r="P26" s="17">
        <v>312000</v>
      </c>
      <c r="Q26">
        <v>0</v>
      </c>
      <c r="R26" s="49">
        <f t="shared" si="3"/>
        <v>0</v>
      </c>
      <c r="V26" s="31">
        <f>SUM(AB20:AB21)</f>
        <v>0</v>
      </c>
    </row>
    <row r="27" spans="1:22" x14ac:dyDescent="0.2">
      <c r="L27" s="25">
        <f>SUM(L16:L26)</f>
        <v>46</v>
      </c>
      <c r="M27" s="25">
        <f>SUM(M16:M26)</f>
        <v>4252800</v>
      </c>
      <c r="P27" s="25"/>
      <c r="Q27">
        <f>SUM(Q16:Q26)</f>
        <v>6</v>
      </c>
      <c r="R27" s="49">
        <f>SUM(R16:R26)</f>
        <v>548400</v>
      </c>
    </row>
    <row r="28" spans="1:22" x14ac:dyDescent="0.2">
      <c r="B28" s="27" t="s">
        <v>55</v>
      </c>
      <c r="C28" s="55"/>
      <c r="E28" s="55">
        <f>SUM(E24:E27)</f>
        <v>103</v>
      </c>
      <c r="F28" s="55">
        <f>SUM(F24:F26)</f>
        <v>6</v>
      </c>
      <c r="P28" s="25"/>
      <c r="Q28" s="25"/>
      <c r="V28" s="31">
        <v>1</v>
      </c>
    </row>
    <row r="29" spans="1:22" x14ac:dyDescent="0.2">
      <c r="B29" s="27"/>
      <c r="J29" t="s">
        <v>102</v>
      </c>
      <c r="L29" s="52"/>
      <c r="M29" s="52">
        <v>0.2</v>
      </c>
      <c r="O29" t="s">
        <v>102</v>
      </c>
      <c r="P29" s="25"/>
      <c r="Q29" s="52"/>
      <c r="R29" s="52">
        <v>0.2</v>
      </c>
    </row>
    <row r="30" spans="1:22" hidden="1" x14ac:dyDescent="0.2">
      <c r="A30" s="13" t="s">
        <v>71</v>
      </c>
      <c r="B30" s="14" t="s">
        <v>72</v>
      </c>
      <c r="C30" s="15">
        <f>'[19]Team Report'!BA29</f>
        <v>0</v>
      </c>
      <c r="E30" s="15">
        <f t="shared" ref="E30:E37" si="4">(C30/9)*12</f>
        <v>0</v>
      </c>
      <c r="F30" s="15"/>
      <c r="P30" s="25"/>
      <c r="Q30" s="25"/>
    </row>
    <row r="31" spans="1:22" hidden="1" x14ac:dyDescent="0.2">
      <c r="A31" s="13" t="s">
        <v>73</v>
      </c>
      <c r="B31" s="14" t="s">
        <v>74</v>
      </c>
      <c r="C31" s="15">
        <f>'[19]Team Report'!BA30</f>
        <v>0</v>
      </c>
      <c r="E31" s="15">
        <f t="shared" si="4"/>
        <v>0</v>
      </c>
      <c r="F31" s="15"/>
      <c r="M31" s="25">
        <f>M27*1.2</f>
        <v>5103360</v>
      </c>
      <c r="P31" s="25"/>
      <c r="Q31" s="25"/>
      <c r="R31" s="25">
        <f>R27*1.2</f>
        <v>658080</v>
      </c>
    </row>
    <row r="32" spans="1:22" hidden="1" x14ac:dyDescent="0.2">
      <c r="A32" s="13" t="s">
        <v>75</v>
      </c>
      <c r="B32" s="14" t="s">
        <v>76</v>
      </c>
      <c r="C32" s="15">
        <f>'[19]Team Report'!BA31</f>
        <v>0</v>
      </c>
      <c r="E32" s="15">
        <f t="shared" si="4"/>
        <v>0</v>
      </c>
      <c r="F32" s="15"/>
      <c r="P32" s="25"/>
      <c r="Q32" s="25"/>
    </row>
    <row r="33" spans="1:16" hidden="1" x14ac:dyDescent="0.2">
      <c r="A33" s="13" t="s">
        <v>77</v>
      </c>
      <c r="B33" s="14" t="s">
        <v>78</v>
      </c>
      <c r="C33" s="15">
        <f>'[19]Team Report'!BA39</f>
        <v>0</v>
      </c>
      <c r="E33" s="15">
        <f t="shared" si="4"/>
        <v>0</v>
      </c>
      <c r="F33" s="15"/>
      <c r="J33" s="33" t="s">
        <v>56</v>
      </c>
      <c r="N33" s="25"/>
    </row>
    <row r="34" spans="1:16" ht="13.5" hidden="1" thickBot="1" x14ac:dyDescent="0.25">
      <c r="A34" s="13" t="s">
        <v>79</v>
      </c>
      <c r="B34" s="14" t="s">
        <v>80</v>
      </c>
      <c r="C34" s="15">
        <f>'[19]Team Report'!BA40</f>
        <v>24670.390000000003</v>
      </c>
      <c r="E34" s="15">
        <f t="shared" si="4"/>
        <v>32893.85333333334</v>
      </c>
      <c r="F34" s="15"/>
      <c r="J34" s="147" t="s">
        <v>105</v>
      </c>
      <c r="K34" s="147"/>
      <c r="L34" s="147"/>
      <c r="M34" s="147"/>
      <c r="N34" s="25"/>
    </row>
    <row r="35" spans="1:16" hidden="1" x14ac:dyDescent="0.2">
      <c r="A35" s="13" t="s">
        <v>81</v>
      </c>
      <c r="B35" s="14" t="s">
        <v>82</v>
      </c>
      <c r="C35" s="15">
        <f>'[19]Team Report'!BA41</f>
        <v>481045.43000000005</v>
      </c>
      <c r="E35" s="15">
        <f t="shared" si="4"/>
        <v>641393.90666666673</v>
      </c>
      <c r="F35" s="15"/>
      <c r="J35" s="34" t="s">
        <v>57</v>
      </c>
      <c r="L35" s="35" t="s">
        <v>58</v>
      </c>
      <c r="M35" s="35" t="s">
        <v>59</v>
      </c>
      <c r="N35" s="35" t="s">
        <v>2</v>
      </c>
      <c r="O35" s="35" t="s">
        <v>60</v>
      </c>
    </row>
    <row r="36" spans="1:16" hidden="1" x14ac:dyDescent="0.2">
      <c r="A36" s="13" t="s">
        <v>83</v>
      </c>
      <c r="B36" s="14" t="s">
        <v>84</v>
      </c>
      <c r="C36" s="15">
        <f>'[19]Team Report'!BA43</f>
        <v>-771915.88</v>
      </c>
      <c r="E36" s="15">
        <f t="shared" si="4"/>
        <v>-1029221.1733333333</v>
      </c>
      <c r="F36" s="15"/>
      <c r="J36" s="36">
        <f>SUM(E11:E20)</f>
        <v>599795.4</v>
      </c>
      <c r="L36" s="56">
        <f>E28</f>
        <v>103</v>
      </c>
      <c r="M36" s="37">
        <f>+J36/L36</f>
        <v>5823.2563106796115</v>
      </c>
      <c r="N36" s="56">
        <v>46</v>
      </c>
      <c r="O36" s="37">
        <f>+M36*N36+500000+571398</f>
        <v>1339267.7902912621</v>
      </c>
      <c r="P36" t="s">
        <v>109</v>
      </c>
    </row>
    <row r="37" spans="1:16" hidden="1" x14ac:dyDescent="0.2">
      <c r="A37" s="13" t="s">
        <v>85</v>
      </c>
      <c r="B37" s="14" t="s">
        <v>86</v>
      </c>
      <c r="C37" s="15">
        <f>'[19]Team Report'!BA45</f>
        <v>0</v>
      </c>
      <c r="E37" s="15">
        <f t="shared" si="4"/>
        <v>0</v>
      </c>
      <c r="F37" s="15"/>
      <c r="P37" t="s">
        <v>110</v>
      </c>
    </row>
    <row r="38" spans="1:16" x14ac:dyDescent="0.2">
      <c r="A38" s="13"/>
      <c r="B38" s="14"/>
      <c r="C38" s="15"/>
      <c r="E38" s="15"/>
      <c r="F38" s="15"/>
      <c r="P38" t="s">
        <v>111</v>
      </c>
    </row>
    <row r="39" spans="1:16" x14ac:dyDescent="0.2">
      <c r="A39" s="13"/>
      <c r="B39" s="14"/>
      <c r="C39" s="15"/>
      <c r="E39" s="15"/>
      <c r="F39" s="15"/>
      <c r="P39" t="s">
        <v>112</v>
      </c>
    </row>
    <row r="40" spans="1:16" ht="13.5" thickBot="1" x14ac:dyDescent="0.25">
      <c r="A40" s="13"/>
      <c r="B40" s="14"/>
      <c r="C40" s="15"/>
      <c r="E40" s="15"/>
      <c r="F40" s="15"/>
      <c r="J40" s="147" t="s">
        <v>106</v>
      </c>
      <c r="K40" s="147"/>
      <c r="L40" s="147"/>
      <c r="M40" s="147"/>
      <c r="N40" s="25"/>
      <c r="P40" t="s">
        <v>113</v>
      </c>
    </row>
    <row r="41" spans="1:16" x14ac:dyDescent="0.2">
      <c r="J41" s="34" t="s">
        <v>57</v>
      </c>
      <c r="L41" s="35" t="s">
        <v>58</v>
      </c>
      <c r="M41" s="35" t="s">
        <v>59</v>
      </c>
      <c r="N41" s="35" t="s">
        <v>2</v>
      </c>
      <c r="O41" s="35" t="s">
        <v>60</v>
      </c>
    </row>
    <row r="42" spans="1:16" x14ac:dyDescent="0.2">
      <c r="J42" s="36">
        <f>SUM(E11:E20)</f>
        <v>599795.4</v>
      </c>
      <c r="L42" s="56">
        <v>103</v>
      </c>
      <c r="M42" s="37">
        <f>+J42/L42</f>
        <v>5823.2563106796115</v>
      </c>
      <c r="N42" s="56">
        <v>7</v>
      </c>
      <c r="O42" s="37">
        <f>+M42*N42+300000</f>
        <v>340762.79417475726</v>
      </c>
      <c r="P42" t="s">
        <v>114</v>
      </c>
    </row>
    <row r="43" spans="1:16" x14ac:dyDescent="0.2">
      <c r="P43" t="s">
        <v>115</v>
      </c>
    </row>
    <row r="45" spans="1:16" x14ac:dyDescent="0.2">
      <c r="C45" s="54">
        <f>C22+C30+C31+C32+C33+C34+C35+C36+C37</f>
        <v>6380656.0699999994</v>
      </c>
    </row>
  </sheetData>
  <mergeCells count="7">
    <mergeCell ref="J40:M40"/>
    <mergeCell ref="O4:R4"/>
    <mergeCell ref="J4:M4"/>
    <mergeCell ref="B1:H1"/>
    <mergeCell ref="B2:H2"/>
    <mergeCell ref="B3:H3"/>
    <mergeCell ref="J34:M34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BA41"/>
  <sheetViews>
    <sheetView zoomScaleNormal="100" workbookViewId="0">
      <selection activeCell="F8" sqref="F8:F21"/>
    </sheetView>
  </sheetViews>
  <sheetFormatPr defaultRowHeight="12.75" x14ac:dyDescent="0.2"/>
  <cols>
    <col min="2" max="2" width="23.42578125" customWidth="1"/>
    <col min="3" max="3" width="1.85546875" hidden="1" customWidth="1"/>
    <col min="4" max="4" width="2.5703125" customWidth="1"/>
    <col min="5" max="5" width="13.85546875" hidden="1" customWidth="1"/>
    <col min="6" max="6" width="15.140625" customWidth="1"/>
    <col min="7" max="7" width="4.5703125" hidden="1" customWidth="1"/>
    <col min="8" max="8" width="4" hidden="1" customWidth="1"/>
    <col min="9" max="9" width="14.140625" hidden="1" customWidth="1"/>
    <col min="10" max="10" width="14.28515625" hidden="1" customWidth="1"/>
    <col min="11" max="11" width="10.42578125" hidden="1" customWidth="1"/>
    <col min="12" max="12" width="11.28515625" style="25" hidden="1" customWidth="1"/>
    <col min="13" max="13" width="1.42578125" hidden="1" customWidth="1"/>
    <col min="14" max="14" width="10.28515625" hidden="1" customWidth="1"/>
    <col min="15" max="15" width="2.5703125" hidden="1" customWidth="1"/>
    <col min="16" max="16" width="13.85546875" hidden="1" customWidth="1"/>
    <col min="17" max="53" width="9.140625" hidden="1" customWidth="1"/>
  </cols>
  <sheetData>
    <row r="1" spans="1:45" ht="18" x14ac:dyDescent="0.25">
      <c r="B1" s="142" t="str">
        <f>'[20]Team Report'!B1</f>
        <v>Enron North America</v>
      </c>
      <c r="C1" s="142"/>
      <c r="D1" s="142"/>
      <c r="E1" s="142"/>
      <c r="F1" s="142"/>
      <c r="G1" s="1"/>
      <c r="H1" s="1"/>
      <c r="I1" s="1"/>
      <c r="J1" s="1"/>
      <c r="K1" s="1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2" t="str">
        <f>'[20]Pull Sheet'!E9</f>
        <v>Tax</v>
      </c>
      <c r="C2" s="142"/>
      <c r="D2" s="142"/>
      <c r="E2" s="142"/>
      <c r="F2" s="142"/>
      <c r="G2" s="1"/>
      <c r="H2" s="1"/>
      <c r="I2" s="1"/>
      <c r="J2" s="1"/>
      <c r="K2" s="1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49" t="s">
        <v>0</v>
      </c>
      <c r="C3" s="149"/>
      <c r="D3" s="149"/>
      <c r="E3" s="149"/>
      <c r="F3" s="149"/>
      <c r="G3" s="3"/>
      <c r="H3" s="3"/>
      <c r="I3" s="3"/>
      <c r="J3" s="3"/>
      <c r="K3" s="3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62"/>
      <c r="K4" s="63"/>
      <c r="L4" s="64"/>
      <c r="M4" s="63"/>
      <c r="N4" s="63"/>
      <c r="O4" s="63"/>
      <c r="P4" s="65"/>
    </row>
    <row r="5" spans="1:45" x14ac:dyDescent="0.2">
      <c r="J5" s="66"/>
      <c r="K5" s="8"/>
      <c r="L5" s="17"/>
      <c r="M5" s="8"/>
      <c r="N5" s="8"/>
      <c r="O5" s="8"/>
      <c r="P5" s="67"/>
    </row>
    <row r="6" spans="1:45" x14ac:dyDescent="0.2">
      <c r="C6" s="10">
        <v>37135</v>
      </c>
      <c r="E6" s="44" t="s">
        <v>61</v>
      </c>
      <c r="F6" s="44" t="s">
        <v>63</v>
      </c>
      <c r="J6" s="66"/>
      <c r="K6" s="8"/>
      <c r="L6" s="17" t="s">
        <v>1</v>
      </c>
      <c r="M6" s="8"/>
      <c r="N6" s="8" t="s">
        <v>2</v>
      </c>
      <c r="O6" s="8"/>
      <c r="P6" s="67" t="s">
        <v>92</v>
      </c>
      <c r="Q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33"/>
      <c r="J7" s="68"/>
      <c r="K7" s="17"/>
      <c r="L7" s="17"/>
      <c r="M7" s="17"/>
      <c r="N7" s="17"/>
      <c r="O7" s="17"/>
      <c r="P7" s="69"/>
      <c r="Q7" s="12" t="s">
        <v>7</v>
      </c>
    </row>
    <row r="8" spans="1:45" x14ac:dyDescent="0.2">
      <c r="A8" s="13" t="s">
        <v>9</v>
      </c>
      <c r="B8" s="14" t="s">
        <v>10</v>
      </c>
      <c r="C8" s="15">
        <f>'[20]Team Report'!BA25</f>
        <v>1971599.0200000003</v>
      </c>
      <c r="E8" s="21">
        <f>((C8/9)*12)*1.2</f>
        <v>3154558.4320000005</v>
      </c>
      <c r="F8" s="140">
        <f>((L22+L23+45000)*1.2)*0.917</f>
        <v>808794</v>
      </c>
      <c r="J8" s="66" t="s">
        <v>10</v>
      </c>
      <c r="K8" s="17"/>
      <c r="L8" s="17">
        <v>0</v>
      </c>
      <c r="M8" s="17"/>
      <c r="N8" s="17">
        <v>4</v>
      </c>
      <c r="O8" s="17"/>
      <c r="P8" s="69">
        <f>L30</f>
        <v>828000</v>
      </c>
      <c r="Q8" s="21">
        <f t="shared" ref="Q8:Q21" si="0">+F8/$F$28*$Q$28</f>
        <v>161758.79999999999</v>
      </c>
    </row>
    <row r="9" spans="1:45" x14ac:dyDescent="0.2">
      <c r="B9" s="14" t="s">
        <v>12</v>
      </c>
      <c r="C9" s="15">
        <v>0</v>
      </c>
      <c r="E9" s="21">
        <f>((C9/9)*12)*1.2</f>
        <v>0</v>
      </c>
      <c r="F9" s="140">
        <v>0</v>
      </c>
      <c r="J9" s="66" t="s">
        <v>15</v>
      </c>
      <c r="K9" s="17"/>
      <c r="L9" s="17">
        <f>+(E11+E12+E13+E14+E15+E16+E17+E18+E19+E20+E21)/E28</f>
        <v>16010.891654320989</v>
      </c>
      <c r="M9" s="17"/>
      <c r="N9" s="17">
        <v>4</v>
      </c>
      <c r="O9" s="17"/>
      <c r="P9" s="69">
        <f>L9*N9+67934+22</f>
        <v>131999.56661728397</v>
      </c>
      <c r="Q9" s="21">
        <f t="shared" si="0"/>
        <v>0</v>
      </c>
    </row>
    <row r="10" spans="1:45" x14ac:dyDescent="0.2">
      <c r="A10" s="13" t="s">
        <v>13</v>
      </c>
      <c r="B10" s="14" t="s">
        <v>14</v>
      </c>
      <c r="C10" s="15">
        <f>'[20]Team Report'!BA26</f>
        <v>441478.66999999993</v>
      </c>
      <c r="E10" s="21">
        <f>((C10/9)*12)*1.2</f>
        <v>706365.87199999986</v>
      </c>
      <c r="F10" s="140">
        <f>((F8*0.2)*1.2)*0.917</f>
        <v>177999.38352000003</v>
      </c>
      <c r="J10" s="66"/>
      <c r="K10" s="17"/>
      <c r="L10" s="17"/>
      <c r="M10" s="17"/>
      <c r="N10" s="17"/>
      <c r="O10" s="17"/>
      <c r="P10" s="69"/>
      <c r="Q10" s="21">
        <f t="shared" si="0"/>
        <v>35599.876704000009</v>
      </c>
    </row>
    <row r="11" spans="1:45" x14ac:dyDescent="0.2">
      <c r="A11" s="13" t="s">
        <v>16</v>
      </c>
      <c r="B11" s="14" t="s">
        <v>17</v>
      </c>
      <c r="C11" s="15">
        <f>'[20]Team Report'!BA27</f>
        <v>93416.53</v>
      </c>
      <c r="E11" s="21">
        <f>((C11/9)*12)*1.6</f>
        <v>199288.59733333334</v>
      </c>
      <c r="F11" s="140">
        <f>(((E11/$E$24*$N$8)+20000)*1.2)*0.917</f>
        <v>54496.470000829628</v>
      </c>
      <c r="J11" s="66"/>
      <c r="K11" s="17"/>
      <c r="L11" s="17"/>
      <c r="M11" s="17"/>
      <c r="N11" s="17"/>
      <c r="O11" s="17"/>
      <c r="P11" s="69">
        <f>SUM(P8:P9)</f>
        <v>959999.56661728397</v>
      </c>
      <c r="Q11" s="21">
        <f t="shared" si="0"/>
        <v>10899.294000165926</v>
      </c>
    </row>
    <row r="12" spans="1:45" x14ac:dyDescent="0.2">
      <c r="A12" s="13" t="s">
        <v>18</v>
      </c>
      <c r="B12" s="14" t="s">
        <v>19</v>
      </c>
      <c r="C12" s="15">
        <f>'[20]Team Report'!BA28</f>
        <v>59005.25</v>
      </c>
      <c r="E12" s="21">
        <f>((C12/9)*12)*1.4</f>
        <v>110143.13333333332</v>
      </c>
      <c r="F12" s="140">
        <f>(((E12/$E$24*$N$8)+10000)*1.2)*0.917</f>
        <v>28959.778358518517</v>
      </c>
      <c r="J12" s="70"/>
      <c r="K12" s="71"/>
      <c r="L12" s="71"/>
      <c r="M12" s="71"/>
      <c r="N12" s="71"/>
      <c r="O12" s="71"/>
      <c r="P12" s="72"/>
      <c r="Q12" s="21">
        <f t="shared" si="0"/>
        <v>5791.955671703703</v>
      </c>
    </row>
    <row r="13" spans="1:45" x14ac:dyDescent="0.2">
      <c r="A13" s="13" t="s">
        <v>21</v>
      </c>
      <c r="B13" s="14" t="s">
        <v>22</v>
      </c>
      <c r="C13" s="15">
        <f>'[20]Team Report'!BA32-C38</f>
        <v>0.47000000003026798</v>
      </c>
      <c r="E13" s="21">
        <f>((C13/9)*12)*1.2</f>
        <v>0.75200000004842871</v>
      </c>
      <c r="F13" s="140">
        <f>((E13/$E$24*$N$8)*1.2)*0.917</f>
        <v>0.12259271111900608</v>
      </c>
      <c r="I13" s="49">
        <f>P11-F22</f>
        <v>-172046.14000837528</v>
      </c>
      <c r="Q13" s="21">
        <f t="shared" si="0"/>
        <v>2.4518542223801214E-2</v>
      </c>
    </row>
    <row r="14" spans="1:45" x14ac:dyDescent="0.2">
      <c r="A14" s="13" t="s">
        <v>23</v>
      </c>
      <c r="B14" s="14" t="s">
        <v>24</v>
      </c>
      <c r="C14" s="15">
        <f>'[20]Team Report'!BA33</f>
        <v>23102.660000000003</v>
      </c>
      <c r="E14" s="21">
        <f>((C14/9)*12)*1.6</f>
        <v>49285.674666666673</v>
      </c>
      <c r="F14" s="140">
        <f>(((E14/$E$24*$N$8)+12000)*1.2)*0.917</f>
        <v>21239.460207881482</v>
      </c>
      <c r="Q14" s="21">
        <f t="shared" si="0"/>
        <v>4247.8920415762968</v>
      </c>
    </row>
    <row r="15" spans="1:45" x14ac:dyDescent="0.2">
      <c r="A15" s="13" t="s">
        <v>25</v>
      </c>
      <c r="B15" s="14" t="s">
        <v>26</v>
      </c>
      <c r="C15" s="15">
        <f>'[20]Team Report'!BA34</f>
        <v>0</v>
      </c>
      <c r="E15" s="21">
        <f>((C15/9)*12)*1.2</f>
        <v>0</v>
      </c>
      <c r="F15" s="140">
        <f>((E15/$E$24*$N$8)*1.2)*0.917</f>
        <v>0</v>
      </c>
      <c r="J15" s="8" t="s">
        <v>27</v>
      </c>
      <c r="K15" s="17">
        <v>30000</v>
      </c>
      <c r="L15" s="17">
        <f t="shared" ref="L15:L25" si="1">I15*K15</f>
        <v>0</v>
      </c>
      <c r="Q15" s="21">
        <f t="shared" si="0"/>
        <v>0</v>
      </c>
    </row>
    <row r="16" spans="1:45" x14ac:dyDescent="0.2">
      <c r="A16" s="13" t="s">
        <v>28</v>
      </c>
      <c r="B16" s="14" t="s">
        <v>29</v>
      </c>
      <c r="C16" s="15">
        <f>'[20]Team Report'!BA35</f>
        <v>0</v>
      </c>
      <c r="E16" s="21">
        <f>((C16/9)*12)*1.2</f>
        <v>0</v>
      </c>
      <c r="F16" s="140">
        <f>((E16/$E$24*$N$8)*1.2)*0.917</f>
        <v>0</v>
      </c>
      <c r="J16" t="s">
        <v>93</v>
      </c>
      <c r="K16" s="25">
        <v>40000</v>
      </c>
      <c r="L16" s="17">
        <f t="shared" si="1"/>
        <v>0</v>
      </c>
      <c r="Q16" s="21">
        <f t="shared" si="0"/>
        <v>0</v>
      </c>
    </row>
    <row r="17" spans="1:17" x14ac:dyDescent="0.2">
      <c r="A17" s="13" t="s">
        <v>31</v>
      </c>
      <c r="B17" s="14" t="s">
        <v>32</v>
      </c>
      <c r="C17" s="15">
        <f>'[20]Team Report'!BA36</f>
        <v>0</v>
      </c>
      <c r="E17" s="21">
        <f>((C17/9)*12)*1.2</f>
        <v>0</v>
      </c>
      <c r="F17" s="140">
        <f>((E17/$E$24*$N$8)*1.2)*0.917</f>
        <v>0</v>
      </c>
      <c r="J17" t="s">
        <v>33</v>
      </c>
      <c r="K17" s="25">
        <v>41000</v>
      </c>
      <c r="L17" s="17">
        <f t="shared" si="1"/>
        <v>0</v>
      </c>
      <c r="Q17" s="21">
        <f t="shared" si="0"/>
        <v>0</v>
      </c>
    </row>
    <row r="18" spans="1:17" x14ac:dyDescent="0.2">
      <c r="A18" s="13" t="s">
        <v>34</v>
      </c>
      <c r="B18" s="14" t="s">
        <v>35</v>
      </c>
      <c r="C18" s="15">
        <f>'[20]Team Report'!BA37</f>
        <v>13879.95</v>
      </c>
      <c r="E18" s="21">
        <f>((C18/9)*12)*1.6</f>
        <v>29610.559999999998</v>
      </c>
      <c r="F18" s="140">
        <f>(((E18/$E$24*$N$8)+15000)*1.2)*0.917</f>
        <v>21333.179292444445</v>
      </c>
      <c r="J18" t="s">
        <v>94</v>
      </c>
      <c r="K18" s="25">
        <v>48000</v>
      </c>
      <c r="L18" s="17">
        <f t="shared" si="1"/>
        <v>0</v>
      </c>
      <c r="Q18" s="21">
        <f t="shared" si="0"/>
        <v>4266.6358584888894</v>
      </c>
    </row>
    <row r="19" spans="1:17" x14ac:dyDescent="0.2">
      <c r="A19" s="13" t="s">
        <v>37</v>
      </c>
      <c r="B19" s="14" t="s">
        <v>38</v>
      </c>
      <c r="C19" s="15">
        <f>'[20]Team Report'!BA38</f>
        <v>0</v>
      </c>
      <c r="E19" s="21">
        <f>((C19/9)*12)*1.2</f>
        <v>0</v>
      </c>
      <c r="F19" s="140">
        <f>((E19/$E$24*$N$8)*1.2)*0.917</f>
        <v>0</v>
      </c>
      <c r="J19" t="s">
        <v>36</v>
      </c>
      <c r="K19" s="25">
        <v>52000</v>
      </c>
      <c r="L19" s="17">
        <f t="shared" si="1"/>
        <v>0</v>
      </c>
      <c r="Q19" s="21">
        <f t="shared" si="0"/>
        <v>0</v>
      </c>
    </row>
    <row r="20" spans="1:17" x14ac:dyDescent="0.2">
      <c r="A20" s="13" t="s">
        <v>40</v>
      </c>
      <c r="B20" s="14" t="s">
        <v>41</v>
      </c>
      <c r="C20" s="15">
        <f>'[20]Team Report'!BA42</f>
        <v>23120.5</v>
      </c>
      <c r="E20" s="21">
        <f>((C20/9)*12)*1.4</f>
        <v>43158.266666666663</v>
      </c>
      <c r="F20" s="140">
        <f>(((E20/$E$24*$N$8)+10956)*1.2)*0.917</f>
        <v>19091.738939259256</v>
      </c>
      <c r="J20" t="s">
        <v>95</v>
      </c>
      <c r="K20" s="25">
        <v>62000</v>
      </c>
      <c r="L20" s="17">
        <f t="shared" si="1"/>
        <v>0</v>
      </c>
      <c r="Q20" s="21">
        <f t="shared" si="0"/>
        <v>3818.3477878518511</v>
      </c>
    </row>
    <row r="21" spans="1:17" x14ac:dyDescent="0.2">
      <c r="A21" s="13" t="s">
        <v>43</v>
      </c>
      <c r="B21" s="14" t="s">
        <v>44</v>
      </c>
      <c r="C21" s="15">
        <f>'[20]Team Report'!BA44</f>
        <v>432.37</v>
      </c>
      <c r="E21" s="21">
        <f>((C21/9)*12)*1.4</f>
        <v>807.09066666666661</v>
      </c>
      <c r="F21" s="140">
        <f>((E21/$E$24*$N$8)*1.2)*0.917</f>
        <v>131.57371401481481</v>
      </c>
      <c r="J21" t="s">
        <v>96</v>
      </c>
      <c r="K21" s="25">
        <v>75000</v>
      </c>
      <c r="L21" s="17">
        <f t="shared" si="1"/>
        <v>0</v>
      </c>
      <c r="Q21" s="21">
        <f t="shared" si="0"/>
        <v>26.314742802962961</v>
      </c>
    </row>
    <row r="22" spans="1:17" x14ac:dyDescent="0.2">
      <c r="A22" s="26" t="s">
        <v>46</v>
      </c>
      <c r="B22" s="27" t="s">
        <v>47</v>
      </c>
      <c r="C22" s="28">
        <f>SUM(C8:C21)</f>
        <v>2626035.4200000009</v>
      </c>
      <c r="E22" s="73">
        <f>SUM(E8:E21)</f>
        <v>4293218.3786666663</v>
      </c>
      <c r="F22" s="73">
        <f>SUM(F8:F21)</f>
        <v>1132045.7066256593</v>
      </c>
      <c r="I22">
        <v>1</v>
      </c>
      <c r="J22" t="s">
        <v>97</v>
      </c>
      <c r="K22" s="25">
        <f>125000*1.2</f>
        <v>150000</v>
      </c>
      <c r="L22" s="17">
        <f t="shared" si="1"/>
        <v>150000</v>
      </c>
      <c r="Q22" s="73">
        <f>SUM(Q8:Q21)</f>
        <v>226409.14132513182</v>
      </c>
    </row>
    <row r="23" spans="1:17" x14ac:dyDescent="0.2">
      <c r="I23">
        <v>3</v>
      </c>
      <c r="J23" t="s">
        <v>98</v>
      </c>
      <c r="K23" s="25">
        <f>150000*1.2</f>
        <v>180000</v>
      </c>
      <c r="L23" s="17">
        <f t="shared" si="1"/>
        <v>540000</v>
      </c>
    </row>
    <row r="24" spans="1:17" x14ac:dyDescent="0.2">
      <c r="B24" s="27" t="s">
        <v>50</v>
      </c>
      <c r="C24" s="15"/>
      <c r="E24" s="31">
        <v>27</v>
      </c>
      <c r="F24" s="31">
        <v>5</v>
      </c>
      <c r="J24" t="s">
        <v>99</v>
      </c>
      <c r="K24" s="25">
        <v>180000</v>
      </c>
      <c r="L24" s="17">
        <f t="shared" si="1"/>
        <v>0</v>
      </c>
      <c r="Q24" s="31">
        <v>1</v>
      </c>
    </row>
    <row r="25" spans="1:17" x14ac:dyDescent="0.2">
      <c r="C25" s="15"/>
      <c r="E25" s="15"/>
      <c r="F25" s="15"/>
      <c r="J25" t="s">
        <v>100</v>
      </c>
      <c r="K25" s="25">
        <v>260000</v>
      </c>
      <c r="L25" s="17">
        <f t="shared" si="1"/>
        <v>0</v>
      </c>
      <c r="Q25" s="15"/>
    </row>
    <row r="26" spans="1:17" x14ac:dyDescent="0.2">
      <c r="B26" s="27" t="s">
        <v>101</v>
      </c>
      <c r="C26" s="15"/>
      <c r="E26" s="31">
        <v>0</v>
      </c>
      <c r="F26" s="31"/>
      <c r="K26" s="25"/>
      <c r="L26" s="25">
        <f>SUM(L15:L25)</f>
        <v>690000</v>
      </c>
      <c r="Q26" s="31"/>
    </row>
    <row r="27" spans="1:17" x14ac:dyDescent="0.2">
      <c r="K27" s="25"/>
    </row>
    <row r="28" spans="1:17" x14ac:dyDescent="0.2">
      <c r="B28" s="27" t="s">
        <v>55</v>
      </c>
      <c r="C28" s="15"/>
      <c r="E28" s="31">
        <f>+E26+E24</f>
        <v>27</v>
      </c>
      <c r="F28" s="31">
        <f>SUM(F24:F26)</f>
        <v>5</v>
      </c>
      <c r="G28" s="32"/>
      <c r="H28" s="25"/>
      <c r="J28" t="s">
        <v>102</v>
      </c>
      <c r="K28" s="25"/>
      <c r="L28" s="52">
        <v>0.2</v>
      </c>
      <c r="Q28" s="31">
        <f>SUM(Q24:Q26)</f>
        <v>1</v>
      </c>
    </row>
    <row r="30" spans="1:17" hidden="1" x14ac:dyDescent="0.2">
      <c r="A30" s="13" t="s">
        <v>71</v>
      </c>
      <c r="B30" s="14" t="s">
        <v>72</v>
      </c>
      <c r="C30" s="15">
        <f>'[20]Team Report'!BA29</f>
        <v>0</v>
      </c>
      <c r="E30" s="15">
        <f t="shared" ref="E30:E37" si="2">(C30/9)*12</f>
        <v>0</v>
      </c>
      <c r="F30" s="15"/>
      <c r="L30" s="25">
        <f>L26*1.2</f>
        <v>828000</v>
      </c>
    </row>
    <row r="31" spans="1:17" hidden="1" x14ac:dyDescent="0.2">
      <c r="A31" s="13" t="s">
        <v>73</v>
      </c>
      <c r="B31" s="14" t="s">
        <v>74</v>
      </c>
      <c r="C31" s="15">
        <f>'[20]Team Report'!BA30</f>
        <v>-3920.75</v>
      </c>
      <c r="E31" s="15">
        <f t="shared" si="2"/>
        <v>-5227.666666666667</v>
      </c>
      <c r="F31" s="15"/>
    </row>
    <row r="32" spans="1:17" hidden="1" x14ac:dyDescent="0.2">
      <c r="A32" s="13" t="s">
        <v>75</v>
      </c>
      <c r="B32" s="14" t="s">
        <v>76</v>
      </c>
      <c r="C32" s="15">
        <f>'[20]Team Report'!BA31</f>
        <v>0</v>
      </c>
      <c r="E32" s="15">
        <f t="shared" si="2"/>
        <v>0</v>
      </c>
      <c r="F32" s="15"/>
    </row>
    <row r="33" spans="1:14" hidden="1" x14ac:dyDescent="0.2">
      <c r="A33" s="13" t="s">
        <v>77</v>
      </c>
      <c r="B33" s="14" t="s">
        <v>78</v>
      </c>
      <c r="C33" s="15">
        <f>'[20]Team Report'!BA39</f>
        <v>0</v>
      </c>
      <c r="E33" s="15">
        <f t="shared" si="2"/>
        <v>0</v>
      </c>
      <c r="F33" s="15"/>
    </row>
    <row r="34" spans="1:14" hidden="1" x14ac:dyDescent="0.2">
      <c r="A34" s="13" t="s">
        <v>79</v>
      </c>
      <c r="B34" s="14" t="s">
        <v>80</v>
      </c>
      <c r="C34" s="15">
        <f>'[20]Team Report'!BA40</f>
        <v>37953.1</v>
      </c>
      <c r="E34" s="15">
        <f t="shared" si="2"/>
        <v>50604.133333333331</v>
      </c>
      <c r="F34" s="15"/>
    </row>
    <row r="35" spans="1:14" hidden="1" x14ac:dyDescent="0.2">
      <c r="A35" s="13" t="s">
        <v>81</v>
      </c>
      <c r="B35" s="14" t="s">
        <v>82</v>
      </c>
      <c r="C35" s="15">
        <f>'[20]Team Report'!BA41</f>
        <v>218397.73</v>
      </c>
      <c r="E35" s="15">
        <f t="shared" si="2"/>
        <v>291196.97333333339</v>
      </c>
      <c r="F35" s="15"/>
    </row>
    <row r="36" spans="1:14" hidden="1" x14ac:dyDescent="0.2">
      <c r="A36" s="13" t="s">
        <v>83</v>
      </c>
      <c r="B36" s="14" t="s">
        <v>84</v>
      </c>
      <c r="C36" s="15">
        <f>'[20]Team Report'!BA43</f>
        <v>-1506130.81</v>
      </c>
      <c r="E36" s="15">
        <f t="shared" si="2"/>
        <v>-2008174.4133333333</v>
      </c>
      <c r="F36" s="15"/>
      <c r="I36" s="33" t="s">
        <v>56</v>
      </c>
      <c r="J36" s="25"/>
      <c r="K36" s="25"/>
    </row>
    <row r="37" spans="1:14" hidden="1" x14ac:dyDescent="0.2">
      <c r="A37" s="13" t="s">
        <v>85</v>
      </c>
      <c r="B37" s="14" t="s">
        <v>86</v>
      </c>
      <c r="C37" s="15">
        <f>'[20]Team Report'!BA45</f>
        <v>0</v>
      </c>
      <c r="E37" s="15">
        <f t="shared" si="2"/>
        <v>0</v>
      </c>
      <c r="F37" s="15"/>
      <c r="J37" s="25"/>
      <c r="K37" s="25"/>
    </row>
    <row r="38" spans="1:14" hidden="1" x14ac:dyDescent="0.2">
      <c r="A38" s="13"/>
      <c r="B38" s="14" t="s">
        <v>22</v>
      </c>
      <c r="C38" s="15">
        <v>195340</v>
      </c>
      <c r="E38" s="15"/>
      <c r="F38" s="15"/>
      <c r="I38" s="34" t="s">
        <v>57</v>
      </c>
      <c r="J38" s="35" t="s">
        <v>58</v>
      </c>
      <c r="K38" s="35" t="s">
        <v>59</v>
      </c>
      <c r="L38" s="35" t="s">
        <v>2</v>
      </c>
      <c r="N38" s="35" t="s">
        <v>60</v>
      </c>
    </row>
    <row r="39" spans="1:14" x14ac:dyDescent="0.2">
      <c r="I39" s="36">
        <f>SUM(E11:E21)</f>
        <v>432294.07466666668</v>
      </c>
      <c r="J39" s="56">
        <f>+E28</f>
        <v>27</v>
      </c>
      <c r="K39" s="37">
        <f>+I39/J39</f>
        <v>16010.891654320989</v>
      </c>
      <c r="L39" s="37">
        <f>+N9</f>
        <v>4</v>
      </c>
      <c r="M39" s="37">
        <f>+K39*L39</f>
        <v>64043.566617283956</v>
      </c>
      <c r="N39" s="25">
        <f>+L39*K39</f>
        <v>64043.566617283956</v>
      </c>
    </row>
    <row r="40" spans="1:14" x14ac:dyDescent="0.2">
      <c r="C40" s="54">
        <f>C22+C30+C31+C32+C33+C34+C35+C36+C37+C38</f>
        <v>1567674.6900000009</v>
      </c>
    </row>
    <row r="41" spans="1:14" x14ac:dyDescent="0.2">
      <c r="I41" t="s">
        <v>103</v>
      </c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59"/>
  <sheetViews>
    <sheetView zoomScaleNormal="100" workbookViewId="0">
      <selection activeCell="F8" sqref="F8:F21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2.28515625" customWidth="1"/>
    <col min="7" max="7" width="15.140625" customWidth="1"/>
    <col min="8" max="8" width="13.5703125" hidden="1" customWidth="1"/>
    <col min="9" max="9" width="20.7109375" hidden="1" customWidth="1"/>
    <col min="10" max="10" width="11.85546875" style="25" hidden="1" customWidth="1"/>
    <col min="11" max="11" width="10.85546875" style="25" hidden="1" customWidth="1"/>
    <col min="12" max="12" width="12.28515625" style="25" hidden="1" customWidth="1"/>
    <col min="13" max="13" width="12.140625" hidden="1" customWidth="1"/>
    <col min="14" max="16" width="9.140625" hidden="1" customWidth="1"/>
    <col min="17" max="46" width="0" hidden="1" customWidth="1"/>
  </cols>
  <sheetData>
    <row r="1" spans="1:44" ht="18" x14ac:dyDescent="0.25">
      <c r="B1" s="142" t="str">
        <f>'[23]Team Report'!B1</f>
        <v>Enron North America</v>
      </c>
      <c r="C1" s="142"/>
      <c r="D1" s="142"/>
      <c r="E1" s="142"/>
      <c r="F1" s="142"/>
      <c r="G1" s="142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2" t="s">
        <v>124</v>
      </c>
      <c r="C2" s="142"/>
      <c r="D2" s="142"/>
      <c r="E2" s="142"/>
      <c r="F2" s="142"/>
      <c r="G2" s="142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49" t="s">
        <v>0</v>
      </c>
      <c r="C3" s="149"/>
      <c r="D3" s="149"/>
      <c r="E3" s="149"/>
      <c r="F3" s="149"/>
      <c r="G3" s="149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/>
    <row r="5" spans="1:44" x14ac:dyDescent="0.2">
      <c r="I5" s="4"/>
      <c r="J5" s="40"/>
      <c r="K5" s="40"/>
      <c r="L5" s="41"/>
    </row>
    <row r="6" spans="1:44" x14ac:dyDescent="0.2">
      <c r="C6" s="10">
        <v>37135</v>
      </c>
      <c r="E6" s="44" t="s">
        <v>61</v>
      </c>
      <c r="G6" s="44" t="s">
        <v>63</v>
      </c>
      <c r="I6" s="7"/>
      <c r="J6" s="19" t="s">
        <v>1</v>
      </c>
      <c r="K6" s="19" t="s">
        <v>2</v>
      </c>
      <c r="L6" s="74" t="s">
        <v>107</v>
      </c>
      <c r="O6" s="11">
        <v>2002</v>
      </c>
    </row>
    <row r="7" spans="1:44" x14ac:dyDescent="0.2">
      <c r="C7" s="12" t="s">
        <v>5</v>
      </c>
      <c r="E7" s="12" t="s">
        <v>6</v>
      </c>
      <c r="G7" s="12" t="s">
        <v>7</v>
      </c>
      <c r="I7" s="7"/>
      <c r="J7" s="17"/>
      <c r="K7" s="17"/>
      <c r="L7" s="43"/>
      <c r="O7" s="12" t="s">
        <v>7</v>
      </c>
    </row>
    <row r="8" spans="1:44" x14ac:dyDescent="0.2">
      <c r="A8" s="13" t="s">
        <v>9</v>
      </c>
      <c r="B8" s="14" t="s">
        <v>10</v>
      </c>
      <c r="C8" s="53">
        <f>'[23]Team Report'!BA25</f>
        <v>3696902.5199999996</v>
      </c>
      <c r="E8" s="15">
        <f>(C8/9)*12</f>
        <v>4929203.3599999994</v>
      </c>
      <c r="G8" s="140">
        <f>((L28-G9+212800)*1.2)*0.917</f>
        <v>1562568</v>
      </c>
      <c r="I8" s="7"/>
      <c r="J8" s="17"/>
      <c r="K8" s="17"/>
      <c r="L8" s="43"/>
      <c r="O8" s="15">
        <f t="shared" ref="O8:O21" si="0">+G8/$G$28*$O$28</f>
        <v>111612</v>
      </c>
    </row>
    <row r="9" spans="1:44" x14ac:dyDescent="0.2">
      <c r="A9" s="13"/>
      <c r="B9" s="14" t="s">
        <v>122</v>
      </c>
      <c r="C9" s="15">
        <v>0</v>
      </c>
      <c r="E9" s="15">
        <f>(C9/9)*12</f>
        <v>0</v>
      </c>
      <c r="G9" s="140">
        <v>0</v>
      </c>
      <c r="I9" s="7"/>
      <c r="J9" s="17"/>
      <c r="K9" s="17"/>
      <c r="L9" s="43"/>
      <c r="O9" s="15">
        <f t="shared" si="0"/>
        <v>0</v>
      </c>
    </row>
    <row r="10" spans="1:44" x14ac:dyDescent="0.2">
      <c r="A10" s="13" t="s">
        <v>13</v>
      </c>
      <c r="B10" s="14" t="s">
        <v>14</v>
      </c>
      <c r="C10" s="15">
        <f>'[23]Team Report'!BA26</f>
        <v>823813.24</v>
      </c>
      <c r="E10" s="15">
        <f>(C10/9)*12</f>
        <v>1098417.6533333333</v>
      </c>
      <c r="G10" s="140">
        <f>((L32-L28+141960)*1.2)*0.917</f>
        <v>421893.36000000004</v>
      </c>
      <c r="I10" s="7"/>
      <c r="J10" s="17"/>
      <c r="K10" s="17"/>
      <c r="L10" s="43"/>
      <c r="O10" s="15">
        <f t="shared" si="0"/>
        <v>30135.24</v>
      </c>
    </row>
    <row r="11" spans="1:44" x14ac:dyDescent="0.2">
      <c r="A11" s="13" t="s">
        <v>16</v>
      </c>
      <c r="B11" s="14" t="s">
        <v>17</v>
      </c>
      <c r="C11" s="15">
        <f>'[23]Team Report'!BA27</f>
        <v>-177210.59000000003</v>
      </c>
      <c r="E11" s="20">
        <f>((C11/9)*12+350000)*1.4</f>
        <v>159206.89866666665</v>
      </c>
      <c r="G11" s="140">
        <f>(((E11/$E$28)*$G$28+13466)*1.2)*0.917</f>
        <v>44016.531615466658</v>
      </c>
      <c r="I11" s="7" t="s">
        <v>15</v>
      </c>
      <c r="J11" s="17">
        <f>(E11+E12+E13+E14+E15+E16+E17+E18+E19+E20+E21)/E28</f>
        <v>13598.373873015877</v>
      </c>
      <c r="K11" s="17">
        <v>19</v>
      </c>
      <c r="L11" s="43">
        <f>J11*K11</f>
        <v>258369.10358730165</v>
      </c>
      <c r="O11" s="15">
        <f t="shared" si="0"/>
        <v>3144.0379725333328</v>
      </c>
    </row>
    <row r="12" spans="1:44" x14ac:dyDescent="0.2">
      <c r="A12" s="13" t="s">
        <v>18</v>
      </c>
      <c r="B12" s="14" t="s">
        <v>19</v>
      </c>
      <c r="C12" s="15">
        <f>'[23]Team Report'!BA28</f>
        <v>238343.32</v>
      </c>
      <c r="E12" s="20">
        <f>((C12/9)*12)*1.4</f>
        <v>444907.53066666669</v>
      </c>
      <c r="G12" s="140">
        <f>(((E12/$E$28)*$G$28-19151)*1.2)*0.917</f>
        <v>60522.280724266682</v>
      </c>
      <c r="I12" s="7"/>
      <c r="J12" s="17"/>
      <c r="K12" s="17"/>
      <c r="L12" s="43"/>
      <c r="O12" s="15">
        <f t="shared" si="0"/>
        <v>4323.0200517333342</v>
      </c>
    </row>
    <row r="13" spans="1:44" ht="13.5" thickBot="1" x14ac:dyDescent="0.25">
      <c r="A13" s="13" t="s">
        <v>21</v>
      </c>
      <c r="B13" s="14" t="s">
        <v>22</v>
      </c>
      <c r="C13" s="15">
        <v>0</v>
      </c>
      <c r="E13" s="20">
        <f>(C13/9)*12</f>
        <v>0</v>
      </c>
      <c r="G13" s="140">
        <f>(((E13/$E$28)*$G$28+80000)*1.2)*0.917</f>
        <v>88032</v>
      </c>
      <c r="I13" s="22" t="s">
        <v>20</v>
      </c>
      <c r="J13" s="47"/>
      <c r="K13" s="47"/>
      <c r="L13" s="48">
        <f>SUM(L9:L11)</f>
        <v>258369.10358730165</v>
      </c>
      <c r="N13">
        <v>2206762</v>
      </c>
      <c r="O13" s="15">
        <f t="shared" si="0"/>
        <v>6288</v>
      </c>
      <c r="P13" s="49">
        <f>N13-L13</f>
        <v>1948392.8964126983</v>
      </c>
    </row>
    <row r="14" spans="1:44" x14ac:dyDescent="0.2">
      <c r="A14" s="13" t="s">
        <v>23</v>
      </c>
      <c r="B14" s="14" t="s">
        <v>24</v>
      </c>
      <c r="C14" s="15">
        <f>'[23]Team Report'!BA33</f>
        <v>93641.700000000012</v>
      </c>
      <c r="E14" s="20">
        <f>((C14/9)*12)*1.4</f>
        <v>174797.84000000003</v>
      </c>
      <c r="G14" s="140">
        <f>(((E14/$E$28)*$G$28)*1.2)*0.917</f>
        <v>32057.923856000009</v>
      </c>
      <c r="I14" s="8"/>
      <c r="J14" s="17"/>
      <c r="K14" s="17"/>
      <c r="L14" s="17"/>
      <c r="O14" s="15">
        <f t="shared" si="0"/>
        <v>2289.8517040000006</v>
      </c>
    </row>
    <row r="15" spans="1:44" x14ac:dyDescent="0.2">
      <c r="A15" s="13" t="s">
        <v>25</v>
      </c>
      <c r="B15" s="14" t="s">
        <v>26</v>
      </c>
      <c r="C15" s="15">
        <f>'[23]Team Report'!BA34</f>
        <v>0</v>
      </c>
      <c r="E15" s="20">
        <f>(C15/9)*12</f>
        <v>0</v>
      </c>
      <c r="G15" s="140">
        <f>(((E15/$E$28)*$G$28)*1.2)*0.917</f>
        <v>0</v>
      </c>
      <c r="I15" s="8"/>
      <c r="J15" s="17"/>
      <c r="K15" s="17"/>
      <c r="L15" s="17"/>
      <c r="O15" s="15">
        <f t="shared" si="0"/>
        <v>0</v>
      </c>
    </row>
    <row r="16" spans="1:44" x14ac:dyDescent="0.2">
      <c r="A16" s="13" t="s">
        <v>28</v>
      </c>
      <c r="B16" s="14" t="s">
        <v>29</v>
      </c>
      <c r="C16" s="15">
        <f>'[23]Team Report'!BA35</f>
        <v>0</v>
      </c>
      <c r="E16" s="20">
        <f>(C16/9)*12</f>
        <v>0</v>
      </c>
      <c r="G16" s="140">
        <f>(((E16/$E$28)*$G$28)*1.2)*0.917</f>
        <v>0</v>
      </c>
      <c r="I16" s="8" t="s">
        <v>27</v>
      </c>
      <c r="J16" s="17">
        <v>30000</v>
      </c>
      <c r="K16" s="17">
        <f>H16*J16</f>
        <v>0</v>
      </c>
      <c r="L16" s="17">
        <f t="shared" ref="L16:L27" si="1">J16*K16</f>
        <v>0</v>
      </c>
      <c r="O16" s="15">
        <f t="shared" si="0"/>
        <v>0</v>
      </c>
    </row>
    <row r="17" spans="1:15" x14ac:dyDescent="0.2">
      <c r="A17" s="13" t="s">
        <v>31</v>
      </c>
      <c r="B17" s="14" t="s">
        <v>32</v>
      </c>
      <c r="C17" s="15">
        <f>'[23]Team Report'!BA36</f>
        <v>3626.4</v>
      </c>
      <c r="E17" s="20">
        <f>((C17/9)*12)*1.4</f>
        <v>6769.28</v>
      </c>
      <c r="G17" s="140">
        <f>(((E17/$E$28)*$G$28)*1.2)*0.917</f>
        <v>1241.4859519999998</v>
      </c>
      <c r="I17" t="s">
        <v>93</v>
      </c>
      <c r="J17" s="25">
        <f>40000*1.2</f>
        <v>48000</v>
      </c>
      <c r="K17" s="17">
        <v>1</v>
      </c>
      <c r="L17" s="17">
        <f t="shared" si="1"/>
        <v>48000</v>
      </c>
      <c r="O17" s="15">
        <f t="shared" si="0"/>
        <v>88.67756799999998</v>
      </c>
    </row>
    <row r="18" spans="1:15" x14ac:dyDescent="0.2">
      <c r="A18" s="13" t="s">
        <v>34</v>
      </c>
      <c r="B18" s="14" t="s">
        <v>35</v>
      </c>
      <c r="C18" s="15">
        <f>'[23]Team Report'!BA37</f>
        <v>121524.64000000001</v>
      </c>
      <c r="E18" s="20">
        <f>((C18/9)*12)*1.6+21500</f>
        <v>280752.56533333339</v>
      </c>
      <c r="G18" s="140">
        <f>(((E18/$E$28)*$G$28)*1.2)*0.917</f>
        <v>51490.020482133346</v>
      </c>
      <c r="I18" t="s">
        <v>33</v>
      </c>
      <c r="J18" s="25">
        <v>41000</v>
      </c>
      <c r="K18" s="17">
        <f>H18*J18</f>
        <v>0</v>
      </c>
      <c r="L18" s="17">
        <f t="shared" si="1"/>
        <v>0</v>
      </c>
      <c r="O18" s="15">
        <f t="shared" si="0"/>
        <v>3677.8586058666674</v>
      </c>
    </row>
    <row r="19" spans="1:15" x14ac:dyDescent="0.2">
      <c r="A19" s="13" t="s">
        <v>37</v>
      </c>
      <c r="B19" s="14" t="s">
        <v>38</v>
      </c>
      <c r="C19" s="15">
        <f>'[23]Team Report'!BA38</f>
        <v>1258.2</v>
      </c>
      <c r="E19" s="20">
        <f>((C19/9)*12)*1.2</f>
        <v>2013.1200000000001</v>
      </c>
      <c r="G19" s="140">
        <f>(((E19/$E$28)*$G$28-336)*1.2)*0.917</f>
        <v>-0.52819199999995747</v>
      </c>
      <c r="I19" t="s">
        <v>94</v>
      </c>
      <c r="J19" s="25">
        <f>48000*1.2</f>
        <v>57600</v>
      </c>
      <c r="K19" s="17">
        <v>1</v>
      </c>
      <c r="L19" s="17">
        <f t="shared" si="1"/>
        <v>57600</v>
      </c>
      <c r="O19" s="15">
        <f t="shared" si="0"/>
        <v>-3.7727999999996965E-2</v>
      </c>
    </row>
    <row r="20" spans="1:15" x14ac:dyDescent="0.2">
      <c r="A20" s="13" t="s">
        <v>40</v>
      </c>
      <c r="B20" s="14" t="s">
        <v>41</v>
      </c>
      <c r="C20" s="15">
        <f>'[23]Team Report'!BA42</f>
        <v>33298.459999999992</v>
      </c>
      <c r="E20" s="20">
        <f>((C20/9)*12)*1.6</f>
        <v>71036.714666666652</v>
      </c>
      <c r="G20" s="140">
        <f>(((E20/$E$28)*$G$28+7698)*1.2)*0.917</f>
        <v>21499.012669866665</v>
      </c>
      <c r="I20" t="s">
        <v>45</v>
      </c>
      <c r="J20" s="25">
        <f>60000*1.2</f>
        <v>72000</v>
      </c>
      <c r="K20" s="25">
        <v>2</v>
      </c>
      <c r="L20" s="17">
        <f t="shared" si="1"/>
        <v>144000</v>
      </c>
      <c r="O20" s="15">
        <f t="shared" si="0"/>
        <v>1535.6437621333332</v>
      </c>
    </row>
    <row r="21" spans="1:15" x14ac:dyDescent="0.2">
      <c r="A21" s="13" t="s">
        <v>43</v>
      </c>
      <c r="B21" s="14" t="s">
        <v>44</v>
      </c>
      <c r="C21" s="15">
        <f>'[23]Team Report'!BA44</f>
        <v>1737.16</v>
      </c>
      <c r="E21" s="20">
        <f>((C21/9)*12)*1.2</f>
        <v>2779.4559999999997</v>
      </c>
      <c r="G21" s="140">
        <f>(((E21/$E$28)*$G$28)*1.2)*0.917</f>
        <v>509.75223039999992</v>
      </c>
      <c r="I21" t="s">
        <v>36</v>
      </c>
      <c r="J21" s="25">
        <f>52000*1.2</f>
        <v>62400</v>
      </c>
      <c r="K21" s="17">
        <v>3</v>
      </c>
      <c r="L21" s="17">
        <f t="shared" si="1"/>
        <v>187200</v>
      </c>
      <c r="O21" s="15">
        <f t="shared" si="0"/>
        <v>36.410873599999995</v>
      </c>
    </row>
    <row r="22" spans="1:15" x14ac:dyDescent="0.2">
      <c r="A22" s="26" t="s">
        <v>46</v>
      </c>
      <c r="B22" s="27" t="s">
        <v>47</v>
      </c>
      <c r="C22" s="28">
        <f>SUM(C8:C21)</f>
        <v>4836935.0500000007</v>
      </c>
      <c r="E22" s="28">
        <f>SUM(E8:E21)</f>
        <v>7169884.4186666673</v>
      </c>
      <c r="G22" s="28">
        <f>SUM(G8:G21)</f>
        <v>2283829.8393381336</v>
      </c>
      <c r="I22" t="s">
        <v>95</v>
      </c>
      <c r="J22" s="25">
        <f>62000*1.2</f>
        <v>74400</v>
      </c>
      <c r="K22" s="17">
        <v>1</v>
      </c>
      <c r="L22" s="17">
        <f t="shared" si="1"/>
        <v>74400</v>
      </c>
      <c r="O22" s="28">
        <f>SUM(O8:O21)</f>
        <v>163130.70280986666</v>
      </c>
    </row>
    <row r="23" spans="1:15" x14ac:dyDescent="0.2">
      <c r="I23" t="s">
        <v>96</v>
      </c>
      <c r="J23" s="25">
        <f>75000*1.2</f>
        <v>90000</v>
      </c>
      <c r="K23" s="17">
        <v>4</v>
      </c>
      <c r="L23" s="17">
        <f t="shared" si="1"/>
        <v>360000</v>
      </c>
    </row>
    <row r="24" spans="1:15" x14ac:dyDescent="0.2">
      <c r="B24" s="27" t="s">
        <v>50</v>
      </c>
      <c r="C24" s="55"/>
      <c r="E24" s="55">
        <v>84</v>
      </c>
      <c r="G24" s="79">
        <f>SUM(K16:K18,K21:K27)</f>
        <v>11</v>
      </c>
      <c r="I24" t="s">
        <v>97</v>
      </c>
      <c r="J24" s="25">
        <f>100000*1.2</f>
        <v>120000</v>
      </c>
      <c r="K24" s="17">
        <v>1</v>
      </c>
      <c r="L24" s="17">
        <f t="shared" si="1"/>
        <v>120000</v>
      </c>
      <c r="O24" s="31">
        <f>SUM(U15:U19,U22:U26)</f>
        <v>0</v>
      </c>
    </row>
    <row r="25" spans="1:15" x14ac:dyDescent="0.2">
      <c r="I25" t="s">
        <v>119</v>
      </c>
      <c r="J25" s="25">
        <f>149000*1.2</f>
        <v>178800</v>
      </c>
      <c r="K25" s="17">
        <f>H24*J25</f>
        <v>0</v>
      </c>
      <c r="L25" s="17">
        <f t="shared" si="1"/>
        <v>0</v>
      </c>
      <c r="O25" s="15"/>
    </row>
    <row r="26" spans="1:15" x14ac:dyDescent="0.2">
      <c r="B26" s="27" t="s">
        <v>67</v>
      </c>
      <c r="C26" s="55"/>
      <c r="E26" s="55"/>
      <c r="G26" s="79">
        <f>SUM(K19:K20)</f>
        <v>3</v>
      </c>
      <c r="I26" t="s">
        <v>99</v>
      </c>
      <c r="J26" s="25">
        <f>180000*1.2</f>
        <v>216000</v>
      </c>
      <c r="K26" s="17">
        <v>1</v>
      </c>
      <c r="L26" s="17">
        <f t="shared" si="1"/>
        <v>216000</v>
      </c>
      <c r="O26" s="31">
        <f>+U20+U21</f>
        <v>0</v>
      </c>
    </row>
    <row r="27" spans="1:15" x14ac:dyDescent="0.2">
      <c r="I27" t="s">
        <v>100</v>
      </c>
      <c r="J27" s="25">
        <f>260000*1.2</f>
        <v>312000</v>
      </c>
      <c r="K27" s="17">
        <f>H26*J27</f>
        <v>0</v>
      </c>
      <c r="L27" s="17">
        <f t="shared" si="1"/>
        <v>0</v>
      </c>
    </row>
    <row r="28" spans="1:15" x14ac:dyDescent="0.2">
      <c r="B28" s="27" t="s">
        <v>55</v>
      </c>
      <c r="C28" s="55"/>
      <c r="E28" s="55">
        <f>SUM(E24:E27)</f>
        <v>84</v>
      </c>
      <c r="G28" s="55">
        <f>SUM(G24:G27)</f>
        <v>14</v>
      </c>
      <c r="K28" s="25">
        <f>SUM(K16:K27)</f>
        <v>14</v>
      </c>
      <c r="L28" s="17">
        <f>SUM(L16:L27)</f>
        <v>1207200</v>
      </c>
      <c r="O28" s="31">
        <v>1</v>
      </c>
    </row>
    <row r="29" spans="1:15" x14ac:dyDescent="0.2">
      <c r="B29" s="27"/>
    </row>
    <row r="30" spans="1:15" hidden="1" x14ac:dyDescent="0.2">
      <c r="A30" s="13" t="s">
        <v>71</v>
      </c>
      <c r="B30" s="14" t="s">
        <v>72</v>
      </c>
      <c r="C30" s="15">
        <f>'[23]Team Report'!BA29</f>
        <v>0</v>
      </c>
      <c r="E30" s="15">
        <f t="shared" ref="E30:E37" si="2">(C30/9)*12</f>
        <v>0</v>
      </c>
      <c r="I30" t="s">
        <v>102</v>
      </c>
      <c r="K30" s="52"/>
      <c r="L30" s="52">
        <v>0.2</v>
      </c>
    </row>
    <row r="31" spans="1:15" hidden="1" x14ac:dyDescent="0.2">
      <c r="A31" s="13" t="s">
        <v>73</v>
      </c>
      <c r="B31" s="14" t="s">
        <v>74</v>
      </c>
      <c r="C31" s="15">
        <f>'[23]Team Report'!BA30</f>
        <v>0</v>
      </c>
      <c r="E31" s="15">
        <f t="shared" si="2"/>
        <v>0</v>
      </c>
    </row>
    <row r="32" spans="1:15" hidden="1" x14ac:dyDescent="0.2">
      <c r="A32" s="13" t="s">
        <v>75</v>
      </c>
      <c r="B32" s="14" t="s">
        <v>76</v>
      </c>
      <c r="C32" s="15">
        <f>'[23]Team Report'!BA31</f>
        <v>0</v>
      </c>
      <c r="E32" s="15">
        <f t="shared" si="2"/>
        <v>0</v>
      </c>
      <c r="L32" s="25">
        <f>L28*1.2</f>
        <v>1448640</v>
      </c>
    </row>
    <row r="33" spans="1:12" hidden="1" x14ac:dyDescent="0.2">
      <c r="A33" s="13" t="s">
        <v>77</v>
      </c>
      <c r="B33" s="14" t="s">
        <v>78</v>
      </c>
      <c r="C33" s="15">
        <f>'[23]Team Report'!BA39</f>
        <v>0</v>
      </c>
      <c r="E33" s="15">
        <f t="shared" si="2"/>
        <v>0</v>
      </c>
    </row>
    <row r="34" spans="1:12" hidden="1" x14ac:dyDescent="0.2">
      <c r="A34" s="13" t="s">
        <v>79</v>
      </c>
      <c r="B34" s="14" t="s">
        <v>80</v>
      </c>
      <c r="C34" s="15">
        <f>'[23]Team Report'!BA40</f>
        <v>77797.26999999999</v>
      </c>
      <c r="E34" s="15">
        <f t="shared" si="2"/>
        <v>103729.69333333333</v>
      </c>
    </row>
    <row r="35" spans="1:12" hidden="1" x14ac:dyDescent="0.2">
      <c r="A35" s="13" t="s">
        <v>81</v>
      </c>
      <c r="B35" s="14" t="s">
        <v>82</v>
      </c>
      <c r="C35" s="15">
        <f>'[23]Team Report'!BA41</f>
        <v>677124.53999999992</v>
      </c>
      <c r="E35" s="15">
        <f t="shared" si="2"/>
        <v>902832.72</v>
      </c>
    </row>
    <row r="36" spans="1:12" hidden="1" x14ac:dyDescent="0.2">
      <c r="A36" s="13" t="s">
        <v>83</v>
      </c>
      <c r="B36" s="14" t="s">
        <v>84</v>
      </c>
      <c r="C36" s="15">
        <f>'[23]Team Report'!BA43</f>
        <v>-1637349.75</v>
      </c>
      <c r="E36" s="15">
        <f t="shared" si="2"/>
        <v>-2183133</v>
      </c>
      <c r="H36" s="33" t="s">
        <v>56</v>
      </c>
      <c r="I36" s="25"/>
      <c r="L36"/>
    </row>
    <row r="37" spans="1:12" hidden="1" x14ac:dyDescent="0.2">
      <c r="A37" s="13" t="s">
        <v>85</v>
      </c>
      <c r="B37" s="14" t="s">
        <v>86</v>
      </c>
      <c r="C37" s="15">
        <f>'[23]Team Report'!BA45</f>
        <v>15745.09</v>
      </c>
      <c r="E37" s="15">
        <f t="shared" si="2"/>
        <v>20993.453333333335</v>
      </c>
      <c r="I37" s="25"/>
      <c r="L37"/>
    </row>
    <row r="38" spans="1:12" hidden="1" x14ac:dyDescent="0.2">
      <c r="A38" s="77" t="s">
        <v>21</v>
      </c>
      <c r="B38" s="14" t="s">
        <v>22</v>
      </c>
      <c r="C38" s="15">
        <v>180700.52</v>
      </c>
      <c r="E38" s="15">
        <v>240934.02666666661</v>
      </c>
      <c r="H38" s="34" t="s">
        <v>57</v>
      </c>
      <c r="I38" s="35" t="s">
        <v>58</v>
      </c>
      <c r="J38" s="35" t="s">
        <v>59</v>
      </c>
      <c r="K38" s="35" t="s">
        <v>2</v>
      </c>
      <c r="L38" s="35" t="s">
        <v>60</v>
      </c>
    </row>
    <row r="39" spans="1:12" hidden="1" x14ac:dyDescent="0.2">
      <c r="H39" s="36">
        <f>SUM(E11:E21)</f>
        <v>1142263.4053333336</v>
      </c>
      <c r="I39" s="56">
        <f>+E28</f>
        <v>84</v>
      </c>
      <c r="J39" s="37">
        <f>+H39/I39</f>
        <v>13598.373873015877</v>
      </c>
      <c r="K39" s="56">
        <f>+K11</f>
        <v>19</v>
      </c>
      <c r="L39" s="37">
        <f>+J39*K39</f>
        <v>258369.10358730165</v>
      </c>
    </row>
    <row r="40" spans="1:12" hidden="1" x14ac:dyDescent="0.2"/>
    <row r="41" spans="1:12" hidden="1" x14ac:dyDescent="0.2"/>
    <row r="42" spans="1:12" hidden="1" x14ac:dyDescent="0.2"/>
    <row r="43" spans="1:12" hidden="1" x14ac:dyDescent="0.2">
      <c r="C43" s="54">
        <f>C22+C30+C31+C32+C33+C34+C35+C36+C37</f>
        <v>3970252.2</v>
      </c>
    </row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S43"/>
  <sheetViews>
    <sheetView zoomScaleNormal="100" workbookViewId="0">
      <selection activeCell="F8" sqref="F8:F21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3.85546875" customWidth="1"/>
    <col min="7" max="7" width="2.28515625" hidden="1" customWidth="1"/>
    <col min="8" max="8" width="4.42578125" hidden="1" customWidth="1"/>
    <col min="9" max="9" width="13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5" width="9.140625" hidden="1" customWidth="1"/>
    <col min="16" max="49" width="0" hidden="1" customWidth="1"/>
  </cols>
  <sheetData>
    <row r="1" spans="1:45" ht="18" x14ac:dyDescent="0.25">
      <c r="B1" s="142" t="str">
        <f>'[26]Team Report'!B1</f>
        <v>Enron North America</v>
      </c>
      <c r="C1" s="142"/>
      <c r="D1" s="142"/>
      <c r="E1" s="142"/>
      <c r="F1" s="142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2" t="s">
        <v>128</v>
      </c>
      <c r="C2" s="142"/>
      <c r="D2" s="142"/>
      <c r="E2" s="142"/>
      <c r="F2" s="142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43" t="s">
        <v>0</v>
      </c>
      <c r="C3" s="143"/>
      <c r="D3" s="143"/>
      <c r="E3" s="143"/>
      <c r="F3" s="143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47" t="s">
        <v>128</v>
      </c>
      <c r="K4" s="147"/>
      <c r="L4" s="147"/>
      <c r="M4" s="147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76" t="s">
        <v>63</v>
      </c>
      <c r="J6" s="7"/>
      <c r="K6" s="19" t="s">
        <v>1</v>
      </c>
      <c r="L6" s="19" t="s">
        <v>2</v>
      </c>
      <c r="M6" s="74" t="s">
        <v>107</v>
      </c>
      <c r="O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J7" s="7"/>
      <c r="K7" s="17"/>
      <c r="L7" s="17"/>
      <c r="M7" s="43"/>
      <c r="O7" s="12" t="s">
        <v>7</v>
      </c>
    </row>
    <row r="8" spans="1:45" x14ac:dyDescent="0.2">
      <c r="A8" s="13" t="s">
        <v>9</v>
      </c>
      <c r="B8" s="14" t="s">
        <v>10</v>
      </c>
      <c r="C8" s="53">
        <f>'[26]Team Report'!BA25</f>
        <v>10228335.790000001</v>
      </c>
      <c r="E8" s="15">
        <f>(C8/9)*12</f>
        <v>13637781.053333335</v>
      </c>
      <c r="F8" s="140">
        <f>((M20+M24+M25+M26+M27+360800)*1.2)*0.917</f>
        <v>3554292</v>
      </c>
      <c r="J8" s="7"/>
      <c r="K8" s="17"/>
      <c r="L8" s="17"/>
      <c r="M8" s="43"/>
      <c r="O8" s="15">
        <f t="shared" ref="O8:O21" si="0">+F8/$F$28*$O$28</f>
        <v>161558.72727272726</v>
      </c>
    </row>
    <row r="9" spans="1:45" x14ac:dyDescent="0.2">
      <c r="A9" s="13"/>
      <c r="B9" s="14" t="s">
        <v>70</v>
      </c>
      <c r="C9" s="15">
        <v>0</v>
      </c>
      <c r="E9" s="15">
        <f>(C9/9)*12</f>
        <v>0</v>
      </c>
      <c r="F9" s="140">
        <v>0</v>
      </c>
      <c r="J9" s="7"/>
      <c r="K9" s="17"/>
      <c r="L9" s="17"/>
      <c r="M9" s="43"/>
      <c r="O9" s="15">
        <f t="shared" si="0"/>
        <v>0</v>
      </c>
    </row>
    <row r="10" spans="1:45" x14ac:dyDescent="0.2">
      <c r="A10" s="13" t="s">
        <v>13</v>
      </c>
      <c r="B10" s="14" t="s">
        <v>14</v>
      </c>
      <c r="C10" s="15">
        <f>'[26]Team Report'!BA26</f>
        <v>1877442.13</v>
      </c>
      <c r="E10" s="15">
        <f>(C10/9)*12</f>
        <v>2503256.1733333333</v>
      </c>
      <c r="F10" s="140">
        <f>((F8*0.2)*1.2)*0.917</f>
        <v>782228.58336000005</v>
      </c>
      <c r="J10" s="7"/>
      <c r="K10" s="17"/>
      <c r="L10" s="17"/>
      <c r="M10" s="43"/>
      <c r="O10" s="15">
        <f t="shared" si="0"/>
        <v>35555.84469818182</v>
      </c>
    </row>
    <row r="11" spans="1:45" x14ac:dyDescent="0.2">
      <c r="A11" s="13" t="s">
        <v>16</v>
      </c>
      <c r="B11" s="14" t="s">
        <v>17</v>
      </c>
      <c r="C11" s="15">
        <f>'[26]Team Report'!BA27</f>
        <v>405632.98</v>
      </c>
      <c r="E11" s="21">
        <f>((C11/9)*12)*2.6</f>
        <v>1406194.3306666669</v>
      </c>
      <c r="F11" s="140">
        <f>((E11/$E$28*$L$11+179963)*1.2)*0.917</f>
        <v>490778.14169349184</v>
      </c>
      <c r="J11" s="7" t="s">
        <v>15</v>
      </c>
      <c r="K11" s="17">
        <f>(E11+E12+E14+E15+E16+E17+E18+E19+E20+E21)/E28</f>
        <v>50608.385250450454</v>
      </c>
      <c r="L11" s="17">
        <f>L28</f>
        <v>21</v>
      </c>
      <c r="M11" s="43">
        <f>K11*L11+5000000</f>
        <v>6062776.0902594598</v>
      </c>
      <c r="O11" s="15">
        <f t="shared" si="0"/>
        <v>22308.097349704174</v>
      </c>
    </row>
    <row r="12" spans="1:45" x14ac:dyDescent="0.2">
      <c r="A12" s="13" t="s">
        <v>18</v>
      </c>
      <c r="B12" s="14" t="s">
        <v>19</v>
      </c>
      <c r="C12" s="15">
        <f>'[26]Team Report'!BA28</f>
        <v>648740.16999999993</v>
      </c>
      <c r="E12" s="21">
        <f>((C12/9)*12)*2.13</f>
        <v>1842422.0827999995</v>
      </c>
      <c r="F12" s="140">
        <f>((E12/$E$28*$L$11+68434)*1.2)*0.917</f>
        <v>458867.17412410368</v>
      </c>
      <c r="J12" s="7"/>
      <c r="K12" s="17"/>
      <c r="L12" s="17"/>
      <c r="M12" s="43"/>
      <c r="O12" s="15">
        <f t="shared" si="0"/>
        <v>20857.598823822893</v>
      </c>
    </row>
    <row r="13" spans="1:45" ht="13.5" thickBot="1" x14ac:dyDescent="0.25">
      <c r="A13" s="13" t="s">
        <v>21</v>
      </c>
      <c r="B13" s="14" t="s">
        <v>22</v>
      </c>
      <c r="C13" s="15">
        <v>0</v>
      </c>
      <c r="E13" s="21">
        <v>0</v>
      </c>
      <c r="F13" s="140">
        <v>3851400</v>
      </c>
      <c r="J13" s="22" t="s">
        <v>20</v>
      </c>
      <c r="K13" s="47"/>
      <c r="L13" s="47"/>
      <c r="M13" s="48">
        <f>SUM(M9:M11)</f>
        <v>6062776.0902594598</v>
      </c>
      <c r="O13" s="15">
        <f t="shared" si="0"/>
        <v>175063.63636363635</v>
      </c>
    </row>
    <row r="14" spans="1:45" x14ac:dyDescent="0.2">
      <c r="A14" s="13" t="s">
        <v>23</v>
      </c>
      <c r="B14" s="14" t="s">
        <v>24</v>
      </c>
      <c r="C14" s="15">
        <f>'[26]Team Report'!BA33</f>
        <v>76876.320000000007</v>
      </c>
      <c r="E14" s="21">
        <f>((C14/9)*12)*2.1</f>
        <v>215253.69600000003</v>
      </c>
      <c r="F14" s="140">
        <f>((E14/$E$28*$L$11+4276)*1.2)*0.917</f>
        <v>49517.639306724333</v>
      </c>
      <c r="I14" s="49">
        <f>M13-F22</f>
        <v>-3572664.6720220493</v>
      </c>
      <c r="J14" s="8"/>
      <c r="K14" s="17"/>
      <c r="L14" s="17"/>
      <c r="M14" s="17"/>
      <c r="O14" s="15">
        <f t="shared" si="0"/>
        <v>2250.801786669288</v>
      </c>
    </row>
    <row r="15" spans="1:45" x14ac:dyDescent="0.2">
      <c r="A15" s="13" t="s">
        <v>25</v>
      </c>
      <c r="B15" s="14" t="s">
        <v>26</v>
      </c>
      <c r="C15" s="15">
        <f>'[26]Team Report'!BA34</f>
        <v>0</v>
      </c>
      <c r="E15" s="21">
        <f>((C15/9)*12)*1.2</f>
        <v>0</v>
      </c>
      <c r="F15" s="140">
        <f t="shared" ref="F15:F21" si="1">((E15/$E$28*$L$11)*1.2)*0.917</f>
        <v>0</v>
      </c>
      <c r="J15" s="8"/>
      <c r="K15" s="17"/>
      <c r="L15" s="78"/>
      <c r="M15" s="17"/>
      <c r="O15" s="15">
        <f t="shared" si="0"/>
        <v>0</v>
      </c>
    </row>
    <row r="16" spans="1:45" x14ac:dyDescent="0.2">
      <c r="A16" s="13" t="s">
        <v>28</v>
      </c>
      <c r="B16" s="14" t="s">
        <v>29</v>
      </c>
      <c r="C16" s="15">
        <f>'[26]Team Report'!BA35</f>
        <v>0</v>
      </c>
      <c r="E16" s="21">
        <f>((C16/9)*12)*1.2</f>
        <v>0</v>
      </c>
      <c r="F16" s="140">
        <f t="shared" si="1"/>
        <v>0</v>
      </c>
      <c r="J16" t="s">
        <v>27</v>
      </c>
      <c r="K16" s="25">
        <v>33600</v>
      </c>
      <c r="L16" s="25">
        <v>0</v>
      </c>
      <c r="M16" s="17">
        <f t="shared" ref="M16:M27" si="2">K16*L16</f>
        <v>0</v>
      </c>
      <c r="O16" s="15">
        <f t="shared" si="0"/>
        <v>0</v>
      </c>
    </row>
    <row r="17" spans="1:15" x14ac:dyDescent="0.2">
      <c r="A17" s="13" t="s">
        <v>31</v>
      </c>
      <c r="B17" s="14" t="s">
        <v>32</v>
      </c>
      <c r="C17" s="15">
        <f>'[26]Team Report'!BA36</f>
        <v>5744.1</v>
      </c>
      <c r="E17" s="21">
        <f>((C17/9)*12)*1.6</f>
        <v>12254.080000000002</v>
      </c>
      <c r="F17" s="140">
        <f t="shared" si="1"/>
        <v>2551.1007411891896</v>
      </c>
      <c r="J17" t="s">
        <v>30</v>
      </c>
      <c r="K17" s="25">
        <v>52800</v>
      </c>
      <c r="L17" s="25">
        <v>2</v>
      </c>
      <c r="M17" s="17">
        <f t="shared" si="2"/>
        <v>105600</v>
      </c>
      <c r="O17" s="15">
        <f t="shared" si="0"/>
        <v>115.95912459950863</v>
      </c>
    </row>
    <row r="18" spans="1:15" x14ac:dyDescent="0.2">
      <c r="A18" s="13" t="s">
        <v>34</v>
      </c>
      <c r="B18" s="14" t="s">
        <v>35</v>
      </c>
      <c r="C18" s="15">
        <f>'[26]Team Report'!BA37</f>
        <v>67058.599999999991</v>
      </c>
      <c r="E18" s="21">
        <f>((C18/9)*12)*1.85</f>
        <v>165411.21333333329</v>
      </c>
      <c r="F18" s="140">
        <f t="shared" si="1"/>
        <v>34435.932271999991</v>
      </c>
      <c r="J18" t="s">
        <v>33</v>
      </c>
      <c r="K18" s="25">
        <v>54000</v>
      </c>
      <c r="L18" s="25">
        <v>0</v>
      </c>
      <c r="M18" s="17">
        <f t="shared" si="2"/>
        <v>0</v>
      </c>
      <c r="O18" s="15">
        <f t="shared" si="0"/>
        <v>1565.2696487272724</v>
      </c>
    </row>
    <row r="19" spans="1:15" x14ac:dyDescent="0.2">
      <c r="A19" s="13" t="s">
        <v>37</v>
      </c>
      <c r="B19" s="14" t="s">
        <v>38</v>
      </c>
      <c r="C19" s="15">
        <f>'[26]Team Report'!BA38</f>
        <v>0</v>
      </c>
      <c r="E19" s="21">
        <f>((C19/9)*12)*1.2</f>
        <v>0</v>
      </c>
      <c r="F19" s="140">
        <f t="shared" si="1"/>
        <v>0</v>
      </c>
      <c r="J19" t="s">
        <v>36</v>
      </c>
      <c r="K19" s="25">
        <v>63000</v>
      </c>
      <c r="L19" s="25">
        <v>3</v>
      </c>
      <c r="M19" s="17">
        <f t="shared" si="2"/>
        <v>189000</v>
      </c>
      <c r="O19" s="15">
        <f t="shared" si="0"/>
        <v>0</v>
      </c>
    </row>
    <row r="20" spans="1:15" x14ac:dyDescent="0.2">
      <c r="A20" s="13" t="s">
        <v>40</v>
      </c>
      <c r="B20" s="14" t="s">
        <v>41</v>
      </c>
      <c r="C20" s="15">
        <f>'[26]Team Report'!BA42</f>
        <v>842429.76</v>
      </c>
      <c r="E20" s="21">
        <f>((C20/9)*12)*1.75</f>
        <v>1965669.4400000004</v>
      </c>
      <c r="F20" s="140">
        <f t="shared" si="1"/>
        <v>409220.50168735144</v>
      </c>
      <c r="J20" t="s">
        <v>39</v>
      </c>
      <c r="K20" s="25">
        <v>78000</v>
      </c>
      <c r="L20" s="25">
        <v>0</v>
      </c>
      <c r="M20" s="17">
        <f t="shared" si="2"/>
        <v>0</v>
      </c>
      <c r="O20" s="15">
        <f t="shared" si="0"/>
        <v>18600.93189487961</v>
      </c>
    </row>
    <row r="21" spans="1:15" x14ac:dyDescent="0.2">
      <c r="A21" s="13" t="s">
        <v>43</v>
      </c>
      <c r="B21" s="14" t="s">
        <v>44</v>
      </c>
      <c r="C21" s="15">
        <f>'[26]Team Report'!BA44</f>
        <v>6453.6999999999989</v>
      </c>
      <c r="E21" s="21">
        <f>((C21/9)*12)*1.2</f>
        <v>10325.919999999998</v>
      </c>
      <c r="F21" s="140">
        <f t="shared" si="1"/>
        <v>2149.689096648648</v>
      </c>
      <c r="J21" t="s">
        <v>42</v>
      </c>
      <c r="K21" s="25">
        <v>66000</v>
      </c>
      <c r="L21" s="25">
        <v>0</v>
      </c>
      <c r="M21" s="17">
        <f t="shared" si="2"/>
        <v>0</v>
      </c>
      <c r="O21" s="15">
        <f t="shared" si="0"/>
        <v>97.713140756756729</v>
      </c>
    </row>
    <row r="22" spans="1:15" ht="13.5" thickBot="1" x14ac:dyDescent="0.25">
      <c r="A22" s="26" t="s">
        <v>46</v>
      </c>
      <c r="B22" s="27" t="s">
        <v>47</v>
      </c>
      <c r="C22" s="28">
        <f>SUM(C8:C21)</f>
        <v>14158713.550000001</v>
      </c>
      <c r="E22" s="28">
        <f>SUM(E8:E21)</f>
        <v>21758567.989466671</v>
      </c>
      <c r="F22" s="28">
        <f>SUM(F8:F21)</f>
        <v>9635440.7622815091</v>
      </c>
      <c r="J22" t="s">
        <v>45</v>
      </c>
      <c r="K22" s="25">
        <v>97200</v>
      </c>
      <c r="L22" s="25">
        <v>0</v>
      </c>
      <c r="M22" s="17">
        <f t="shared" si="2"/>
        <v>0</v>
      </c>
      <c r="O22" s="58">
        <f>SUM(O8:O21)</f>
        <v>437974.580103705</v>
      </c>
    </row>
    <row r="23" spans="1:15" x14ac:dyDescent="0.2">
      <c r="J23" t="s">
        <v>48</v>
      </c>
      <c r="K23" s="25">
        <v>132000</v>
      </c>
      <c r="L23" s="25">
        <v>1</v>
      </c>
      <c r="M23" s="17">
        <f t="shared" si="2"/>
        <v>132000</v>
      </c>
    </row>
    <row r="24" spans="1:15" x14ac:dyDescent="0.2">
      <c r="B24" s="27" t="s">
        <v>50</v>
      </c>
      <c r="C24" s="55"/>
      <c r="E24" s="55">
        <v>111</v>
      </c>
      <c r="F24" s="79">
        <v>22</v>
      </c>
      <c r="J24" t="s">
        <v>119</v>
      </c>
      <c r="K24" s="25">
        <v>178800</v>
      </c>
      <c r="L24" s="25">
        <v>9</v>
      </c>
      <c r="M24" s="17">
        <f t="shared" si="2"/>
        <v>1609200</v>
      </c>
      <c r="O24" s="31">
        <f>SUM(U15:U19,U22:U26)</f>
        <v>0</v>
      </c>
    </row>
    <row r="25" spans="1:15" x14ac:dyDescent="0.2">
      <c r="J25" t="s">
        <v>139</v>
      </c>
      <c r="K25" s="25">
        <v>195600</v>
      </c>
      <c r="L25" s="25">
        <v>2</v>
      </c>
      <c r="M25" s="17">
        <f t="shared" si="2"/>
        <v>391200</v>
      </c>
      <c r="O25" s="15"/>
    </row>
    <row r="26" spans="1:15" x14ac:dyDescent="0.2">
      <c r="B26" s="27" t="s">
        <v>67</v>
      </c>
      <c r="C26" s="55"/>
      <c r="E26" s="55"/>
      <c r="F26" s="55"/>
      <c r="J26" t="s">
        <v>140</v>
      </c>
      <c r="K26" s="25">
        <v>217200</v>
      </c>
      <c r="L26" s="25">
        <v>4</v>
      </c>
      <c r="M26" s="17">
        <f t="shared" si="2"/>
        <v>868800</v>
      </c>
      <c r="O26" s="31">
        <f>SUM(U20:U21)</f>
        <v>0</v>
      </c>
    </row>
    <row r="27" spans="1:15" x14ac:dyDescent="0.2">
      <c r="J27" t="s">
        <v>54</v>
      </c>
      <c r="K27" s="25">
        <v>345600</v>
      </c>
      <c r="L27" s="25">
        <v>0</v>
      </c>
      <c r="M27" s="17">
        <f t="shared" si="2"/>
        <v>0</v>
      </c>
    </row>
    <row r="28" spans="1:15" x14ac:dyDescent="0.2">
      <c r="B28" s="27" t="s">
        <v>55</v>
      </c>
      <c r="C28" s="55"/>
      <c r="E28" s="55">
        <f>SUM(E24:E27)</f>
        <v>111</v>
      </c>
      <c r="F28" s="55">
        <f>SUM(F24:F27)</f>
        <v>22</v>
      </c>
      <c r="L28" s="25">
        <f>SUM(L16:L27)</f>
        <v>21</v>
      </c>
      <c r="M28" s="25">
        <f>SUM(M16:M27)</f>
        <v>3295800</v>
      </c>
      <c r="O28" s="31">
        <v>1</v>
      </c>
    </row>
    <row r="29" spans="1:15" x14ac:dyDescent="0.2">
      <c r="B29" s="27"/>
    </row>
    <row r="30" spans="1:15" hidden="1" x14ac:dyDescent="0.2">
      <c r="A30" s="13" t="s">
        <v>71</v>
      </c>
      <c r="B30" s="14" t="s">
        <v>72</v>
      </c>
      <c r="C30" s="15">
        <f>'[26]Team Report'!BA29</f>
        <v>-24140467.679999996</v>
      </c>
      <c r="E30" s="15">
        <f t="shared" ref="E30:E37" si="3">(C30/9)*12</f>
        <v>-32187290.239999995</v>
      </c>
      <c r="F30" s="15"/>
      <c r="J30" t="s">
        <v>102</v>
      </c>
      <c r="L30" s="52"/>
      <c r="M30" s="52">
        <v>0.2</v>
      </c>
    </row>
    <row r="31" spans="1:15" hidden="1" x14ac:dyDescent="0.2">
      <c r="A31" s="13" t="s">
        <v>73</v>
      </c>
      <c r="B31" s="14" t="s">
        <v>74</v>
      </c>
      <c r="C31" s="15">
        <f>'[26]Team Report'!BA30</f>
        <v>0</v>
      </c>
      <c r="E31" s="15">
        <f t="shared" si="3"/>
        <v>0</v>
      </c>
      <c r="F31" s="15"/>
    </row>
    <row r="32" spans="1:15" hidden="1" x14ac:dyDescent="0.2">
      <c r="A32" s="13" t="s">
        <v>75</v>
      </c>
      <c r="B32" s="14" t="s">
        <v>76</v>
      </c>
      <c r="C32" s="15">
        <f>'[26]Team Report'!BA31</f>
        <v>0</v>
      </c>
      <c r="E32" s="15">
        <f t="shared" si="3"/>
        <v>0</v>
      </c>
      <c r="F32" s="15"/>
      <c r="M32" s="25">
        <f>M28*1.2</f>
        <v>3954960</v>
      </c>
    </row>
    <row r="33" spans="1:14" hidden="1" x14ac:dyDescent="0.2">
      <c r="A33" s="13" t="s">
        <v>77</v>
      </c>
      <c r="B33" s="14" t="s">
        <v>78</v>
      </c>
      <c r="C33" s="15">
        <f>'[26]Team Report'!BA39</f>
        <v>0</v>
      </c>
      <c r="E33" s="15">
        <f t="shared" si="3"/>
        <v>0</v>
      </c>
      <c r="F33" s="15"/>
    </row>
    <row r="34" spans="1:14" hidden="1" x14ac:dyDescent="0.2">
      <c r="A34" s="13" t="s">
        <v>79</v>
      </c>
      <c r="B34" s="14" t="s">
        <v>80</v>
      </c>
      <c r="C34" s="15">
        <f>'[26]Team Report'!BA40</f>
        <v>164920.93000000002</v>
      </c>
      <c r="E34" s="15">
        <f t="shared" si="3"/>
        <v>219894.57333333336</v>
      </c>
      <c r="F34" s="15"/>
    </row>
    <row r="35" spans="1:14" hidden="1" x14ac:dyDescent="0.2">
      <c r="A35" s="13" t="s">
        <v>81</v>
      </c>
      <c r="B35" s="14" t="s">
        <v>82</v>
      </c>
      <c r="C35" s="15">
        <f>'[26]Team Report'!BA41</f>
        <v>945381.27</v>
      </c>
      <c r="E35" s="15">
        <f t="shared" si="3"/>
        <v>1260508.3600000001</v>
      </c>
      <c r="F35" s="15"/>
    </row>
    <row r="36" spans="1:14" hidden="1" x14ac:dyDescent="0.2">
      <c r="A36" s="13" t="s">
        <v>83</v>
      </c>
      <c r="B36" s="14" t="s">
        <v>84</v>
      </c>
      <c r="C36" s="15">
        <f>'[26]Team Report'!BA43</f>
        <v>-5121278.5200000005</v>
      </c>
      <c r="E36" s="15">
        <f t="shared" si="3"/>
        <v>-6828371.3600000013</v>
      </c>
      <c r="F36" s="15"/>
      <c r="I36" s="33" t="s">
        <v>56</v>
      </c>
      <c r="J36" s="25"/>
      <c r="M36"/>
    </row>
    <row r="37" spans="1:14" hidden="1" x14ac:dyDescent="0.2">
      <c r="A37" s="13" t="s">
        <v>85</v>
      </c>
      <c r="B37" s="14" t="s">
        <v>86</v>
      </c>
      <c r="C37" s="15">
        <f>'[26]Team Report'!BA45</f>
        <v>0</v>
      </c>
      <c r="E37" s="15">
        <f t="shared" si="3"/>
        <v>0</v>
      </c>
      <c r="F37" s="15"/>
      <c r="J37" s="25"/>
      <c r="M37"/>
    </row>
    <row r="38" spans="1:14" hidden="1" x14ac:dyDescent="0.2">
      <c r="A38" s="13" t="s">
        <v>21</v>
      </c>
      <c r="B38" s="14" t="s">
        <v>22</v>
      </c>
      <c r="C38" s="15">
        <v>24143776.43</v>
      </c>
      <c r="E38" s="15">
        <v>32191701.906666666</v>
      </c>
      <c r="F38" s="15"/>
      <c r="I38" s="34" t="s">
        <v>57</v>
      </c>
      <c r="J38" s="35" t="s">
        <v>58</v>
      </c>
      <c r="K38" s="35" t="s">
        <v>59</v>
      </c>
      <c r="L38" s="35" t="s">
        <v>2</v>
      </c>
      <c r="M38" s="35" t="s">
        <v>60</v>
      </c>
    </row>
    <row r="39" spans="1:14" x14ac:dyDescent="0.2">
      <c r="I39" s="36">
        <f>SUM(E11:E21)</f>
        <v>5617530.7628000006</v>
      </c>
      <c r="J39" s="56">
        <f>+E28</f>
        <v>111</v>
      </c>
      <c r="K39" s="37">
        <f>+I39/J39</f>
        <v>50608.385250450454</v>
      </c>
      <c r="L39" s="37">
        <f>+L11</f>
        <v>21</v>
      </c>
      <c r="M39" s="37">
        <f>+K39*L39</f>
        <v>1062776.0902594596</v>
      </c>
      <c r="N39" s="25"/>
    </row>
    <row r="40" spans="1:14" x14ac:dyDescent="0.2">
      <c r="K40"/>
      <c r="M40"/>
    </row>
    <row r="41" spans="1:14" x14ac:dyDescent="0.2">
      <c r="I41" t="s">
        <v>141</v>
      </c>
      <c r="K41"/>
      <c r="M41"/>
    </row>
    <row r="43" spans="1:14" x14ac:dyDescent="0.2">
      <c r="C43" s="54">
        <f>C22+C30+C31+C32+C33+C34+C35+C36+C37</f>
        <v>-13992730.449999996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AR39"/>
  <sheetViews>
    <sheetView zoomScaleNormal="100" workbookViewId="0">
      <selection activeCell="O21" sqref="O21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4" customWidth="1"/>
    <col min="15" max="15" width="13.85546875" customWidth="1"/>
    <col min="16" max="16" width="10.28515625" customWidth="1"/>
    <col min="17" max="17" width="10.7109375" customWidth="1"/>
  </cols>
  <sheetData>
    <row r="1" spans="1:44" ht="18" x14ac:dyDescent="0.2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2" t="s">
        <v>285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'[11]Central Trading'!C8+'[11]Central Origination'!C8+[11]Derivatives!C8+'[11]East Trading'!C8+'[11]East Origination'!C8+'[11]Financial Gas'!C8+[11]Structuring!C8+'[11]Texas Trading'!C8+'[11]Texas Origination'!C8+'[11]West Trading'!C8+'[11]West Origination'!C8+[11]Fundamentals!C8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128304</v>
      </c>
      <c r="Q8" s="15"/>
    </row>
    <row r="9" spans="1:44" hidden="1" x14ac:dyDescent="0.2">
      <c r="A9" s="13"/>
      <c r="B9" s="14" t="s">
        <v>11</v>
      </c>
      <c r="C9" s="15">
        <f>'[11]Central Trading'!C9+'[11]Central Origination'!C9+[11]Derivatives!C9+'[11]East Trading'!C9+'[11]East Origination'!C9+'[11]Financial Gas'!C9+[11]Structuring!C9+'[11]Texas Trading'!C9+'[11]Texas Origination'!C9+'[11]West Trading'!C9+'[11]West Origination'!C9+[11]Fundamentals!C9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'[11]Central Trading'!C10+'[11]Central Origination'!C10+[11]Derivatives!C10+'[11]East Trading'!C10+'[11]East Origination'!C10+'[11]Financial Gas'!C10+[11]Structuring!C10+'[11]Texas Trading'!C10+'[11]Texas Origination'!C10+'[11]West Trading'!C10+'[11]West Origination'!C10+[11]Fundamentals!C10</f>
        <v>3095252.76</v>
      </c>
      <c r="D10" s="15"/>
      <c r="E10" s="15">
        <f>('[11]Central Trading'!E9+'[11]Central Origination'!E10+[11]Derivatives!E10+'[11]East Trading'!E10+'[11]East Origination'!E10+'[11]Financial Gas'!E10+[11]Structuring!E10+'[11]Texas Trading'!E10+'[11]Texas Origination'!E10+'[11]West Trading'!E10+'[11]West Origination'!E10+[11]Fundamentals!E10)-4000000</f>
        <v>82420.999999999534</v>
      </c>
      <c r="G10" s="45">
        <f t="shared" si="0"/>
        <v>3.7797619139155266E-3</v>
      </c>
      <c r="H10" s="15">
        <f>L21+L22</f>
        <v>89100</v>
      </c>
      <c r="I10" s="42"/>
      <c r="J10" s="17"/>
      <c r="K10" s="17"/>
      <c r="L10" s="43"/>
      <c r="Q10" s="15"/>
    </row>
    <row r="11" spans="1:44" x14ac:dyDescent="0.2">
      <c r="A11" s="13" t="s">
        <v>13</v>
      </c>
      <c r="B11" s="14" t="s">
        <v>14</v>
      </c>
      <c r="C11" s="15">
        <f>'[11]Central Trading'!C11+'[11]Central Origination'!C11+[11]Derivatives!C11+'[11]East Trading'!C11+'[11]East Origination'!C11+'[11]Financial Gas'!C11+[11]Structuring!C11+'[11]Texas Trading'!C11+'[11]Texas Origination'!C11+'[11]West Trading'!C11+'[11]West Origination'!C11+[11]Fundamentals!C11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</f>
        <v>17820</v>
      </c>
      <c r="I11" s="42" t="s">
        <v>15</v>
      </c>
      <c r="J11" s="17">
        <f>(E12+E13+E14+E15+E16+E17+E18+E19+E20+E21+E22)/E29</f>
        <v>48270.181250000009</v>
      </c>
      <c r="K11" s="17">
        <f>K28</f>
        <v>1</v>
      </c>
      <c r="L11" s="43">
        <f>J11*K11</f>
        <v>48270.181250000009</v>
      </c>
      <c r="N11" s="123" t="s">
        <v>246</v>
      </c>
      <c r="O11" s="123" t="s">
        <v>280</v>
      </c>
      <c r="P11" s="123" t="s">
        <v>249</v>
      </c>
      <c r="Q11" s="123" t="s">
        <v>281</v>
      </c>
    </row>
    <row r="12" spans="1:44" x14ac:dyDescent="0.2">
      <c r="A12" s="13" t="s">
        <v>16</v>
      </c>
      <c r="B12" s="14" t="s">
        <v>17</v>
      </c>
      <c r="C12" s="15">
        <f>'[11]Central Trading'!C12+'[11]Central Origination'!C12+[11]Derivatives!C12+'[11]East Trading'!C12+'[11]East Origination'!C12+'[11]Financial Gas'!C12+[11]Structuring!C12+'[11]Texas Trading'!C12+'[11]Texas Origination'!C12+'[11]West Trading'!C12+'[11]West Origination'!C12+[11]Fundamentals!C12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6162.4737499999974</v>
      </c>
      <c r="I12" s="42"/>
      <c r="J12" s="17"/>
      <c r="K12" s="17"/>
      <c r="L12" s="43"/>
      <c r="N12" s="123" t="s">
        <v>246</v>
      </c>
      <c r="O12" s="123" t="s">
        <v>282</v>
      </c>
      <c r="P12" s="123" t="s">
        <v>250</v>
      </c>
      <c r="Q12" s="123" t="s">
        <v>281</v>
      </c>
    </row>
    <row r="13" spans="1:44" ht="13.5" thickBot="1" x14ac:dyDescent="0.25">
      <c r="A13" s="13" t="s">
        <v>18</v>
      </c>
      <c r="B13" s="14" t="s">
        <v>19</v>
      </c>
      <c r="C13" s="15">
        <f>'[11]Central Trading'!C13+'[11]Central Origination'!C13+[11]Derivatives!C13+'[11]East Trading'!C13+'[11]East Origination'!C13+'[11]Financial Gas'!C13+[11]Structuring!C13+'[11]Texas Trading'!C13+'[11]Texas Origination'!C13+'[11]West Trading'!C13+'[11]West Origination'!C13+[11]Fundamentals!C13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5484.9569166666679</v>
      </c>
      <c r="I13" s="46" t="s">
        <v>20</v>
      </c>
      <c r="J13" s="47"/>
      <c r="K13" s="47"/>
      <c r="L13" s="48">
        <f>L8+L11</f>
        <v>176574.18125000002</v>
      </c>
      <c r="N13" s="123" t="s">
        <v>246</v>
      </c>
      <c r="O13" s="123" t="s">
        <v>283</v>
      </c>
      <c r="P13" s="123" t="s">
        <v>253</v>
      </c>
      <c r="Q13" s="123" t="s">
        <v>284</v>
      </c>
    </row>
    <row r="14" spans="1:44" x14ac:dyDescent="0.2">
      <c r="A14" s="13" t="s">
        <v>21</v>
      </c>
      <c r="B14" s="14" t="s">
        <v>22</v>
      </c>
      <c r="C14" s="15">
        <f>'[11]Central Trading'!C14+'[11]Central Origination'!C14+[11]Derivatives!C14+'[11]East Trading'!C14+'[11]East Origination'!C14+'[11]Financial Gas'!C14+[11]Structuring!C14+'[11]Texas Trading'!C14+'[11]Texas Origination'!C14+'[11]West Trading'!C14+'[11]West Origination'!C14+[11]Fundamentals!C14-C32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2.0000000001649215E-3</v>
      </c>
      <c r="Q14" s="15"/>
    </row>
    <row r="15" spans="1:44" x14ac:dyDescent="0.2">
      <c r="A15" s="13" t="s">
        <v>23</v>
      </c>
      <c r="B15" s="14" t="s">
        <v>24</v>
      </c>
      <c r="C15" s="15">
        <f>'[11]Central Trading'!C15+'[11]Central Origination'!C15+[11]Derivatives!C15+'[11]East Trading'!C15+'[11]East Origination'!C15+'[11]Financial Gas'!C15+[11]Structuring!C15+'[11]Texas Trading'!C15+'[11]Texas Origination'!C15+'[11]West Trading'!C15+'[11]West Origination'!C15+[11]Fundamentals!C15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871.35833333333323</v>
      </c>
      <c r="Q15" s="15"/>
    </row>
    <row r="16" spans="1:44" x14ac:dyDescent="0.2">
      <c r="A16" s="13" t="s">
        <v>25</v>
      </c>
      <c r="B16" s="14" t="s">
        <v>26</v>
      </c>
      <c r="C16" s="15">
        <f>'[11]Central Trading'!C16+'[11]Central Origination'!C16+[11]Derivatives!C16+'[11]East Trading'!C16+'[11]East Origination'!C16+'[11]Financial Gas'!C16+[11]Structuring!C16+'[11]Texas Trading'!C16+'[11]Texas Origination'!C16+'[11]West Trading'!C16+'[11]West Origination'!C16+[11]Fundamentals!C16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28</v>
      </c>
      <c r="B17" s="14" t="s">
        <v>29</v>
      </c>
      <c r="C17" s="15">
        <f>'[11]Central Trading'!C17+'[11]Central Origination'!C17+[11]Derivatives!C17+'[11]East Trading'!C17+'[11]East Origination'!C17+'[11]Financial Gas'!C17+[11]Structuring!C17+'[11]Texas Trading'!C17+'[11]Texas Origination'!C17+'[11]West Trading'!C17+'[11]West Origination'!C17+[11]Fundamentals!C17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49.166666666666664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Q17" s="15"/>
    </row>
    <row r="18" spans="1:17" x14ac:dyDescent="0.2">
      <c r="A18" s="13" t="s">
        <v>31</v>
      </c>
      <c r="B18" s="14" t="s">
        <v>32</v>
      </c>
      <c r="C18" s="15">
        <f>'[11]Central Trading'!C18+'[11]Central Origination'!C18+[11]Derivatives!C18+'[11]East Trading'!C18+'[11]East Origination'!C18+'[11]Financial Gas'!C18+[11]Structuring!C18+'[11]Texas Trading'!C18+'[11]Texas Origination'!C18+'[11]West Trading'!C18+'[11]West Origination'!C18+[11]Fundamentals!C18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892.9576666666668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34</v>
      </c>
      <c r="B19" s="14" t="s">
        <v>35</v>
      </c>
      <c r="C19" s="15">
        <f>'[11]Central Trading'!C19+'[11]Central Origination'!C19+[11]Derivatives!C19+'[11]East Trading'!C19+'[11]East Origination'!C19+'[11]Financial Gas'!C19+[11]Structuring!C19+'[11]Texas Trading'!C19+'[11]Texas Origination'!C19+'[11]West Trading'!C19+'[11]West Origination'!C19+[11]Fundamentals!C19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910.08600000000001</v>
      </c>
      <c r="I19" s="25" t="s">
        <v>36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37</v>
      </c>
      <c r="B20" s="14" t="s">
        <v>38</v>
      </c>
      <c r="C20" s="15">
        <f>'[11]Central Trading'!C20+'[11]Central Origination'!C20+[11]Derivatives!C20+'[11]East Trading'!C20+'[11]East Origination'!C20+'[11]Financial Gas'!C20+[11]Structuring!C20+'[11]Texas Trading'!C20+'[11]Texas Origination'!C20+'[11]West Trading'!C20+'[11]West Origination'!C20+[11]Fundamentals!C20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0.13333333333333333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40</v>
      </c>
      <c r="B21" s="14" t="s">
        <v>41</v>
      </c>
      <c r="C21" s="15">
        <f>'[11]Central Trading'!C21+'[11]Central Origination'!C21+[11]Derivatives!C21+'[11]East Trading'!C21+'[11]East Origination'!C21+'[11]Financial Gas'!C21+[11]Structuring!C21+'[11]Texas Trading'!C21+'[11]Texas Origination'!C21+'[11]West Trading'!C21+'[11]West Origination'!C21+[11]Fundamentals!C21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1131.574249999999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'[11]Central Trading'!C22+'[11]Central Origination'!C22+[11]Derivatives!C22+'[11]East Trading'!C22+'[11]East Origination'!C22+'[11]Financial Gas'!C22+[11]Structuring!C22+'[11]Texas Trading'!C22+'[11]Texas Origination'!C22+'[11]West Trading'!C22+'[11]West Origination'!C22+[11]Fundamentals!C22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1</v>
      </c>
      <c r="L22" s="25">
        <f t="shared" si="2"/>
        <v>89100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122422.70891666667</v>
      </c>
      <c r="I23" s="25" t="s">
        <v>48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x14ac:dyDescent="0.2">
      <c r="B25" s="27" t="s">
        <v>50</v>
      </c>
      <c r="C25" s="15"/>
      <c r="E25" s="31">
        <f>'[11]Central Trading'!E25+'[11]Central Origination'!E25+[11]Derivatives!E25+'[11]East Trading'!E25+'[11]East Origination'!E25+'[11]Financial Gas'!E25+[11]Structuring!E25+'[11]Texas Trading'!E25+'[11]Texas Origination'!E25+'[11]West Trading'!E25+'[11]West Origination'!E25+[11]Fundamentals!E25</f>
        <v>108</v>
      </c>
      <c r="H25" s="31">
        <f>+K16+K17+K18+K19+K20+K23+K24+K25+K26+K27</f>
        <v>0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x14ac:dyDescent="0.2">
      <c r="B27" s="27" t="s">
        <v>67</v>
      </c>
      <c r="C27" s="15"/>
      <c r="E27" s="31">
        <f>'[11]Central Trading'!E27+'[11]Central Origination'!E27+[11]Derivatives!E27+'[11]East Trading'!E27+'[11]East Origination'!E27+'[11]Financial Gas'!E27+[11]Structuring!E27+'[11]Texas Trading'!E27+'[11]Texas Origination'!E27+'[11]West Trading'!E27+'[11]West Origination'!E27+[11]Fundamentals!E27</f>
        <v>52</v>
      </c>
      <c r="H27" s="31">
        <f>+K21+K22</f>
        <v>1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1</v>
      </c>
      <c r="L28" s="25">
        <f>SUM(L16:L27)*1.2</f>
        <v>106920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1</v>
      </c>
      <c r="L29" s="52">
        <v>0.2</v>
      </c>
      <c r="P29" s="8"/>
      <c r="Q29" s="32"/>
    </row>
    <row r="30" spans="1:17" hidden="1" x14ac:dyDescent="0.2">
      <c r="L30" s="25">
        <f>L28*1.2</f>
        <v>128304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</v>
      </c>
      <c r="L34" s="37">
        <f>+J34*K34</f>
        <v>48270.181250000009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AR39"/>
  <sheetViews>
    <sheetView zoomScaleNormal="100" workbookViewId="0">
      <selection activeCell="M8" sqref="M8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42578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6.85546875" hidden="1" customWidth="1"/>
    <col min="15" max="15" width="15.85546875" hidden="1" customWidth="1"/>
    <col min="16" max="16" width="14" hidden="1" customWidth="1"/>
    <col min="17" max="17" width="10.7109375" customWidth="1"/>
  </cols>
  <sheetData>
    <row r="1" spans="1:44" ht="18" x14ac:dyDescent="0.2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2" t="s">
        <v>272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x14ac:dyDescent="0.2">
      <c r="A8" s="13" t="s">
        <v>9</v>
      </c>
      <c r="B8" s="14" t="s">
        <v>10</v>
      </c>
      <c r="C8" s="15">
        <f>'[11]Central Trading'!C8+'[11]Central Origination'!C8+[11]Derivatives!C8+'[11]East Trading'!C8+'[11]East Origination'!C8+'[11]Financial Gas'!C8+[11]Structuring!C8+'[11]Texas Trading'!C8+'[11]Texas Origination'!C8+'[11]West Trading'!C8+'[11]West Origination'!C8+[11]Fundamentals!C8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128304</v>
      </c>
      <c r="Q8" s="15"/>
    </row>
    <row r="9" spans="1:44" hidden="1" x14ac:dyDescent="0.2">
      <c r="A9" s="13"/>
      <c r="B9" s="14" t="s">
        <v>11</v>
      </c>
      <c r="C9" s="15">
        <f>'[11]Central Trading'!C9+'[11]Central Origination'!C9+[11]Derivatives!C9+'[11]East Trading'!C9+'[11]East Origination'!C9+'[11]Financial Gas'!C9+[11]Structuring!C9+'[11]Texas Trading'!C9+'[11]Texas Origination'!C9+'[11]West Trading'!C9+'[11]West Origination'!C9+[11]Fundamentals!C9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65</v>
      </c>
      <c r="C10" s="15">
        <f>'[11]Central Trading'!C10+'[11]Central Origination'!C10+[11]Derivatives!C10+'[11]East Trading'!C10+'[11]East Origination'!C10+'[11]Financial Gas'!C10+[11]Structuring!C10+'[11]Texas Trading'!C10+'[11]Texas Origination'!C10+'[11]West Trading'!C10+'[11]West Origination'!C10+[11]Fundamentals!C10</f>
        <v>3095252.76</v>
      </c>
      <c r="D10" s="15"/>
      <c r="E10" s="15">
        <f>('[11]Central Trading'!E9+'[11]Central Origination'!E10+[11]Derivatives!E10+'[11]East Trading'!E10+'[11]East Origination'!E10+'[11]Financial Gas'!E10+[11]Structuring!E10+'[11]Texas Trading'!E10+'[11]Texas Origination'!E10+'[11]West Trading'!E10+'[11]West Origination'!E10+[11]Fundamentals!E10)-4000000</f>
        <v>82420.999999999534</v>
      </c>
      <c r="G10" s="45">
        <f t="shared" si="0"/>
        <v>3.7797619139155266E-3</v>
      </c>
      <c r="H10" s="15">
        <f>L21+L22</f>
        <v>89100</v>
      </c>
      <c r="I10" s="42"/>
      <c r="J10" s="17"/>
      <c r="K10" s="17"/>
      <c r="L10" s="43"/>
      <c r="Q10" s="15"/>
    </row>
    <row r="11" spans="1:44" x14ac:dyDescent="0.2">
      <c r="A11" s="13" t="s">
        <v>13</v>
      </c>
      <c r="B11" s="14" t="s">
        <v>14</v>
      </c>
      <c r="C11" s="15">
        <f>'[11]Central Trading'!C11+'[11]Central Origination'!C11+[11]Derivatives!C11+'[11]East Trading'!C11+'[11]East Origination'!C11+'[11]Financial Gas'!C11+[11]Structuring!C11+'[11]Texas Trading'!C11+'[11]Texas Origination'!C11+'[11]West Trading'!C11+'[11]West Origination'!C11+[11]Fundamentals!C11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</f>
        <v>17820</v>
      </c>
      <c r="I11" s="42" t="s">
        <v>15</v>
      </c>
      <c r="J11" s="17">
        <f>(E12+E13+E14+E15+E16+E17+E18+E19+E20+E21+E22)/E29</f>
        <v>48270.181250000009</v>
      </c>
      <c r="K11" s="17">
        <f>K28</f>
        <v>1</v>
      </c>
      <c r="L11" s="43">
        <f>J11*K11</f>
        <v>48270.181250000009</v>
      </c>
      <c r="N11" s="123" t="s">
        <v>254</v>
      </c>
      <c r="O11" s="123" t="s">
        <v>253</v>
      </c>
      <c r="P11" s="123" t="s">
        <v>255</v>
      </c>
      <c r="Q11" s="15"/>
    </row>
    <row r="12" spans="1:44" x14ac:dyDescent="0.2">
      <c r="A12" s="13" t="s">
        <v>16</v>
      </c>
      <c r="B12" s="14" t="s">
        <v>17</v>
      </c>
      <c r="C12" s="15">
        <f>'[11]Central Trading'!C12+'[11]Central Origination'!C12+[11]Derivatives!C12+'[11]East Trading'!C12+'[11]East Origination'!C12+'[11]Financial Gas'!C12+[11]Structuring!C12+'[11]Texas Trading'!C12+'[11]Texas Origination'!C12+'[11]West Trading'!C12+'[11]West Origination'!C12+[11]Fundamentals!C12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6162.4737499999974</v>
      </c>
      <c r="I12" s="42"/>
      <c r="J12" s="17"/>
      <c r="K12" s="17"/>
      <c r="L12" s="43"/>
      <c r="N12" s="123" t="s">
        <v>256</v>
      </c>
      <c r="O12" s="123" t="s">
        <v>249</v>
      </c>
      <c r="P12" s="123" t="s">
        <v>255</v>
      </c>
      <c r="Q12" s="15"/>
    </row>
    <row r="13" spans="1:44" ht="13.5" thickBot="1" x14ac:dyDescent="0.25">
      <c r="A13" s="13" t="s">
        <v>18</v>
      </c>
      <c r="B13" s="14" t="s">
        <v>19</v>
      </c>
      <c r="C13" s="15">
        <f>'[11]Central Trading'!C13+'[11]Central Origination'!C13+[11]Derivatives!C13+'[11]East Trading'!C13+'[11]East Origination'!C13+'[11]Financial Gas'!C13+[11]Structuring!C13+'[11]Texas Trading'!C13+'[11]Texas Origination'!C13+'[11]West Trading'!C13+'[11]West Origination'!C13+[11]Fundamentals!C13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5484.9569166666679</v>
      </c>
      <c r="I13" s="46" t="s">
        <v>20</v>
      </c>
      <c r="J13" s="47"/>
      <c r="K13" s="47"/>
      <c r="L13" s="48">
        <f>L8+L11</f>
        <v>176574.18125000002</v>
      </c>
      <c r="N13" s="123" t="s">
        <v>257</v>
      </c>
      <c r="O13" s="123" t="s">
        <v>249</v>
      </c>
      <c r="P13" s="123" t="s">
        <v>255</v>
      </c>
      <c r="Q13" s="15"/>
    </row>
    <row r="14" spans="1:44" x14ac:dyDescent="0.2">
      <c r="A14" s="13" t="s">
        <v>21</v>
      </c>
      <c r="B14" s="14" t="s">
        <v>22</v>
      </c>
      <c r="C14" s="15">
        <f>'[11]Central Trading'!C14+'[11]Central Origination'!C14+[11]Derivatives!C14+'[11]East Trading'!C14+'[11]East Origination'!C14+'[11]Financial Gas'!C14+[11]Structuring!C14+'[11]Texas Trading'!C14+'[11]Texas Origination'!C14+'[11]West Trading'!C14+'[11]West Origination'!C14+[11]Fundamentals!C14-C32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2.0000000001649215E-3</v>
      </c>
      <c r="N14" s="123" t="s">
        <v>258</v>
      </c>
      <c r="O14" s="123" t="s">
        <v>250</v>
      </c>
      <c r="P14" s="123" t="s">
        <v>255</v>
      </c>
      <c r="Q14" s="15"/>
    </row>
    <row r="15" spans="1:44" x14ac:dyDescent="0.2">
      <c r="A15" s="13" t="s">
        <v>23</v>
      </c>
      <c r="B15" s="14" t="s">
        <v>24</v>
      </c>
      <c r="C15" s="15">
        <f>'[11]Central Trading'!C15+'[11]Central Origination'!C15+[11]Derivatives!C15+'[11]East Trading'!C15+'[11]East Origination'!C15+'[11]Financial Gas'!C15+[11]Structuring!C15+'[11]Texas Trading'!C15+'[11]Texas Origination'!C15+'[11]West Trading'!C15+'[11]West Origination'!C15+[11]Fundamentals!C15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871.35833333333323</v>
      </c>
      <c r="N15" s="123" t="s">
        <v>259</v>
      </c>
      <c r="O15" s="123" t="s">
        <v>251</v>
      </c>
      <c r="P15" s="123" t="s">
        <v>255</v>
      </c>
      <c r="Q15" s="15"/>
    </row>
    <row r="16" spans="1:44" x14ac:dyDescent="0.2">
      <c r="A16" s="13" t="s">
        <v>25</v>
      </c>
      <c r="B16" s="14" t="s">
        <v>26</v>
      </c>
      <c r="C16" s="15">
        <f>'[11]Central Trading'!C16+'[11]Central Origination'!C16+[11]Derivatives!C16+'[11]East Trading'!C16+'[11]East Origination'!C16+'[11]Financial Gas'!C16+[11]Structuring!C16+'[11]Texas Trading'!C16+'[11]Texas Origination'!C16+'[11]West Trading'!C16+'[11]West Origination'!C16+[11]Fundamentals!C16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N16" s="123" t="s">
        <v>260</v>
      </c>
      <c r="O16" s="123" t="s">
        <v>251</v>
      </c>
      <c r="P16" s="123" t="s">
        <v>255</v>
      </c>
      <c r="Q16" s="15"/>
    </row>
    <row r="17" spans="1:17" x14ac:dyDescent="0.2">
      <c r="A17" s="13" t="s">
        <v>28</v>
      </c>
      <c r="B17" s="14" t="s">
        <v>29</v>
      </c>
      <c r="C17" s="15">
        <f>'[11]Central Trading'!C17+'[11]Central Origination'!C17+[11]Derivatives!C17+'[11]East Trading'!C17+'[11]East Origination'!C17+'[11]Financial Gas'!C17+[11]Structuring!C17+'[11]Texas Trading'!C17+'[11]Texas Origination'!C17+'[11]West Trading'!C17+'[11]West Origination'!C17+[11]Fundamentals!C17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49.166666666666664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N17" s="124" t="s">
        <v>261</v>
      </c>
      <c r="O17" s="124" t="s">
        <v>36</v>
      </c>
      <c r="P17" s="123" t="s">
        <v>255</v>
      </c>
      <c r="Q17" s="15"/>
    </row>
    <row r="18" spans="1:17" x14ac:dyDescent="0.2">
      <c r="A18" s="13" t="s">
        <v>31</v>
      </c>
      <c r="B18" s="14" t="s">
        <v>32</v>
      </c>
      <c r="C18" s="15">
        <f>'[11]Central Trading'!C18+'[11]Central Origination'!C18+[11]Derivatives!C18+'[11]East Trading'!C18+'[11]East Origination'!C18+'[11]Financial Gas'!C18+[11]Structuring!C18+'[11]Texas Trading'!C18+'[11]Texas Origination'!C18+'[11]West Trading'!C18+'[11]West Origination'!C18+[11]Fundamentals!C18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892.9576666666668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34</v>
      </c>
      <c r="B19" s="14" t="s">
        <v>35</v>
      </c>
      <c r="C19" s="15">
        <f>'[11]Central Trading'!C19+'[11]Central Origination'!C19+[11]Derivatives!C19+'[11]East Trading'!C19+'[11]East Origination'!C19+'[11]Financial Gas'!C19+[11]Structuring!C19+'[11]Texas Trading'!C19+'[11]Texas Origination'!C19+'[11]West Trading'!C19+'[11]West Origination'!C19+[11]Fundamentals!C19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910.08600000000001</v>
      </c>
      <c r="I19" s="25" t="s">
        <v>36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37</v>
      </c>
      <c r="B20" s="14" t="s">
        <v>38</v>
      </c>
      <c r="C20" s="15">
        <f>'[11]Central Trading'!C20+'[11]Central Origination'!C20+[11]Derivatives!C20+'[11]East Trading'!C20+'[11]East Origination'!C20+'[11]Financial Gas'!C20+[11]Structuring!C20+'[11]Texas Trading'!C20+'[11]Texas Origination'!C20+'[11]West Trading'!C20+'[11]West Origination'!C20+[11]Fundamentals!C20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0.13333333333333333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40</v>
      </c>
      <c r="B21" s="14" t="s">
        <v>41</v>
      </c>
      <c r="C21" s="15">
        <f>'[11]Central Trading'!C21+'[11]Central Origination'!C21+[11]Derivatives!C21+'[11]East Trading'!C21+'[11]East Origination'!C21+'[11]Financial Gas'!C21+[11]Structuring!C21+'[11]Texas Trading'!C21+'[11]Texas Origination'!C21+'[11]West Trading'!C21+'[11]West Origination'!C21+[11]Fundamentals!C21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1131.574249999999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43</v>
      </c>
      <c r="B22" s="14" t="s">
        <v>44</v>
      </c>
      <c r="C22" s="15">
        <f>'[11]Central Trading'!C22+'[11]Central Origination'!C22+[11]Derivatives!C22+'[11]East Trading'!C22+'[11]East Origination'!C22+'[11]Financial Gas'!C22+[11]Structuring!C22+'[11]Texas Trading'!C22+'[11]Texas Origination'!C22+'[11]West Trading'!C22+'[11]West Origination'!C22+[11]Fundamentals!C22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1</v>
      </c>
      <c r="L22" s="25">
        <f t="shared" si="2"/>
        <v>89100</v>
      </c>
      <c r="P22" s="8"/>
      <c r="Q22" s="32"/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122422.70891666667</v>
      </c>
      <c r="I23" s="25" t="s">
        <v>48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">
      <c r="I24" s="25" t="s">
        <v>49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x14ac:dyDescent="0.2">
      <c r="B25" s="27" t="s">
        <v>50</v>
      </c>
      <c r="C25" s="15"/>
      <c r="E25" s="31">
        <f>'[11]Central Trading'!E25+'[11]Central Origination'!E25+[11]Derivatives!E25+'[11]East Trading'!E25+'[11]East Origination'!E25+'[11]Financial Gas'!E25+[11]Structuring!E25+'[11]Texas Trading'!E25+'[11]Texas Origination'!E25+'[11]West Trading'!E25+'[11]West Origination'!E25+[11]Fundamentals!E25</f>
        <v>108</v>
      </c>
      <c r="H25" s="31">
        <f>+K16+K17+K18+K19+K20+K23+K24+K25+K26+K27</f>
        <v>0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x14ac:dyDescent="0.2">
      <c r="B27" s="27" t="s">
        <v>67</v>
      </c>
      <c r="C27" s="15"/>
      <c r="E27" s="31">
        <f>'[11]Central Trading'!E27+'[11]Central Origination'!E27+[11]Derivatives!E27+'[11]East Trading'!E27+'[11]East Origination'!E27+'[11]Financial Gas'!E27+[11]Structuring!E27+'[11]Texas Trading'!E27+'[11]Texas Origination'!E27+'[11]West Trading'!E27+'[11]West Origination'!E27+[11]Fundamentals!E27</f>
        <v>52</v>
      </c>
      <c r="H27" s="31">
        <f>+K21+K22</f>
        <v>1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1</v>
      </c>
      <c r="L28" s="25">
        <f>SUM(L16:L27)*1.2</f>
        <v>106920</v>
      </c>
      <c r="P28" s="8"/>
      <c r="Q28" s="8"/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1</v>
      </c>
      <c r="L29" s="52">
        <v>0.2</v>
      </c>
      <c r="P29" s="8"/>
      <c r="Q29" s="32"/>
    </row>
    <row r="30" spans="1:17" hidden="1" x14ac:dyDescent="0.2">
      <c r="L30" s="25">
        <f>L28*1.2</f>
        <v>128304</v>
      </c>
      <c r="P30" s="8"/>
      <c r="Q30" s="8"/>
    </row>
    <row r="31" spans="1:17" hidden="1" x14ac:dyDescent="0.2">
      <c r="H31" s="33" t="s">
        <v>56</v>
      </c>
      <c r="L31"/>
      <c r="P31" s="8"/>
      <c r="Q31" s="8"/>
    </row>
    <row r="32" spans="1:17" hidden="1" x14ac:dyDescent="0.2">
      <c r="B32" s="14" t="s">
        <v>22</v>
      </c>
      <c r="C32" s="15">
        <v>254512</v>
      </c>
      <c r="L32"/>
      <c r="P32" s="8"/>
      <c r="Q32" s="8"/>
    </row>
    <row r="33" spans="8:17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</v>
      </c>
      <c r="L34" s="37">
        <f>+J34*K34</f>
        <v>48270.181250000009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scale="95" orientation="portrait" r:id="rId1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M57"/>
  <sheetViews>
    <sheetView topLeftCell="A4" zoomScaleNormal="100" workbookViewId="0">
      <selection activeCell="H13" sqref="H1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8" hidden="1" customWidth="1"/>
    <col min="6" max="6" width="2.28515625" customWidth="1"/>
    <col min="7" max="7" width="0" hidden="1" customWidth="1"/>
    <col min="8" max="8" width="17.7109375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11.28515625" hidden="1" customWidth="1"/>
    <col min="17" max="17" width="9.140625" hidden="1" customWidth="1"/>
    <col min="18" max="29" width="0" hidden="1" customWidth="1"/>
  </cols>
  <sheetData>
    <row r="1" spans="1:39" ht="18" x14ac:dyDescent="0.25">
      <c r="B1" s="142" t="str">
        <f>'[19]Team Report'!B1</f>
        <v>Enron North America</v>
      </c>
      <c r="C1" s="142"/>
      <c r="D1" s="142"/>
      <c r="E1" s="142"/>
      <c r="F1" s="142"/>
      <c r="G1" s="142"/>
      <c r="H1" s="142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25">
      <c r="B2" s="142" t="s">
        <v>171</v>
      </c>
      <c r="C2" s="142"/>
      <c r="D2" s="142"/>
      <c r="E2" s="142"/>
      <c r="F2" s="142"/>
      <c r="G2" s="142"/>
      <c r="H2" s="142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25">
      <c r="B3" s="143" t="s">
        <v>0</v>
      </c>
      <c r="C3" s="143"/>
      <c r="D3" s="143"/>
      <c r="E3" s="143"/>
      <c r="F3" s="143"/>
      <c r="G3" s="143"/>
      <c r="H3" s="14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5" thickBot="1" x14ac:dyDescent="0.25">
      <c r="I4" s="147" t="s">
        <v>172</v>
      </c>
      <c r="J4" s="147"/>
      <c r="K4" s="147"/>
      <c r="L4" s="147"/>
    </row>
    <row r="5" spans="1:39" x14ac:dyDescent="0.2">
      <c r="I5" s="4"/>
      <c r="J5" s="40"/>
      <c r="K5" s="40"/>
      <c r="L5" s="41"/>
      <c r="M5" s="8"/>
    </row>
    <row r="6" spans="1:39" x14ac:dyDescent="0.2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x14ac:dyDescent="0.2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x14ac:dyDescent="0.2">
      <c r="A8" s="13" t="s">
        <v>9</v>
      </c>
      <c r="B8" s="14" t="s">
        <v>10</v>
      </c>
      <c r="C8" s="53">
        <f>'[19]Team Report'!BA25</f>
        <v>4985502.2300000004</v>
      </c>
      <c r="E8" s="15">
        <f>((C8/9)*12)*1.3</f>
        <v>8641537.1986666676</v>
      </c>
      <c r="H8" s="15">
        <f>(L29-H10-2561483)*1.2</f>
        <v>11877365.039999999</v>
      </c>
      <c r="I8" s="7"/>
      <c r="J8" s="17"/>
      <c r="K8" s="17"/>
      <c r="L8" s="43"/>
      <c r="M8" s="8"/>
      <c r="Q8" s="15">
        <f t="shared" ref="Q8:Q22" si="0">+H8/$H$29*$Q$29</f>
        <v>69866.853176470584</v>
      </c>
    </row>
    <row r="9" spans="1:39" hidden="1" x14ac:dyDescent="0.2">
      <c r="A9" s="13"/>
      <c r="B9" s="14" t="s">
        <v>11</v>
      </c>
      <c r="C9" s="15">
        <v>0</v>
      </c>
      <c r="E9" s="15">
        <f>(C9/9)*12</f>
        <v>0</v>
      </c>
      <c r="H9" s="15">
        <v>0</v>
      </c>
      <c r="I9" s="7" t="s">
        <v>10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si="0"/>
        <v>0</v>
      </c>
    </row>
    <row r="10" spans="1:39" x14ac:dyDescent="0.2">
      <c r="A10" s="13"/>
      <c r="B10" s="14" t="s">
        <v>70</v>
      </c>
      <c r="C10" s="15">
        <v>0</v>
      </c>
      <c r="E10" s="15">
        <f>(C10/9)*12</f>
        <v>0</v>
      </c>
      <c r="H10" s="15">
        <f>(L20+L21+591219)*1.2</f>
        <v>2149462.7999999998</v>
      </c>
      <c r="I10" s="7"/>
      <c r="J10" s="17"/>
      <c r="K10" s="17"/>
      <c r="L10" s="43"/>
      <c r="M10" s="8"/>
      <c r="Q10" s="15">
        <f t="shared" si="0"/>
        <v>12643.898823529411</v>
      </c>
    </row>
    <row r="11" spans="1:39" x14ac:dyDescent="0.2">
      <c r="A11" s="13" t="s">
        <v>13</v>
      </c>
      <c r="B11" s="14" t="s">
        <v>14</v>
      </c>
      <c r="C11" s="15">
        <f>'[19]Team Report'!BA26</f>
        <v>1210281.1100000001</v>
      </c>
      <c r="E11" s="15">
        <f>((C11/9)*12)*1.3</f>
        <v>2097820.5906666671</v>
      </c>
      <c r="H11" s="15">
        <f>(L33-L29-378340)*1.2</f>
        <v>3052092</v>
      </c>
      <c r="I11" s="7"/>
      <c r="J11" s="17"/>
      <c r="K11" s="17"/>
      <c r="L11" s="43"/>
      <c r="M11" s="8"/>
      <c r="Q11" s="15">
        <f t="shared" si="0"/>
        <v>17953.482352941177</v>
      </c>
    </row>
    <row r="12" spans="1:39" x14ac:dyDescent="0.2">
      <c r="A12" s="13" t="s">
        <v>16</v>
      </c>
      <c r="B12" s="14" t="s">
        <v>17</v>
      </c>
      <c r="C12" s="15">
        <f>'[19]Team Report'!BA27</f>
        <v>190029.97</v>
      </c>
      <c r="E12" s="15">
        <f>((C12/9)*12)*1.3</f>
        <v>329385.28133333335</v>
      </c>
      <c r="H12" s="15">
        <f>((E12/$E$29)*$K$12-208603)*1.2+15000</f>
        <v>381017.67218983057</v>
      </c>
      <c r="I12" s="7" t="s">
        <v>15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2241.2804246460623</v>
      </c>
    </row>
    <row r="13" spans="1:39" x14ac:dyDescent="0.2">
      <c r="A13" s="13" t="s">
        <v>18</v>
      </c>
      <c r="B13" s="14" t="s">
        <v>19</v>
      </c>
      <c r="C13" s="15">
        <f>'[19]Team Report'!BA28</f>
        <v>78390.58</v>
      </c>
      <c r="E13" s="15">
        <f>((C13/9)*12)*1.3</f>
        <v>135877.00533333333</v>
      </c>
      <c r="H13" s="15">
        <f>((E13/$E$29)*$K$12+143684)*1.2</f>
        <v>426672.00997966097</v>
      </c>
      <c r="I13" s="7"/>
      <c r="J13" s="17"/>
      <c r="K13" s="17"/>
      <c r="L13" s="43"/>
      <c r="M13" s="8"/>
      <c r="Q13" s="15">
        <f t="shared" si="0"/>
        <v>2509.8353528215353</v>
      </c>
    </row>
    <row r="14" spans="1:39" ht="13.5" thickBot="1" x14ac:dyDescent="0.25">
      <c r="A14" s="13" t="s">
        <v>21</v>
      </c>
      <c r="B14" s="14" t="s">
        <v>22</v>
      </c>
      <c r="C14" s="15">
        <v>0</v>
      </c>
      <c r="E14" s="15">
        <f>(4000000*1.2)+222800</f>
        <v>5022800</v>
      </c>
      <c r="H14" s="15">
        <f>((E14/$E$29)*$K$12-7551171)*1.2</f>
        <v>337190.0542372886</v>
      </c>
      <c r="I14" s="22" t="s">
        <v>20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1983.4709072781682</v>
      </c>
    </row>
    <row r="15" spans="1:39" x14ac:dyDescent="0.2">
      <c r="A15" s="13" t="s">
        <v>23</v>
      </c>
      <c r="B15" s="14" t="s">
        <v>24</v>
      </c>
      <c r="C15" s="15">
        <f>'[19]Team Report'!BA33</f>
        <v>69921.63</v>
      </c>
      <c r="E15" s="15">
        <f>2087875*1.3</f>
        <v>2714237.5</v>
      </c>
      <c r="H15" s="15">
        <f>((E15/$E$29)*$K$12-3878978)*1.2</f>
        <v>424070.80677966063</v>
      </c>
      <c r="I15" s="8"/>
      <c r="J15" s="17"/>
      <c r="K15" s="17"/>
      <c r="L15" s="17"/>
      <c r="M15" s="8"/>
      <c r="Q15" s="15">
        <f t="shared" si="0"/>
        <v>2494.5341575274156</v>
      </c>
    </row>
    <row r="16" spans="1:39" x14ac:dyDescent="0.2">
      <c r="A16" s="13" t="s">
        <v>25</v>
      </c>
      <c r="B16" s="14" t="s">
        <v>26</v>
      </c>
      <c r="C16" s="15">
        <f>'[19]Team Report'!BA34</f>
        <v>0</v>
      </c>
      <c r="E16" s="15">
        <f>(C16/9)*12</f>
        <v>0</v>
      </c>
      <c r="H16" s="15">
        <f>((E16/$E$29)*$K$12)*1.2</f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x14ac:dyDescent="0.2">
      <c r="A17" s="13" t="s">
        <v>28</v>
      </c>
      <c r="B17" s="14" t="s">
        <v>29</v>
      </c>
      <c r="C17" s="15">
        <f>'[19]Team Report'!BA35</f>
        <v>0</v>
      </c>
      <c r="E17" s="15">
        <f>(C17/9)*12</f>
        <v>0</v>
      </c>
      <c r="H17" s="15">
        <f>((E17/$E$29)*$K$12)*1.2</f>
        <v>0</v>
      </c>
      <c r="I17" s="8" t="s">
        <v>27</v>
      </c>
      <c r="J17" s="25">
        <v>37500</v>
      </c>
      <c r="K17">
        <f>1+1</f>
        <v>2</v>
      </c>
      <c r="L17" s="17">
        <f t="shared" ref="L17:L28" si="1">J17*K17</f>
        <v>75000</v>
      </c>
      <c r="N17">
        <v>1.25</v>
      </c>
      <c r="Q17" s="15">
        <f t="shared" si="0"/>
        <v>0</v>
      </c>
    </row>
    <row r="18" spans="1:17" x14ac:dyDescent="0.2">
      <c r="A18" s="13" t="s">
        <v>31</v>
      </c>
      <c r="B18" s="14" t="s">
        <v>32</v>
      </c>
      <c r="C18" s="15">
        <f>'[19]Team Report'!BA36</f>
        <v>19039.670000000002</v>
      </c>
      <c r="E18" s="15">
        <f>((C18/9)*12)*1.3</f>
        <v>33002.094666666671</v>
      </c>
      <c r="H18" s="15">
        <f>((E18/$E$29)*$K$12+1401739)*1.2</f>
        <v>1743839.8720542372</v>
      </c>
      <c r="I18" t="s">
        <v>93</v>
      </c>
      <c r="J18" s="25">
        <v>52500</v>
      </c>
      <c r="K18">
        <f>1+2+1+1</f>
        <v>5</v>
      </c>
      <c r="L18" s="17">
        <f t="shared" si="1"/>
        <v>262500</v>
      </c>
      <c r="Q18" s="15">
        <f t="shared" si="0"/>
        <v>10257.881600319042</v>
      </c>
    </row>
    <row r="19" spans="1:17" x14ac:dyDescent="0.2">
      <c r="A19" s="13" t="s">
        <v>34</v>
      </c>
      <c r="B19" s="14" t="s">
        <v>35</v>
      </c>
      <c r="C19" s="15">
        <f>'[19]Team Report'!BA37</f>
        <v>17422.019999999997</v>
      </c>
      <c r="E19" s="15">
        <v>145000</v>
      </c>
      <c r="H19" s="15">
        <f>((E19/$E$29)*$K$12+84308)*1.2</f>
        <v>372491.63389830507</v>
      </c>
      <c r="I19" t="s">
        <v>33</v>
      </c>
      <c r="J19" s="25">
        <v>56250</v>
      </c>
      <c r="K19">
        <f>7+2+1+1+4+2</f>
        <v>17</v>
      </c>
      <c r="L19" s="17">
        <f t="shared" si="1"/>
        <v>956250</v>
      </c>
      <c r="Q19" s="15">
        <f t="shared" si="0"/>
        <v>2191.1272582253241</v>
      </c>
    </row>
    <row r="20" spans="1:17" x14ac:dyDescent="0.2">
      <c r="A20" s="13" t="s">
        <v>37</v>
      </c>
      <c r="B20" s="14" t="s">
        <v>38</v>
      </c>
      <c r="C20" s="15">
        <f>'[19]Team Report'!BA38</f>
        <v>0</v>
      </c>
      <c r="E20" s="15">
        <f>(C20/9)*12</f>
        <v>0</v>
      </c>
      <c r="H20" s="15">
        <f>((E20/$E$29)*$K$12)*1.2</f>
        <v>0</v>
      </c>
      <c r="I20" t="s">
        <v>45</v>
      </c>
      <c r="J20" s="25">
        <v>75000</v>
      </c>
      <c r="K20">
        <f>3+1</f>
        <v>4</v>
      </c>
      <c r="L20" s="17">
        <f t="shared" si="1"/>
        <v>300000</v>
      </c>
      <c r="Q20" s="15">
        <f t="shared" si="0"/>
        <v>0</v>
      </c>
    </row>
    <row r="21" spans="1:17" x14ac:dyDescent="0.2">
      <c r="A21" s="13" t="s">
        <v>40</v>
      </c>
      <c r="B21" s="14" t="s">
        <v>41</v>
      </c>
      <c r="C21" s="15">
        <f>'[19]Team Report'!BA42</f>
        <v>75042.680000000008</v>
      </c>
      <c r="E21" s="15">
        <f>((C21/9)*12)*1.3</f>
        <v>130073.97866666669</v>
      </c>
      <c r="H21" s="15">
        <v>0</v>
      </c>
      <c r="I21" t="s">
        <v>94</v>
      </c>
      <c r="J21" s="25">
        <v>60000</v>
      </c>
      <c r="K21">
        <f>2+12+1</f>
        <v>15</v>
      </c>
      <c r="L21" s="17">
        <f t="shared" si="1"/>
        <v>900000</v>
      </c>
      <c r="Q21" s="15">
        <f t="shared" si="0"/>
        <v>0</v>
      </c>
    </row>
    <row r="22" spans="1:17" x14ac:dyDescent="0.2">
      <c r="A22" s="13" t="s">
        <v>43</v>
      </c>
      <c r="B22" s="14" t="s">
        <v>44</v>
      </c>
      <c r="C22" s="15">
        <f>'[19]Team Report'!BA44</f>
        <v>1226.24</v>
      </c>
      <c r="E22" s="15">
        <f>((C22/9)*12)*1.3</f>
        <v>2125.4826666666668</v>
      </c>
      <c r="H22" s="15">
        <v>0</v>
      </c>
      <c r="I22" t="s">
        <v>36</v>
      </c>
      <c r="J22" s="25">
        <v>65000</v>
      </c>
      <c r="K22">
        <f>8+4+5+10+9+2+2+4+4+1</f>
        <v>49</v>
      </c>
      <c r="L22" s="17">
        <f t="shared" si="1"/>
        <v>3185000</v>
      </c>
      <c r="Q22" s="15">
        <f t="shared" si="0"/>
        <v>0</v>
      </c>
    </row>
    <row r="23" spans="1:17" x14ac:dyDescent="0.2">
      <c r="A23" s="26" t="s">
        <v>46</v>
      </c>
      <c r="B23" s="27" t="s">
        <v>47</v>
      </c>
      <c r="C23" s="28">
        <f>SUM(C8:C22)</f>
        <v>6646856.1299999999</v>
      </c>
      <c r="E23" s="28">
        <f>SUM(E8:E22)</f>
        <v>19251859.132000003</v>
      </c>
      <c r="H23" s="28">
        <f>SUM(H8:H22)</f>
        <v>20764201.889138985</v>
      </c>
      <c r="I23" t="s">
        <v>108</v>
      </c>
      <c r="J23" s="25">
        <v>82500</v>
      </c>
      <c r="K23">
        <f>10+1+13+6+6+3+7+1+2+6</f>
        <v>55</v>
      </c>
      <c r="L23" s="17">
        <f t="shared" si="1"/>
        <v>4537500</v>
      </c>
      <c r="Q23" s="28">
        <f>SUM(Q8:Q22)</f>
        <v>122142.36405375873</v>
      </c>
    </row>
    <row r="24" spans="1:17" x14ac:dyDescent="0.2">
      <c r="I24" t="s">
        <v>96</v>
      </c>
      <c r="J24" s="25">
        <v>100000</v>
      </c>
      <c r="K24">
        <f>2+1+8+6+3+1+4</f>
        <v>25</v>
      </c>
      <c r="L24" s="17">
        <f t="shared" si="1"/>
        <v>2500000</v>
      </c>
    </row>
    <row r="25" spans="1:17" x14ac:dyDescent="0.2">
      <c r="B25" s="27" t="s">
        <v>50</v>
      </c>
      <c r="C25" s="55"/>
      <c r="E25" s="55">
        <v>114</v>
      </c>
      <c r="H25" s="55">
        <v>151</v>
      </c>
      <c r="I25" t="s">
        <v>97</v>
      </c>
      <c r="J25" s="25">
        <v>145000</v>
      </c>
      <c r="K25">
        <f>1+1+1+1+2+1+2</f>
        <v>9</v>
      </c>
      <c r="L25" s="17">
        <f t="shared" si="1"/>
        <v>1305000</v>
      </c>
      <c r="Q25" s="31">
        <f>+T16+T17+T18+T19+T20+T23+T24+T25+T26+T27</f>
        <v>0</v>
      </c>
    </row>
    <row r="26" spans="1:17" x14ac:dyDescent="0.2">
      <c r="I26" t="s">
        <v>98</v>
      </c>
      <c r="J26" s="25">
        <v>175000</v>
      </c>
      <c r="K26">
        <f>1+1</f>
        <v>2</v>
      </c>
      <c r="L26" s="17">
        <f t="shared" si="1"/>
        <v>350000</v>
      </c>
      <c r="Q26" s="15"/>
    </row>
    <row r="27" spans="1:17" x14ac:dyDescent="0.2">
      <c r="B27" s="27" t="s">
        <v>67</v>
      </c>
      <c r="C27" s="55"/>
      <c r="E27" s="55">
        <v>4</v>
      </c>
      <c r="H27" s="55">
        <f>SUM(K20:K21)</f>
        <v>19</v>
      </c>
      <c r="I27" t="s">
        <v>99</v>
      </c>
      <c r="J27" s="25">
        <v>237500</v>
      </c>
      <c r="K27">
        <f>1</f>
        <v>1</v>
      </c>
      <c r="L27" s="17">
        <f t="shared" si="1"/>
        <v>237500</v>
      </c>
      <c r="Q27" s="31">
        <f>+T21+T22</f>
        <v>0</v>
      </c>
    </row>
    <row r="28" spans="1:17" x14ac:dyDescent="0.2">
      <c r="I28" t="s">
        <v>100</v>
      </c>
      <c r="J28" s="25">
        <v>312500</v>
      </c>
      <c r="K28">
        <v>0</v>
      </c>
      <c r="L28" s="17">
        <f t="shared" si="1"/>
        <v>0</v>
      </c>
    </row>
    <row r="29" spans="1:17" x14ac:dyDescent="0.2">
      <c r="B29" s="27" t="s">
        <v>55</v>
      </c>
      <c r="C29" s="55"/>
      <c r="E29" s="55">
        <f>SUM(E25:E28)</f>
        <v>118</v>
      </c>
      <c r="H29" s="55">
        <f>SUM(H25:H28)</f>
        <v>170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idden="1" x14ac:dyDescent="0.2">
      <c r="B30" s="27"/>
    </row>
    <row r="31" spans="1:17" hidden="1" x14ac:dyDescent="0.2">
      <c r="A31" s="13" t="s">
        <v>71</v>
      </c>
      <c r="B31" s="14" t="s">
        <v>72</v>
      </c>
      <c r="C31" s="15">
        <f>'[19]Team Report'!BA29</f>
        <v>0</v>
      </c>
      <c r="E31" s="15">
        <f t="shared" ref="E31:E38" si="2">(C31/9)*12</f>
        <v>0</v>
      </c>
      <c r="I31" t="s">
        <v>102</v>
      </c>
      <c r="K31" s="52"/>
      <c r="L31" s="52">
        <v>0.2</v>
      </c>
    </row>
    <row r="32" spans="1:17" hidden="1" x14ac:dyDescent="0.2">
      <c r="A32" s="13" t="s">
        <v>73</v>
      </c>
      <c r="B32" s="14" t="s">
        <v>74</v>
      </c>
      <c r="C32" s="15">
        <f>'[19]Team Report'!BA30</f>
        <v>0</v>
      </c>
      <c r="E32" s="15">
        <f t="shared" si="2"/>
        <v>0</v>
      </c>
    </row>
    <row r="33" spans="1:12" hidden="1" x14ac:dyDescent="0.2">
      <c r="A33" s="13" t="s">
        <v>75</v>
      </c>
      <c r="B33" s="14" t="s">
        <v>76</v>
      </c>
      <c r="C33" s="15">
        <f>'[19]Team Report'!BA31</f>
        <v>0</v>
      </c>
      <c r="E33" s="15">
        <f t="shared" si="2"/>
        <v>0</v>
      </c>
      <c r="L33" s="25">
        <f>L29*1.2</f>
        <v>17530500</v>
      </c>
    </row>
    <row r="34" spans="1:12" hidden="1" x14ac:dyDescent="0.2">
      <c r="A34" s="13" t="s">
        <v>77</v>
      </c>
      <c r="B34" s="14" t="s">
        <v>78</v>
      </c>
      <c r="C34" s="15">
        <f>'[19]Team Report'!BA39</f>
        <v>0</v>
      </c>
      <c r="E34" s="15">
        <f t="shared" si="2"/>
        <v>0</v>
      </c>
    </row>
    <row r="35" spans="1:12" hidden="1" x14ac:dyDescent="0.2">
      <c r="A35" s="13" t="s">
        <v>79</v>
      </c>
      <c r="B35" s="14" t="s">
        <v>80</v>
      </c>
      <c r="C35" s="15">
        <f>'[19]Team Report'!BA40</f>
        <v>24670.390000000003</v>
      </c>
      <c r="E35" s="15">
        <f t="shared" si="2"/>
        <v>32893.85333333334</v>
      </c>
    </row>
    <row r="36" spans="1:12" hidden="1" x14ac:dyDescent="0.2">
      <c r="A36" s="13" t="s">
        <v>81</v>
      </c>
      <c r="B36" s="14" t="s">
        <v>82</v>
      </c>
      <c r="C36" s="15">
        <f>'[19]Team Report'!BA41</f>
        <v>481045.43000000005</v>
      </c>
      <c r="E36" s="15">
        <f t="shared" si="2"/>
        <v>641393.90666666673</v>
      </c>
    </row>
    <row r="37" spans="1:12" hidden="1" x14ac:dyDescent="0.2">
      <c r="A37" s="13" t="s">
        <v>83</v>
      </c>
      <c r="B37" s="14" t="s">
        <v>84</v>
      </c>
      <c r="C37" s="15">
        <f>'[19]Team Report'!BA43</f>
        <v>-771915.88</v>
      </c>
      <c r="E37" s="15">
        <f t="shared" si="2"/>
        <v>-1029221.1733333333</v>
      </c>
      <c r="H37" s="33" t="s">
        <v>56</v>
      </c>
    </row>
    <row r="38" spans="1:12" hidden="1" x14ac:dyDescent="0.2">
      <c r="A38" s="13" t="s">
        <v>85</v>
      </c>
      <c r="B38" s="14" t="s">
        <v>86</v>
      </c>
      <c r="C38" s="15">
        <f>'[19]Team Report'!BA45</f>
        <v>0</v>
      </c>
      <c r="E38" s="15">
        <f t="shared" si="2"/>
        <v>0</v>
      </c>
    </row>
    <row r="39" spans="1:12" hidden="1" x14ac:dyDescent="0.2">
      <c r="A39" s="13"/>
      <c r="B39" s="14"/>
      <c r="C39" s="15"/>
      <c r="E39" s="15"/>
      <c r="H39" t="s">
        <v>133</v>
      </c>
    </row>
    <row r="40" spans="1:12" hidden="1" x14ac:dyDescent="0.2"/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6380656.0699999994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</sheetData>
  <mergeCells count="4">
    <mergeCell ref="I4:L4"/>
    <mergeCell ref="B1:H1"/>
    <mergeCell ref="B2:H2"/>
    <mergeCell ref="B3:H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Q49"/>
  <sheetViews>
    <sheetView zoomScaleNormal="100" workbookViewId="0">
      <selection activeCell="D64" sqref="D64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2" width="0" hidden="1" customWidth="1"/>
  </cols>
  <sheetData>
    <row r="1" spans="1:43" ht="18" x14ac:dyDescent="0.25">
      <c r="B1" s="142" t="str">
        <f>'[2]Team Report'!B1</f>
        <v>Enron North America</v>
      </c>
      <c r="C1" s="142"/>
      <c r="D1" s="142"/>
      <c r="E1" s="142"/>
      <c r="F1" s="142"/>
      <c r="G1" s="142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42" t="s">
        <v>88</v>
      </c>
      <c r="C2" s="142"/>
      <c r="D2" s="142"/>
      <c r="E2" s="142"/>
      <c r="F2" s="142"/>
      <c r="G2" s="142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43" t="s">
        <v>0</v>
      </c>
      <c r="C3" s="143"/>
      <c r="D3" s="143"/>
      <c r="E3" s="143"/>
      <c r="F3" s="143"/>
      <c r="G3" s="143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1</v>
      </c>
      <c r="J5" s="8" t="s">
        <v>2</v>
      </c>
      <c r="K5" s="9" t="s">
        <v>3</v>
      </c>
    </row>
    <row r="6" spans="1:43" x14ac:dyDescent="0.2">
      <c r="C6" s="10">
        <v>37135</v>
      </c>
      <c r="E6" s="44" t="s">
        <v>63</v>
      </c>
      <c r="G6" s="44" t="s">
        <v>63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5</v>
      </c>
      <c r="E7" s="12" t="s">
        <v>6</v>
      </c>
      <c r="G7" s="12" t="s">
        <v>7</v>
      </c>
      <c r="H7" s="7"/>
      <c r="I7" s="17"/>
      <c r="J7" s="8"/>
      <c r="K7" s="9"/>
      <c r="O7" s="12" t="s">
        <v>7</v>
      </c>
      <c r="AK7" s="12"/>
    </row>
    <row r="8" spans="1:43" x14ac:dyDescent="0.2">
      <c r="A8" s="13" t="s">
        <v>9</v>
      </c>
      <c r="B8" s="14" t="s">
        <v>10</v>
      </c>
      <c r="C8" s="15">
        <f>+'[1]Natural Gas'!C8+[1]Ontario!C8+[1]Finance!C8+[1]Executive!C8+[1]Alberta!C8</f>
        <v>2855922.0300000003</v>
      </c>
      <c r="E8" s="15">
        <f>+'[1]Natural Gas'!E8+[1]Ontario!E8+[1]Finance!E8+[1]Executive!E8+[1]Alberta!E8</f>
        <v>3807896.0399999991</v>
      </c>
      <c r="G8" s="15">
        <f>K28-G11-G10</f>
        <v>2197008</v>
      </c>
      <c r="H8" s="7" t="s">
        <v>10</v>
      </c>
      <c r="I8" s="17">
        <v>0</v>
      </c>
      <c r="J8" s="8"/>
      <c r="K8" s="18">
        <f>K28</f>
        <v>3912480</v>
      </c>
      <c r="O8" s="15">
        <f>+G8/$G$29*$O$29</f>
        <v>81370.666666666672</v>
      </c>
      <c r="AK8" s="32"/>
    </row>
    <row r="9" spans="1:43" x14ac:dyDescent="0.2">
      <c r="A9" s="13"/>
      <c r="B9" s="14" t="s">
        <v>11</v>
      </c>
      <c r="C9" s="15">
        <f>+'[1]Natural Gas'!C9+[1]Ontario!C9+[1]Finance!C9+[1]Executive!C9+[1]Alberta!C9</f>
        <v>0</v>
      </c>
      <c r="E9" s="15">
        <f>+'[1]Natural Gas'!E9+[1]Ontario!E9+[1]Finance!E9+[1]Executive!E9+[1]Alberta!E9</f>
        <v>0</v>
      </c>
      <c r="G9" s="15">
        <v>0</v>
      </c>
      <c r="H9" s="7"/>
      <c r="I9" s="17"/>
      <c r="J9" s="8"/>
      <c r="K9" s="9"/>
      <c r="O9" s="15">
        <f t="shared" ref="O9:O21" si="0">+G9/$G$29*$O$29</f>
        <v>0</v>
      </c>
      <c r="AK9" s="32"/>
    </row>
    <row r="10" spans="1:43" x14ac:dyDescent="0.2">
      <c r="A10" s="13"/>
      <c r="B10" s="14" t="s">
        <v>89</v>
      </c>
      <c r="C10" s="15">
        <v>0</v>
      </c>
      <c r="E10" s="15">
        <v>0</v>
      </c>
      <c r="G10" s="15">
        <f>K22+K21</f>
        <v>788400</v>
      </c>
      <c r="H10" s="7"/>
      <c r="I10" s="17"/>
      <c r="J10" s="8"/>
      <c r="K10" s="9"/>
      <c r="O10" s="15">
        <f t="shared" si="0"/>
        <v>29200</v>
      </c>
      <c r="AK10" s="32"/>
    </row>
    <row r="11" spans="1:43" x14ac:dyDescent="0.2">
      <c r="A11" s="13" t="s">
        <v>13</v>
      </c>
      <c r="B11" s="14" t="s">
        <v>14</v>
      </c>
      <c r="C11" s="15">
        <f>+'[1]Natural Gas'!C11+[1]Ontario!C11+[1]Finance!C11+[1]Executive!C10+[1]Alberta!C11</f>
        <v>312682.37</v>
      </c>
      <c r="E11" s="15">
        <f>+'[1]Natural Gas'!E11+[1]Ontario!E11+[1]Finance!E11+[1]Executive!E10+[1]Alberta!E11</f>
        <v>416909.82666666666</v>
      </c>
      <c r="G11" s="15">
        <v>927072</v>
      </c>
      <c r="H11" s="7" t="s">
        <v>15</v>
      </c>
      <c r="I11" s="19">
        <f>(E12+E13+E14+E15+E16+E17+E18+E19+E20+E21+E22)/E29</f>
        <v>31253.507839999998</v>
      </c>
      <c r="J11" s="8">
        <f>J28</f>
        <v>27</v>
      </c>
      <c r="K11" s="18">
        <f>I11*J11</f>
        <v>843844.71167999995</v>
      </c>
      <c r="O11" s="15">
        <f t="shared" si="0"/>
        <v>34336</v>
      </c>
      <c r="AK11" s="32"/>
    </row>
    <row r="12" spans="1:43" x14ac:dyDescent="0.2">
      <c r="A12" s="13" t="s">
        <v>16</v>
      </c>
      <c r="B12" s="14" t="s">
        <v>17</v>
      </c>
      <c r="C12" s="15">
        <f>+'[1]Natural Gas'!C12+[1]Ontario!C12+[1]Finance!C12+[1]Executive!C12+[1]Alberta!C12</f>
        <v>67320.12999999999</v>
      </c>
      <c r="E12" s="20">
        <f>(+'[1]Natural Gas'!E12+[1]Ontario!E12+[1]Finance!E12+[1]Executive!E12+[1]Alberta!E12)*1.2</f>
        <v>107712.20799999998</v>
      </c>
      <c r="G12" s="21">
        <f t="shared" ref="G12:G22" si="1">(E12/$E$29)*$G$29</f>
        <v>58164.592319999996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18</v>
      </c>
      <c r="B13" s="14" t="s">
        <v>19</v>
      </c>
      <c r="C13" s="15">
        <f>+'[1]Natural Gas'!C13+[1]Ontario!C13+[1]Finance!C13+[1]Executive!C13+[1]Alberta!C13</f>
        <v>297871.83999999997</v>
      </c>
      <c r="E13" s="20">
        <f>(+'[1]Natural Gas'!E13+[1]Ontario!E13+[1]Finance!E13+[1]Executive!E13+[1]Alberta!E13)*1.2</f>
        <v>476594.94399999996</v>
      </c>
      <c r="G13" s="21">
        <f t="shared" si="1"/>
        <v>257361.26975999997</v>
      </c>
      <c r="H13" s="22" t="s">
        <v>20</v>
      </c>
      <c r="I13" s="47"/>
      <c r="J13" s="23"/>
      <c r="K13" s="24">
        <f>K8+K11</f>
        <v>4756324.7116799997</v>
      </c>
      <c r="O13" s="15">
        <f t="shared" si="0"/>
        <v>9531.8988799999988</v>
      </c>
      <c r="AK13" s="32"/>
    </row>
    <row r="14" spans="1:43" x14ac:dyDescent="0.2">
      <c r="A14" s="13" t="s">
        <v>21</v>
      </c>
      <c r="B14" s="14" t="s">
        <v>22</v>
      </c>
      <c r="C14" s="15">
        <f>+'[1]Natural Gas'!C14+[1]Ontario!C14+[1]Finance!C14+[1]Executive!C14+[1]Alberta!C14</f>
        <v>505739.98</v>
      </c>
      <c r="E14" s="20">
        <f>(+'[1]Natural Gas'!E14+[1]Ontario!E14+[1]Finance!E14+[1]Executive!E14+[1]Alberta!E14)*1.2</f>
        <v>809183.96799999999</v>
      </c>
      <c r="G14" s="21">
        <f t="shared" si="1"/>
        <v>436959.34272000002</v>
      </c>
      <c r="O14" s="15">
        <f t="shared" si="0"/>
        <v>16183.67936</v>
      </c>
      <c r="AK14" s="32"/>
    </row>
    <row r="15" spans="1:43" x14ac:dyDescent="0.2">
      <c r="A15" s="13" t="s">
        <v>23</v>
      </c>
      <c r="B15" s="14" t="s">
        <v>24</v>
      </c>
      <c r="C15" s="15">
        <f>+'[1]Natural Gas'!C15+[1]Ontario!C15+[1]Finance!C15+[1]Executive!C15+[1]Alberta!C15</f>
        <v>6427.4199999999992</v>
      </c>
      <c r="E15" s="20">
        <f>(+'[1]Natural Gas'!E15+[1]Ontario!E15+[1]Finance!E15+[1]Executive!E15+[1]Alberta!E15)*1.2</f>
        <v>10283.871999999998</v>
      </c>
      <c r="G15" s="21">
        <f t="shared" si="1"/>
        <v>5553.2908799999987</v>
      </c>
      <c r="O15" s="15">
        <f t="shared" si="0"/>
        <v>205.67743999999996</v>
      </c>
      <c r="AK15" s="32"/>
    </row>
    <row r="16" spans="1:43" x14ac:dyDescent="0.2">
      <c r="A16" s="13" t="s">
        <v>25</v>
      </c>
      <c r="B16" s="14" t="s">
        <v>26</v>
      </c>
      <c r="C16" s="15">
        <f>+'[1]Natural Gas'!C16+[1]Ontario!C16+[1]Finance!C16+[1]Executive!C16+[1]Alberta!C16</f>
        <v>0</v>
      </c>
      <c r="E16" s="20">
        <f>(+'[1]Natural Gas'!E16+[1]Ontario!E16+[1]Finance!E16+[1]Executive!E16+[1]Alberta!E16)*1.2</f>
        <v>0</v>
      </c>
      <c r="G16" s="21">
        <f t="shared" si="1"/>
        <v>0</v>
      </c>
      <c r="H16" t="s">
        <v>27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28</v>
      </c>
      <c r="B17" s="14" t="s">
        <v>29</v>
      </c>
      <c r="C17" s="15">
        <f>+'[1]Natural Gas'!C17+[1]Ontario!C17+[1]Finance!C17+[1]Executive!C17+[1]Alberta!C17</f>
        <v>1883.62</v>
      </c>
      <c r="E17" s="20">
        <f>(+'[1]Natural Gas'!E17+[1]Ontario!E17+[1]Finance!E17+[1]Executive!E17+[1]Alberta!E17)*1.2</f>
        <v>3013.7920000000004</v>
      </c>
      <c r="G17" s="21">
        <f t="shared" si="1"/>
        <v>1627.4476800000002</v>
      </c>
      <c r="H17" t="s">
        <v>30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x14ac:dyDescent="0.2">
      <c r="A18" s="13" t="s">
        <v>31</v>
      </c>
      <c r="B18" s="14" t="s">
        <v>32</v>
      </c>
      <c r="C18" s="15">
        <f>+'[1]Natural Gas'!C18+[1]Ontario!C18+[1]Finance!C18+[1]Executive!C18+[1]Alberta!C18</f>
        <v>19208.419999999998</v>
      </c>
      <c r="E18" s="20">
        <f>(+'[1]Natural Gas'!E18+[1]Ontario!E18+[1]Finance!E18+[1]Executive!E18+[1]Alberta!E18)*1.2</f>
        <v>30733.471999999998</v>
      </c>
      <c r="G18" s="21">
        <f t="shared" si="1"/>
        <v>16596.07488</v>
      </c>
      <c r="H18" t="s">
        <v>33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34</v>
      </c>
      <c r="B19" s="14" t="s">
        <v>35</v>
      </c>
      <c r="C19" s="15">
        <f>+'[1]Natural Gas'!C19+[1]Ontario!C19+[1]Finance!C19+[1]Executive!C19+[1]Alberta!C19</f>
        <v>52344.84</v>
      </c>
      <c r="E19" s="20">
        <f>(+'[1]Natural Gas'!E19+[1]Ontario!E19+[1]Finance!E19+[1]Executive!E19+[1]Alberta!E19)*1.2</f>
        <v>83751.743999999992</v>
      </c>
      <c r="G19" s="21">
        <f t="shared" si="1"/>
        <v>45225.941760000002</v>
      </c>
      <c r="H19" t="s">
        <v>36</v>
      </c>
      <c r="I19" s="25">
        <v>63000</v>
      </c>
      <c r="J19">
        <v>0</v>
      </c>
      <c r="K19">
        <f t="shared" si="2"/>
        <v>0</v>
      </c>
      <c r="O19" s="15">
        <f t="shared" si="0"/>
        <v>1675.0348800000002</v>
      </c>
      <c r="AK19" s="32"/>
    </row>
    <row r="20" spans="1:37" x14ac:dyDescent="0.2">
      <c r="A20" s="13" t="s">
        <v>37</v>
      </c>
      <c r="B20" s="14" t="s">
        <v>38</v>
      </c>
      <c r="C20" s="15">
        <f>+'[1]Natural Gas'!C20+[1]Ontario!C20+[1]Finance!C20+[1]Executive!C20+[1]Alberta!C20</f>
        <v>0</v>
      </c>
      <c r="E20" s="20">
        <f>(+'[1]Natural Gas'!E20+[1]Ontario!E20+[1]Finance!E20+[1]Executive!E20+[1]Alberta!E20)*1.2</f>
        <v>0</v>
      </c>
      <c r="G20" s="21">
        <f t="shared" si="1"/>
        <v>0</v>
      </c>
      <c r="H20" t="s">
        <v>39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40</v>
      </c>
      <c r="B21" s="14" t="s">
        <v>41</v>
      </c>
      <c r="C21" s="15">
        <f>+'[1]Natural Gas'!C21+[1]Ontario!C21+[1]Finance!C21+[1]Executive!C21+[1]Alberta!C21</f>
        <v>19769.170000000046</v>
      </c>
      <c r="E21" s="20">
        <f>(+'[1]Natural Gas'!E21+[1]Ontario!E21+[1]Finance!E21+[1]Executive!E21+[1]Alberta!E21)*1.2</f>
        <v>31630.672000000071</v>
      </c>
      <c r="G21" s="21">
        <f t="shared" si="1"/>
        <v>17080.562880000038</v>
      </c>
      <c r="H21" t="s">
        <v>42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x14ac:dyDescent="0.2">
      <c r="A22" s="13" t="s">
        <v>43</v>
      </c>
      <c r="B22" s="14" t="s">
        <v>44</v>
      </c>
      <c r="C22" s="15">
        <f>+'[1]Natural Gas'!C22+[1]Ontario!C22+[1]Finance!C22+[1]Executive!C22+[1]Alberta!C22</f>
        <v>6106.7000000000089</v>
      </c>
      <c r="E22" s="20">
        <f>(+'[1]Natural Gas'!E22+[1]Ontario!E22+[1]Finance!E22+[1]Executive!E22+[1]Alberta!E22)*1.2</f>
        <v>9770.7200000000139</v>
      </c>
      <c r="G22" s="21">
        <f t="shared" si="1"/>
        <v>5276.1888000000081</v>
      </c>
      <c r="H22" t="s">
        <v>45</v>
      </c>
      <c r="I22" s="25">
        <v>97200</v>
      </c>
      <c r="J22">
        <v>2</v>
      </c>
      <c r="K22">
        <f t="shared" si="2"/>
        <v>194400</v>
      </c>
      <c r="O22" s="15">
        <f>+G22/$G$29*$O$29</f>
        <v>195.41440000000031</v>
      </c>
      <c r="AK22" s="32"/>
    </row>
    <row r="23" spans="1:37" x14ac:dyDescent="0.2">
      <c r="A23" s="26" t="s">
        <v>46</v>
      </c>
      <c r="B23" s="27" t="s">
        <v>47</v>
      </c>
      <c r="C23" s="28">
        <f>SUM(C8:C22)</f>
        <v>4145276.52</v>
      </c>
      <c r="E23" s="28">
        <f>SUM(E8:E22)</f>
        <v>5787481.2586666662</v>
      </c>
      <c r="G23" s="28">
        <f>SUM(G8:G22)</f>
        <v>4756324.7116799997</v>
      </c>
      <c r="H23" t="s">
        <v>48</v>
      </c>
      <c r="I23" s="25">
        <v>120000</v>
      </c>
      <c r="J23">
        <f>6+1+1</f>
        <v>8</v>
      </c>
      <c r="K23">
        <f t="shared" si="2"/>
        <v>960000</v>
      </c>
      <c r="O23" s="28">
        <f>SUM(O8:O22)</f>
        <v>176160.17450666669</v>
      </c>
      <c r="AK23" s="29"/>
    </row>
    <row r="24" spans="1:37" x14ac:dyDescent="0.2">
      <c r="H24" t="s">
        <v>49</v>
      </c>
      <c r="I24" s="25">
        <v>156000</v>
      </c>
      <c r="J24">
        <v>4</v>
      </c>
      <c r="K24">
        <f t="shared" si="2"/>
        <v>624000</v>
      </c>
      <c r="AK24" s="8"/>
    </row>
    <row r="25" spans="1:37" x14ac:dyDescent="0.2">
      <c r="B25" s="27" t="s">
        <v>50</v>
      </c>
      <c r="C25" s="60"/>
      <c r="E25" s="61">
        <f>+'[1]Natural Gas'!E25+[1]Ontario!E25+[1]Finance!E25+[1]Executive!E25+[1]Alberta!E25</f>
        <v>30</v>
      </c>
      <c r="G25" s="61">
        <f>SUM(J16:J20,J23:J27)</f>
        <v>16</v>
      </c>
      <c r="H25" t="s">
        <v>51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52</v>
      </c>
      <c r="I26" s="25">
        <v>216000</v>
      </c>
      <c r="J26">
        <f>1+1+1</f>
        <v>3</v>
      </c>
      <c r="K26">
        <f t="shared" si="2"/>
        <v>648000</v>
      </c>
      <c r="O26" s="15"/>
      <c r="AK26" s="32"/>
    </row>
    <row r="27" spans="1:37" x14ac:dyDescent="0.2">
      <c r="B27" s="27" t="s">
        <v>53</v>
      </c>
      <c r="C27" s="15"/>
      <c r="E27" s="61">
        <f>+'[1]Natural Gas'!E27+[1]Ontario!E27+[1]Finance!E27+[1]Executive!E27+[1]Alberta!E27</f>
        <v>20</v>
      </c>
      <c r="G27" s="61">
        <f>SUM(J21:J22)</f>
        <v>11</v>
      </c>
      <c r="H27" t="s">
        <v>90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">
      <c r="J28">
        <f>SUM(J16:J27)</f>
        <v>27</v>
      </c>
      <c r="K28">
        <f>SUM(K16:K27)*1.2</f>
        <v>3912480</v>
      </c>
      <c r="AK28" s="8"/>
    </row>
    <row r="29" spans="1:37" x14ac:dyDescent="0.2">
      <c r="B29" s="27" t="s">
        <v>55</v>
      </c>
      <c r="C29" s="15"/>
      <c r="E29" s="31">
        <f>+E27+E25</f>
        <v>50</v>
      </c>
      <c r="F29" s="32"/>
      <c r="G29" s="31">
        <f>+G27+G25</f>
        <v>27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71</v>
      </c>
      <c r="B31" s="14" t="s">
        <v>91</v>
      </c>
      <c r="C31" s="15"/>
      <c r="E31" s="15"/>
      <c r="G31" s="33" t="s">
        <v>56</v>
      </c>
      <c r="H31" s="25"/>
      <c r="J31" s="25"/>
    </row>
    <row r="32" spans="1:37" hidden="1" x14ac:dyDescent="0.2">
      <c r="A32" s="13" t="s">
        <v>73</v>
      </c>
      <c r="B32" s="14"/>
      <c r="C32" s="15"/>
      <c r="E32" s="15"/>
      <c r="H32" s="25"/>
      <c r="J32" s="25"/>
    </row>
    <row r="33" spans="1:11" hidden="1" x14ac:dyDescent="0.2">
      <c r="A33" s="13" t="s">
        <v>75</v>
      </c>
      <c r="B33" s="14"/>
      <c r="C33" s="15"/>
      <c r="E33" s="15"/>
      <c r="G33" s="34" t="s">
        <v>57</v>
      </c>
      <c r="H33" s="35" t="s">
        <v>58</v>
      </c>
      <c r="I33" s="35" t="s">
        <v>59</v>
      </c>
      <c r="J33" s="35" t="s">
        <v>2</v>
      </c>
      <c r="K33" s="35" t="s">
        <v>60</v>
      </c>
    </row>
    <row r="34" spans="1:11" hidden="1" x14ac:dyDescent="0.2">
      <c r="A34" s="13" t="s">
        <v>77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27</v>
      </c>
      <c r="K34" s="37">
        <f>+I34*J34</f>
        <v>843844.71167999995</v>
      </c>
    </row>
    <row r="35" spans="1:11" hidden="1" x14ac:dyDescent="0.2">
      <c r="A35" s="13" t="s">
        <v>79</v>
      </c>
      <c r="B35" s="14"/>
      <c r="C35" s="15"/>
      <c r="E35" s="15"/>
    </row>
    <row r="36" spans="1:11" hidden="1" x14ac:dyDescent="0.2">
      <c r="A36" s="13" t="s">
        <v>81</v>
      </c>
      <c r="B36" s="14"/>
      <c r="C36" s="15"/>
      <c r="E36" s="15"/>
    </row>
    <row r="37" spans="1:11" hidden="1" x14ac:dyDescent="0.2">
      <c r="A37" s="13" t="s">
        <v>83</v>
      </c>
      <c r="B37" s="14"/>
      <c r="C37" s="15"/>
      <c r="E37" s="15"/>
    </row>
    <row r="38" spans="1:11" hidden="1" x14ac:dyDescent="0.2">
      <c r="A38" s="13" t="s">
        <v>85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AQ49"/>
  <sheetViews>
    <sheetView topLeftCell="A2" zoomScaleNormal="100" workbookViewId="0">
      <selection activeCell="D64" sqref="D64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6" width="0" hidden="1" customWidth="1"/>
  </cols>
  <sheetData>
    <row r="1" spans="1:43" ht="18" x14ac:dyDescent="0.25">
      <c r="B1" s="142" t="str">
        <f>'[2]Team Report'!B1</f>
        <v>Enron North America</v>
      </c>
      <c r="C1" s="142"/>
      <c r="D1" s="142"/>
      <c r="E1" s="142"/>
      <c r="F1" s="142"/>
      <c r="G1" s="142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42" t="s">
        <v>235</v>
      </c>
      <c r="C2" s="142"/>
      <c r="D2" s="142"/>
      <c r="E2" s="142"/>
      <c r="F2" s="142"/>
      <c r="G2" s="142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43" t="s">
        <v>0</v>
      </c>
      <c r="C3" s="143"/>
      <c r="D3" s="143"/>
      <c r="E3" s="143"/>
      <c r="F3" s="143"/>
      <c r="G3" s="143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1</v>
      </c>
      <c r="J5" s="8" t="s">
        <v>2</v>
      </c>
      <c r="K5" s="9" t="s">
        <v>3</v>
      </c>
    </row>
    <row r="6" spans="1:43" x14ac:dyDescent="0.2">
      <c r="C6" s="10">
        <v>37135</v>
      </c>
      <c r="E6" s="44" t="s">
        <v>63</v>
      </c>
      <c r="G6" s="44" t="s">
        <v>63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5</v>
      </c>
      <c r="E7" s="12" t="s">
        <v>6</v>
      </c>
      <c r="G7" s="12" t="s">
        <v>7</v>
      </c>
      <c r="H7" s="7"/>
      <c r="I7" s="17"/>
      <c r="J7" s="8"/>
      <c r="K7" s="9"/>
      <c r="O7" s="12" t="s">
        <v>7</v>
      </c>
      <c r="AK7" s="12"/>
    </row>
    <row r="8" spans="1:43" x14ac:dyDescent="0.2">
      <c r="A8" s="13" t="s">
        <v>9</v>
      </c>
      <c r="B8" s="14" t="s">
        <v>10</v>
      </c>
      <c r="C8" s="15">
        <f>+'[1]Natural Gas'!C8+[1]Ontario!C8+[1]Finance!C8+[1]Executive!C8+[1]Alberta!C8</f>
        <v>2855922.0300000003</v>
      </c>
      <c r="E8" s="15">
        <f>+'[1]Natural Gas'!E8+[1]Ontario!E8+[1]Finance!E8+[1]Executive!E8+[1]Alberta!E8</f>
        <v>3807896.0399999991</v>
      </c>
      <c r="G8" s="15">
        <f>K28-G11-G10</f>
        <v>0</v>
      </c>
      <c r="H8" s="7" t="s">
        <v>10</v>
      </c>
      <c r="I8" s="17">
        <v>0</v>
      </c>
      <c r="J8" s="8"/>
      <c r="K8" s="18">
        <f>K28</f>
        <v>0</v>
      </c>
      <c r="O8" s="15" t="e">
        <f t="shared" ref="O8:O22" si="0">+G8/$G$29*$O$29</f>
        <v>#DIV/0!</v>
      </c>
      <c r="AK8" s="32"/>
    </row>
    <row r="9" spans="1:43" x14ac:dyDescent="0.2">
      <c r="A9" s="13"/>
      <c r="B9" s="14" t="s">
        <v>11</v>
      </c>
      <c r="C9" s="15">
        <f>+'[1]Natural Gas'!C9+[1]Ontario!C9+[1]Finance!C9+[1]Executive!C9+[1]Alberta!C9</f>
        <v>0</v>
      </c>
      <c r="E9" s="15">
        <f>+'[1]Natural Gas'!E9+[1]Ontario!E9+[1]Finance!E9+[1]Executive!E9+[1]Alberta!E9</f>
        <v>0</v>
      </c>
      <c r="G9" s="15">
        <v>0</v>
      </c>
      <c r="H9" s="7"/>
      <c r="I9" s="17"/>
      <c r="J9" s="8"/>
      <c r="K9" s="9"/>
      <c r="O9" s="15" t="e">
        <f t="shared" si="0"/>
        <v>#DIV/0!</v>
      </c>
      <c r="AK9" s="32"/>
    </row>
    <row r="10" spans="1:43" x14ac:dyDescent="0.2">
      <c r="A10" s="13"/>
      <c r="B10" s="14" t="s">
        <v>89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 t="e">
        <f t="shared" si="0"/>
        <v>#DIV/0!</v>
      </c>
      <c r="AK10" s="32"/>
    </row>
    <row r="11" spans="1:43" x14ac:dyDescent="0.2">
      <c r="A11" s="13" t="s">
        <v>13</v>
      </c>
      <c r="B11" s="14" t="s">
        <v>14</v>
      </c>
      <c r="C11" s="15">
        <f>+'[1]Natural Gas'!C11+[1]Ontario!C11+[1]Finance!C11+[1]Executive!C10+[1]Alberta!C11</f>
        <v>312682.37</v>
      </c>
      <c r="E11" s="15">
        <f>+'[1]Natural Gas'!E11+[1]Ontario!E11+[1]Finance!E11+[1]Executive!E10+[1]Alberta!E11</f>
        <v>416909.82666666666</v>
      </c>
      <c r="G11" s="15">
        <v>0</v>
      </c>
      <c r="H11" s="7" t="s">
        <v>15</v>
      </c>
      <c r="I11" s="19">
        <f>(E12+E13+E14+E15+E16+E17+E18+E19+E20+E21+E22)/E29</f>
        <v>31253.507839999998</v>
      </c>
      <c r="J11" s="8">
        <f>J28</f>
        <v>0</v>
      </c>
      <c r="K11" s="18">
        <f>I11*J11</f>
        <v>0</v>
      </c>
      <c r="O11" s="15" t="e">
        <f t="shared" si="0"/>
        <v>#DIV/0!</v>
      </c>
      <c r="AK11" s="32"/>
    </row>
    <row r="12" spans="1:43" x14ac:dyDescent="0.2">
      <c r="A12" s="13" t="s">
        <v>16</v>
      </c>
      <c r="B12" s="14" t="s">
        <v>17</v>
      </c>
      <c r="C12" s="15">
        <f>+'[1]Natural Gas'!C12+[1]Ontario!C12+[1]Finance!C12+[1]Executive!C12+[1]Alberta!C12</f>
        <v>67320.12999999999</v>
      </c>
      <c r="E12" s="20">
        <f>(+'[1]Natural Gas'!E12+[1]Ontario!E12+[1]Finance!E12+[1]Executive!E12+[1]Alberta!E12)*1.2</f>
        <v>107712.20799999998</v>
      </c>
      <c r="G12" s="21">
        <f t="shared" ref="G12:G22" si="1">(E12/$E$29)*$G$29</f>
        <v>0</v>
      </c>
      <c r="H12" s="7"/>
      <c r="I12" s="17"/>
      <c r="J12" s="8"/>
      <c r="K12" s="9"/>
      <c r="O12" s="15" t="e">
        <f t="shared" si="0"/>
        <v>#DIV/0!</v>
      </c>
      <c r="AK12" s="32"/>
    </row>
    <row r="13" spans="1:43" ht="13.5" thickBot="1" x14ac:dyDescent="0.25">
      <c r="A13" s="13" t="s">
        <v>18</v>
      </c>
      <c r="B13" s="14" t="s">
        <v>19</v>
      </c>
      <c r="C13" s="15">
        <f>+'[1]Natural Gas'!C13+[1]Ontario!C13+[1]Finance!C13+[1]Executive!C13+[1]Alberta!C13</f>
        <v>297871.83999999997</v>
      </c>
      <c r="E13" s="20">
        <f>(+'[1]Natural Gas'!E13+[1]Ontario!E13+[1]Finance!E13+[1]Executive!E13+[1]Alberta!E13)*1.2</f>
        <v>476594.94399999996</v>
      </c>
      <c r="G13" s="21">
        <f t="shared" si="1"/>
        <v>0</v>
      </c>
      <c r="H13" s="22" t="s">
        <v>20</v>
      </c>
      <c r="I13" s="47"/>
      <c r="J13" s="23"/>
      <c r="K13" s="24">
        <f>K8+K11</f>
        <v>0</v>
      </c>
      <c r="O13" s="15" t="e">
        <f t="shared" si="0"/>
        <v>#DIV/0!</v>
      </c>
      <c r="AK13" s="32"/>
    </row>
    <row r="14" spans="1:43" x14ac:dyDescent="0.2">
      <c r="A14" s="13" t="s">
        <v>21</v>
      </c>
      <c r="B14" s="14" t="s">
        <v>22</v>
      </c>
      <c r="C14" s="15">
        <f>+'[1]Natural Gas'!C14+[1]Ontario!C14+[1]Finance!C14+[1]Executive!C14+[1]Alberta!C14</f>
        <v>505739.98</v>
      </c>
      <c r="E14" s="20">
        <f>(+'[1]Natural Gas'!E14+[1]Ontario!E14+[1]Finance!E14+[1]Executive!E14+[1]Alberta!E14)*1.2</f>
        <v>809183.96799999999</v>
      </c>
      <c r="G14" s="21">
        <f t="shared" si="1"/>
        <v>0</v>
      </c>
      <c r="O14" s="15" t="e">
        <f t="shared" si="0"/>
        <v>#DIV/0!</v>
      </c>
      <c r="AK14" s="32"/>
    </row>
    <row r="15" spans="1:43" x14ac:dyDescent="0.2">
      <c r="A15" s="13" t="s">
        <v>23</v>
      </c>
      <c r="B15" s="14" t="s">
        <v>24</v>
      </c>
      <c r="C15" s="15">
        <f>+'[1]Natural Gas'!C15+[1]Ontario!C15+[1]Finance!C15+[1]Executive!C15+[1]Alberta!C15</f>
        <v>6427.4199999999992</v>
      </c>
      <c r="E15" s="20">
        <f>(+'[1]Natural Gas'!E15+[1]Ontario!E15+[1]Finance!E15+[1]Executive!E15+[1]Alberta!E15)*1.2</f>
        <v>10283.871999999998</v>
      </c>
      <c r="G15" s="21">
        <f t="shared" si="1"/>
        <v>0</v>
      </c>
      <c r="O15" s="15" t="e">
        <f t="shared" si="0"/>
        <v>#DIV/0!</v>
      </c>
      <c r="AK15" s="32"/>
    </row>
    <row r="16" spans="1:43" x14ac:dyDescent="0.2">
      <c r="A16" s="13" t="s">
        <v>25</v>
      </c>
      <c r="B16" s="14" t="s">
        <v>26</v>
      </c>
      <c r="C16" s="15">
        <f>+'[1]Natural Gas'!C16+[1]Ontario!C16+[1]Finance!C16+[1]Executive!C16+[1]Alberta!C16</f>
        <v>0</v>
      </c>
      <c r="E16" s="20">
        <f>(+'[1]Natural Gas'!E16+[1]Ontario!E16+[1]Finance!E16+[1]Executive!E16+[1]Alberta!E16)*1.2</f>
        <v>0</v>
      </c>
      <c r="G16" s="21">
        <f t="shared" si="1"/>
        <v>0</v>
      </c>
      <c r="H16" t="s">
        <v>27</v>
      </c>
      <c r="I16" s="25">
        <v>33600</v>
      </c>
      <c r="J16">
        <v>0</v>
      </c>
      <c r="K16">
        <f t="shared" ref="K16:K27" si="2">I16*J16</f>
        <v>0</v>
      </c>
      <c r="O16" s="15" t="e">
        <f t="shared" si="0"/>
        <v>#DIV/0!</v>
      </c>
      <c r="AK16" s="32"/>
    </row>
    <row r="17" spans="1:37" x14ac:dyDescent="0.2">
      <c r="A17" s="13" t="s">
        <v>28</v>
      </c>
      <c r="B17" s="14" t="s">
        <v>29</v>
      </c>
      <c r="C17" s="15">
        <f>+'[1]Natural Gas'!C17+[1]Ontario!C17+[1]Finance!C17+[1]Executive!C17+[1]Alberta!C17</f>
        <v>1883.62</v>
      </c>
      <c r="E17" s="20">
        <f>(+'[1]Natural Gas'!E17+[1]Ontario!E17+[1]Finance!E17+[1]Executive!E17+[1]Alberta!E17)*1.2</f>
        <v>3013.7920000000004</v>
      </c>
      <c r="G17" s="21">
        <f t="shared" si="1"/>
        <v>0</v>
      </c>
      <c r="H17" t="s">
        <v>30</v>
      </c>
      <c r="I17" s="25">
        <v>52800</v>
      </c>
      <c r="J17">
        <v>0</v>
      </c>
      <c r="K17">
        <f t="shared" si="2"/>
        <v>0</v>
      </c>
      <c r="O17" s="15" t="e">
        <f t="shared" si="0"/>
        <v>#DIV/0!</v>
      </c>
      <c r="AK17" s="32"/>
    </row>
    <row r="18" spans="1:37" x14ac:dyDescent="0.2">
      <c r="A18" s="13" t="s">
        <v>31</v>
      </c>
      <c r="B18" s="14" t="s">
        <v>32</v>
      </c>
      <c r="C18" s="15">
        <f>+'[1]Natural Gas'!C18+[1]Ontario!C18+[1]Finance!C18+[1]Executive!C18+[1]Alberta!C18</f>
        <v>19208.419999999998</v>
      </c>
      <c r="E18" s="20">
        <f>(+'[1]Natural Gas'!E18+[1]Ontario!E18+[1]Finance!E18+[1]Executive!E18+[1]Alberta!E18)*1.2</f>
        <v>30733.471999999998</v>
      </c>
      <c r="G18" s="21">
        <f t="shared" si="1"/>
        <v>0</v>
      </c>
      <c r="H18" t="s">
        <v>33</v>
      </c>
      <c r="I18" s="25">
        <v>54000</v>
      </c>
      <c r="J18">
        <v>0</v>
      </c>
      <c r="K18">
        <f t="shared" si="2"/>
        <v>0</v>
      </c>
      <c r="O18" s="15" t="e">
        <f t="shared" si="0"/>
        <v>#DIV/0!</v>
      </c>
      <c r="AK18" s="32"/>
    </row>
    <row r="19" spans="1:37" x14ac:dyDescent="0.2">
      <c r="A19" s="13" t="s">
        <v>34</v>
      </c>
      <c r="B19" s="14" t="s">
        <v>35</v>
      </c>
      <c r="C19" s="15">
        <f>+'[1]Natural Gas'!C19+[1]Ontario!C19+[1]Finance!C19+[1]Executive!C19+[1]Alberta!C19</f>
        <v>52344.84</v>
      </c>
      <c r="E19" s="20">
        <f>(+'[1]Natural Gas'!E19+[1]Ontario!E19+[1]Finance!E19+[1]Executive!E19+[1]Alberta!E19)*1.2</f>
        <v>83751.743999999992</v>
      </c>
      <c r="G19" s="21">
        <f t="shared" si="1"/>
        <v>0</v>
      </c>
      <c r="H19" t="s">
        <v>36</v>
      </c>
      <c r="I19" s="25">
        <v>63000</v>
      </c>
      <c r="J19">
        <v>0</v>
      </c>
      <c r="K19">
        <f t="shared" si="2"/>
        <v>0</v>
      </c>
      <c r="O19" s="15" t="e">
        <f t="shared" si="0"/>
        <v>#DIV/0!</v>
      </c>
      <c r="AK19" s="32"/>
    </row>
    <row r="20" spans="1:37" x14ac:dyDescent="0.2">
      <c r="A20" s="13" t="s">
        <v>37</v>
      </c>
      <c r="B20" s="14" t="s">
        <v>38</v>
      </c>
      <c r="C20" s="15">
        <f>+'[1]Natural Gas'!C20+[1]Ontario!C20+[1]Finance!C20+[1]Executive!C20+[1]Alberta!C20</f>
        <v>0</v>
      </c>
      <c r="E20" s="20">
        <f>(+'[1]Natural Gas'!E20+[1]Ontario!E20+[1]Finance!E20+[1]Executive!E20+[1]Alberta!E20)*1.2</f>
        <v>0</v>
      </c>
      <c r="G20" s="21">
        <f t="shared" si="1"/>
        <v>0</v>
      </c>
      <c r="H20" t="s">
        <v>39</v>
      </c>
      <c r="I20" s="25">
        <v>78000</v>
      </c>
      <c r="J20">
        <v>0</v>
      </c>
      <c r="K20">
        <f t="shared" si="2"/>
        <v>0</v>
      </c>
      <c r="O20" s="15" t="e">
        <f t="shared" si="0"/>
        <v>#DIV/0!</v>
      </c>
      <c r="AK20" s="32"/>
    </row>
    <row r="21" spans="1:37" x14ac:dyDescent="0.2">
      <c r="A21" s="13" t="s">
        <v>40</v>
      </c>
      <c r="B21" s="14" t="s">
        <v>41</v>
      </c>
      <c r="C21" s="15">
        <f>+'[1]Natural Gas'!C21+[1]Ontario!C21+[1]Finance!C21+[1]Executive!C21+[1]Alberta!C21</f>
        <v>19769.170000000046</v>
      </c>
      <c r="E21" s="20">
        <f>(+'[1]Natural Gas'!E21+[1]Ontario!E21+[1]Finance!E21+[1]Executive!E21+[1]Alberta!E21)*1.2</f>
        <v>31630.672000000071</v>
      </c>
      <c r="G21" s="21">
        <f t="shared" si="1"/>
        <v>0</v>
      </c>
      <c r="H21" t="s">
        <v>42</v>
      </c>
      <c r="I21" s="25">
        <v>66000</v>
      </c>
      <c r="J21">
        <v>0</v>
      </c>
      <c r="K21">
        <f t="shared" si="2"/>
        <v>0</v>
      </c>
      <c r="O21" s="15" t="e">
        <f t="shared" si="0"/>
        <v>#DIV/0!</v>
      </c>
      <c r="AK21" s="32"/>
    </row>
    <row r="22" spans="1:37" x14ac:dyDescent="0.2">
      <c r="A22" s="13" t="s">
        <v>43</v>
      </c>
      <c r="B22" s="14" t="s">
        <v>44</v>
      </c>
      <c r="C22" s="15">
        <f>+'[1]Natural Gas'!C22+[1]Ontario!C22+[1]Finance!C22+[1]Executive!C22+[1]Alberta!C22</f>
        <v>6106.7000000000089</v>
      </c>
      <c r="E22" s="20">
        <f>(+'[1]Natural Gas'!E22+[1]Ontario!E22+[1]Finance!E22+[1]Executive!E22+[1]Alberta!E22)*1.2</f>
        <v>9770.7200000000139</v>
      </c>
      <c r="G22" s="21">
        <f t="shared" si="1"/>
        <v>0</v>
      </c>
      <c r="H22" t="s">
        <v>45</v>
      </c>
      <c r="I22" s="25">
        <v>97200</v>
      </c>
      <c r="J22">
        <v>0</v>
      </c>
      <c r="K22">
        <f t="shared" si="2"/>
        <v>0</v>
      </c>
      <c r="O22" s="15" t="e">
        <f t="shared" si="0"/>
        <v>#DIV/0!</v>
      </c>
      <c r="AK22" s="32"/>
    </row>
    <row r="23" spans="1:37" x14ac:dyDescent="0.2">
      <c r="A23" s="26" t="s">
        <v>46</v>
      </c>
      <c r="B23" s="27" t="s">
        <v>47</v>
      </c>
      <c r="C23" s="28">
        <f>SUM(C8:C22)</f>
        <v>4145276.52</v>
      </c>
      <c r="E23" s="28">
        <f>SUM(E8:E22)</f>
        <v>5787481.2586666662</v>
      </c>
      <c r="G23" s="28">
        <f>SUM(G8:G22)</f>
        <v>0</v>
      </c>
      <c r="H23" t="s">
        <v>48</v>
      </c>
      <c r="I23" s="25">
        <v>120000</v>
      </c>
      <c r="J23">
        <v>0</v>
      </c>
      <c r="K23">
        <f t="shared" si="2"/>
        <v>0</v>
      </c>
      <c r="O23" s="28" t="e">
        <f>SUM(O8:O22)</f>
        <v>#DIV/0!</v>
      </c>
      <c r="AK23" s="29"/>
    </row>
    <row r="24" spans="1:37" x14ac:dyDescent="0.2">
      <c r="H24" t="s">
        <v>49</v>
      </c>
      <c r="I24" s="25">
        <v>156000</v>
      </c>
      <c r="J24">
        <v>0</v>
      </c>
      <c r="K24">
        <f t="shared" si="2"/>
        <v>0</v>
      </c>
      <c r="AK24" s="8"/>
    </row>
    <row r="25" spans="1:37" x14ac:dyDescent="0.2">
      <c r="B25" s="27" t="s">
        <v>50</v>
      </c>
      <c r="C25" s="60"/>
      <c r="E25" s="61">
        <f>+'[1]Natural Gas'!E25+[1]Ontario!E25+[1]Finance!E25+[1]Executive!E25+[1]Alberta!E25</f>
        <v>30</v>
      </c>
      <c r="G25" s="61">
        <f>SUM(J16:J20,J23:J27)</f>
        <v>0</v>
      </c>
      <c r="H25" t="s">
        <v>51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52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x14ac:dyDescent="0.2">
      <c r="B27" s="27" t="s">
        <v>53</v>
      </c>
      <c r="C27" s="15"/>
      <c r="E27" s="61">
        <f>+'[1]Natural Gas'!E27+[1]Ontario!E27+[1]Finance!E27+[1]Executive!E27+[1]Alberta!E27</f>
        <v>20</v>
      </c>
      <c r="G27" s="61">
        <f>SUM(J21:J22)</f>
        <v>0</v>
      </c>
      <c r="H27" t="s">
        <v>90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0</v>
      </c>
      <c r="K28">
        <f>SUM(K16:K27)*1.2</f>
        <v>0</v>
      </c>
      <c r="AK28" s="8"/>
    </row>
    <row r="29" spans="1:37" x14ac:dyDescent="0.2">
      <c r="B29" s="27" t="s">
        <v>55</v>
      </c>
      <c r="C29" s="15"/>
      <c r="E29" s="31">
        <f>+E27+E25</f>
        <v>50</v>
      </c>
      <c r="F29" s="32"/>
      <c r="G29" s="31">
        <f>+G27+G25</f>
        <v>0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71</v>
      </c>
      <c r="B31" s="14" t="s">
        <v>91</v>
      </c>
      <c r="C31" s="15"/>
      <c r="E31" s="15"/>
      <c r="G31" s="33" t="s">
        <v>56</v>
      </c>
      <c r="H31" s="25"/>
      <c r="J31" s="25"/>
    </row>
    <row r="32" spans="1:37" hidden="1" x14ac:dyDescent="0.2">
      <c r="A32" s="13" t="s">
        <v>73</v>
      </c>
      <c r="B32" s="14"/>
      <c r="C32" s="15"/>
      <c r="E32" s="15"/>
      <c r="H32" s="25"/>
      <c r="J32" s="25"/>
    </row>
    <row r="33" spans="1:11" hidden="1" x14ac:dyDescent="0.2">
      <c r="A33" s="13" t="s">
        <v>75</v>
      </c>
      <c r="B33" s="14"/>
      <c r="C33" s="15"/>
      <c r="E33" s="15"/>
      <c r="G33" s="34" t="s">
        <v>57</v>
      </c>
      <c r="H33" s="35" t="s">
        <v>58</v>
      </c>
      <c r="I33" s="35" t="s">
        <v>59</v>
      </c>
      <c r="J33" s="35" t="s">
        <v>2</v>
      </c>
      <c r="K33" s="35" t="s">
        <v>60</v>
      </c>
    </row>
    <row r="34" spans="1:11" hidden="1" x14ac:dyDescent="0.2">
      <c r="A34" s="13" t="s">
        <v>77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0</v>
      </c>
      <c r="K34" s="37">
        <f>+I34*J34</f>
        <v>0</v>
      </c>
    </row>
    <row r="35" spans="1:11" hidden="1" x14ac:dyDescent="0.2">
      <c r="A35" s="13" t="s">
        <v>79</v>
      </c>
      <c r="B35" s="14"/>
      <c r="C35" s="15"/>
      <c r="E35" s="15"/>
    </row>
    <row r="36" spans="1:11" hidden="1" x14ac:dyDescent="0.2">
      <c r="A36" s="13" t="s">
        <v>81</v>
      </c>
      <c r="B36" s="14"/>
      <c r="C36" s="15"/>
      <c r="E36" s="15"/>
    </row>
    <row r="37" spans="1:11" hidden="1" x14ac:dyDescent="0.2">
      <c r="A37" s="13" t="s">
        <v>83</v>
      </c>
      <c r="B37" s="14"/>
      <c r="C37" s="15"/>
      <c r="E37" s="15"/>
    </row>
    <row r="38" spans="1:11" hidden="1" x14ac:dyDescent="0.2">
      <c r="A38" s="13" t="s">
        <v>85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O40"/>
  <sheetViews>
    <sheetView zoomScaleNormal="100" workbookViewId="0">
      <selection activeCell="O6" sqref="O6:O29"/>
    </sheetView>
  </sheetViews>
  <sheetFormatPr defaultRowHeight="12.75" x14ac:dyDescent="0.2"/>
  <cols>
    <col min="2" max="2" width="28.7109375" customWidth="1"/>
    <col min="3" max="3" width="19.140625" hidden="1" customWidth="1"/>
    <col min="4" max="4" width="2.5703125" hidden="1" customWidth="1"/>
    <col min="5" max="5" width="13.85546875" hidden="1" customWidth="1"/>
    <col min="6" max="6" width="3.85546875" customWidth="1"/>
    <col min="7" max="7" width="12" customWidth="1"/>
    <col min="8" max="8" width="12.7109375" hidden="1" customWidth="1"/>
    <col min="9" max="9" width="1.7109375" hidden="1" customWidth="1"/>
    <col min="10" max="10" width="15.28515625" hidden="1" customWidth="1"/>
    <col min="11" max="11" width="10.42578125" hidden="1" customWidth="1"/>
    <col min="12" max="12" width="9" hidden="1" customWidth="1"/>
    <col min="13" max="13" width="11.85546875" hidden="1" customWidth="1"/>
  </cols>
  <sheetData>
    <row r="1" spans="1:15" ht="18" x14ac:dyDescent="0.25">
      <c r="B1" s="142" t="str">
        <f>'[5]Team Report'!B1</f>
        <v>Enron North America</v>
      </c>
      <c r="C1" s="142"/>
      <c r="D1" s="144"/>
      <c r="E1" s="144"/>
      <c r="F1" s="144"/>
      <c r="G1" s="144"/>
      <c r="H1" s="1"/>
      <c r="I1" s="1"/>
      <c r="J1" s="1"/>
      <c r="K1" s="1"/>
      <c r="L1" s="1"/>
      <c r="M1" s="1"/>
    </row>
    <row r="2" spans="1:15" ht="18" x14ac:dyDescent="0.25">
      <c r="B2" s="142" t="s">
        <v>131</v>
      </c>
      <c r="C2" s="142"/>
      <c r="D2" s="144"/>
      <c r="E2" s="144"/>
      <c r="F2" s="144"/>
      <c r="G2" s="144"/>
      <c r="H2" s="1"/>
      <c r="I2" s="1"/>
      <c r="J2" s="1"/>
      <c r="K2" s="1"/>
      <c r="L2" s="1"/>
      <c r="M2" s="1"/>
    </row>
    <row r="3" spans="1:15" ht="18" x14ac:dyDescent="0.25">
      <c r="B3" s="142" t="s">
        <v>0</v>
      </c>
      <c r="C3" s="142"/>
      <c r="D3" s="144"/>
      <c r="E3" s="144"/>
      <c r="F3" s="144"/>
      <c r="G3" s="144"/>
      <c r="H3" s="3"/>
      <c r="I3" s="3"/>
      <c r="J3" s="3"/>
      <c r="K3" s="3"/>
      <c r="L3" s="3"/>
      <c r="M3" s="3"/>
    </row>
    <row r="4" spans="1:15" ht="13.5" thickBot="1" x14ac:dyDescent="0.25"/>
    <row r="5" spans="1:15" x14ac:dyDescent="0.2">
      <c r="J5" s="4"/>
      <c r="K5" s="40"/>
      <c r="L5" s="40"/>
      <c r="M5" s="41"/>
    </row>
    <row r="6" spans="1:1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1</v>
      </c>
      <c r="L6" s="19" t="s">
        <v>2</v>
      </c>
      <c r="M6" s="74" t="s">
        <v>107</v>
      </c>
      <c r="O6" s="11">
        <v>2002</v>
      </c>
    </row>
    <row r="7" spans="1:15" x14ac:dyDescent="0.2">
      <c r="C7" s="12" t="s">
        <v>5</v>
      </c>
      <c r="E7" s="12" t="s">
        <v>6</v>
      </c>
      <c r="F7" s="12"/>
      <c r="G7" s="12" t="s">
        <v>7</v>
      </c>
      <c r="H7" s="33"/>
      <c r="J7" s="7"/>
      <c r="K7" s="17"/>
      <c r="L7" s="17"/>
      <c r="M7" s="43"/>
      <c r="O7" s="12" t="s">
        <v>7</v>
      </c>
    </row>
    <row r="8" spans="1:15" x14ac:dyDescent="0.2">
      <c r="A8" s="13" t="s">
        <v>9</v>
      </c>
      <c r="B8" s="14" t="s">
        <v>10</v>
      </c>
      <c r="C8" s="15">
        <f>'[5]Team Report'!BA25</f>
        <v>17469588.960000001</v>
      </c>
      <c r="E8" s="15">
        <f t="shared" ref="E8:E22" si="0">+C8/9*12</f>
        <v>23292785.280000001</v>
      </c>
      <c r="F8" s="15"/>
      <c r="G8" s="15">
        <f>SUM(M17:M28)</f>
        <v>1776000</v>
      </c>
      <c r="J8" s="7"/>
      <c r="K8" s="17"/>
      <c r="L8" s="17"/>
      <c r="M8" s="43"/>
      <c r="O8" s="15">
        <f>+G8/$G$29*$O$29</f>
        <v>148000</v>
      </c>
    </row>
    <row r="9" spans="1:15" hidden="1" x14ac:dyDescent="0.2">
      <c r="A9" s="13"/>
      <c r="B9" s="14" t="s">
        <v>11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10</v>
      </c>
      <c r="K9" s="17">
        <v>0</v>
      </c>
      <c r="L9" s="17">
        <f>+L29</f>
        <v>12</v>
      </c>
      <c r="M9" s="43">
        <f>M35</f>
        <v>2131200</v>
      </c>
      <c r="O9" s="15">
        <f t="shared" ref="O9:O21" si="1">+G9/$G$29*$O$29</f>
        <v>0</v>
      </c>
    </row>
    <row r="10" spans="1:15" x14ac:dyDescent="0.2">
      <c r="B10" s="14" t="s">
        <v>12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15" x14ac:dyDescent="0.2">
      <c r="A11" s="13" t="s">
        <v>13</v>
      </c>
      <c r="B11" s="14" t="s">
        <v>14</v>
      </c>
      <c r="C11" s="15">
        <f>'[5]Team Report'!BA26</f>
        <v>1272399.6399999999</v>
      </c>
      <c r="E11" s="15">
        <f t="shared" si="0"/>
        <v>1696532.8533333333</v>
      </c>
      <c r="F11" s="15"/>
      <c r="G11" s="15">
        <f>+G8*0.2</f>
        <v>355200</v>
      </c>
      <c r="J11" s="7"/>
      <c r="K11" s="17"/>
      <c r="L11" s="17"/>
      <c r="M11" s="43"/>
      <c r="O11" s="15">
        <f t="shared" si="1"/>
        <v>29600</v>
      </c>
    </row>
    <row r="12" spans="1:15" x14ac:dyDescent="0.2">
      <c r="A12" s="13" t="s">
        <v>16</v>
      </c>
      <c r="B12" s="14" t="s">
        <v>17</v>
      </c>
      <c r="C12" s="15">
        <f>'[5]Team Report'!BA27</f>
        <v>141777.57</v>
      </c>
      <c r="E12" s="15">
        <f t="shared" si="0"/>
        <v>189036.76</v>
      </c>
      <c r="F12" s="15"/>
      <c r="G12" s="15">
        <f>+$M$12*0.25</f>
        <v>66582</v>
      </c>
      <c r="J12" s="7" t="s">
        <v>15</v>
      </c>
      <c r="K12" s="17">
        <f>18495*1.2</f>
        <v>22194</v>
      </c>
      <c r="L12" s="17">
        <v>12</v>
      </c>
      <c r="M12" s="43">
        <f>K12*L12</f>
        <v>266328</v>
      </c>
      <c r="O12" s="15">
        <f t="shared" si="1"/>
        <v>5548.5</v>
      </c>
    </row>
    <row r="13" spans="1:15" x14ac:dyDescent="0.2">
      <c r="A13" s="13" t="s">
        <v>18</v>
      </c>
      <c r="B13" s="14" t="s">
        <v>19</v>
      </c>
      <c r="C13" s="15">
        <f>'[5]Team Report'!BA28</f>
        <v>100051.51000000001</v>
      </c>
      <c r="E13" s="15">
        <f t="shared" si="0"/>
        <v>133402.01333333334</v>
      </c>
      <c r="F13" s="15"/>
      <c r="G13" s="15">
        <f>+$M$12*0.13</f>
        <v>34622.639999999999</v>
      </c>
      <c r="J13" s="7"/>
      <c r="K13" s="17"/>
      <c r="L13" s="17"/>
      <c r="M13" s="43"/>
      <c r="O13" s="15">
        <f t="shared" si="1"/>
        <v>2885.22</v>
      </c>
    </row>
    <row r="14" spans="1:15" ht="13.5" thickBot="1" x14ac:dyDescent="0.25">
      <c r="A14" s="13" t="s">
        <v>21</v>
      </c>
      <c r="B14" s="14" t="s">
        <v>22</v>
      </c>
      <c r="C14" s="15">
        <f>'[5]Team Report'!BA32</f>
        <v>13823042.719999999</v>
      </c>
      <c r="E14" s="15">
        <f t="shared" si="0"/>
        <v>18430723.626666665</v>
      </c>
      <c r="F14" s="15"/>
      <c r="G14" s="15">
        <f>+$M$12*0.2</f>
        <v>53265.600000000006</v>
      </c>
      <c r="J14" s="22" t="s">
        <v>20</v>
      </c>
      <c r="K14" s="47"/>
      <c r="L14" s="47"/>
      <c r="M14" s="48">
        <f>SUM(M9:M12)</f>
        <v>2397528</v>
      </c>
      <c r="O14" s="15">
        <f t="shared" si="1"/>
        <v>4438.8</v>
      </c>
    </row>
    <row r="15" spans="1:15" x14ac:dyDescent="0.2">
      <c r="A15" s="13" t="s">
        <v>23</v>
      </c>
      <c r="B15" s="14" t="s">
        <v>24</v>
      </c>
      <c r="C15" s="15">
        <f>'[5]Team Report'!BA33</f>
        <v>7559.4299999999994</v>
      </c>
      <c r="E15" s="15">
        <f t="shared" si="0"/>
        <v>10079.24</v>
      </c>
      <c r="F15" s="15"/>
      <c r="G15" s="15">
        <f>+$M$12*0.08</f>
        <v>21306.240000000002</v>
      </c>
      <c r="J15" s="8"/>
      <c r="K15" s="17"/>
      <c r="L15" s="17"/>
      <c r="M15" s="17"/>
      <c r="O15" s="15">
        <f t="shared" si="1"/>
        <v>1775.5200000000002</v>
      </c>
    </row>
    <row r="16" spans="1:15" x14ac:dyDescent="0.2">
      <c r="A16" s="13" t="s">
        <v>25</v>
      </c>
      <c r="B16" s="14" t="s">
        <v>26</v>
      </c>
      <c r="C16" s="15">
        <f>'[5]Team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'[5]Team Report'!BA35</f>
        <v>0</v>
      </c>
      <c r="E17" s="15">
        <f t="shared" si="0"/>
        <v>0</v>
      </c>
      <c r="F17" s="15"/>
      <c r="G17" s="15">
        <v>0</v>
      </c>
      <c r="J17" t="s">
        <v>27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31</v>
      </c>
      <c r="B18" s="14" t="s">
        <v>32</v>
      </c>
      <c r="C18" s="15">
        <f>'[5]Team Report'!BA36</f>
        <v>91694.450000000012</v>
      </c>
      <c r="E18" s="15">
        <f t="shared" si="0"/>
        <v>122259.26666666669</v>
      </c>
      <c r="F18" s="15"/>
      <c r="G18" s="15">
        <v>0</v>
      </c>
      <c r="J18" t="s">
        <v>30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x14ac:dyDescent="0.2">
      <c r="A19" s="13" t="s">
        <v>34</v>
      </c>
      <c r="B19" s="14" t="s">
        <v>35</v>
      </c>
      <c r="C19" s="15">
        <f>'[5]Team Report'!BA37</f>
        <v>-7331217.4600000009</v>
      </c>
      <c r="E19" s="15">
        <f t="shared" si="0"/>
        <v>-9774956.6133333351</v>
      </c>
      <c r="F19" s="15"/>
      <c r="G19" s="15">
        <f>+$M$12*0.19</f>
        <v>50602.32</v>
      </c>
      <c r="J19" t="s">
        <v>33</v>
      </c>
      <c r="K19" s="25">
        <v>60000</v>
      </c>
      <c r="L19" s="25">
        <v>0</v>
      </c>
      <c r="M19" s="17">
        <f t="shared" si="2"/>
        <v>0</v>
      </c>
      <c r="O19" s="15">
        <f t="shared" si="1"/>
        <v>4216.8599999999997</v>
      </c>
    </row>
    <row r="20" spans="1:15" x14ac:dyDescent="0.2">
      <c r="A20" s="13" t="s">
        <v>37</v>
      </c>
      <c r="B20" s="14" t="s">
        <v>38</v>
      </c>
      <c r="C20" s="15">
        <f>'[5]Team Report'!BA38</f>
        <v>0</v>
      </c>
      <c r="E20" s="15">
        <f t="shared" si="0"/>
        <v>0</v>
      </c>
      <c r="F20" s="15"/>
      <c r="G20" s="15">
        <v>0</v>
      </c>
      <c r="J20" t="s">
        <v>36</v>
      </c>
      <c r="K20" s="25">
        <v>78000</v>
      </c>
      <c r="L20" s="25">
        <v>2</v>
      </c>
      <c r="M20" s="17">
        <f t="shared" si="2"/>
        <v>156000</v>
      </c>
      <c r="O20" s="15">
        <f t="shared" si="1"/>
        <v>0</v>
      </c>
    </row>
    <row r="21" spans="1:15" x14ac:dyDescent="0.2">
      <c r="A21" s="13" t="s">
        <v>40</v>
      </c>
      <c r="B21" s="14" t="s">
        <v>41</v>
      </c>
      <c r="C21" s="15">
        <f>'[5]Team Report'!BA42</f>
        <v>24774212.690000001</v>
      </c>
      <c r="E21" s="15">
        <f t="shared" si="0"/>
        <v>33032283.58666667</v>
      </c>
      <c r="F21" s="15"/>
      <c r="G21" s="15">
        <f>+$M$12*0.15</f>
        <v>39949.199999999997</v>
      </c>
      <c r="J21" t="s">
        <v>39</v>
      </c>
      <c r="K21" s="25">
        <v>102000</v>
      </c>
      <c r="L21" s="25">
        <v>2</v>
      </c>
      <c r="M21" s="17">
        <f t="shared" si="2"/>
        <v>204000</v>
      </c>
      <c r="O21" s="15">
        <f t="shared" si="1"/>
        <v>3329.1</v>
      </c>
    </row>
    <row r="22" spans="1:15" x14ac:dyDescent="0.2">
      <c r="A22" s="13" t="s">
        <v>43</v>
      </c>
      <c r="B22" s="14" t="s">
        <v>44</v>
      </c>
      <c r="C22" s="15">
        <f>'[5]Team Report'!BA44</f>
        <v>16.600000000000001</v>
      </c>
      <c r="E22" s="15">
        <f t="shared" si="0"/>
        <v>22.133333333333333</v>
      </c>
      <c r="F22" s="15"/>
      <c r="G22" s="15">
        <v>0</v>
      </c>
      <c r="J22" t="s">
        <v>42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x14ac:dyDescent="0.2">
      <c r="A23" s="26" t="s">
        <v>46</v>
      </c>
      <c r="B23" s="27" t="s">
        <v>47</v>
      </c>
      <c r="C23" s="28">
        <f>SUM(C8:C22)</f>
        <v>50349126.110000007</v>
      </c>
      <c r="E23" s="28">
        <f>SUM(E8:E22)</f>
        <v>67132168.146666676</v>
      </c>
      <c r="F23" s="29"/>
      <c r="G23" s="28">
        <f>SUM(G8:G22)</f>
        <v>2397528.0000000005</v>
      </c>
      <c r="J23" t="s">
        <v>45</v>
      </c>
      <c r="K23" s="25">
        <v>0</v>
      </c>
      <c r="L23" s="25">
        <v>0</v>
      </c>
      <c r="M23" s="17">
        <f t="shared" si="2"/>
        <v>0</v>
      </c>
      <c r="O23" s="28">
        <f>SUM(O8:O22)</f>
        <v>199793.99999999997</v>
      </c>
    </row>
    <row r="24" spans="1:15" x14ac:dyDescent="0.2">
      <c r="J24" t="s">
        <v>48</v>
      </c>
      <c r="K24" s="25">
        <v>144000</v>
      </c>
      <c r="L24" s="25">
        <v>3</v>
      </c>
      <c r="M24" s="17">
        <f t="shared" si="2"/>
        <v>432000</v>
      </c>
    </row>
    <row r="25" spans="1:15" x14ac:dyDescent="0.2">
      <c r="B25" s="27" t="s">
        <v>50</v>
      </c>
      <c r="C25" s="15"/>
      <c r="E25" s="31">
        <v>111</v>
      </c>
      <c r="F25" s="32"/>
      <c r="G25" s="31">
        <v>12</v>
      </c>
      <c r="J25" t="s">
        <v>49</v>
      </c>
      <c r="K25" s="25">
        <v>168000</v>
      </c>
      <c r="L25" s="25">
        <v>2</v>
      </c>
      <c r="M25" s="17">
        <f t="shared" si="2"/>
        <v>336000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J26" t="s">
        <v>51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x14ac:dyDescent="0.2">
      <c r="B27" s="27" t="s">
        <v>101</v>
      </c>
      <c r="C27" s="15"/>
      <c r="E27" s="31">
        <v>0</v>
      </c>
      <c r="F27" s="32"/>
      <c r="G27" s="31">
        <v>0</v>
      </c>
      <c r="J27" t="s">
        <v>52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">
      <c r="J28" t="s">
        <v>54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55</v>
      </c>
      <c r="C29" s="15"/>
      <c r="E29" s="31">
        <f>+E27+E25</f>
        <v>111</v>
      </c>
      <c r="F29" s="32"/>
      <c r="G29" s="31">
        <f>+G27+G25</f>
        <v>12</v>
      </c>
      <c r="H29" s="25"/>
      <c r="K29" s="25"/>
      <c r="L29" s="25">
        <f>SUM(L17:L28)</f>
        <v>12</v>
      </c>
      <c r="M29" s="25">
        <f>SUM(M17:M28)</f>
        <v>1776000</v>
      </c>
      <c r="O29" s="31">
        <v>1</v>
      </c>
    </row>
    <row r="30" spans="1:15" x14ac:dyDescent="0.2">
      <c r="K30" s="25"/>
      <c r="L30" s="25"/>
      <c r="M30" s="25"/>
    </row>
    <row r="31" spans="1:15" hidden="1" x14ac:dyDescent="0.2">
      <c r="A31" s="13" t="s">
        <v>71</v>
      </c>
      <c r="B31" s="14" t="s">
        <v>72</v>
      </c>
      <c r="C31" s="15">
        <f>'[5]Team Report'!BA29</f>
        <v>0</v>
      </c>
      <c r="E31" s="15">
        <f>(C31/9)*12</f>
        <v>0</v>
      </c>
      <c r="F31" s="15"/>
      <c r="J31" t="s">
        <v>102</v>
      </c>
      <c r="K31" s="25"/>
      <c r="L31" s="52"/>
      <c r="M31" s="52">
        <v>0.2</v>
      </c>
    </row>
    <row r="32" spans="1:15" hidden="1" x14ac:dyDescent="0.2">
      <c r="A32" s="13" t="s">
        <v>73</v>
      </c>
      <c r="B32" s="14" t="s">
        <v>74</v>
      </c>
      <c r="C32" s="15">
        <f>'[5]Team Report'!BA30</f>
        <v>0</v>
      </c>
      <c r="E32" s="15">
        <f>(C32/9)*12</f>
        <v>0</v>
      </c>
      <c r="F32" s="15"/>
      <c r="K32" s="25"/>
      <c r="L32" s="25"/>
      <c r="M32" s="25"/>
    </row>
    <row r="33" spans="1:13" hidden="1" x14ac:dyDescent="0.2">
      <c r="A33" s="13" t="s">
        <v>75</v>
      </c>
      <c r="B33" s="14" t="s">
        <v>76</v>
      </c>
      <c r="C33" s="15">
        <f>'[5]Team Report'!BA31</f>
        <v>0</v>
      </c>
      <c r="E33" s="15">
        <f>(C33/9)*12</f>
        <v>0</v>
      </c>
      <c r="F33" s="15"/>
      <c r="J33" t="s">
        <v>132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77</v>
      </c>
      <c r="B34" s="14" t="s">
        <v>78</v>
      </c>
      <c r="C34" s="15">
        <f>'[5]Team Report'!BA39</f>
        <v>-7489842.25</v>
      </c>
      <c r="E34" s="15">
        <v>0</v>
      </c>
      <c r="F34" s="15"/>
      <c r="K34" s="25"/>
      <c r="L34" s="25"/>
      <c r="M34" s="25"/>
    </row>
    <row r="35" spans="1:13" hidden="1" x14ac:dyDescent="0.2">
      <c r="A35" s="13" t="s">
        <v>79</v>
      </c>
      <c r="B35" s="14" t="s">
        <v>80</v>
      </c>
      <c r="C35" s="15">
        <f>'[5]Team Report'!BA40</f>
        <v>2999489.79</v>
      </c>
      <c r="E35" s="15">
        <v>0</v>
      </c>
      <c r="F35" s="15"/>
      <c r="K35" s="25"/>
      <c r="L35" s="25">
        <f>+L29+L33</f>
        <v>12</v>
      </c>
      <c r="M35" s="25">
        <f>M29*1.2+M33</f>
        <v>2131200</v>
      </c>
    </row>
    <row r="36" spans="1:13" hidden="1" x14ac:dyDescent="0.2">
      <c r="A36" s="13" t="s">
        <v>81</v>
      </c>
      <c r="B36" s="14" t="s">
        <v>82</v>
      </c>
      <c r="C36" s="15">
        <f>'[5]Team Report'!BA41</f>
        <v>205055.58999999997</v>
      </c>
      <c r="E36" s="15">
        <v>0</v>
      </c>
      <c r="F36" s="15"/>
      <c r="K36" s="25"/>
      <c r="L36" s="25"/>
      <c r="M36" s="25"/>
    </row>
    <row r="37" spans="1:13" hidden="1" x14ac:dyDescent="0.2">
      <c r="A37" s="13" t="s">
        <v>83</v>
      </c>
      <c r="B37" s="14" t="s">
        <v>84</v>
      </c>
      <c r="C37" s="15">
        <f>'[5]Team Report'!BA43</f>
        <v>42687168.700000003</v>
      </c>
      <c r="E37" s="15">
        <v>0</v>
      </c>
      <c r="F37" s="15"/>
      <c r="I37" s="33" t="s">
        <v>56</v>
      </c>
    </row>
    <row r="38" spans="1:13" hidden="1" x14ac:dyDescent="0.2">
      <c r="A38" s="13" t="s">
        <v>85</v>
      </c>
      <c r="B38" s="14" t="s">
        <v>86</v>
      </c>
      <c r="C38" s="15">
        <f>'[5]Team Report'!BA45</f>
        <v>8186094.0700000003</v>
      </c>
      <c r="E38" s="15">
        <v>0</v>
      </c>
      <c r="F38" s="15"/>
    </row>
    <row r="39" spans="1:13" x14ac:dyDescent="0.2">
      <c r="I39" t="s">
        <v>133</v>
      </c>
    </row>
    <row r="40" spans="1:13" x14ac:dyDescent="0.2">
      <c r="C40" s="54">
        <f>C23+C31+C32+C33+C34+C35+C36+C37+C38</f>
        <v>96937092.01000002</v>
      </c>
    </row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71" bottom="0.48" header="1.01" footer="0.5"/>
  <pageSetup orientation="portrait" verticalDpi="196" r:id="rId1"/>
  <headerFooter alignWithMargins="0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O53"/>
  <sheetViews>
    <sheetView zoomScaleNormal="100" workbookViewId="0">
      <selection activeCell="K27" sqref="K27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2" customWidth="1"/>
    <col min="7" max="7" width="12.7109375" customWidth="1"/>
    <col min="8" max="8" width="1.7109375" customWidth="1"/>
    <col min="9" max="9" width="20.7109375" customWidth="1"/>
    <col min="10" max="10" width="10.42578125" style="25" customWidth="1"/>
    <col min="11" max="11" width="10.85546875" style="25" customWidth="1"/>
    <col min="12" max="12" width="11.42578125" style="25" customWidth="1"/>
  </cols>
  <sheetData>
    <row r="1" spans="1:41" ht="18" x14ac:dyDescent="0.25">
      <c r="B1" s="142" t="str">
        <f>'[4]Team Report'!B1</f>
        <v>Enron North America</v>
      </c>
      <c r="C1" s="142"/>
      <c r="D1" s="142"/>
      <c r="E1" s="142"/>
      <c r="F1" s="142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25">
      <c r="B2" s="142" t="str">
        <f>'[4]Pull Sheet'!E9</f>
        <v>Research</v>
      </c>
      <c r="C2" s="142"/>
      <c r="D2" s="142"/>
      <c r="E2" s="142"/>
      <c r="F2" s="142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25">
      <c r="B3" s="143" t="s">
        <v>0</v>
      </c>
      <c r="C3" s="143"/>
      <c r="D3" s="143"/>
      <c r="E3" s="143"/>
      <c r="F3" s="143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5" thickBot="1" x14ac:dyDescent="0.25"/>
    <row r="5" spans="1:41" x14ac:dyDescent="0.2">
      <c r="I5" s="4"/>
      <c r="J5" s="40"/>
      <c r="K5" s="40"/>
      <c r="L5" s="41"/>
    </row>
    <row r="6" spans="1:41" x14ac:dyDescent="0.2">
      <c r="C6" s="10">
        <v>37135</v>
      </c>
      <c r="E6" s="44" t="s">
        <v>61</v>
      </c>
      <c r="F6" s="44" t="s">
        <v>63</v>
      </c>
      <c r="I6" s="7"/>
      <c r="J6" s="19" t="s">
        <v>1</v>
      </c>
      <c r="K6" s="19" t="s">
        <v>2</v>
      </c>
      <c r="L6" s="74" t="s">
        <v>107</v>
      </c>
      <c r="O6" s="44" t="s">
        <v>63</v>
      </c>
    </row>
    <row r="7" spans="1:41" x14ac:dyDescent="0.2">
      <c r="C7" s="12" t="s">
        <v>5</v>
      </c>
      <c r="E7" s="12" t="s">
        <v>6</v>
      </c>
      <c r="F7" s="12" t="s">
        <v>7</v>
      </c>
      <c r="G7" s="33"/>
      <c r="I7" s="7"/>
      <c r="J7" s="17"/>
      <c r="K7" s="17"/>
      <c r="L7" s="43"/>
      <c r="O7" s="12" t="s">
        <v>7</v>
      </c>
    </row>
    <row r="8" spans="1:41" x14ac:dyDescent="0.2">
      <c r="A8" s="13" t="s">
        <v>9</v>
      </c>
      <c r="B8" s="14" t="s">
        <v>10</v>
      </c>
      <c r="C8" s="15">
        <f>'[4]Team Report'!BA25</f>
        <v>3640949.9</v>
      </c>
      <c r="E8" s="15">
        <f>((C8/9)*12)*1.2</f>
        <v>5825519.8399999989</v>
      </c>
      <c r="F8" s="15">
        <f>L29</f>
        <v>336000</v>
      </c>
      <c r="I8" s="7"/>
      <c r="J8" s="17"/>
      <c r="K8" s="17"/>
      <c r="L8" s="43"/>
      <c r="O8" s="15">
        <f>+F8/$F$29*$O$29</f>
        <v>168000</v>
      </c>
    </row>
    <row r="9" spans="1:41" hidden="1" x14ac:dyDescent="0.2">
      <c r="A9" s="13"/>
      <c r="B9" s="14" t="s">
        <v>11</v>
      </c>
      <c r="C9" s="15">
        <v>0</v>
      </c>
      <c r="E9" s="15">
        <f>(C9/9)*12</f>
        <v>0</v>
      </c>
      <c r="F9" s="15">
        <f>(D9/9)*12</f>
        <v>0</v>
      </c>
      <c r="I9" s="7" t="s">
        <v>10</v>
      </c>
      <c r="J9" s="17">
        <v>0</v>
      </c>
      <c r="K9" s="17">
        <f>K29</f>
        <v>2</v>
      </c>
      <c r="L9" s="43">
        <f>L33</f>
        <v>403200</v>
      </c>
      <c r="O9" s="15">
        <f t="shared" ref="O9:O22" si="0">+F9/$F$29*$O$29</f>
        <v>0</v>
      </c>
    </row>
    <row r="10" spans="1:41" x14ac:dyDescent="0.2">
      <c r="B10" s="14" t="s">
        <v>12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x14ac:dyDescent="0.2">
      <c r="A11" s="13" t="s">
        <v>13</v>
      </c>
      <c r="B11" s="14" t="s">
        <v>14</v>
      </c>
      <c r="C11" s="15">
        <f>'[4]Team Report'!BA26</f>
        <v>762369.14000000013</v>
      </c>
      <c r="E11" s="15">
        <f>((C11/9)*12)*1.2</f>
        <v>1219790.6240000003</v>
      </c>
      <c r="F11" s="15">
        <f>L33-L29</f>
        <v>67200</v>
      </c>
      <c r="I11" s="7"/>
      <c r="J11" s="17"/>
      <c r="K11" s="17"/>
      <c r="L11" s="43"/>
      <c r="O11" s="15">
        <f t="shared" si="0"/>
        <v>33600</v>
      </c>
    </row>
    <row r="12" spans="1:41" x14ac:dyDescent="0.2">
      <c r="A12" s="13" t="s">
        <v>16</v>
      </c>
      <c r="B12" s="14" t="s">
        <v>17</v>
      </c>
      <c r="C12" s="15">
        <f>'[4]Team Report'!BA27</f>
        <v>173944.72999999998</v>
      </c>
      <c r="E12" s="20">
        <f>((C12/9)*12)*1.2</f>
        <v>278311.56799999997</v>
      </c>
      <c r="F12" s="21">
        <f t="shared" ref="F12:F22" si="1">(E12/$E$29)*$F$29</f>
        <v>11359.655836734693</v>
      </c>
      <c r="I12" s="7" t="s">
        <v>15</v>
      </c>
      <c r="J12" s="17">
        <f>(E12+E13+E14+E15+E16+E17+E18+E19+E20+E21+E22)/E29</f>
        <v>33269.805387755099</v>
      </c>
      <c r="K12" s="17">
        <f>K29</f>
        <v>2</v>
      </c>
      <c r="L12" s="43">
        <f>J12*K12</f>
        <v>66539.610775510198</v>
      </c>
      <c r="O12" s="15">
        <f t="shared" si="0"/>
        <v>5679.8279183673467</v>
      </c>
    </row>
    <row r="13" spans="1:41" x14ac:dyDescent="0.2">
      <c r="A13" s="13" t="s">
        <v>18</v>
      </c>
      <c r="B13" s="14" t="s">
        <v>19</v>
      </c>
      <c r="C13" s="15">
        <f>'[4]Team Report'!BA28</f>
        <v>293972.73</v>
      </c>
      <c r="E13" s="20">
        <f>((C13/9)*12)*1.2</f>
        <v>470356.36800000002</v>
      </c>
      <c r="F13" s="21">
        <f t="shared" si="1"/>
        <v>19198.219102040817</v>
      </c>
      <c r="I13" s="7"/>
      <c r="J13" s="17"/>
      <c r="K13" s="17"/>
      <c r="L13" s="43"/>
      <c r="O13" s="15">
        <f t="shared" si="0"/>
        <v>9599.1095510204086</v>
      </c>
    </row>
    <row r="14" spans="1:41" ht="13.5" thickBot="1" x14ac:dyDescent="0.25">
      <c r="A14" s="13" t="s">
        <v>21</v>
      </c>
      <c r="B14" s="14" t="s">
        <v>22</v>
      </c>
      <c r="C14" s="15">
        <f>'[4]Team Report'!BA32</f>
        <v>67481.55</v>
      </c>
      <c r="E14" s="20">
        <f>((C14/9)*12)*1.2</f>
        <v>107970.48000000001</v>
      </c>
      <c r="F14" s="21">
        <f t="shared" si="1"/>
        <v>4406.9583673469388</v>
      </c>
      <c r="I14" s="22" t="s">
        <v>20</v>
      </c>
      <c r="J14" s="47"/>
      <c r="K14" s="47"/>
      <c r="L14" s="48">
        <f>SUM(L9:L12)</f>
        <v>469739.6107755102</v>
      </c>
      <c r="N14">
        <v>1699109</v>
      </c>
      <c r="O14" s="15">
        <f t="shared" si="0"/>
        <v>2203.4791836734694</v>
      </c>
      <c r="P14" s="49">
        <f>N14-L14</f>
        <v>1229369.3892244897</v>
      </c>
    </row>
    <row r="15" spans="1:41" x14ac:dyDescent="0.2">
      <c r="A15" s="13" t="s">
        <v>23</v>
      </c>
      <c r="B15" s="14" t="s">
        <v>24</v>
      </c>
      <c r="C15" s="15">
        <f>'[4]Team Report'!BA33</f>
        <v>48511.92</v>
      </c>
      <c r="E15" s="20">
        <f>((C15/9)*12)*1.2</f>
        <v>77619.072</v>
      </c>
      <c r="F15" s="21">
        <f t="shared" si="1"/>
        <v>3168.1253877551021</v>
      </c>
      <c r="I15" s="8"/>
      <c r="J15" s="17"/>
      <c r="K15" s="17"/>
      <c r="L15" s="17"/>
      <c r="O15" s="15">
        <f t="shared" si="0"/>
        <v>1584.0626938775511</v>
      </c>
    </row>
    <row r="16" spans="1:41" x14ac:dyDescent="0.2">
      <c r="A16" s="13" t="s">
        <v>25</v>
      </c>
      <c r="B16" s="14" t="s">
        <v>26</v>
      </c>
      <c r="C16" s="15">
        <f>'[4]Team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28</v>
      </c>
      <c r="B17" s="14" t="s">
        <v>29</v>
      </c>
      <c r="C17" s="15">
        <f>'[4]Team Report'!BA35</f>
        <v>2500</v>
      </c>
      <c r="E17" s="20">
        <f>((C17/9)*12)*1.2</f>
        <v>3999.9999999999995</v>
      </c>
      <c r="F17" s="21">
        <f t="shared" si="1"/>
        <v>163.26530612244895</v>
      </c>
      <c r="I17" s="8" t="s">
        <v>27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x14ac:dyDescent="0.2">
      <c r="A18" s="13" t="s">
        <v>31</v>
      </c>
      <c r="B18" s="14" t="s">
        <v>32</v>
      </c>
      <c r="C18" s="15">
        <f>'[4]Team Report'!BA36</f>
        <v>0</v>
      </c>
      <c r="E18" s="20">
        <f>(C18/9)*12</f>
        <v>0</v>
      </c>
      <c r="F18" s="21">
        <f t="shared" si="1"/>
        <v>0</v>
      </c>
      <c r="I18" t="s">
        <v>93</v>
      </c>
      <c r="J18" s="17">
        <v>48000</v>
      </c>
      <c r="K18" s="17">
        <v>0</v>
      </c>
      <c r="L18" s="17">
        <f t="shared" si="2"/>
        <v>0</v>
      </c>
      <c r="O18" s="15">
        <f t="shared" si="0"/>
        <v>0</v>
      </c>
    </row>
    <row r="19" spans="1:15" x14ac:dyDescent="0.2">
      <c r="A19" s="13" t="s">
        <v>34</v>
      </c>
      <c r="B19" s="14" t="s">
        <v>35</v>
      </c>
      <c r="C19" s="15">
        <f>'[4]Team Report'!BA37</f>
        <v>129576.91999999998</v>
      </c>
      <c r="E19" s="20">
        <f>((C19/9)*12)*1.2</f>
        <v>207323.07199999999</v>
      </c>
      <c r="F19" s="21">
        <f t="shared" si="1"/>
        <v>8462.1662040816318</v>
      </c>
      <c r="I19" t="s">
        <v>33</v>
      </c>
      <c r="J19" s="17">
        <v>49200</v>
      </c>
      <c r="K19" s="17">
        <v>0</v>
      </c>
      <c r="L19" s="17">
        <f t="shared" si="2"/>
        <v>0</v>
      </c>
      <c r="O19" s="15">
        <f t="shared" si="0"/>
        <v>4231.0831020408159</v>
      </c>
    </row>
    <row r="20" spans="1:15" x14ac:dyDescent="0.2">
      <c r="A20" s="13" t="s">
        <v>37</v>
      </c>
      <c r="B20" s="14" t="s">
        <v>38</v>
      </c>
      <c r="C20" s="15">
        <f>'[4]Team Report'!BA38</f>
        <v>10.029999999999999</v>
      </c>
      <c r="E20" s="20">
        <f>((C20/9)*12)*1.2</f>
        <v>16.047999999999998</v>
      </c>
      <c r="F20" s="21">
        <f t="shared" si="1"/>
        <v>0.65502040816326523</v>
      </c>
      <c r="I20" t="s">
        <v>94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x14ac:dyDescent="0.2">
      <c r="A21" s="13" t="s">
        <v>40</v>
      </c>
      <c r="B21" s="14" t="s">
        <v>41</v>
      </c>
      <c r="C21" s="15">
        <f>'[4]Team Report'!BA42</f>
        <v>302115.48</v>
      </c>
      <c r="E21" s="20">
        <f>((C21/9)*12)*1.2</f>
        <v>483384.76799999998</v>
      </c>
      <c r="F21" s="21">
        <f t="shared" si="1"/>
        <v>19729.990530612245</v>
      </c>
      <c r="I21" t="s">
        <v>45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x14ac:dyDescent="0.2">
      <c r="A22" s="13" t="s">
        <v>43</v>
      </c>
      <c r="B22" s="14" t="s">
        <v>44</v>
      </c>
      <c r="C22" s="15">
        <f>'[4]Team Report'!BA44</f>
        <v>774.43</v>
      </c>
      <c r="E22" s="20">
        <f>((C22/9)*12)*1.2</f>
        <v>1239.088</v>
      </c>
      <c r="F22" s="21">
        <f t="shared" si="1"/>
        <v>50.575020408163262</v>
      </c>
      <c r="I22" t="s">
        <v>36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5422206.8300000001</v>
      </c>
      <c r="E23" s="28">
        <f>SUM(E8:E22)</f>
        <v>8675530.9279999994</v>
      </c>
      <c r="F23" s="28">
        <f>SUM(F8:F22)</f>
        <v>469739.61077551014</v>
      </c>
      <c r="I23" t="s">
        <v>95</v>
      </c>
      <c r="J23" s="17">
        <v>74400</v>
      </c>
      <c r="K23" s="17">
        <v>0</v>
      </c>
      <c r="L23" s="17">
        <f t="shared" si="2"/>
        <v>0</v>
      </c>
      <c r="O23" s="58">
        <f>SUM(O8:O22)</f>
        <v>234869.80538775507</v>
      </c>
    </row>
    <row r="24" spans="1:15" x14ac:dyDescent="0.2">
      <c r="I24" t="s">
        <v>96</v>
      </c>
      <c r="J24" s="17">
        <v>90000</v>
      </c>
      <c r="K24" s="17">
        <v>0</v>
      </c>
      <c r="L24" s="17">
        <f t="shared" si="2"/>
        <v>0</v>
      </c>
    </row>
    <row r="25" spans="1:15" x14ac:dyDescent="0.2">
      <c r="B25" s="27" t="s">
        <v>50</v>
      </c>
      <c r="C25" s="15"/>
      <c r="E25" s="31">
        <v>44</v>
      </c>
      <c r="F25" s="31">
        <f>+K29</f>
        <v>2</v>
      </c>
      <c r="I25" t="s">
        <v>97</v>
      </c>
      <c r="J25" s="17"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119</v>
      </c>
      <c r="J26" s="17">
        <v>178800</v>
      </c>
      <c r="K26" s="17">
        <v>0</v>
      </c>
      <c r="L26" s="17">
        <f t="shared" si="2"/>
        <v>0</v>
      </c>
      <c r="O26" s="15"/>
    </row>
    <row r="27" spans="1:15" x14ac:dyDescent="0.2">
      <c r="B27" s="27" t="s">
        <v>101</v>
      </c>
      <c r="C27" s="15"/>
      <c r="E27" s="31">
        <v>5</v>
      </c>
      <c r="F27" s="31">
        <v>0</v>
      </c>
      <c r="I27" t="s">
        <v>99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">
      <c r="I28" t="s">
        <v>100</v>
      </c>
      <c r="J28" s="17"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55</v>
      </c>
      <c r="C29" s="15"/>
      <c r="E29" s="31">
        <f>+E27+E25</f>
        <v>49</v>
      </c>
      <c r="F29" s="31">
        <f>+F27+F25</f>
        <v>2</v>
      </c>
      <c r="G29" s="25"/>
      <c r="K29" s="25">
        <f>SUM(K17:K28)</f>
        <v>2</v>
      </c>
      <c r="L29" s="17">
        <f>SUM(L17:L28)</f>
        <v>336000</v>
      </c>
      <c r="O29" s="31">
        <v>1</v>
      </c>
    </row>
    <row r="30" spans="1:15" hidden="1" x14ac:dyDescent="0.2"/>
    <row r="31" spans="1:15" hidden="1" x14ac:dyDescent="0.2">
      <c r="A31" s="13" t="s">
        <v>71</v>
      </c>
      <c r="B31" s="14" t="s">
        <v>72</v>
      </c>
      <c r="C31" s="15">
        <f>'[4]Team Report'!BA29</f>
        <v>0</v>
      </c>
      <c r="E31" s="15">
        <f t="shared" ref="E31:E38" si="3">(C31/9)*12</f>
        <v>0</v>
      </c>
      <c r="I31" t="s">
        <v>102</v>
      </c>
      <c r="K31" s="52"/>
      <c r="L31" s="52">
        <v>0.2</v>
      </c>
    </row>
    <row r="32" spans="1:15" hidden="1" x14ac:dyDescent="0.2">
      <c r="A32" s="13" t="s">
        <v>73</v>
      </c>
      <c r="B32" s="14" t="s">
        <v>74</v>
      </c>
      <c r="C32" s="15">
        <f>'[4]Team Report'!BA30</f>
        <v>0</v>
      </c>
      <c r="E32" s="15">
        <f t="shared" si="3"/>
        <v>0</v>
      </c>
    </row>
    <row r="33" spans="1:12" hidden="1" x14ac:dyDescent="0.2">
      <c r="A33" s="13" t="s">
        <v>75</v>
      </c>
      <c r="B33" s="14" t="s">
        <v>76</v>
      </c>
      <c r="C33" s="15">
        <f>'[4]Team Report'!BA31</f>
        <v>0</v>
      </c>
      <c r="E33" s="15">
        <f t="shared" si="3"/>
        <v>0</v>
      </c>
      <c r="L33" s="25">
        <f>L29*1.2</f>
        <v>403200</v>
      </c>
    </row>
    <row r="34" spans="1:12" hidden="1" x14ac:dyDescent="0.2">
      <c r="A34" s="13" t="s">
        <v>77</v>
      </c>
      <c r="B34" s="14" t="s">
        <v>78</v>
      </c>
      <c r="C34" s="15">
        <f>'[4]Team Report'!BA39</f>
        <v>0</v>
      </c>
      <c r="E34" s="15">
        <f t="shared" si="3"/>
        <v>0</v>
      </c>
    </row>
    <row r="35" spans="1:12" hidden="1" x14ac:dyDescent="0.2">
      <c r="A35" s="13" t="s">
        <v>79</v>
      </c>
      <c r="B35" s="14" t="s">
        <v>80</v>
      </c>
      <c r="C35" s="15">
        <f>'[4]Team Report'!BA40</f>
        <v>147341.90000000002</v>
      </c>
      <c r="E35" s="15">
        <f t="shared" si="3"/>
        <v>196455.8666666667</v>
      </c>
    </row>
    <row r="36" spans="1:12" hidden="1" x14ac:dyDescent="0.2">
      <c r="A36" s="13" t="s">
        <v>81</v>
      </c>
      <c r="B36" s="14" t="s">
        <v>82</v>
      </c>
      <c r="C36" s="15">
        <f>'[4]Team Report'!BA41</f>
        <v>285701.8</v>
      </c>
      <c r="E36" s="15">
        <f t="shared" si="3"/>
        <v>380935.73333333328</v>
      </c>
    </row>
    <row r="37" spans="1:12" hidden="1" x14ac:dyDescent="0.2">
      <c r="A37" s="13" t="s">
        <v>83</v>
      </c>
      <c r="B37" s="14" t="s">
        <v>84</v>
      </c>
      <c r="C37" s="15">
        <f>'[4]Team Report'!BA43</f>
        <v>-4445984</v>
      </c>
      <c r="E37" s="15">
        <f t="shared" si="3"/>
        <v>-5927978.666666667</v>
      </c>
      <c r="G37" s="33" t="s">
        <v>56</v>
      </c>
      <c r="I37" s="25"/>
      <c r="L37"/>
    </row>
    <row r="38" spans="1:12" hidden="1" x14ac:dyDescent="0.2">
      <c r="A38" s="13" t="s">
        <v>85</v>
      </c>
      <c r="B38" s="14" t="s">
        <v>86</v>
      </c>
      <c r="C38" s="15">
        <f>'[4]Team Report'!BA45</f>
        <v>1176.06</v>
      </c>
      <c r="E38" s="15">
        <f t="shared" si="3"/>
        <v>1568.08</v>
      </c>
      <c r="I38" s="25"/>
      <c r="L38"/>
    </row>
    <row r="39" spans="1:12" hidden="1" x14ac:dyDescent="0.2">
      <c r="G39" s="34" t="s">
        <v>57</v>
      </c>
      <c r="I39" s="35" t="s">
        <v>58</v>
      </c>
      <c r="J39" s="35" t="s">
        <v>59</v>
      </c>
      <c r="K39" s="35" t="s">
        <v>2</v>
      </c>
      <c r="L39" s="35" t="s">
        <v>60</v>
      </c>
    </row>
    <row r="40" spans="1:12" hidden="1" x14ac:dyDescent="0.2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2</v>
      </c>
      <c r="L40" s="37">
        <f>+J40*K40</f>
        <v>66539.610775510198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O53"/>
  <sheetViews>
    <sheetView zoomScaleNormal="100" workbookViewId="0">
      <selection activeCell="F19" sqref="F19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2" customWidth="1"/>
    <col min="7" max="7" width="12.7109375" hidden="1" customWidth="1"/>
    <col min="8" max="8" width="1.7109375" hidden="1" customWidth="1"/>
    <col min="9" max="9" width="20.7109375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54" width="0" hidden="1" customWidth="1"/>
  </cols>
  <sheetData>
    <row r="1" spans="1:41" ht="18" x14ac:dyDescent="0.25">
      <c r="B1" s="142" t="str">
        <f>'[4]Team Report'!B1</f>
        <v>Enron North America</v>
      </c>
      <c r="C1" s="142"/>
      <c r="D1" s="142"/>
      <c r="E1" s="142"/>
      <c r="F1" s="142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25">
      <c r="B2" s="142" t="s">
        <v>176</v>
      </c>
      <c r="C2" s="142"/>
      <c r="D2" s="142"/>
      <c r="E2" s="142"/>
      <c r="F2" s="142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25">
      <c r="B3" s="143" t="s">
        <v>0</v>
      </c>
      <c r="C3" s="143"/>
      <c r="D3" s="143"/>
      <c r="E3" s="143"/>
      <c r="F3" s="143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5" thickBot="1" x14ac:dyDescent="0.25"/>
    <row r="5" spans="1:41" x14ac:dyDescent="0.2">
      <c r="I5" s="4"/>
      <c r="J5" s="40"/>
      <c r="K5" s="40"/>
      <c r="L5" s="41"/>
    </row>
    <row r="6" spans="1:41" x14ac:dyDescent="0.2">
      <c r="C6" s="10">
        <v>37135</v>
      </c>
      <c r="E6" s="44" t="s">
        <v>61</v>
      </c>
      <c r="F6" s="44" t="s">
        <v>63</v>
      </c>
      <c r="I6" s="7"/>
      <c r="J6" s="19" t="s">
        <v>1</v>
      </c>
      <c r="K6" s="19" t="s">
        <v>2</v>
      </c>
      <c r="L6" s="74" t="s">
        <v>107</v>
      </c>
      <c r="O6" s="44" t="s">
        <v>63</v>
      </c>
    </row>
    <row r="7" spans="1:41" x14ac:dyDescent="0.2">
      <c r="C7" s="12" t="s">
        <v>5</v>
      </c>
      <c r="E7" s="12" t="s">
        <v>6</v>
      </c>
      <c r="F7" s="12" t="s">
        <v>7</v>
      </c>
      <c r="G7" s="33"/>
      <c r="I7" s="7"/>
      <c r="J7" s="17"/>
      <c r="K7" s="17"/>
      <c r="L7" s="43"/>
      <c r="O7" s="12" t="s">
        <v>7</v>
      </c>
    </row>
    <row r="8" spans="1:41" x14ac:dyDescent="0.2">
      <c r="A8" s="13" t="s">
        <v>9</v>
      </c>
      <c r="B8" s="14" t="s">
        <v>10</v>
      </c>
      <c r="C8" s="15">
        <f>'[4]Team Report'!BA25</f>
        <v>3640949.9</v>
      </c>
      <c r="E8" s="15">
        <f>((C8/9)*12)*1.2</f>
        <v>5825519.8399999989</v>
      </c>
      <c r="F8" s="15">
        <f>L29+433200</f>
        <v>1952400</v>
      </c>
      <c r="I8" s="7"/>
      <c r="J8" s="17"/>
      <c r="K8" s="17"/>
      <c r="L8" s="43"/>
      <c r="O8" s="15">
        <f>+F8/$F$29*$O$29</f>
        <v>177490.90909090909</v>
      </c>
    </row>
    <row r="9" spans="1:41" hidden="1" x14ac:dyDescent="0.2">
      <c r="A9" s="13"/>
      <c r="B9" s="14" t="s">
        <v>11</v>
      </c>
      <c r="C9" s="15">
        <v>0</v>
      </c>
      <c r="E9" s="15">
        <f>(C9/9)*12</f>
        <v>0</v>
      </c>
      <c r="F9" s="15">
        <f>(D9/9)*12</f>
        <v>0</v>
      </c>
      <c r="I9" s="7" t="s">
        <v>10</v>
      </c>
      <c r="J9" s="17">
        <v>0</v>
      </c>
      <c r="K9" s="17">
        <f>K29</f>
        <v>11</v>
      </c>
      <c r="L9" s="43">
        <f>L33</f>
        <v>1823040</v>
      </c>
      <c r="O9" s="15">
        <f t="shared" ref="O9:O22" si="0">+F9/$F$29*$O$29</f>
        <v>0</v>
      </c>
    </row>
    <row r="10" spans="1:41" x14ac:dyDescent="0.2">
      <c r="B10" s="14" t="s">
        <v>12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x14ac:dyDescent="0.2">
      <c r="A11" s="13" t="s">
        <v>13</v>
      </c>
      <c r="B11" s="14" t="s">
        <v>14</v>
      </c>
      <c r="C11" s="15">
        <f>'[4]Team Report'!BA26</f>
        <v>762369.14000000013</v>
      </c>
      <c r="E11" s="15">
        <f>((C11/9)*12)*1.2</f>
        <v>1219790.6240000003</v>
      </c>
      <c r="F11" s="15">
        <f>L33-L29+86640</f>
        <v>390480</v>
      </c>
      <c r="I11" s="7"/>
      <c r="J11" s="17"/>
      <c r="K11" s="17"/>
      <c r="L11" s="43"/>
      <c r="O11" s="15">
        <f t="shared" si="0"/>
        <v>35498.181818181816</v>
      </c>
    </row>
    <row r="12" spans="1:41" x14ac:dyDescent="0.2">
      <c r="A12" s="13" t="s">
        <v>16</v>
      </c>
      <c r="B12" s="14" t="s">
        <v>17</v>
      </c>
      <c r="C12" s="15">
        <f>'[4]Team Report'!BA27</f>
        <v>173944.72999999998</v>
      </c>
      <c r="E12" s="20">
        <f>((C12/9)*12)*1.2</f>
        <v>278311.56799999997</v>
      </c>
      <c r="F12" s="21">
        <f t="shared" ref="F12:F22" si="1">(E12/$E$29)*$F$29</f>
        <v>62478.107102040813</v>
      </c>
      <c r="I12" s="7" t="s">
        <v>15</v>
      </c>
      <c r="J12" s="17">
        <f>(E12+E13+E14+E15+E16+E17+E18+E19+E20+E21+E22)/E29</f>
        <v>33269.805387755099</v>
      </c>
      <c r="K12" s="17">
        <f>K29</f>
        <v>11</v>
      </c>
      <c r="L12" s="43">
        <f>J12*K12</f>
        <v>365967.85926530609</v>
      </c>
      <c r="O12" s="15">
        <f t="shared" si="0"/>
        <v>5679.8279183673467</v>
      </c>
    </row>
    <row r="13" spans="1:41" x14ac:dyDescent="0.2">
      <c r="A13" s="13" t="s">
        <v>18</v>
      </c>
      <c r="B13" s="14" t="s">
        <v>19</v>
      </c>
      <c r="C13" s="15">
        <f>'[4]Team Report'!BA28</f>
        <v>293972.73</v>
      </c>
      <c r="E13" s="20">
        <f>((C13/9)*12)*1.2</f>
        <v>470356.36800000002</v>
      </c>
      <c r="F13" s="21">
        <f t="shared" si="1"/>
        <v>105590.20506122449</v>
      </c>
      <c r="I13" s="7"/>
      <c r="J13" s="17"/>
      <c r="K13" s="17"/>
      <c r="L13" s="43"/>
      <c r="O13" s="15">
        <f t="shared" si="0"/>
        <v>9599.1095510204086</v>
      </c>
    </row>
    <row r="14" spans="1:41" ht="13.5" thickBot="1" x14ac:dyDescent="0.25">
      <c r="A14" s="13" t="s">
        <v>21</v>
      </c>
      <c r="B14" s="14" t="s">
        <v>22</v>
      </c>
      <c r="C14" s="15">
        <f>'[4]Team Report'!BA32</f>
        <v>67481.55</v>
      </c>
      <c r="E14" s="20">
        <f>((C14/9)*12)*1.2</f>
        <v>107970.48000000001</v>
      </c>
      <c r="F14" s="21">
        <f t="shared" si="1"/>
        <v>24238.271020408163</v>
      </c>
      <c r="I14" s="22" t="s">
        <v>20</v>
      </c>
      <c r="J14" s="47"/>
      <c r="K14" s="47"/>
      <c r="L14" s="48">
        <f>SUM(L9:L12)</f>
        <v>2189007.859265306</v>
      </c>
      <c r="N14">
        <v>1699109</v>
      </c>
      <c r="O14" s="15">
        <f t="shared" si="0"/>
        <v>2203.4791836734694</v>
      </c>
      <c r="P14" s="49"/>
    </row>
    <row r="15" spans="1:41" x14ac:dyDescent="0.2">
      <c r="A15" s="13" t="s">
        <v>23</v>
      </c>
      <c r="B15" s="14" t="s">
        <v>24</v>
      </c>
      <c r="C15" s="15">
        <f>'[4]Team Report'!BA33</f>
        <v>48511.92</v>
      </c>
      <c r="E15" s="20">
        <f>((C15/9)*12)*1.2</f>
        <v>77619.072</v>
      </c>
      <c r="F15" s="21">
        <f t="shared" si="1"/>
        <v>17424.689632653062</v>
      </c>
      <c r="I15" s="8"/>
      <c r="J15" s="17"/>
      <c r="K15" s="17"/>
      <c r="L15" s="17"/>
      <c r="O15" s="15">
        <f t="shared" si="0"/>
        <v>1584.0626938775511</v>
      </c>
    </row>
    <row r="16" spans="1:41" x14ac:dyDescent="0.2">
      <c r="A16" s="13" t="s">
        <v>25</v>
      </c>
      <c r="B16" s="14" t="s">
        <v>26</v>
      </c>
      <c r="C16" s="15">
        <f>'[4]Team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28</v>
      </c>
      <c r="B17" s="14" t="s">
        <v>29</v>
      </c>
      <c r="C17" s="15">
        <f>'[4]Team Report'!BA35</f>
        <v>2500</v>
      </c>
      <c r="E17" s="20">
        <f>((C17/9)*12)*1.2</f>
        <v>3999.9999999999995</v>
      </c>
      <c r="F17" s="21">
        <f t="shared" si="1"/>
        <v>897.95918367346917</v>
      </c>
      <c r="I17" s="8" t="s">
        <v>27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x14ac:dyDescent="0.2">
      <c r="A18" s="13" t="s">
        <v>31</v>
      </c>
      <c r="B18" s="14" t="s">
        <v>32</v>
      </c>
      <c r="C18" s="15">
        <f>'[4]Team Report'!BA36</f>
        <v>0</v>
      </c>
      <c r="E18" s="20">
        <f>(C18/9)*12</f>
        <v>0</v>
      </c>
      <c r="F18" s="21">
        <f t="shared" si="1"/>
        <v>0</v>
      </c>
      <c r="I18" t="s">
        <v>93</v>
      </c>
      <c r="J18" s="17">
        <v>48000</v>
      </c>
      <c r="K18" s="17">
        <v>1</v>
      </c>
      <c r="L18" s="17">
        <f t="shared" si="2"/>
        <v>48000</v>
      </c>
      <c r="O18" s="15">
        <f t="shared" si="0"/>
        <v>0</v>
      </c>
    </row>
    <row r="19" spans="1:15" x14ac:dyDescent="0.2">
      <c r="A19" s="13" t="s">
        <v>34</v>
      </c>
      <c r="B19" s="14" t="s">
        <v>35</v>
      </c>
      <c r="C19" s="15">
        <f>'[4]Team Report'!BA37</f>
        <v>129576.91999999998</v>
      </c>
      <c r="E19" s="20">
        <f>((C19/9)*12)*1.2</f>
        <v>207323.07199999999</v>
      </c>
      <c r="F19" s="21">
        <f>(E19/$E$29)*$F$29+60000</f>
        <v>106541.91412244897</v>
      </c>
      <c r="I19" t="s">
        <v>33</v>
      </c>
      <c r="J19" s="17">
        <v>49200</v>
      </c>
      <c r="K19" s="17">
        <v>0</v>
      </c>
      <c r="L19" s="17">
        <f t="shared" si="2"/>
        <v>0</v>
      </c>
      <c r="O19" s="15">
        <f t="shared" si="0"/>
        <v>9685.6285565862709</v>
      </c>
    </row>
    <row r="20" spans="1:15" x14ac:dyDescent="0.2">
      <c r="A20" s="13" t="s">
        <v>37</v>
      </c>
      <c r="B20" s="14" t="s">
        <v>38</v>
      </c>
      <c r="C20" s="15">
        <f>'[4]Team Report'!BA38</f>
        <v>10.029999999999999</v>
      </c>
      <c r="E20" s="20">
        <f>((C20/9)*12)*1.2</f>
        <v>16.047999999999998</v>
      </c>
      <c r="F20" s="21">
        <f t="shared" si="1"/>
        <v>3.6026122448979589</v>
      </c>
      <c r="I20" t="s">
        <v>94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x14ac:dyDescent="0.2">
      <c r="A21" s="13" t="s">
        <v>40</v>
      </c>
      <c r="B21" s="14" t="s">
        <v>41</v>
      </c>
      <c r="C21" s="15">
        <f>'[4]Team Report'!BA42</f>
        <v>302115.48</v>
      </c>
      <c r="E21" s="20">
        <f>((C21/9)*12)*1.2</f>
        <v>483384.76799999998</v>
      </c>
      <c r="F21" s="21">
        <f t="shared" si="1"/>
        <v>108514.94791836735</v>
      </c>
      <c r="I21" t="s">
        <v>45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x14ac:dyDescent="0.2">
      <c r="A22" s="13" t="s">
        <v>43</v>
      </c>
      <c r="B22" s="14" t="s">
        <v>44</v>
      </c>
      <c r="C22" s="15">
        <f>'[4]Team Report'!BA44</f>
        <v>774.43</v>
      </c>
      <c r="E22" s="20">
        <f>((C22/9)*12)*1.2</f>
        <v>1239.088</v>
      </c>
      <c r="F22" s="21">
        <f t="shared" si="1"/>
        <v>278.16261224489796</v>
      </c>
      <c r="I22" t="s">
        <v>36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5422206.8300000001</v>
      </c>
      <c r="E23" s="28">
        <f>SUM(E8:E22)</f>
        <v>8675530.9279999994</v>
      </c>
      <c r="F23" s="28">
        <f>SUM(F8:F22)</f>
        <v>2768847.859265306</v>
      </c>
      <c r="I23" t="s">
        <v>95</v>
      </c>
      <c r="J23" s="17">
        <v>74400</v>
      </c>
      <c r="K23" s="17">
        <v>1</v>
      </c>
      <c r="L23" s="17">
        <f t="shared" si="2"/>
        <v>74400</v>
      </c>
      <c r="O23" s="58">
        <f>SUM(O8:O22)</f>
        <v>251713.44175139145</v>
      </c>
    </row>
    <row r="24" spans="1:15" x14ac:dyDescent="0.2">
      <c r="I24" t="s">
        <v>96</v>
      </c>
      <c r="J24" s="17">
        <v>90000</v>
      </c>
      <c r="K24" s="17">
        <v>1</v>
      </c>
      <c r="L24" s="17">
        <f t="shared" si="2"/>
        <v>90000</v>
      </c>
    </row>
    <row r="25" spans="1:15" x14ac:dyDescent="0.2">
      <c r="B25" s="27" t="s">
        <v>50</v>
      </c>
      <c r="C25" s="15"/>
      <c r="E25" s="31">
        <v>44</v>
      </c>
      <c r="F25" s="31">
        <f>+K29</f>
        <v>11</v>
      </c>
      <c r="I25" t="s">
        <v>97</v>
      </c>
      <c r="J25" s="17">
        <v>120000</v>
      </c>
      <c r="K25" s="17">
        <v>5</v>
      </c>
      <c r="L25" s="17">
        <f t="shared" si="2"/>
        <v>600000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98</v>
      </c>
      <c r="J26" s="17">
        <v>178800</v>
      </c>
      <c r="K26" s="17">
        <v>1</v>
      </c>
      <c r="L26" s="17">
        <f t="shared" si="2"/>
        <v>178800</v>
      </c>
      <c r="O26" s="15"/>
    </row>
    <row r="27" spans="1:15" x14ac:dyDescent="0.2">
      <c r="B27" s="27" t="s">
        <v>101</v>
      </c>
      <c r="C27" s="15"/>
      <c r="E27" s="31">
        <v>5</v>
      </c>
      <c r="F27" s="31">
        <v>0</v>
      </c>
      <c r="I27" t="s">
        <v>99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">
      <c r="I28" t="s">
        <v>100</v>
      </c>
      <c r="J28" s="17">
        <v>312000</v>
      </c>
      <c r="K28" s="17">
        <v>1</v>
      </c>
      <c r="L28" s="17">
        <f t="shared" si="2"/>
        <v>312000</v>
      </c>
    </row>
    <row r="29" spans="1:15" x14ac:dyDescent="0.2">
      <c r="B29" s="27" t="s">
        <v>55</v>
      </c>
      <c r="C29" s="15"/>
      <c r="E29" s="31">
        <f>+E27+E25</f>
        <v>49</v>
      </c>
      <c r="F29" s="31">
        <f>+F27+F25</f>
        <v>11</v>
      </c>
      <c r="G29" s="25"/>
      <c r="K29" s="25">
        <f>SUM(K17:K28)</f>
        <v>11</v>
      </c>
      <c r="L29" s="17">
        <f>SUM(L17:L28)</f>
        <v>1519200</v>
      </c>
      <c r="O29" s="31">
        <v>1</v>
      </c>
    </row>
    <row r="30" spans="1:15" hidden="1" x14ac:dyDescent="0.2"/>
    <row r="31" spans="1:15" hidden="1" x14ac:dyDescent="0.2">
      <c r="A31" s="13" t="s">
        <v>71</v>
      </c>
      <c r="B31" s="14" t="s">
        <v>72</v>
      </c>
      <c r="C31" s="15">
        <f>'[4]Team Report'!BA29</f>
        <v>0</v>
      </c>
      <c r="E31" s="15">
        <f t="shared" ref="E31:E38" si="3">(C31/9)*12</f>
        <v>0</v>
      </c>
      <c r="I31" t="s">
        <v>102</v>
      </c>
      <c r="K31" s="52"/>
      <c r="L31" s="52">
        <v>0.2</v>
      </c>
    </row>
    <row r="32" spans="1:15" hidden="1" x14ac:dyDescent="0.2">
      <c r="A32" s="13" t="s">
        <v>73</v>
      </c>
      <c r="B32" s="14" t="s">
        <v>74</v>
      </c>
      <c r="C32" s="15">
        <f>'[4]Team Report'!BA30</f>
        <v>0</v>
      </c>
      <c r="E32" s="15">
        <f t="shared" si="3"/>
        <v>0</v>
      </c>
    </row>
    <row r="33" spans="1:12" hidden="1" x14ac:dyDescent="0.2">
      <c r="A33" s="13" t="s">
        <v>75</v>
      </c>
      <c r="B33" s="14" t="s">
        <v>76</v>
      </c>
      <c r="C33" s="15">
        <f>'[4]Team Report'!BA31</f>
        <v>0</v>
      </c>
      <c r="E33" s="15">
        <f t="shared" si="3"/>
        <v>0</v>
      </c>
      <c r="L33" s="25">
        <f>L29*1.2</f>
        <v>1823040</v>
      </c>
    </row>
    <row r="34" spans="1:12" hidden="1" x14ac:dyDescent="0.2">
      <c r="A34" s="13" t="s">
        <v>77</v>
      </c>
      <c r="B34" s="14" t="s">
        <v>78</v>
      </c>
      <c r="C34" s="15">
        <f>'[4]Team Report'!BA39</f>
        <v>0</v>
      </c>
      <c r="E34" s="15">
        <f t="shared" si="3"/>
        <v>0</v>
      </c>
    </row>
    <row r="35" spans="1:12" hidden="1" x14ac:dyDescent="0.2">
      <c r="A35" s="13" t="s">
        <v>79</v>
      </c>
      <c r="B35" s="14" t="s">
        <v>80</v>
      </c>
      <c r="C35" s="15">
        <f>'[4]Team Report'!BA40</f>
        <v>147341.90000000002</v>
      </c>
      <c r="E35" s="15">
        <f t="shared" si="3"/>
        <v>196455.8666666667</v>
      </c>
    </row>
    <row r="36" spans="1:12" hidden="1" x14ac:dyDescent="0.2">
      <c r="A36" s="13" t="s">
        <v>81</v>
      </c>
      <c r="B36" s="14" t="s">
        <v>82</v>
      </c>
      <c r="C36" s="15">
        <f>'[4]Team Report'!BA41</f>
        <v>285701.8</v>
      </c>
      <c r="E36" s="15">
        <f t="shared" si="3"/>
        <v>380935.73333333328</v>
      </c>
    </row>
    <row r="37" spans="1:12" hidden="1" x14ac:dyDescent="0.2">
      <c r="A37" s="13" t="s">
        <v>83</v>
      </c>
      <c r="B37" s="14" t="s">
        <v>84</v>
      </c>
      <c r="C37" s="15">
        <f>'[4]Team Report'!BA43</f>
        <v>-4445984</v>
      </c>
      <c r="E37" s="15">
        <f t="shared" si="3"/>
        <v>-5927978.666666667</v>
      </c>
      <c r="G37" s="33" t="s">
        <v>56</v>
      </c>
      <c r="I37" s="25"/>
      <c r="L37"/>
    </row>
    <row r="38" spans="1:12" hidden="1" x14ac:dyDescent="0.2">
      <c r="A38" s="13" t="s">
        <v>85</v>
      </c>
      <c r="B38" s="14" t="s">
        <v>86</v>
      </c>
      <c r="C38" s="15">
        <f>'[4]Team Report'!BA45</f>
        <v>1176.06</v>
      </c>
      <c r="E38" s="15">
        <f t="shared" si="3"/>
        <v>1568.08</v>
      </c>
      <c r="I38" s="25"/>
      <c r="L38"/>
    </row>
    <row r="39" spans="1:12" hidden="1" x14ac:dyDescent="0.2">
      <c r="G39" s="34" t="s">
        <v>57</v>
      </c>
      <c r="I39" s="35" t="s">
        <v>58</v>
      </c>
      <c r="J39" s="35" t="s">
        <v>59</v>
      </c>
      <c r="K39" s="35" t="s">
        <v>2</v>
      </c>
      <c r="L39" s="35" t="s">
        <v>60</v>
      </c>
    </row>
    <row r="40" spans="1:12" hidden="1" x14ac:dyDescent="0.2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11</v>
      </c>
      <c r="L40" s="37">
        <f>+J40*K40</f>
        <v>365967.85926530609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AS48"/>
  <sheetViews>
    <sheetView zoomScaleNormal="100" workbookViewId="0">
      <selection activeCell="G12" sqref="G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10" max="10" width="19.42578125" customWidth="1"/>
    <col min="11" max="11" width="10.42578125" style="25" customWidth="1"/>
    <col min="12" max="12" width="10.85546875" style="25" customWidth="1"/>
    <col min="13" max="13" width="11.42578125" style="25" customWidth="1"/>
    <col min="15" max="15" width="0" hidden="1" customWidth="1"/>
  </cols>
  <sheetData>
    <row r="1" spans="1:45" ht="18" x14ac:dyDescent="0.25">
      <c r="B1" s="142" t="str">
        <f>'[6]Team Report'!B1</f>
        <v>Enron North America</v>
      </c>
      <c r="C1" s="142"/>
      <c r="D1" s="142"/>
      <c r="E1" s="142"/>
      <c r="F1" s="144"/>
      <c r="G1" s="144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2" t="s">
        <v>134</v>
      </c>
      <c r="C2" s="142"/>
      <c r="D2" s="142"/>
      <c r="E2" s="142"/>
      <c r="F2" s="144"/>
      <c r="G2" s="144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42" t="s">
        <v>0</v>
      </c>
      <c r="C3" s="142"/>
      <c r="D3" s="142"/>
      <c r="E3" s="142"/>
      <c r="F3" s="144"/>
      <c r="G3" s="144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47"/>
      <c r="K4" s="147"/>
      <c r="L4" s="147"/>
      <c r="M4" s="147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1</v>
      </c>
      <c r="L6" s="19" t="s">
        <v>2</v>
      </c>
      <c r="M6" s="74" t="s">
        <v>107</v>
      </c>
      <c r="O6" s="11">
        <v>2002</v>
      </c>
    </row>
    <row r="7" spans="1:45" x14ac:dyDescent="0.2">
      <c r="C7" s="12" t="s">
        <v>5</v>
      </c>
      <c r="E7" s="12" t="s">
        <v>6</v>
      </c>
      <c r="F7" s="12"/>
      <c r="G7" s="12" t="s">
        <v>7</v>
      </c>
      <c r="J7" s="7"/>
      <c r="K7" s="17"/>
      <c r="L7" s="17"/>
      <c r="M7" s="43"/>
      <c r="O7" s="12" t="s">
        <v>7</v>
      </c>
    </row>
    <row r="8" spans="1:45" x14ac:dyDescent="0.2">
      <c r="A8" s="13" t="s">
        <v>9</v>
      </c>
      <c r="B8" s="14" t="s">
        <v>10</v>
      </c>
      <c r="C8" s="53">
        <f>'[6]Team Report'!BA25</f>
        <v>10228335.790000001</v>
      </c>
      <c r="E8" s="15">
        <f t="shared" ref="E8:E22" si="0">+C8/9*12</f>
        <v>13637781.053333335</v>
      </c>
      <c r="F8" s="15"/>
      <c r="G8" s="15">
        <f>SUM(M19:M28)+3000000</f>
        <v>18144000</v>
      </c>
      <c r="J8" s="7"/>
      <c r="K8" s="17"/>
      <c r="L8" s="17"/>
      <c r="M8" s="43"/>
      <c r="O8" s="15">
        <f>+G8/$G$29*$O$29</f>
        <v>136421.05263157896</v>
      </c>
    </row>
    <row r="9" spans="1:45" hidden="1" x14ac:dyDescent="0.2">
      <c r="A9" s="13"/>
      <c r="B9" s="14" t="s">
        <v>11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10</v>
      </c>
      <c r="K9" s="17">
        <v>0</v>
      </c>
      <c r="L9" s="17">
        <f>+L35</f>
        <v>128</v>
      </c>
      <c r="M9" s="43">
        <f>M35</f>
        <v>18172800</v>
      </c>
      <c r="O9" s="15">
        <f t="shared" ref="O9:O21" si="1">+G9/$G$29*$O$29</f>
        <v>0</v>
      </c>
    </row>
    <row r="10" spans="1:45" x14ac:dyDescent="0.2">
      <c r="A10" s="13"/>
      <c r="B10" s="14" t="s">
        <v>70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13</v>
      </c>
      <c r="B11" s="14" t="s">
        <v>14</v>
      </c>
      <c r="C11" s="15">
        <f>'[6]Team Report'!BA26</f>
        <v>1877442.13</v>
      </c>
      <c r="E11" s="15">
        <f t="shared" si="0"/>
        <v>2503256.1733333333</v>
      </c>
      <c r="F11" s="15"/>
      <c r="G11" s="15">
        <f>+G8*0.2</f>
        <v>3628800</v>
      </c>
      <c r="J11" s="7"/>
      <c r="K11" s="17"/>
      <c r="L11" s="17"/>
      <c r="M11" s="43"/>
      <c r="O11" s="15">
        <f t="shared" si="1"/>
        <v>27284.21052631579</v>
      </c>
    </row>
    <row r="12" spans="1:45" x14ac:dyDescent="0.2">
      <c r="A12" s="13" t="s">
        <v>16</v>
      </c>
      <c r="B12" s="14" t="s">
        <v>17</v>
      </c>
      <c r="C12" s="15">
        <f>'[6]Team Report'!BA27</f>
        <v>405632.98</v>
      </c>
      <c r="E12" s="15">
        <f t="shared" si="0"/>
        <v>540843.97333333339</v>
      </c>
      <c r="F12" s="15"/>
      <c r="G12" s="15">
        <f>+$M$12*0.25+950000</f>
        <v>1660208</v>
      </c>
      <c r="J12" s="7" t="s">
        <v>15</v>
      </c>
      <c r="K12" s="17">
        <f>18495*1.2</f>
        <v>22194</v>
      </c>
      <c r="L12" s="17">
        <f>+L35</f>
        <v>128</v>
      </c>
      <c r="M12" s="43">
        <f>K12*L12</f>
        <v>2840832</v>
      </c>
      <c r="O12" s="15">
        <f t="shared" si="1"/>
        <v>12482.766917293233</v>
      </c>
    </row>
    <row r="13" spans="1:45" x14ac:dyDescent="0.2">
      <c r="A13" s="13" t="s">
        <v>18</v>
      </c>
      <c r="B13" s="14" t="s">
        <v>19</v>
      </c>
      <c r="C13" s="15">
        <f>'[6]Team Report'!BA28</f>
        <v>648740.16999999993</v>
      </c>
      <c r="E13" s="15">
        <f t="shared" si="0"/>
        <v>864986.8933333332</v>
      </c>
      <c r="F13" s="15"/>
      <c r="G13" s="15">
        <f>+$M$12*0.13+500000</f>
        <v>869308.16</v>
      </c>
      <c r="J13" s="7"/>
      <c r="K13" s="17"/>
      <c r="L13" s="17"/>
      <c r="M13" s="43"/>
      <c r="O13" s="15">
        <f t="shared" si="1"/>
        <v>6536.1515789473688</v>
      </c>
    </row>
    <row r="14" spans="1:45" ht="13.5" thickBot="1" x14ac:dyDescent="0.25">
      <c r="A14" s="13" t="s">
        <v>21</v>
      </c>
      <c r="B14" s="14" t="s">
        <v>22</v>
      </c>
      <c r="C14" s="15">
        <v>0</v>
      </c>
      <c r="E14" s="15">
        <f t="shared" si="0"/>
        <v>0</v>
      </c>
      <c r="F14" s="15"/>
      <c r="G14" s="15">
        <v>0</v>
      </c>
      <c r="J14" s="22" t="s">
        <v>20</v>
      </c>
      <c r="K14" s="47"/>
      <c r="L14" s="47"/>
      <c r="M14" s="48">
        <f>SUM(M9:M12)</f>
        <v>21013632</v>
      </c>
      <c r="O14" s="15">
        <f t="shared" si="1"/>
        <v>0</v>
      </c>
    </row>
    <row r="15" spans="1:45" x14ac:dyDescent="0.2">
      <c r="A15" s="13" t="s">
        <v>23</v>
      </c>
      <c r="B15" s="14" t="s">
        <v>24</v>
      </c>
      <c r="C15" s="15">
        <f>'[6]Team Report'!BA33</f>
        <v>76876.320000000007</v>
      </c>
      <c r="E15" s="15">
        <f t="shared" si="0"/>
        <v>102501.76000000001</v>
      </c>
      <c r="F15" s="15"/>
      <c r="G15" s="15">
        <f>+$M$12*0.08+90000</f>
        <v>317266.56</v>
      </c>
      <c r="J15" s="8"/>
      <c r="K15" s="17"/>
      <c r="L15" s="17"/>
      <c r="M15" s="17"/>
      <c r="O15" s="15">
        <f t="shared" si="1"/>
        <v>2385.462857142857</v>
      </c>
    </row>
    <row r="16" spans="1:45" x14ac:dyDescent="0.2">
      <c r="A16" s="13" t="s">
        <v>25</v>
      </c>
      <c r="B16" s="14" t="s">
        <v>26</v>
      </c>
      <c r="C16" s="15">
        <f>'[6]Team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'[6]Team Report'!BA35</f>
        <v>0</v>
      </c>
      <c r="E17" s="15">
        <f t="shared" si="0"/>
        <v>0</v>
      </c>
      <c r="F17" s="15"/>
      <c r="G17" s="15">
        <v>0</v>
      </c>
      <c r="J17" t="s">
        <v>27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31</v>
      </c>
      <c r="B18" s="14" t="s">
        <v>32</v>
      </c>
      <c r="C18" s="15">
        <f>'[6]Team Report'!BA36</f>
        <v>5744.1</v>
      </c>
      <c r="E18" s="15">
        <f t="shared" si="0"/>
        <v>7658.8</v>
      </c>
      <c r="F18" s="15"/>
      <c r="G18" s="15">
        <v>0</v>
      </c>
      <c r="J18" t="s">
        <v>30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x14ac:dyDescent="0.2">
      <c r="A19" s="13" t="s">
        <v>34</v>
      </c>
      <c r="B19" s="14" t="s">
        <v>35</v>
      </c>
      <c r="C19" s="15">
        <f>'[6]Team Report'!BA37</f>
        <v>67058.599999999991</v>
      </c>
      <c r="E19" s="15">
        <f t="shared" si="0"/>
        <v>89411.466666666645</v>
      </c>
      <c r="F19" s="15"/>
      <c r="G19" s="15">
        <f>+$M$12*0.19+2000000</f>
        <v>2539758.08</v>
      </c>
      <c r="J19" t="s">
        <v>33</v>
      </c>
      <c r="K19" s="25">
        <v>60000</v>
      </c>
      <c r="L19" s="25">
        <v>3</v>
      </c>
      <c r="M19" s="17">
        <f t="shared" si="2"/>
        <v>180000</v>
      </c>
      <c r="O19" s="15">
        <f t="shared" si="1"/>
        <v>19095.925413533834</v>
      </c>
    </row>
    <row r="20" spans="1:15" x14ac:dyDescent="0.2">
      <c r="A20" s="13" t="s">
        <v>37</v>
      </c>
      <c r="B20" s="14" t="s">
        <v>38</v>
      </c>
      <c r="C20" s="15">
        <f>'[6]Team Report'!BA38</f>
        <v>0</v>
      </c>
      <c r="E20" s="15">
        <f t="shared" si="0"/>
        <v>0</v>
      </c>
      <c r="F20" s="15"/>
      <c r="G20" s="15">
        <v>0</v>
      </c>
      <c r="J20" t="s">
        <v>36</v>
      </c>
      <c r="K20" s="25">
        <v>78000</v>
      </c>
      <c r="L20" s="25">
        <v>24</v>
      </c>
      <c r="M20" s="17">
        <f t="shared" si="2"/>
        <v>1872000</v>
      </c>
      <c r="O20" s="15">
        <f t="shared" si="1"/>
        <v>0</v>
      </c>
    </row>
    <row r="21" spans="1:15" x14ac:dyDescent="0.2">
      <c r="A21" s="13" t="s">
        <v>40</v>
      </c>
      <c r="B21" s="14" t="s">
        <v>41</v>
      </c>
      <c r="C21" s="15">
        <f>'[6]Team Report'!BA42</f>
        <v>842429.76</v>
      </c>
      <c r="E21" s="15">
        <f t="shared" si="0"/>
        <v>1123239.6800000002</v>
      </c>
      <c r="F21" s="15"/>
      <c r="G21" s="15">
        <f>2295000+6368166</f>
        <v>8663166</v>
      </c>
      <c r="J21" t="s">
        <v>39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65136.586466165412</v>
      </c>
    </row>
    <row r="22" spans="1:15" x14ac:dyDescent="0.2">
      <c r="A22" s="13" t="s">
        <v>43</v>
      </c>
      <c r="B22" s="14" t="s">
        <v>44</v>
      </c>
      <c r="C22" s="15">
        <f>'[6]Team Report'!BA44</f>
        <v>6453.6999999999989</v>
      </c>
      <c r="E22" s="15">
        <f t="shared" si="0"/>
        <v>8604.9333333333325</v>
      </c>
      <c r="F22" s="15"/>
      <c r="G22" s="15">
        <v>0</v>
      </c>
      <c r="J22" t="s">
        <v>135</v>
      </c>
      <c r="K22" s="25">
        <v>192000</v>
      </c>
      <c r="L22" s="25">
        <v>1</v>
      </c>
      <c r="M22" s="17">
        <f t="shared" si="2"/>
        <v>192000</v>
      </c>
      <c r="O22" s="15">
        <f>+G22/$G$29*$O$29</f>
        <v>0</v>
      </c>
    </row>
    <row r="23" spans="1:15" x14ac:dyDescent="0.2">
      <c r="A23" s="26" t="s">
        <v>46</v>
      </c>
      <c r="B23" s="27" t="s">
        <v>47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35822506.799999997</v>
      </c>
      <c r="J23" t="s">
        <v>136</v>
      </c>
      <c r="K23" s="25">
        <v>192000</v>
      </c>
      <c r="L23" s="25">
        <v>9</v>
      </c>
      <c r="M23" s="17">
        <f t="shared" si="2"/>
        <v>1728000</v>
      </c>
      <c r="O23" s="28">
        <f>SUM(O8:O22)</f>
        <v>269342.15639097744</v>
      </c>
    </row>
    <row r="24" spans="1:15" x14ac:dyDescent="0.2">
      <c r="J24" t="s">
        <v>48</v>
      </c>
      <c r="K24" s="25">
        <v>144000</v>
      </c>
      <c r="L24" s="25">
        <v>15</v>
      </c>
      <c r="M24" s="17">
        <f t="shared" si="2"/>
        <v>2160000</v>
      </c>
    </row>
    <row r="25" spans="1:15" x14ac:dyDescent="0.2">
      <c r="B25" s="27" t="s">
        <v>50</v>
      </c>
      <c r="C25" s="55"/>
      <c r="E25" s="55">
        <v>111</v>
      </c>
      <c r="F25" s="60">
        <v>40</v>
      </c>
      <c r="G25" s="79">
        <v>133</v>
      </c>
      <c r="J25" t="s">
        <v>49</v>
      </c>
      <c r="K25" s="25">
        <v>168000</v>
      </c>
      <c r="L25" s="25">
        <v>7</v>
      </c>
      <c r="M25" s="17">
        <f t="shared" si="2"/>
        <v>1176000</v>
      </c>
      <c r="O25" s="31">
        <f>SUM(U16:U20,U23:U27)</f>
        <v>0</v>
      </c>
    </row>
    <row r="26" spans="1:15" x14ac:dyDescent="0.2">
      <c r="J26" t="s">
        <v>51</v>
      </c>
      <c r="K26" s="25">
        <v>216000</v>
      </c>
      <c r="L26" s="25">
        <v>7</v>
      </c>
      <c r="M26" s="17">
        <f t="shared" si="2"/>
        <v>1512000</v>
      </c>
      <c r="O26" s="15"/>
    </row>
    <row r="27" spans="1:15" x14ac:dyDescent="0.2">
      <c r="B27" s="27" t="s">
        <v>67</v>
      </c>
      <c r="C27" s="55"/>
      <c r="E27" s="55"/>
      <c r="F27" s="60"/>
      <c r="G27" s="55"/>
      <c r="J27" t="s">
        <v>52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">
      <c r="J28" t="s">
        <v>54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55</v>
      </c>
      <c r="C29" s="55"/>
      <c r="E29" s="55">
        <f>SUM(E25:E28)</f>
        <v>111</v>
      </c>
      <c r="F29" s="60"/>
      <c r="G29" s="55">
        <f>SUM(G25:G28)</f>
        <v>133</v>
      </c>
      <c r="L29" s="25">
        <f>SUM(L17:L28)</f>
        <v>128</v>
      </c>
      <c r="M29" s="25">
        <f>SUM(M17:M28)</f>
        <v>15144000</v>
      </c>
      <c r="O29" s="31">
        <v>1</v>
      </c>
    </row>
    <row r="30" spans="1:15" x14ac:dyDescent="0.2">
      <c r="B30" s="27"/>
    </row>
    <row r="31" spans="1:15" hidden="1" x14ac:dyDescent="0.2">
      <c r="A31" s="13" t="s">
        <v>71</v>
      </c>
      <c r="B31" s="14" t="s">
        <v>72</v>
      </c>
      <c r="C31" s="15">
        <f>'[6]Team Report'!BA29</f>
        <v>-24140467.679999996</v>
      </c>
      <c r="E31" s="15">
        <v>0</v>
      </c>
      <c r="F31" s="15"/>
      <c r="J31" t="s">
        <v>102</v>
      </c>
      <c r="L31" s="52"/>
      <c r="M31" s="52">
        <v>0.2</v>
      </c>
    </row>
    <row r="32" spans="1:15" hidden="1" x14ac:dyDescent="0.2">
      <c r="A32" s="13" t="s">
        <v>73</v>
      </c>
      <c r="B32" s="14" t="s">
        <v>74</v>
      </c>
      <c r="C32" s="15">
        <f>'[6]Team Report'!BA30</f>
        <v>0</v>
      </c>
      <c r="E32" s="15">
        <f>(C32/9)*12</f>
        <v>0</v>
      </c>
      <c r="F32" s="15"/>
    </row>
    <row r="33" spans="1:13" hidden="1" x14ac:dyDescent="0.2">
      <c r="A33" s="13" t="s">
        <v>75</v>
      </c>
      <c r="B33" s="14" t="s">
        <v>76</v>
      </c>
      <c r="C33" s="15">
        <f>'[6]Team Report'!BA31</f>
        <v>0</v>
      </c>
      <c r="E33" s="15">
        <f>(C33/9)*12</f>
        <v>0</v>
      </c>
      <c r="F33" s="15"/>
      <c r="J33" t="s">
        <v>132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77</v>
      </c>
      <c r="B34" s="14" t="s">
        <v>78</v>
      </c>
      <c r="C34" s="15">
        <f>'[6]Team Report'!BA39</f>
        <v>0</v>
      </c>
      <c r="E34" s="15">
        <f>(C34/9)*12</f>
        <v>0</v>
      </c>
      <c r="F34" s="15"/>
    </row>
    <row r="35" spans="1:13" hidden="1" x14ac:dyDescent="0.2">
      <c r="A35" s="13" t="s">
        <v>79</v>
      </c>
      <c r="B35" s="14" t="s">
        <v>80</v>
      </c>
      <c r="C35" s="15">
        <f>'[6]Team Report'!BA40</f>
        <v>164920.93000000002</v>
      </c>
      <c r="E35" s="15">
        <v>0</v>
      </c>
      <c r="F35" s="15"/>
      <c r="L35" s="25">
        <f>+L29+L33</f>
        <v>128</v>
      </c>
      <c r="M35" s="25">
        <f>M29*1.2+M33</f>
        <v>18172800</v>
      </c>
    </row>
    <row r="36" spans="1:13" hidden="1" x14ac:dyDescent="0.2">
      <c r="A36" s="13" t="s">
        <v>81</v>
      </c>
      <c r="B36" s="14" t="s">
        <v>82</v>
      </c>
      <c r="C36" s="15">
        <f>'[6]Team Report'!BA41</f>
        <v>945381.27</v>
      </c>
      <c r="E36" s="15">
        <v>0</v>
      </c>
      <c r="F36" s="15"/>
    </row>
    <row r="37" spans="1:13" hidden="1" x14ac:dyDescent="0.2">
      <c r="A37" s="13" t="s">
        <v>83</v>
      </c>
      <c r="B37" s="14" t="s">
        <v>84</v>
      </c>
      <c r="C37" s="15">
        <f>'[6]Team Report'!BA43</f>
        <v>-5121278.5200000005</v>
      </c>
      <c r="E37" s="15">
        <v>0</v>
      </c>
      <c r="F37" s="15"/>
      <c r="I37" s="33" t="s">
        <v>56</v>
      </c>
    </row>
    <row r="38" spans="1:13" hidden="1" x14ac:dyDescent="0.2">
      <c r="A38" s="13" t="s">
        <v>85</v>
      </c>
      <c r="B38" s="14" t="s">
        <v>86</v>
      </c>
      <c r="C38" s="15">
        <f>'[6]Team Report'!BA45</f>
        <v>0</v>
      </c>
      <c r="E38" s="15">
        <f>(C38/9)*12</f>
        <v>0</v>
      </c>
      <c r="F38" s="15"/>
    </row>
    <row r="39" spans="1:13" hidden="1" x14ac:dyDescent="0.2">
      <c r="A39" s="13" t="s">
        <v>21</v>
      </c>
      <c r="B39" s="14" t="s">
        <v>22</v>
      </c>
      <c r="C39" s="15">
        <v>24143776.43</v>
      </c>
      <c r="E39" s="15">
        <v>0</v>
      </c>
      <c r="F39" s="15"/>
      <c r="I39" t="s">
        <v>133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168</v>
      </c>
    </row>
    <row r="47" spans="1:13" x14ac:dyDescent="0.2">
      <c r="B47" s="14" t="s">
        <v>169</v>
      </c>
    </row>
    <row r="48" spans="1:13" x14ac:dyDescent="0.2">
      <c r="B48" s="14" t="s">
        <v>170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scale="61" orientation="portrait" verticalDpi="196" r:id="rId1"/>
  <headerFooter alignWithMargins="0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AS44"/>
  <sheetViews>
    <sheetView topLeftCell="A2" zoomScaleNormal="100" workbookViewId="0">
      <selection activeCell="G12" sqref="G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1.85546875" customWidth="1"/>
    <col min="10" max="10" width="19.42578125" customWidth="1"/>
    <col min="11" max="11" width="10.42578125" style="25" customWidth="1"/>
    <col min="12" max="12" width="10.85546875" style="25" customWidth="1"/>
    <col min="13" max="13" width="11.42578125" style="25" customWidth="1"/>
  </cols>
  <sheetData>
    <row r="1" spans="1:45" ht="18" x14ac:dyDescent="0.25">
      <c r="B1" s="142" t="str">
        <f>'[7]Team Report'!B1</f>
        <v>Enron North America</v>
      </c>
      <c r="C1" s="142"/>
      <c r="D1" s="142"/>
      <c r="E1" s="142"/>
      <c r="F1" s="144"/>
      <c r="G1" s="144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2" t="str">
        <f>"IT EOL"</f>
        <v>IT EOL</v>
      </c>
      <c r="C2" s="142"/>
      <c r="D2" s="142"/>
      <c r="E2" s="142"/>
      <c r="F2" s="144"/>
      <c r="G2" s="144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42" t="s">
        <v>0</v>
      </c>
      <c r="C3" s="142"/>
      <c r="D3" s="142"/>
      <c r="E3" s="142"/>
      <c r="F3" s="144"/>
      <c r="G3" s="144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47"/>
      <c r="K4" s="147"/>
      <c r="L4" s="147"/>
      <c r="M4" s="147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1</v>
      </c>
      <c r="L6" s="19" t="s">
        <v>2</v>
      </c>
      <c r="M6" s="74" t="s">
        <v>107</v>
      </c>
      <c r="O6" s="11">
        <v>2002</v>
      </c>
    </row>
    <row r="7" spans="1:45" x14ac:dyDescent="0.2">
      <c r="C7" s="12" t="s">
        <v>5</v>
      </c>
      <c r="E7" s="12" t="s">
        <v>6</v>
      </c>
      <c r="F7" s="12"/>
      <c r="G7" s="12" t="s">
        <v>7</v>
      </c>
      <c r="J7" s="7"/>
      <c r="K7" s="17"/>
      <c r="L7" s="17"/>
      <c r="M7" s="43"/>
      <c r="O7" s="12" t="s">
        <v>7</v>
      </c>
    </row>
    <row r="8" spans="1:45" x14ac:dyDescent="0.2">
      <c r="A8" s="13" t="s">
        <v>9</v>
      </c>
      <c r="B8" s="14" t="s">
        <v>10</v>
      </c>
      <c r="C8" s="53">
        <f>'[7]Team Report'!BA25</f>
        <v>10228335.790000001</v>
      </c>
      <c r="E8" s="15">
        <f>+C8/9*12</f>
        <v>13637781.053333335</v>
      </c>
      <c r="F8" s="15"/>
      <c r="G8" s="15">
        <f>SUM(M17:M28)+200000+100000</f>
        <v>5263200</v>
      </c>
      <c r="J8" s="7"/>
      <c r="K8" s="17"/>
      <c r="L8" s="17"/>
      <c r="M8" s="43"/>
      <c r="O8" s="15">
        <f>+G8/$G$29*$O$29</f>
        <v>119618.18181818182</v>
      </c>
    </row>
    <row r="9" spans="1:45" hidden="1" x14ac:dyDescent="0.2">
      <c r="A9" s="13"/>
      <c r="B9" s="14" t="s">
        <v>11</v>
      </c>
      <c r="C9" s="15">
        <v>0</v>
      </c>
      <c r="E9" s="15">
        <f>+C9/9*12</f>
        <v>0</v>
      </c>
      <c r="F9" s="15"/>
      <c r="G9" s="15">
        <f>+E9/9*12</f>
        <v>0</v>
      </c>
      <c r="J9" s="7" t="s">
        <v>10</v>
      </c>
      <c r="K9" s="17">
        <v>0</v>
      </c>
      <c r="L9" s="17">
        <f>L29+1</f>
        <v>44</v>
      </c>
      <c r="M9" s="43">
        <f>M33+M35</f>
        <v>6147840</v>
      </c>
      <c r="O9" s="15">
        <f t="shared" ref="O9:O21" si="0">+G9/$G$29*$O$29</f>
        <v>0</v>
      </c>
    </row>
    <row r="10" spans="1:45" x14ac:dyDescent="0.2">
      <c r="A10" s="13"/>
      <c r="B10" s="14" t="s">
        <v>70</v>
      </c>
      <c r="C10" s="15">
        <v>0</v>
      </c>
      <c r="E10" s="15">
        <f>+C10/9*12</f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0"/>
        <v>0</v>
      </c>
    </row>
    <row r="11" spans="1:45" x14ac:dyDescent="0.2">
      <c r="A11" s="13" t="s">
        <v>13</v>
      </c>
      <c r="B11" s="14" t="s">
        <v>14</v>
      </c>
      <c r="C11" s="15">
        <f>'[7]Team Report'!BA26</f>
        <v>1877442.13</v>
      </c>
      <c r="E11" s="15">
        <f>+C11/9*12</f>
        <v>2503256.1733333333</v>
      </c>
      <c r="F11" s="15"/>
      <c r="G11" s="15">
        <f>+G8*0.2</f>
        <v>1052640</v>
      </c>
      <c r="J11" s="7"/>
      <c r="K11" s="17"/>
      <c r="L11" s="17"/>
      <c r="M11" s="43"/>
      <c r="O11" s="15">
        <f t="shared" si="0"/>
        <v>23923.636363636364</v>
      </c>
    </row>
    <row r="12" spans="1:45" x14ac:dyDescent="0.2">
      <c r="A12" s="13" t="s">
        <v>16</v>
      </c>
      <c r="B12" s="14" t="s">
        <v>17</v>
      </c>
      <c r="C12" s="15">
        <f>'[7]Team Report'!BA27</f>
        <v>405632.98</v>
      </c>
      <c r="E12" s="15">
        <f t="shared" ref="E12:E22" si="1">(+C12/9*12)*1.2</f>
        <v>649012.76800000004</v>
      </c>
      <c r="F12" s="15"/>
      <c r="G12" s="108">
        <f>+$M$12*0.25+50000+250000</f>
        <v>544134</v>
      </c>
      <c r="J12" s="7" t="s">
        <v>15</v>
      </c>
      <c r="K12" s="17">
        <f>18495*1.2</f>
        <v>22194</v>
      </c>
      <c r="L12" s="17">
        <f>L29+1</f>
        <v>44</v>
      </c>
      <c r="M12" s="43">
        <f>K12*L12</f>
        <v>976536</v>
      </c>
      <c r="O12" s="15">
        <f t="shared" si="0"/>
        <v>12366.681818181818</v>
      </c>
    </row>
    <row r="13" spans="1:45" x14ac:dyDescent="0.2">
      <c r="A13" s="13" t="s">
        <v>18</v>
      </c>
      <c r="B13" s="14" t="s">
        <v>19</v>
      </c>
      <c r="C13" s="15">
        <f>'[7]Team Report'!BA28</f>
        <v>648740.16999999993</v>
      </c>
      <c r="E13" s="15">
        <f t="shared" si="1"/>
        <v>1037984.2719999998</v>
      </c>
      <c r="F13" s="15"/>
      <c r="G13" s="15">
        <f>+$M$12*0.13+200000</f>
        <v>326949.68</v>
      </c>
      <c r="J13" s="7"/>
      <c r="K13" s="17"/>
      <c r="L13" s="17"/>
      <c r="M13" s="43"/>
      <c r="O13" s="15">
        <f t="shared" si="0"/>
        <v>7430.6745454545453</v>
      </c>
    </row>
    <row r="14" spans="1:45" ht="13.5" thickBot="1" x14ac:dyDescent="0.25">
      <c r="A14" s="13" t="s">
        <v>21</v>
      </c>
      <c r="B14" s="14" t="s">
        <v>22</v>
      </c>
      <c r="C14" s="15">
        <v>0</v>
      </c>
      <c r="E14" s="15">
        <f t="shared" si="1"/>
        <v>0</v>
      </c>
      <c r="F14" s="15"/>
      <c r="G14" s="15">
        <v>0</v>
      </c>
      <c r="J14" s="22" t="s">
        <v>20</v>
      </c>
      <c r="K14" s="47"/>
      <c r="L14" s="47"/>
      <c r="M14" s="48">
        <f>SUM(M9:M12)</f>
        <v>7124376</v>
      </c>
      <c r="O14" s="15">
        <f t="shared" si="0"/>
        <v>0</v>
      </c>
    </row>
    <row r="15" spans="1:45" x14ac:dyDescent="0.2">
      <c r="A15" s="13" t="s">
        <v>23</v>
      </c>
      <c r="B15" s="14" t="s">
        <v>24</v>
      </c>
      <c r="C15" s="15">
        <f>'[7]Team Report'!BA33</f>
        <v>76876.320000000007</v>
      </c>
      <c r="E15" s="15">
        <f t="shared" si="1"/>
        <v>123002.11200000001</v>
      </c>
      <c r="F15" s="15"/>
      <c r="G15" s="15">
        <f>+$M$12*0.08+100000</f>
        <v>178122.88</v>
      </c>
      <c r="J15" s="8"/>
      <c r="K15" s="17"/>
      <c r="L15" s="17"/>
      <c r="M15" s="17"/>
      <c r="O15" s="15">
        <f t="shared" si="0"/>
        <v>4048.247272727273</v>
      </c>
    </row>
    <row r="16" spans="1:45" x14ac:dyDescent="0.2">
      <c r="A16" s="13" t="s">
        <v>25</v>
      </c>
      <c r="B16" s="14" t="s">
        <v>26</v>
      </c>
      <c r="C16" s="15">
        <f>'[7]Team Report'!BA34</f>
        <v>0</v>
      </c>
      <c r="E16" s="15">
        <f t="shared" si="1"/>
        <v>0</v>
      </c>
      <c r="F16" s="15"/>
      <c r="G16" s="15">
        <v>0</v>
      </c>
      <c r="J16" s="8"/>
      <c r="K16" s="17"/>
      <c r="L16" s="78"/>
      <c r="M16" s="17"/>
      <c r="O16" s="15">
        <f t="shared" si="0"/>
        <v>0</v>
      </c>
    </row>
    <row r="17" spans="1:15" x14ac:dyDescent="0.2">
      <c r="A17" s="13" t="s">
        <v>28</v>
      </c>
      <c r="B17" s="14" t="s">
        <v>29</v>
      </c>
      <c r="C17" s="15">
        <f>'[7]Team Report'!BA35</f>
        <v>0</v>
      </c>
      <c r="E17" s="15">
        <f t="shared" si="1"/>
        <v>0</v>
      </c>
      <c r="F17" s="15"/>
      <c r="G17" s="15">
        <v>0</v>
      </c>
      <c r="J17" t="s">
        <v>27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x14ac:dyDescent="0.2">
      <c r="A18" s="13" t="s">
        <v>31</v>
      </c>
      <c r="B18" s="14" t="s">
        <v>32</v>
      </c>
      <c r="C18" s="15">
        <f>'[7]Team Report'!BA36</f>
        <v>5744.1</v>
      </c>
      <c r="E18" s="15">
        <f t="shared" si="1"/>
        <v>9190.56</v>
      </c>
      <c r="F18" s="15"/>
      <c r="G18" s="15">
        <v>0</v>
      </c>
      <c r="J18" t="s">
        <v>30</v>
      </c>
      <c r="K18" s="25">
        <v>57600</v>
      </c>
      <c r="L18" s="25">
        <v>2</v>
      </c>
      <c r="M18" s="17">
        <f t="shared" si="2"/>
        <v>115200</v>
      </c>
      <c r="O18" s="15">
        <f t="shared" si="0"/>
        <v>0</v>
      </c>
    </row>
    <row r="19" spans="1:15" x14ac:dyDescent="0.2">
      <c r="A19" s="13" t="s">
        <v>34</v>
      </c>
      <c r="B19" s="14" t="s">
        <v>35</v>
      </c>
      <c r="C19" s="15">
        <f>'[7]Team Report'!BA37</f>
        <v>67058.599999999991</v>
      </c>
      <c r="E19" s="15">
        <f t="shared" si="1"/>
        <v>107293.75999999997</v>
      </c>
      <c r="F19" s="15"/>
      <c r="G19" s="15">
        <f>+$M$12*0.19+100000</f>
        <v>285541.83999999997</v>
      </c>
      <c r="J19" t="s">
        <v>33</v>
      </c>
      <c r="K19" s="25">
        <v>60000</v>
      </c>
      <c r="L19" s="25">
        <v>2</v>
      </c>
      <c r="M19" s="17">
        <f t="shared" si="2"/>
        <v>120000</v>
      </c>
      <c r="O19" s="15">
        <f t="shared" si="0"/>
        <v>6489.5872727272717</v>
      </c>
    </row>
    <row r="20" spans="1:15" x14ac:dyDescent="0.2">
      <c r="A20" s="13" t="s">
        <v>37</v>
      </c>
      <c r="B20" s="14" t="s">
        <v>38</v>
      </c>
      <c r="C20" s="15">
        <f>'[7]Team Report'!BA38</f>
        <v>0</v>
      </c>
      <c r="E20" s="15">
        <f t="shared" si="1"/>
        <v>0</v>
      </c>
      <c r="F20" s="15"/>
      <c r="G20" s="15">
        <v>0</v>
      </c>
      <c r="J20" t="s">
        <v>36</v>
      </c>
      <c r="K20" s="25">
        <v>78000</v>
      </c>
      <c r="L20" s="25">
        <v>15</v>
      </c>
      <c r="M20" s="17">
        <f t="shared" si="2"/>
        <v>1170000</v>
      </c>
      <c r="O20" s="15">
        <f t="shared" si="0"/>
        <v>0</v>
      </c>
    </row>
    <row r="21" spans="1:15" x14ac:dyDescent="0.2">
      <c r="A21" s="13" t="s">
        <v>40</v>
      </c>
      <c r="B21" s="14" t="s">
        <v>41</v>
      </c>
      <c r="C21" s="15">
        <f>'[7]Team Report'!BA42</f>
        <v>842429.76</v>
      </c>
      <c r="E21" s="15">
        <f t="shared" si="1"/>
        <v>1347887.6160000002</v>
      </c>
      <c r="F21" s="15"/>
      <c r="G21" s="15">
        <f>+$M$12*0.15+141124+150000+687307</f>
        <v>1124911.3999999999</v>
      </c>
      <c r="J21" t="s">
        <v>39</v>
      </c>
      <c r="K21" s="25">
        <v>102000</v>
      </c>
      <c r="L21" s="25">
        <v>8</v>
      </c>
      <c r="M21" s="17">
        <f t="shared" si="2"/>
        <v>816000</v>
      </c>
      <c r="O21" s="15">
        <f t="shared" si="0"/>
        <v>25566.168181818179</v>
      </c>
    </row>
    <row r="22" spans="1:15" x14ac:dyDescent="0.2">
      <c r="A22" s="13" t="s">
        <v>43</v>
      </c>
      <c r="B22" s="14" t="s">
        <v>44</v>
      </c>
      <c r="C22" s="15">
        <f>'[7]Team Report'!BA44</f>
        <v>6453.6999999999989</v>
      </c>
      <c r="E22" s="80">
        <f t="shared" si="1"/>
        <v>10325.919999999998</v>
      </c>
      <c r="F22" s="32"/>
      <c r="G22" s="15">
        <v>0</v>
      </c>
      <c r="J22" t="s">
        <v>42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x14ac:dyDescent="0.2">
      <c r="A23" s="26" t="s">
        <v>46</v>
      </c>
      <c r="B23" s="27" t="s">
        <v>47</v>
      </c>
      <c r="C23" s="28">
        <f>SUM(C8:C22)</f>
        <v>14158713.550000001</v>
      </c>
      <c r="E23" s="28">
        <f>SUM(E8:E22)</f>
        <v>19425734.234666672</v>
      </c>
      <c r="F23" s="29"/>
      <c r="G23" s="28">
        <f>SUM(G8:G22)</f>
        <v>8775499.7999999989</v>
      </c>
      <c r="J23" t="s">
        <v>45</v>
      </c>
      <c r="K23" s="25">
        <v>0</v>
      </c>
      <c r="L23" s="25">
        <v>0</v>
      </c>
      <c r="M23" s="17">
        <f t="shared" si="2"/>
        <v>0</v>
      </c>
      <c r="O23" s="28">
        <f>SUM(O8:O22)</f>
        <v>199443.17727272731</v>
      </c>
    </row>
    <row r="24" spans="1:15" x14ac:dyDescent="0.2">
      <c r="J24" t="s">
        <v>48</v>
      </c>
      <c r="K24" s="25">
        <v>144000</v>
      </c>
      <c r="L24" s="25">
        <v>6</v>
      </c>
      <c r="M24" s="17">
        <f t="shared" si="2"/>
        <v>864000</v>
      </c>
    </row>
    <row r="25" spans="1:15" x14ac:dyDescent="0.2">
      <c r="B25" s="27" t="s">
        <v>50</v>
      </c>
      <c r="C25" s="55"/>
      <c r="E25" s="55">
        <v>0</v>
      </c>
      <c r="F25" s="60">
        <v>40</v>
      </c>
      <c r="G25" s="79">
        <f>+L12</f>
        <v>44</v>
      </c>
      <c r="J25" t="s">
        <v>49</v>
      </c>
      <c r="K25" s="25">
        <v>168000</v>
      </c>
      <c r="L25" s="25">
        <v>6</v>
      </c>
      <c r="M25" s="17">
        <f t="shared" si="2"/>
        <v>1008000</v>
      </c>
      <c r="O25" s="31">
        <f>SUM(U16:U20,U23:U27)</f>
        <v>0</v>
      </c>
    </row>
    <row r="26" spans="1:15" x14ac:dyDescent="0.2">
      <c r="J26" t="s">
        <v>51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x14ac:dyDescent="0.2">
      <c r="B27" s="27" t="s">
        <v>67</v>
      </c>
      <c r="C27" s="55"/>
      <c r="E27" s="55"/>
      <c r="F27" s="60"/>
      <c r="G27" s="55"/>
      <c r="J27" t="s">
        <v>52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54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55</v>
      </c>
      <c r="C29" s="55"/>
      <c r="E29" s="55">
        <f>SUM(E25:E28)</f>
        <v>0</v>
      </c>
      <c r="F29" s="60"/>
      <c r="G29" s="55">
        <f>SUM(G25:G28)</f>
        <v>44</v>
      </c>
      <c r="L29" s="25">
        <f>SUM(L17:L28)</f>
        <v>43</v>
      </c>
      <c r="M29" s="25">
        <f>SUM(M17:M28)</f>
        <v>4963200</v>
      </c>
      <c r="O29" s="31">
        <v>1</v>
      </c>
    </row>
    <row r="30" spans="1:15" x14ac:dyDescent="0.2">
      <c r="B30" s="27"/>
    </row>
    <row r="31" spans="1:15" hidden="1" x14ac:dyDescent="0.2">
      <c r="A31" s="13" t="s">
        <v>71</v>
      </c>
      <c r="B31" s="14" t="s">
        <v>72</v>
      </c>
      <c r="C31" s="15">
        <f>'[7]Team Report'!BA29</f>
        <v>-24140467.679999996</v>
      </c>
      <c r="E31" s="15">
        <v>0</v>
      </c>
      <c r="F31" s="15"/>
      <c r="J31" t="s">
        <v>102</v>
      </c>
      <c r="L31" s="52"/>
      <c r="M31" s="52">
        <v>0.2</v>
      </c>
    </row>
    <row r="32" spans="1:15" hidden="1" x14ac:dyDescent="0.2">
      <c r="A32" s="13" t="s">
        <v>73</v>
      </c>
      <c r="B32" s="14" t="s">
        <v>74</v>
      </c>
      <c r="C32" s="15">
        <f>'[7]Team Report'!BA30</f>
        <v>0</v>
      </c>
      <c r="E32" s="15">
        <f>(C32/9)*12</f>
        <v>0</v>
      </c>
      <c r="F32" s="15"/>
    </row>
    <row r="33" spans="1:13" hidden="1" x14ac:dyDescent="0.2">
      <c r="A33" s="13" t="s">
        <v>75</v>
      </c>
      <c r="B33" s="14" t="s">
        <v>76</v>
      </c>
      <c r="C33" s="15">
        <f>'[7]Team Report'!BA31</f>
        <v>0</v>
      </c>
      <c r="E33" s="15">
        <f>(C33/9)*12</f>
        <v>0</v>
      </c>
      <c r="F33" s="15"/>
      <c r="M33" s="25">
        <f>M29*1.2</f>
        <v>5955840</v>
      </c>
    </row>
    <row r="34" spans="1:13" hidden="1" x14ac:dyDescent="0.2">
      <c r="A34" s="13" t="s">
        <v>77</v>
      </c>
      <c r="B34" s="14" t="s">
        <v>78</v>
      </c>
      <c r="C34" s="15">
        <f>'[7]Team Report'!BA39</f>
        <v>0</v>
      </c>
      <c r="E34" s="15">
        <v>0</v>
      </c>
      <c r="F34" s="15"/>
    </row>
    <row r="35" spans="1:13" hidden="1" x14ac:dyDescent="0.2">
      <c r="A35" s="13" t="s">
        <v>79</v>
      </c>
      <c r="B35" s="14" t="s">
        <v>80</v>
      </c>
      <c r="C35" s="15">
        <f>'[7]Team Report'!BA40</f>
        <v>164920.93000000002</v>
      </c>
      <c r="E35" s="15">
        <v>0</v>
      </c>
      <c r="F35" s="15"/>
      <c r="J35" t="s">
        <v>137</v>
      </c>
      <c r="K35" s="25">
        <v>192000</v>
      </c>
      <c r="L35" s="25">
        <v>1</v>
      </c>
      <c r="M35" s="25">
        <f>K35*L35</f>
        <v>192000</v>
      </c>
    </row>
    <row r="36" spans="1:13" hidden="1" x14ac:dyDescent="0.2">
      <c r="A36" s="13" t="s">
        <v>81</v>
      </c>
      <c r="B36" s="14" t="s">
        <v>82</v>
      </c>
      <c r="C36" s="15">
        <f>'[7]Team Report'!BA41</f>
        <v>945381.27</v>
      </c>
      <c r="E36" s="15">
        <v>0</v>
      </c>
      <c r="F36" s="15"/>
    </row>
    <row r="37" spans="1:13" hidden="1" x14ac:dyDescent="0.2">
      <c r="A37" s="13" t="s">
        <v>83</v>
      </c>
      <c r="B37" s="14" t="s">
        <v>84</v>
      </c>
      <c r="C37" s="15">
        <f>'[7]Team Report'!BA43</f>
        <v>-5121278.5200000005</v>
      </c>
      <c r="E37" s="15">
        <v>0</v>
      </c>
      <c r="F37" s="15"/>
      <c r="I37" s="33" t="s">
        <v>56</v>
      </c>
    </row>
    <row r="38" spans="1:13" hidden="1" x14ac:dyDescent="0.2">
      <c r="A38" s="13" t="s">
        <v>85</v>
      </c>
      <c r="B38" s="14" t="s">
        <v>86</v>
      </c>
      <c r="C38" s="15">
        <f>'[7]Team Report'!BA45</f>
        <v>0</v>
      </c>
      <c r="E38" s="15">
        <f>(C38/9)*12</f>
        <v>0</v>
      </c>
      <c r="F38" s="15"/>
    </row>
    <row r="39" spans="1:13" hidden="1" x14ac:dyDescent="0.2">
      <c r="A39" s="13" t="s">
        <v>21</v>
      </c>
      <c r="B39" s="14" t="s">
        <v>22</v>
      </c>
      <c r="C39" s="15">
        <v>24143776.43</v>
      </c>
      <c r="E39" s="15">
        <v>0</v>
      </c>
      <c r="F39" s="15"/>
      <c r="I39" t="s">
        <v>133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x14ac:dyDescent="0.2">
      <c r="C44" s="54">
        <f>C23+C31+C32+C33+C34+C35+C36+C37+C38</f>
        <v>-13992730.449999996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0.75" right="0.75" top="0.73" bottom="0.48" header="1.04" footer="0.5"/>
  <pageSetup scale="84" orientation="portrait" verticalDpi="196" r:id="rId1"/>
  <headerFooter alignWithMargins="0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S4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8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6" width="9.140625" hidden="1" customWidth="1"/>
    <col min="17" max="69" width="0" hidden="1" customWidth="1"/>
  </cols>
  <sheetData>
    <row r="1" spans="1:45" ht="18" x14ac:dyDescent="0.25">
      <c r="B1" s="142" t="str">
        <f>'[6]Team Report'!B1</f>
        <v>Enron North America</v>
      </c>
      <c r="C1" s="142"/>
      <c r="D1" s="142"/>
      <c r="E1" s="142"/>
      <c r="F1" s="144"/>
      <c r="G1" s="144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2" t="s">
        <v>196</v>
      </c>
      <c r="C2" s="142"/>
      <c r="D2" s="142"/>
      <c r="E2" s="142"/>
      <c r="F2" s="144"/>
      <c r="G2" s="144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42" t="s">
        <v>0</v>
      </c>
      <c r="C3" s="142"/>
      <c r="D3" s="142"/>
      <c r="E3" s="142"/>
      <c r="F3" s="144"/>
      <c r="G3" s="144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47"/>
      <c r="K4" s="147"/>
      <c r="L4" s="147"/>
      <c r="M4" s="147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1</v>
      </c>
      <c r="L6" s="19" t="s">
        <v>2</v>
      </c>
      <c r="M6" s="74" t="s">
        <v>107</v>
      </c>
      <c r="O6" s="11">
        <v>2002</v>
      </c>
    </row>
    <row r="7" spans="1:45" x14ac:dyDescent="0.2">
      <c r="C7" s="12" t="s">
        <v>5</v>
      </c>
      <c r="E7" s="12" t="s">
        <v>6</v>
      </c>
      <c r="F7" s="12"/>
      <c r="G7" s="12" t="s">
        <v>7</v>
      </c>
      <c r="J7" s="7"/>
      <c r="K7" s="17"/>
      <c r="L7" s="17"/>
      <c r="M7" s="43"/>
      <c r="O7" s="12" t="s">
        <v>7</v>
      </c>
    </row>
    <row r="8" spans="1:45" x14ac:dyDescent="0.2">
      <c r="A8" s="13" t="s">
        <v>9</v>
      </c>
      <c r="B8" s="14" t="s">
        <v>10</v>
      </c>
      <c r="C8" s="53">
        <f>'[6]Team Report'!BA25</f>
        <v>10228335.790000001</v>
      </c>
      <c r="E8" s="15">
        <f t="shared" ref="E8:E22" si="0">+C8/9*12</f>
        <v>13637781.053333335</v>
      </c>
      <c r="F8" s="15"/>
      <c r="G8" s="15" t="e">
        <f>+#REF!+#REF!</f>
        <v>#REF!</v>
      </c>
      <c r="J8" s="7"/>
      <c r="K8" s="17"/>
      <c r="L8" s="17"/>
      <c r="M8" s="43"/>
      <c r="O8" s="15" t="e">
        <f t="shared" ref="O8:O22" si="1">+G8/$G$29*$O$29</f>
        <v>#REF!</v>
      </c>
    </row>
    <row r="9" spans="1:45" hidden="1" x14ac:dyDescent="0.2">
      <c r="A9" s="13"/>
      <c r="B9" s="14" t="s">
        <v>11</v>
      </c>
      <c r="C9" s="15">
        <v>0</v>
      </c>
      <c r="E9" s="15">
        <f t="shared" si="0"/>
        <v>0</v>
      </c>
      <c r="F9" s="15"/>
      <c r="G9" s="15" t="e">
        <f>+#REF!+#REF!</f>
        <v>#REF!</v>
      </c>
      <c r="J9" s="7" t="s">
        <v>10</v>
      </c>
      <c r="K9" s="17">
        <v>0</v>
      </c>
      <c r="L9" s="17">
        <f>+L35</f>
        <v>140</v>
      </c>
      <c r="M9" s="43">
        <f>M35</f>
        <v>20197440</v>
      </c>
      <c r="O9" s="15" t="e">
        <f t="shared" si="1"/>
        <v>#REF!</v>
      </c>
    </row>
    <row r="10" spans="1:45" x14ac:dyDescent="0.2">
      <c r="A10" s="13"/>
      <c r="B10" s="14" t="s">
        <v>122</v>
      </c>
      <c r="C10" s="15">
        <v>0</v>
      </c>
      <c r="E10" s="15">
        <f t="shared" si="0"/>
        <v>0</v>
      </c>
      <c r="F10" s="15"/>
      <c r="G10" s="15" t="e">
        <f>+#REF!+#REF!</f>
        <v>#REF!</v>
      </c>
      <c r="J10" s="7"/>
      <c r="K10" s="17"/>
      <c r="L10" s="17"/>
      <c r="M10" s="43"/>
      <c r="O10" s="15" t="e">
        <f t="shared" si="1"/>
        <v>#REF!</v>
      </c>
    </row>
    <row r="11" spans="1:45" x14ac:dyDescent="0.2">
      <c r="A11" s="13" t="s">
        <v>13</v>
      </c>
      <c r="B11" s="14" t="s">
        <v>14</v>
      </c>
      <c r="C11" s="15">
        <f>'[6]Team Report'!BA26</f>
        <v>1877442.13</v>
      </c>
      <c r="E11" s="15">
        <f t="shared" si="0"/>
        <v>2503256.1733333333</v>
      </c>
      <c r="F11" s="15"/>
      <c r="G11" s="15" t="e">
        <f>+#REF!+#REF!</f>
        <v>#REF!</v>
      </c>
      <c r="J11" s="7"/>
      <c r="K11" s="17"/>
      <c r="L11" s="17"/>
      <c r="M11" s="43"/>
      <c r="O11" s="15" t="e">
        <f t="shared" si="1"/>
        <v>#REF!</v>
      </c>
    </row>
    <row r="12" spans="1:45" x14ac:dyDescent="0.2">
      <c r="A12" s="13" t="s">
        <v>16</v>
      </c>
      <c r="B12" s="14" t="s">
        <v>17</v>
      </c>
      <c r="C12" s="15">
        <f>'[6]Team Report'!BA27</f>
        <v>405632.98</v>
      </c>
      <c r="E12" s="15">
        <f t="shared" si="0"/>
        <v>540843.97333333339</v>
      </c>
      <c r="F12" s="15"/>
      <c r="G12" s="15" t="e">
        <f>+#REF!+#REF!</f>
        <v>#REF!</v>
      </c>
      <c r="J12" s="7" t="s">
        <v>15</v>
      </c>
      <c r="K12" s="17">
        <f>18495*1.2</f>
        <v>22194</v>
      </c>
      <c r="L12" s="17">
        <f>+L35</f>
        <v>140</v>
      </c>
      <c r="M12" s="43">
        <f>K12*L12</f>
        <v>3107160</v>
      </c>
      <c r="O12" s="15" t="e">
        <f t="shared" si="1"/>
        <v>#REF!</v>
      </c>
    </row>
    <row r="13" spans="1:45" x14ac:dyDescent="0.2">
      <c r="A13" s="13" t="s">
        <v>18</v>
      </c>
      <c r="B13" s="14" t="s">
        <v>19</v>
      </c>
      <c r="C13" s="15">
        <f>'[6]Team Report'!BA28</f>
        <v>648740.16999999993</v>
      </c>
      <c r="E13" s="15">
        <f t="shared" si="0"/>
        <v>864986.8933333332</v>
      </c>
      <c r="F13" s="15"/>
      <c r="G13" s="15" t="e">
        <f>+#REF!+#REF!</f>
        <v>#REF!</v>
      </c>
      <c r="J13" s="7"/>
      <c r="K13" s="17"/>
      <c r="L13" s="17"/>
      <c r="M13" s="43"/>
      <c r="O13" s="15" t="e">
        <f t="shared" si="1"/>
        <v>#REF!</v>
      </c>
    </row>
    <row r="14" spans="1:45" ht="13.5" thickBot="1" x14ac:dyDescent="0.25">
      <c r="A14" s="13" t="s">
        <v>21</v>
      </c>
      <c r="B14" s="14" t="s">
        <v>22</v>
      </c>
      <c r="C14" s="15">
        <v>0</v>
      </c>
      <c r="E14" s="15">
        <f t="shared" si="0"/>
        <v>0</v>
      </c>
      <c r="F14" s="15"/>
      <c r="G14" s="15" t="e">
        <f>+#REF!+#REF!</f>
        <v>#REF!</v>
      </c>
      <c r="J14" s="22" t="s">
        <v>20</v>
      </c>
      <c r="K14" s="47"/>
      <c r="L14" s="47"/>
      <c r="M14" s="48">
        <f>SUM(M9:M12)</f>
        <v>23304600</v>
      </c>
      <c r="O14" s="15" t="e">
        <f t="shared" si="1"/>
        <v>#REF!</v>
      </c>
    </row>
    <row r="15" spans="1:45" x14ac:dyDescent="0.2">
      <c r="A15" s="13" t="s">
        <v>23</v>
      </c>
      <c r="B15" s="14" t="s">
        <v>24</v>
      </c>
      <c r="C15" s="15">
        <f>'[6]Team Report'!BA33</f>
        <v>76876.320000000007</v>
      </c>
      <c r="E15" s="15">
        <f t="shared" si="0"/>
        <v>102501.76000000001</v>
      </c>
      <c r="F15" s="15"/>
      <c r="G15" s="15" t="e">
        <f>+#REF!+#REF!</f>
        <v>#REF!</v>
      </c>
      <c r="J15" s="8"/>
      <c r="K15" s="17"/>
      <c r="L15" s="17"/>
      <c r="M15" s="17"/>
      <c r="O15" s="15" t="e">
        <f t="shared" si="1"/>
        <v>#REF!</v>
      </c>
    </row>
    <row r="16" spans="1:45" x14ac:dyDescent="0.2">
      <c r="A16" s="13" t="s">
        <v>25</v>
      </c>
      <c r="B16" s="14" t="s">
        <v>26</v>
      </c>
      <c r="C16" s="15">
        <f>'[6]Team Report'!BA34</f>
        <v>0</v>
      </c>
      <c r="E16" s="15">
        <f t="shared" si="0"/>
        <v>0</v>
      </c>
      <c r="F16" s="15"/>
      <c r="G16" s="15" t="e">
        <f>+#REF!+#REF!</f>
        <v>#REF!</v>
      </c>
      <c r="J16" s="8"/>
      <c r="K16" s="17"/>
      <c r="L16" s="78"/>
      <c r="M16" s="17"/>
      <c r="O16" s="15" t="e">
        <f t="shared" si="1"/>
        <v>#REF!</v>
      </c>
    </row>
    <row r="17" spans="1:15" x14ac:dyDescent="0.2">
      <c r="A17" s="13" t="s">
        <v>28</v>
      </c>
      <c r="B17" s="14" t="s">
        <v>29</v>
      </c>
      <c r="C17" s="15">
        <f>'[6]Team Report'!BA35</f>
        <v>0</v>
      </c>
      <c r="E17" s="15">
        <f t="shared" si="0"/>
        <v>0</v>
      </c>
      <c r="F17" s="15"/>
      <c r="G17" s="15" t="e">
        <f>+#REF!+#REF!</f>
        <v>#REF!</v>
      </c>
      <c r="J17" t="s">
        <v>27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 t="e">
        <f t="shared" si="1"/>
        <v>#REF!</v>
      </c>
    </row>
    <row r="18" spans="1:15" x14ac:dyDescent="0.2">
      <c r="A18" s="13" t="s">
        <v>31</v>
      </c>
      <c r="B18" s="14" t="s">
        <v>32</v>
      </c>
      <c r="C18" s="15">
        <f>'[6]Team Report'!BA36</f>
        <v>5744.1</v>
      </c>
      <c r="E18" s="15">
        <f t="shared" si="0"/>
        <v>7658.8</v>
      </c>
      <c r="F18" s="15"/>
      <c r="G18" s="15" t="e">
        <f>+#REF!+#REF!</f>
        <v>#REF!</v>
      </c>
      <c r="J18" t="s">
        <v>30</v>
      </c>
      <c r="K18" s="25">
        <v>57600</v>
      </c>
      <c r="L18" s="25">
        <v>2</v>
      </c>
      <c r="M18" s="17">
        <f t="shared" si="2"/>
        <v>115200</v>
      </c>
      <c r="O18" s="15" t="e">
        <f t="shared" si="1"/>
        <v>#REF!</v>
      </c>
    </row>
    <row r="19" spans="1:15" x14ac:dyDescent="0.2">
      <c r="A19" s="13" t="s">
        <v>34</v>
      </c>
      <c r="B19" s="14" t="s">
        <v>35</v>
      </c>
      <c r="C19" s="15">
        <f>'[6]Team Report'!BA37</f>
        <v>67058.599999999991</v>
      </c>
      <c r="E19" s="15">
        <f t="shared" si="0"/>
        <v>89411.466666666645</v>
      </c>
      <c r="F19" s="15"/>
      <c r="G19" s="15" t="e">
        <f>+#REF!+#REF!</f>
        <v>#REF!</v>
      </c>
      <c r="J19" t="s">
        <v>33</v>
      </c>
      <c r="K19" s="25">
        <v>60000</v>
      </c>
      <c r="L19" s="25">
        <v>2</v>
      </c>
      <c r="M19" s="17">
        <f t="shared" si="2"/>
        <v>120000</v>
      </c>
      <c r="O19" s="15" t="e">
        <f t="shared" si="1"/>
        <v>#REF!</v>
      </c>
    </row>
    <row r="20" spans="1:15" x14ac:dyDescent="0.2">
      <c r="A20" s="13" t="s">
        <v>37</v>
      </c>
      <c r="B20" s="14" t="s">
        <v>38</v>
      </c>
      <c r="C20" s="15">
        <f>'[6]Team Report'!BA38</f>
        <v>0</v>
      </c>
      <c r="E20" s="15">
        <f t="shared" si="0"/>
        <v>0</v>
      </c>
      <c r="F20" s="15"/>
      <c r="G20" s="15" t="e">
        <f>+#REF!+#REF!</f>
        <v>#REF!</v>
      </c>
      <c r="J20" t="s">
        <v>36</v>
      </c>
      <c r="K20" s="25">
        <v>78000</v>
      </c>
      <c r="L20" s="25">
        <v>29</v>
      </c>
      <c r="M20" s="17">
        <f t="shared" si="2"/>
        <v>2262000</v>
      </c>
      <c r="O20" s="15" t="e">
        <f t="shared" si="1"/>
        <v>#REF!</v>
      </c>
    </row>
    <row r="21" spans="1:15" x14ac:dyDescent="0.2">
      <c r="A21" s="13" t="s">
        <v>40</v>
      </c>
      <c r="B21" s="14" t="s">
        <v>41</v>
      </c>
      <c r="C21" s="15">
        <f>'[6]Team Report'!BA42</f>
        <v>842429.76</v>
      </c>
      <c r="E21" s="15">
        <f t="shared" si="0"/>
        <v>1123239.6800000002</v>
      </c>
      <c r="F21" s="15"/>
      <c r="G21" s="15" t="e">
        <f>+#REF!+#REF!</f>
        <v>#REF!</v>
      </c>
      <c r="J21" t="s">
        <v>39</v>
      </c>
      <c r="K21" s="25">
        <v>102000</v>
      </c>
      <c r="L21" s="25">
        <v>60</v>
      </c>
      <c r="M21" s="17">
        <f t="shared" si="2"/>
        <v>6120000</v>
      </c>
      <c r="O21" s="15" t="e">
        <f t="shared" si="1"/>
        <v>#REF!</v>
      </c>
    </row>
    <row r="22" spans="1:15" x14ac:dyDescent="0.2">
      <c r="A22" s="13" t="s">
        <v>43</v>
      </c>
      <c r="B22" s="14" t="s">
        <v>44</v>
      </c>
      <c r="C22" s="15">
        <f>'[6]Team Report'!BA44</f>
        <v>6453.6999999999989</v>
      </c>
      <c r="E22" s="15">
        <f t="shared" si="0"/>
        <v>8604.9333333333325</v>
      </c>
      <c r="F22" s="15"/>
      <c r="G22" s="15" t="e">
        <f>+#REF!+#REF!</f>
        <v>#REF!</v>
      </c>
      <c r="J22" t="s">
        <v>135</v>
      </c>
      <c r="K22" s="25">
        <v>192000</v>
      </c>
      <c r="L22" s="25">
        <v>7</v>
      </c>
      <c r="M22" s="17">
        <f t="shared" si="2"/>
        <v>1344000</v>
      </c>
      <c r="O22" s="15" t="e">
        <f t="shared" si="1"/>
        <v>#REF!</v>
      </c>
    </row>
    <row r="23" spans="1:15" x14ac:dyDescent="0.2">
      <c r="A23" s="26" t="s">
        <v>46</v>
      </c>
      <c r="B23" s="27" t="s">
        <v>47</v>
      </c>
      <c r="C23" s="28">
        <f>SUM(C8:C22)</f>
        <v>14158713.550000001</v>
      </c>
      <c r="E23" s="28">
        <f>SUM(E8:E22)</f>
        <v>18878284.733333334</v>
      </c>
      <c r="F23" s="29"/>
      <c r="G23" s="28" t="e">
        <f>SUM(G8:G22)</f>
        <v>#REF!</v>
      </c>
      <c r="J23" t="s">
        <v>136</v>
      </c>
      <c r="K23" s="25">
        <v>192000</v>
      </c>
      <c r="L23" s="25">
        <f>3+1</f>
        <v>4</v>
      </c>
      <c r="M23" s="17">
        <f t="shared" si="2"/>
        <v>768000</v>
      </c>
      <c r="O23" s="28" t="e">
        <f>SUM(O8:O22)</f>
        <v>#REF!</v>
      </c>
    </row>
    <row r="24" spans="1:15" x14ac:dyDescent="0.2">
      <c r="J24" t="s">
        <v>48</v>
      </c>
      <c r="K24" s="25">
        <v>144000</v>
      </c>
      <c r="L24" s="25">
        <v>16</v>
      </c>
      <c r="M24" s="17">
        <f t="shared" si="2"/>
        <v>2304000</v>
      </c>
    </row>
    <row r="25" spans="1:15" x14ac:dyDescent="0.2">
      <c r="B25" s="27" t="s">
        <v>50</v>
      </c>
      <c r="C25" s="55"/>
      <c r="E25" s="55">
        <v>111</v>
      </c>
      <c r="F25" s="60">
        <v>40</v>
      </c>
      <c r="G25" s="79">
        <v>199</v>
      </c>
      <c r="J25" t="s">
        <v>49</v>
      </c>
      <c r="K25" s="25">
        <v>168000</v>
      </c>
      <c r="L25" s="25">
        <v>11</v>
      </c>
      <c r="M25" s="17">
        <f t="shared" si="2"/>
        <v>1848000</v>
      </c>
      <c r="O25" s="31">
        <f>SUM(U16:U20,U23:U27)</f>
        <v>0</v>
      </c>
    </row>
    <row r="26" spans="1:15" x14ac:dyDescent="0.2">
      <c r="J26" t="s">
        <v>51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x14ac:dyDescent="0.2">
      <c r="B27" s="27" t="s">
        <v>67</v>
      </c>
      <c r="C27" s="55"/>
      <c r="E27" s="55"/>
      <c r="F27" s="60"/>
      <c r="G27" s="55"/>
      <c r="J27" t="s">
        <v>52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54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x14ac:dyDescent="0.2">
      <c r="B29" s="27" t="s">
        <v>55</v>
      </c>
      <c r="C29" s="55"/>
      <c r="E29" s="55">
        <f>SUM(E25:E28)</f>
        <v>111</v>
      </c>
      <c r="F29" s="60"/>
      <c r="G29" s="55">
        <f>SUM(G25:G28)</f>
        <v>199</v>
      </c>
      <c r="L29" s="25">
        <f>SUM(L17:L28)</f>
        <v>140</v>
      </c>
      <c r="M29" s="25">
        <f>SUM(M17:M28)</f>
        <v>16831200</v>
      </c>
      <c r="O29" s="31">
        <v>1</v>
      </c>
    </row>
    <row r="30" spans="1:15" x14ac:dyDescent="0.2">
      <c r="B30" s="27"/>
    </row>
    <row r="31" spans="1:15" hidden="1" x14ac:dyDescent="0.2">
      <c r="A31" s="13" t="s">
        <v>71</v>
      </c>
      <c r="B31" s="14" t="s">
        <v>72</v>
      </c>
      <c r="C31" s="15">
        <f>'[6]Team Report'!BA29</f>
        <v>-24140467.679999996</v>
      </c>
      <c r="E31" s="15">
        <v>0</v>
      </c>
      <c r="F31" s="15"/>
      <c r="J31" t="s">
        <v>102</v>
      </c>
      <c r="L31" s="52"/>
      <c r="M31" s="52">
        <v>0.2</v>
      </c>
    </row>
    <row r="32" spans="1:15" hidden="1" x14ac:dyDescent="0.2">
      <c r="A32" s="13" t="s">
        <v>73</v>
      </c>
      <c r="B32" s="14" t="s">
        <v>74</v>
      </c>
      <c r="C32" s="15">
        <f>'[6]Team Report'!BA30</f>
        <v>0</v>
      </c>
      <c r="E32" s="15">
        <f>(C32/9)*12</f>
        <v>0</v>
      </c>
      <c r="F32" s="15"/>
    </row>
    <row r="33" spans="1:13" hidden="1" x14ac:dyDescent="0.2">
      <c r="A33" s="13" t="s">
        <v>75</v>
      </c>
      <c r="B33" s="14" t="s">
        <v>76</v>
      </c>
      <c r="C33" s="15">
        <f>'[6]Team Report'!BA31</f>
        <v>0</v>
      </c>
      <c r="E33" s="15">
        <f>(C33/9)*12</f>
        <v>0</v>
      </c>
      <c r="F33" s="15"/>
      <c r="J33" t="s">
        <v>132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77</v>
      </c>
      <c r="B34" s="14" t="s">
        <v>78</v>
      </c>
      <c r="C34" s="15">
        <f>'[6]Team Report'!BA39</f>
        <v>0</v>
      </c>
      <c r="E34" s="15">
        <f>(C34/9)*12</f>
        <v>0</v>
      </c>
      <c r="F34" s="15"/>
    </row>
    <row r="35" spans="1:13" hidden="1" x14ac:dyDescent="0.2">
      <c r="A35" s="13" t="s">
        <v>79</v>
      </c>
      <c r="B35" s="14" t="s">
        <v>80</v>
      </c>
      <c r="C35" s="15">
        <f>'[6]Team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20197440</v>
      </c>
    </row>
    <row r="36" spans="1:13" hidden="1" x14ac:dyDescent="0.2">
      <c r="A36" s="13" t="s">
        <v>81</v>
      </c>
      <c r="B36" s="14" t="s">
        <v>82</v>
      </c>
      <c r="C36" s="15">
        <f>'[6]Team Report'!BA41</f>
        <v>945381.27</v>
      </c>
      <c r="E36" s="15">
        <v>0</v>
      </c>
      <c r="F36" s="15"/>
    </row>
    <row r="37" spans="1:13" hidden="1" x14ac:dyDescent="0.2">
      <c r="A37" s="13" t="s">
        <v>83</v>
      </c>
      <c r="B37" s="14" t="s">
        <v>84</v>
      </c>
      <c r="C37" s="15">
        <f>'[6]Team Report'!BA43</f>
        <v>-5121278.5200000005</v>
      </c>
      <c r="E37" s="15">
        <v>0</v>
      </c>
      <c r="F37" s="15"/>
      <c r="I37" s="33" t="s">
        <v>56</v>
      </c>
    </row>
    <row r="38" spans="1:13" hidden="1" x14ac:dyDescent="0.2">
      <c r="A38" s="13" t="s">
        <v>85</v>
      </c>
      <c r="B38" s="14" t="s">
        <v>86</v>
      </c>
      <c r="C38" s="15">
        <f>'[6]Team Report'!BA45</f>
        <v>0</v>
      </c>
      <c r="E38" s="15">
        <f>(C38/9)*12</f>
        <v>0</v>
      </c>
      <c r="F38" s="15"/>
    </row>
    <row r="39" spans="1:13" hidden="1" x14ac:dyDescent="0.2">
      <c r="A39" s="13" t="s">
        <v>21</v>
      </c>
      <c r="B39" s="14" t="s">
        <v>22</v>
      </c>
      <c r="C39" s="15">
        <v>24143776.43</v>
      </c>
      <c r="E39" s="15">
        <v>0</v>
      </c>
      <c r="F39" s="15"/>
      <c r="I39" t="s">
        <v>133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197</v>
      </c>
    </row>
    <row r="47" spans="1:13" x14ac:dyDescent="0.2">
      <c r="B47" s="14"/>
    </row>
    <row r="48" spans="1:13" x14ac:dyDescent="0.2">
      <c r="B48" s="14"/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R38"/>
  <sheetViews>
    <sheetView topLeftCell="A3"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0" hidden="1" customWidth="1"/>
  </cols>
  <sheetData>
    <row r="1" spans="1:44" ht="18" x14ac:dyDescent="0.2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2" t="s">
        <v>194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 t="s">
        <v>63</v>
      </c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 t="s">
        <v>7</v>
      </c>
    </row>
    <row r="8" spans="1:44" x14ac:dyDescent="0.2">
      <c r="A8" s="13" t="s">
        <v>9</v>
      </c>
      <c r="B8" s="14" t="s">
        <v>10</v>
      </c>
      <c r="C8" s="15">
        <f>'[11]Central Trading'!C8+'[11]Central Origination'!C8+[11]Derivatives!C8+'[11]East Trading'!C8+'[11]East Origination'!C8+'[11]Financial Gas'!C8+[11]Structuring!C8+'[11]Texas Trading'!C8+'[11]Texas Origination'!C8+'[11]West Trading'!C8+'[11]West Origination'!C8+[11]Fundamentals!C8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</f>
        <v>1316380</v>
      </c>
      <c r="I8" s="42" t="s">
        <v>10</v>
      </c>
      <c r="J8" s="17">
        <v>0</v>
      </c>
      <c r="K8" s="17"/>
      <c r="L8" s="43">
        <f>L30</f>
        <v>2208096</v>
      </c>
      <c r="Q8" s="15">
        <f>+H8/$H$29*$Q$29</f>
        <v>50630</v>
      </c>
    </row>
    <row r="9" spans="1:44" hidden="1" x14ac:dyDescent="0.2">
      <c r="A9" s="13"/>
      <c r="B9" s="14" t="s">
        <v>11</v>
      </c>
      <c r="C9" s="15">
        <f>'[11]Central Trading'!C9+'[11]Central Origination'!C9+[11]Derivatives!C9+'[11]East Trading'!C9+'[11]East Origination'!C9+'[11]Financial Gas'!C9+[11]Structuring!C9+'[11]Texas Trading'!C9+'[11]Texas Origination'!C9+'[11]West Trading'!C9+'[11]West Origination'!C9+[11]Fundamentals!C9</f>
        <v>1485250</v>
      </c>
      <c r="E9" s="15">
        <v>0</v>
      </c>
      <c r="G9" s="45">
        <f t="shared" si="0"/>
        <v>0</v>
      </c>
      <c r="H9" s="15">
        <f>+'Competitive Ana'!F9+'Gas - Fund'!H9+'East - Fund'!F9</f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65</v>
      </c>
      <c r="C10" s="15">
        <f>'[11]Central Trading'!C10+'[11]Central Origination'!C10+[11]Derivatives!C10+'[11]East Trading'!C10+'[11]East Origination'!C10+'[11]Financial Gas'!C10+[11]Structuring!C10+'[11]Texas Trading'!C10+'[11]Texas Origination'!C10+'[11]West Trading'!C10+'[11]West Origination'!C10+[11]Fundamentals!C10</f>
        <v>3095252.76</v>
      </c>
      <c r="D10" s="15"/>
      <c r="E10" s="15">
        <f>('[11]Central Trading'!E9+'[11]Central Origination'!E10+[11]Derivatives!E10+'[11]East Trading'!E10+'[11]East Origination'!E10+'[11]Financial Gas'!E10+[11]Structuring!E10+'[11]Texas Trading'!E10+'[11]Texas Origination'!E10+'[11]West Trading'!E10+'[11]West Origination'!E10+[11]Fundamentals!E10)-4000000</f>
        <v>82420.999999999534</v>
      </c>
      <c r="G10" s="45">
        <f t="shared" si="0"/>
        <v>3.7797619139155266E-3</v>
      </c>
      <c r="H10" s="15">
        <f>+'Competitive Ana'!F10+'Gas - Fund'!H10+'East - Fund'!F10</f>
        <v>1137500</v>
      </c>
      <c r="I10" s="42"/>
      <c r="J10" s="17"/>
      <c r="K10" s="17"/>
      <c r="L10" s="43"/>
      <c r="Q10" s="15">
        <f t="shared" si="1"/>
        <v>43750</v>
      </c>
    </row>
    <row r="11" spans="1:44" x14ac:dyDescent="0.2">
      <c r="A11" s="13" t="s">
        <v>13</v>
      </c>
      <c r="B11" s="14" t="s">
        <v>14</v>
      </c>
      <c r="C11" s="15">
        <f>'[11]Central Trading'!C11+'[11]Central Origination'!C11+[11]Derivatives!C11+'[11]East Trading'!C11+'[11]East Origination'!C11+'[11]Financial Gas'!C11+[11]Structuring!C11+'[11]Texas Trading'!C11+'[11]Texas Origination'!C11+'[11]West Trading'!C11+'[11]West Origination'!C11+[11]Fundamentals!C11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</f>
        <v>490776</v>
      </c>
      <c r="I11" s="42" t="s">
        <v>15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18876</v>
      </c>
    </row>
    <row r="12" spans="1:44" x14ac:dyDescent="0.2">
      <c r="A12" s="13" t="s">
        <v>16</v>
      </c>
      <c r="B12" s="14" t="s">
        <v>17</v>
      </c>
      <c r="C12" s="15">
        <f>'[11]Central Trading'!C12+'[11]Central Origination'!C12+[11]Derivatives!C12+'[11]East Trading'!C12+'[11]East Origination'!C12+'[11]Financial Gas'!C12+[11]Structuring!C12+'[11]Texas Trading'!C12+'[11]Texas Origination'!C12+'[11]West Trading'!C12+'[11]West Origination'!C12+[11]Fundamentals!C12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</f>
        <v>149533.47917426541</v>
      </c>
      <c r="I12" s="42"/>
      <c r="J12" s="17"/>
      <c r="K12" s="17"/>
      <c r="L12" s="43"/>
      <c r="Q12" s="15">
        <f t="shared" si="1"/>
        <v>5751.287660548669</v>
      </c>
    </row>
    <row r="13" spans="1:44" ht="13.5" thickBot="1" x14ac:dyDescent="0.25">
      <c r="A13" s="13" t="s">
        <v>18</v>
      </c>
      <c r="B13" s="14" t="s">
        <v>19</v>
      </c>
      <c r="C13" s="15">
        <f>'[11]Central Trading'!C13+'[11]Central Origination'!C13+[11]Derivatives!C13+'[11]East Trading'!C13+'[11]East Origination'!C13+'[11]Financial Gas'!C13+[11]Structuring!C13+'[11]Texas Trading'!C13+'[11]Texas Origination'!C13+'[11]West Trading'!C13+'[11]West Origination'!C13+[11]Fundamentals!C13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</f>
        <v>210573.79887386021</v>
      </c>
      <c r="I13" s="46" t="s">
        <v>20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8098.9922643792388</v>
      </c>
    </row>
    <row r="14" spans="1:44" x14ac:dyDescent="0.2">
      <c r="A14" s="13" t="s">
        <v>21</v>
      </c>
      <c r="B14" s="14" t="s">
        <v>22</v>
      </c>
      <c r="C14" s="15">
        <f>'[11]Central Trading'!C14+'[11]Central Origination'!C14+[11]Derivatives!C14+'[11]East Trading'!C14+'[11]East Origination'!C14+'[11]Financial Gas'!C14+[11]Structuring!C14+'[11]Texas Trading'!C14+'[11]Texas Origination'!C14+'[11]West Trading'!C14+'[11]West Origination'!C14+[11]Fundamentals!C14-C32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</f>
        <v>1955600.0094285714</v>
      </c>
      <c r="Q14" s="15">
        <f t="shared" si="1"/>
        <v>75215.384978021975</v>
      </c>
    </row>
    <row r="15" spans="1:44" x14ac:dyDescent="0.2">
      <c r="A15" s="13" t="s">
        <v>23</v>
      </c>
      <c r="B15" s="14" t="s">
        <v>24</v>
      </c>
      <c r="C15" s="15">
        <f>'[11]Central Trading'!C15+'[11]Central Origination'!C15+[11]Derivatives!C15+'[11]East Trading'!C15+'[11]East Origination'!C15+'[11]Financial Gas'!C15+[11]Structuring!C15+'[11]Texas Trading'!C15+'[11]Texas Origination'!C15+'[11]West Trading'!C15+'[11]West Origination'!C15+[11]Fundamentals!C15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</f>
        <v>26135.705931610937</v>
      </c>
      <c r="Q15" s="15">
        <f t="shared" si="1"/>
        <v>1005.219458908113</v>
      </c>
    </row>
    <row r="16" spans="1:44" x14ac:dyDescent="0.2">
      <c r="A16" s="13" t="s">
        <v>25</v>
      </c>
      <c r="B16" s="14" t="s">
        <v>26</v>
      </c>
      <c r="C16" s="15">
        <f>'[11]Central Trading'!C16+'[11]Central Origination'!C16+[11]Derivatives!C16+'[11]East Trading'!C16+'[11]East Origination'!C16+'[11]Financial Gas'!C16+[11]Structuring!C16+'[11]Texas Trading'!C16+'[11]Texas Origination'!C16+'[11]West Trading'!C16+'[11]West Origination'!C16+[11]Fundamentals!C16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</f>
        <v>0</v>
      </c>
      <c r="I16" s="50" t="s">
        <v>66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x14ac:dyDescent="0.2">
      <c r="A17" s="13" t="s">
        <v>28</v>
      </c>
      <c r="B17" s="14" t="s">
        <v>29</v>
      </c>
      <c r="C17" s="15">
        <f>'[11]Central Trading'!C17+'[11]Central Origination'!C17+[11]Derivatives!C17+'[11]East Trading'!C17+'[11]East Origination'!C17+'[11]Financial Gas'!C17+[11]Structuring!C17+'[11]Texas Trading'!C17+'[11]Texas Origination'!C17+'[11]West Trading'!C17+'[11]West Origination'!C17+[11]Fundamentals!C17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</f>
        <v>1109.3262411347516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Q17" s="15">
        <f t="shared" si="1"/>
        <v>42.666393889798137</v>
      </c>
    </row>
    <row r="18" spans="1:17" x14ac:dyDescent="0.2">
      <c r="A18" s="13" t="s">
        <v>31</v>
      </c>
      <c r="B18" s="14" t="s">
        <v>32</v>
      </c>
      <c r="C18" s="15">
        <f>'[11]Central Trading'!C18+'[11]Central Origination'!C18+[11]Derivatives!C18+'[11]East Trading'!C18+'[11]East Origination'!C18+'[11]Financial Gas'!C18+[11]Structuring!C18+'[11]Texas Trading'!C18+'[11]Texas Origination'!C18+'[11]West Trading'!C18+'[11]West Origination'!C18+[11]Fundamentals!C18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</f>
        <v>12773.593603343465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Q18" s="15">
        <f t="shared" si="1"/>
        <v>491.29206166705632</v>
      </c>
    </row>
    <row r="19" spans="1:17" x14ac:dyDescent="0.2">
      <c r="A19" s="13" t="s">
        <v>34</v>
      </c>
      <c r="B19" s="14" t="s">
        <v>35</v>
      </c>
      <c r="C19" s="15">
        <f>'[11]Central Trading'!C19+'[11]Central Origination'!C19+[11]Derivatives!C19+'[11]East Trading'!C19+'[11]East Origination'!C19+'[11]Financial Gas'!C19+[11]Structuring!C19+'[11]Texas Trading'!C19+'[11]Texas Origination'!C19+'[11]West Trading'!C19+'[11]West Origination'!C19+[11]Fundamentals!C19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</f>
        <v>118934.13733839919</v>
      </c>
      <c r="I19" s="25" t="s">
        <v>36</v>
      </c>
      <c r="J19" s="25">
        <v>57750</v>
      </c>
      <c r="K19" s="25">
        <v>0</v>
      </c>
      <c r="L19" s="25">
        <f t="shared" si="2"/>
        <v>0</v>
      </c>
      <c r="Q19" s="15">
        <f t="shared" si="1"/>
        <v>4574.3898976307382</v>
      </c>
    </row>
    <row r="20" spans="1:17" x14ac:dyDescent="0.2">
      <c r="A20" s="13" t="s">
        <v>37</v>
      </c>
      <c r="B20" s="14" t="s">
        <v>38</v>
      </c>
      <c r="C20" s="15">
        <f>'[11]Central Trading'!C20+'[11]Central Origination'!C20+[11]Derivatives!C20+'[11]East Trading'!C20+'[11]East Origination'!C20+'[11]Financial Gas'!C20+[11]Structuring!C20+'[11]Texas Trading'!C20+'[11]Texas Origination'!C20+'[11]West Trading'!C20+'[11]West Origination'!C20+[11]Fundamentals!C20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</f>
        <v>10.502304457953393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>
        <f t="shared" si="1"/>
        <v>0.40393478684436129</v>
      </c>
    </row>
    <row r="21" spans="1:17" x14ac:dyDescent="0.2">
      <c r="A21" s="13" t="s">
        <v>40</v>
      </c>
      <c r="B21" s="14" t="s">
        <v>41</v>
      </c>
      <c r="C21" s="15">
        <f>'[11]Central Trading'!C21+'[11]Central Origination'!C21+[11]Derivatives!C21+'[11]East Trading'!C21+'[11]East Origination'!C21+'[11]Financial Gas'!C21+[11]Structuring!C21+'[11]Texas Trading'!C21+'[11]Texas Origination'!C21+'[11]West Trading'!C21+'[11]West Origination'!C21+[11]Fundamentals!C21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</f>
        <v>122393.6530764944</v>
      </c>
      <c r="I21" s="25" t="s">
        <v>42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4707.4481952497845</v>
      </c>
    </row>
    <row r="22" spans="1:17" x14ac:dyDescent="0.2">
      <c r="A22" s="13" t="s">
        <v>43</v>
      </c>
      <c r="B22" s="14" t="s">
        <v>44</v>
      </c>
      <c r="C22" s="15">
        <f>'[11]Central Trading'!C22+'[11]Central Origination'!C22+[11]Derivatives!C22+'[11]East Trading'!C22+'[11]East Origination'!C22+'[11]Financial Gas'!C22+[11]Structuring!C22+'[11]Texas Trading'!C22+'[11]Texas Origination'!C22+'[11]West Trading'!C22+'[11]West Origination'!C22+[11]Fundamentals!C22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</f>
        <v>131310.92964842982</v>
      </c>
      <c r="I22" s="25" t="s">
        <v>45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5050.4203710934544</v>
      </c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5673031.1356205689</v>
      </c>
      <c r="I23" s="25" t="s">
        <v>48</v>
      </c>
      <c r="J23" s="25">
        <v>110000</v>
      </c>
      <c r="K23" s="25">
        <v>4</v>
      </c>
      <c r="L23" s="25">
        <f t="shared" si="2"/>
        <v>440000</v>
      </c>
      <c r="Q23" s="28">
        <f>SUM(Q8:Q22)</f>
        <v>218193.50521617563</v>
      </c>
    </row>
    <row r="24" spans="1:17" x14ac:dyDescent="0.2">
      <c r="I24" s="25" t="s">
        <v>49</v>
      </c>
      <c r="J24" s="25">
        <v>143000</v>
      </c>
      <c r="K24" s="25">
        <v>1</v>
      </c>
      <c r="L24" s="25">
        <f t="shared" si="2"/>
        <v>143000</v>
      </c>
    </row>
    <row r="25" spans="1:17" x14ac:dyDescent="0.2">
      <c r="B25" s="27" t="s">
        <v>50</v>
      </c>
      <c r="C25" s="15"/>
      <c r="E25" s="31">
        <f>'[11]Central Trading'!E25+'[11]Central Origination'!E25+[11]Derivatives!E25+'[11]East Trading'!E25+'[11]East Origination'!E25+'[11]Financial Gas'!E25+[11]Structuring!E25+'[11]Texas Trading'!E25+'[11]Texas Origination'!E25+'[11]West Trading'!E25+'[11]West Origination'!E25+[11]Fundamentals!E25</f>
        <v>108</v>
      </c>
      <c r="H25" s="31">
        <f>+'Competitive Ana'!F25+'Gas - Fund'!H25+'East - Fund'!F25</f>
        <v>11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x14ac:dyDescent="0.2">
      <c r="B27" s="27" t="s">
        <v>67</v>
      </c>
      <c r="C27" s="15"/>
      <c r="E27" s="31">
        <f>'[11]Central Trading'!E27+'[11]Central Origination'!E27+[11]Derivatives!E27+'[11]East Trading'!E27+'[11]East Origination'!E27+'[11]Financial Gas'!E27+[11]Structuring!E27+'[11]Texas Trading'!E27+'[11]Texas Origination'!E27+'[11]West Trading'!E27+'[11]West Origination'!E27+[11]Fundamentals!E27</f>
        <v>52</v>
      </c>
      <c r="H27" s="31">
        <f>+'Competitive Ana'!F27+'Gas - Fund'!H27+'East - Fund'!F27</f>
        <v>15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">
      <c r="K28" s="25">
        <f>SUM(K16:K27)</f>
        <v>17</v>
      </c>
      <c r="L28" s="25">
        <f>SUM(L16:L27)*1.2</f>
        <v>1840080</v>
      </c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26</v>
      </c>
      <c r="L29" s="52">
        <v>0.2</v>
      </c>
      <c r="Q29" s="31">
        <v>1</v>
      </c>
    </row>
    <row r="30" spans="1:17" hidden="1" x14ac:dyDescent="0.2">
      <c r="L30" s="25">
        <f>L28*1.2</f>
        <v>2208096</v>
      </c>
    </row>
    <row r="31" spans="1:17" hidden="1" x14ac:dyDescent="0.2">
      <c r="H31" s="33" t="s">
        <v>56</v>
      </c>
      <c r="L31"/>
    </row>
    <row r="32" spans="1:17" hidden="1" x14ac:dyDescent="0.2">
      <c r="B32" s="14" t="s">
        <v>22</v>
      </c>
      <c r="C32" s="15">
        <v>254512</v>
      </c>
      <c r="L32"/>
    </row>
    <row r="33" spans="8:12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AQ50"/>
  <sheetViews>
    <sheetView zoomScale="80" zoomScaleNormal="100" workbookViewId="0">
      <selection activeCell="M8" sqref="M8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22.710937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5" max="15" width="10.28515625" customWidth="1"/>
    <col min="16" max="16" width="10.7109375" customWidth="1"/>
  </cols>
  <sheetData>
    <row r="1" spans="1:43" ht="18" x14ac:dyDescent="0.25">
      <c r="B1" s="142" t="str">
        <f>'[13]Team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42" t="s">
        <v>268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I4" s="39"/>
      <c r="J4" s="40"/>
      <c r="K4" s="40"/>
      <c r="L4" s="41"/>
    </row>
    <row r="5" spans="1:43" x14ac:dyDescent="0.2">
      <c r="I5" s="42"/>
      <c r="J5" s="17" t="s">
        <v>1</v>
      </c>
      <c r="K5" s="17" t="s">
        <v>2</v>
      </c>
      <c r="L5" s="43" t="s">
        <v>3</v>
      </c>
    </row>
    <row r="6" spans="1:43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P6" s="44"/>
    </row>
    <row r="7" spans="1:43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P7" s="12"/>
    </row>
    <row r="8" spans="1:43" x14ac:dyDescent="0.2">
      <c r="A8" s="13" t="s">
        <v>9</v>
      </c>
      <c r="B8" s="14" t="s">
        <v>10</v>
      </c>
      <c r="C8" s="15">
        <f>'[14]Central Trading'!C8+'[14]Central Origination'!C8+[14]Derivatives!C8+'[14]East Trading'!C8+'[14]East Origination'!C8+'[14]Financial Gas'!C8+[14]Structuring!C8+'[14]Texas Trading'!C8+'[14]Texas Origination'!C8+'[14]West Trading'!C8+'[14]West Origination'!C8+[14]Fundamentals!C8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1956240</v>
      </c>
      <c r="P8" s="15"/>
    </row>
    <row r="9" spans="1:43" hidden="1" x14ac:dyDescent="0.2">
      <c r="A9" s="13"/>
      <c r="B9" s="14" t="s">
        <v>11</v>
      </c>
      <c r="C9" s="15">
        <f>'[14]Central Trading'!C9+'[14]Central Origination'!C9+[14]Derivatives!C9+'[14]East Trading'!C9+'[14]East Origination'!C9+'[14]Financial Gas'!C9+[14]Structuring!C9+'[14]Texas Trading'!C9+'[14]Texas Origination'!C9+'[14]West Trading'!C9+'[14]West Origination'!C9+[14]Fundamentals!C9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P9" s="15"/>
    </row>
    <row r="10" spans="1:43" x14ac:dyDescent="0.2">
      <c r="A10" s="13"/>
      <c r="B10" s="14" t="s">
        <v>65</v>
      </c>
      <c r="C10" s="15">
        <f>'[14]Central Trading'!C10+'[14]Central Origination'!C10+[14]Derivatives!C10+'[14]East Trading'!C10+'[14]East Origination'!C10+'[14]Financial Gas'!C10+[14]Structuring!C10+'[14]Texas Trading'!C10+'[14]Texas Origination'!C10+'[14]West Trading'!C10+'[14]West Origination'!C10+[14]Fundamentals!C10</f>
        <v>3095252.76</v>
      </c>
      <c r="D10" s="15"/>
      <c r="E10" s="15">
        <f>('[14]Central Trading'!E9+'[14]Central Origination'!E10+[14]Derivatives!E10+'[14]East Trading'!E10+'[14]East Origination'!E10+'[14]Financial Gas'!E10+[14]Structuring!E10+'[14]Texas Trading'!E10+'[14]Texas Origination'!E10+'[14]West Trading'!E10+'[14]West Origination'!E10+[14]Fundamentals!E10)-4000000</f>
        <v>82420.999999999534</v>
      </c>
      <c r="G10" s="45">
        <f t="shared" si="0"/>
        <v>3.7797619139155266E-3</v>
      </c>
      <c r="H10" s="15">
        <v>60500</v>
      </c>
      <c r="I10" s="42"/>
      <c r="J10" s="17"/>
      <c r="K10" s="17"/>
      <c r="L10" s="43"/>
      <c r="P10" s="15"/>
    </row>
    <row r="11" spans="1:43" x14ac:dyDescent="0.2">
      <c r="A11" s="13" t="s">
        <v>13</v>
      </c>
      <c r="B11" s="14" t="s">
        <v>14</v>
      </c>
      <c r="C11" s="15">
        <f>'[14]Central Trading'!C11+'[14]Central Origination'!C11+[14]Derivatives!C11+'[14]East Trading'!C11+'[14]East Origination'!C11+'[14]Financial Gas'!C11+[14]Structuring!C11+'[14]Texas Trading'!C11+'[14]Texas Origination'!C11+'[14]West Trading'!C11+'[14]West Origination'!C11+[14]Fundamentals!C11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</f>
        <v>12100</v>
      </c>
      <c r="I11" s="42" t="s">
        <v>15</v>
      </c>
      <c r="J11" s="17">
        <f>(E12+E13+E14+E15+E16+E17+E18+E19+E20+E21+E22)/E29</f>
        <v>48270.181250000009</v>
      </c>
      <c r="K11" s="17">
        <f>K28</f>
        <v>10</v>
      </c>
      <c r="L11" s="43">
        <f>J11*K11</f>
        <v>482701.81250000012</v>
      </c>
      <c r="P11" s="15"/>
    </row>
    <row r="12" spans="1:43" x14ac:dyDescent="0.2">
      <c r="A12" s="13" t="s">
        <v>16</v>
      </c>
      <c r="B12" s="14" t="s">
        <v>17</v>
      </c>
      <c r="C12" s="15">
        <f>'[14]Central Trading'!C12+'[14]Central Origination'!C12+[14]Derivatives!C12+'[14]East Trading'!C12+'[14]East Origination'!C12+'[14]Financial Gas'!C12+[14]Structuring!C12+'[14]Texas Trading'!C12+'[14]Texas Origination'!C12+'[14]West Trading'!C12+'[14]West Origination'!C12+[14]Fundamentals!C12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7500</v>
      </c>
      <c r="I12" s="42"/>
      <c r="J12" s="17"/>
      <c r="K12" s="17"/>
      <c r="L12" s="43"/>
      <c r="P12" s="15"/>
    </row>
    <row r="13" spans="1:43" ht="13.5" thickBot="1" x14ac:dyDescent="0.25">
      <c r="A13" s="13" t="s">
        <v>18</v>
      </c>
      <c r="B13" s="14" t="s">
        <v>19</v>
      </c>
      <c r="C13" s="15">
        <f>'[14]Central Trading'!C13+'[14]Central Origination'!C13+[14]Derivatives!C13+'[14]East Trading'!C13+'[14]East Origination'!C13+'[14]Financial Gas'!C13+[14]Structuring!C13+'[14]Texas Trading'!C13+'[14]Texas Origination'!C13+'[14]West Trading'!C13+'[14]West Origination'!C13+[14]Fundamentals!C13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25000</v>
      </c>
      <c r="I13" s="46" t="s">
        <v>20</v>
      </c>
      <c r="J13" s="47"/>
      <c r="K13" s="47"/>
      <c r="L13" s="48">
        <f>L8+L11</f>
        <v>2438941.8125</v>
      </c>
      <c r="O13" s="49"/>
      <c r="P13" s="15"/>
    </row>
    <row r="14" spans="1:43" x14ac:dyDescent="0.2">
      <c r="A14" s="13" t="s">
        <v>21</v>
      </c>
      <c r="B14" s="14" t="s">
        <v>22</v>
      </c>
      <c r="C14" s="15">
        <f>'[14]Central Trading'!C14+'[14]Central Origination'!C14+[14]Derivatives!C14+'[14]East Trading'!C14+'[14]East Origination'!C14+'[14]Financial Gas'!C14+[14]Structuring!C14+'[14]Texas Trading'!C14+'[14]Texas Origination'!C14+'[14]West Trading'!C14+'[14]West Origination'!C14+[14]Fundamentals!C14-C32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P14" s="15"/>
    </row>
    <row r="15" spans="1:43" x14ac:dyDescent="0.2">
      <c r="A15" s="13" t="s">
        <v>23</v>
      </c>
      <c r="B15" s="14" t="s">
        <v>24</v>
      </c>
      <c r="C15" s="15">
        <f>'[14]Central Trading'!C15+'[14]Central Origination'!C15+[14]Derivatives!C15+'[14]East Trading'!C15+'[14]East Origination'!C15+'[14]Financial Gas'!C15+[14]Structuring!C15+'[14]Texas Trading'!C15+'[14]Texas Origination'!C15+'[14]West Trading'!C15+'[14]West Origination'!C15+[14]Fundamentals!C15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5000</v>
      </c>
      <c r="P15" s="15"/>
    </row>
    <row r="16" spans="1:43" x14ac:dyDescent="0.2">
      <c r="A16" s="13" t="s">
        <v>25</v>
      </c>
      <c r="B16" s="14" t="s">
        <v>26</v>
      </c>
      <c r="C16" s="15">
        <f>'[14]Central Trading'!C16+'[14]Central Origination'!C16+[14]Derivatives!C16+'[14]East Trading'!C16+'[14]East Origination'!C16+'[14]Financial Gas'!C16+[14]Structuring!C16+'[14]Texas Trading'!C16+'[14]Texas Origination'!C16+'[14]West Trading'!C16+'[14]West Origination'!C16+[14]Fundamentals!C16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P16" s="15"/>
    </row>
    <row r="17" spans="1:16" x14ac:dyDescent="0.2">
      <c r="A17" s="13" t="s">
        <v>28</v>
      </c>
      <c r="B17" s="14" t="s">
        <v>29</v>
      </c>
      <c r="C17" s="15">
        <f>'[14]Central Trading'!C17+'[14]Central Origination'!C17+[14]Derivatives!C17+'[14]East Trading'!C17+'[14]East Origination'!C17+'[14]Financial Gas'!C17+[14]Structuring!C17+'[14]Texas Trading'!C17+'[14]Texas Origination'!C17+'[14]West Trading'!C17+'[14]West Origination'!C17+[14]Fundamentals!C17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59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P17" s="15"/>
    </row>
    <row r="18" spans="1:16" x14ac:dyDescent="0.2">
      <c r="A18" s="13" t="s">
        <v>31</v>
      </c>
      <c r="B18" s="14" t="s">
        <v>32</v>
      </c>
      <c r="C18" s="15">
        <f>'[14]Central Trading'!C18+'[14]Central Origination'!C18+[14]Derivatives!C18+'[14]East Trading'!C18+'[14]East Origination'!C18+'[14]Financial Gas'!C18+[14]Structuring!C18+'[14]Texas Trading'!C18+'[14]Texas Origination'!C18+'[14]West Trading'!C18+'[14]West Origination'!C18+[14]Fundamentals!C18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7500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P18" s="15"/>
    </row>
    <row r="19" spans="1:16" x14ac:dyDescent="0.2">
      <c r="A19" s="13" t="s">
        <v>34</v>
      </c>
      <c r="B19" s="14" t="s">
        <v>35</v>
      </c>
      <c r="C19" s="15">
        <f>'[14]Central Trading'!C19+'[14]Central Origination'!C19+[14]Derivatives!C19+'[14]East Trading'!C19+'[14]East Origination'!C19+'[14]Financial Gas'!C19+[14]Structuring!C19+'[14]Texas Trading'!C19+'[14]Texas Origination'!C19+'[14]West Trading'!C19+'[14]West Origination'!C19+[14]Fundamentals!C19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10000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P19" s="15"/>
    </row>
    <row r="20" spans="1:16" x14ac:dyDescent="0.2">
      <c r="A20" s="13" t="s">
        <v>37</v>
      </c>
      <c r="B20" s="14" t="s">
        <v>38</v>
      </c>
      <c r="C20" s="15">
        <f>'[14]Central Trading'!C20+'[14]Central Origination'!C20+[14]Derivatives!C20+'[14]East Trading'!C20+'[14]East Origination'!C20+'[14]Financial Gas'!C20+[14]Structuring!C20+'[14]Texas Trading'!C20+'[14]Texas Origination'!C20+'[14]West Trading'!C20+'[14]West Origination'!C20+[14]Fundamentals!C20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0.2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P20" s="15"/>
    </row>
    <row r="21" spans="1:16" x14ac:dyDescent="0.2">
      <c r="A21" s="13" t="s">
        <v>40</v>
      </c>
      <c r="B21" s="14" t="s">
        <v>41</v>
      </c>
      <c r="C21" s="15">
        <f>'[14]Central Trading'!C21+'[14]Central Origination'!C21+[14]Derivatives!C21+'[14]East Trading'!C21+'[14]East Origination'!C21+'[14]Financial Gas'!C21+[14]Structuring!C21+'[14]Texas Trading'!C21+'[14]Texas Origination'!C21+'[14]West Trading'!C21+'[14]West Origination'!C21+[14]Fundamentals!C21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1500</v>
      </c>
      <c r="I21" s="25" t="s">
        <v>42</v>
      </c>
      <c r="J21" s="25">
        <v>60500</v>
      </c>
      <c r="K21" s="25">
        <v>1</v>
      </c>
      <c r="L21" s="25">
        <f t="shared" si="1"/>
        <v>60500</v>
      </c>
      <c r="O21" s="8"/>
      <c r="P21" s="32"/>
    </row>
    <row r="22" spans="1:16" x14ac:dyDescent="0.2">
      <c r="A22" s="13" t="s">
        <v>43</v>
      </c>
      <c r="B22" s="14" t="s">
        <v>44</v>
      </c>
      <c r="C22" s="15">
        <f>'[14]Central Trading'!C22+'[14]Central Origination'!C22+[14]Derivatives!C22+'[14]East Trading'!C22+'[14]East Origination'!C22+'[14]Financial Gas'!C22+[14]Structuring!C22+'[14]Texas Trading'!C22+'[14]Texas Origination'!C22+'[14]West Trading'!C22+'[14]West Origination'!C22+[14]Fundamentals!C22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O22" s="8"/>
      <c r="P22" s="32"/>
    </row>
    <row r="23" spans="1:16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129159.2</v>
      </c>
      <c r="I23" s="25" t="s">
        <v>48</v>
      </c>
      <c r="J23" s="25">
        <v>110000</v>
      </c>
      <c r="K23" s="25">
        <f>2+1</f>
        <v>3</v>
      </c>
      <c r="L23" s="25">
        <f t="shared" si="1"/>
        <v>330000</v>
      </c>
      <c r="O23" s="8"/>
      <c r="P23" s="29"/>
    </row>
    <row r="24" spans="1:16" x14ac:dyDescent="0.2">
      <c r="I24" s="25" t="s">
        <v>49</v>
      </c>
      <c r="J24" s="25">
        <v>143000</v>
      </c>
      <c r="K24" s="25">
        <f>2+1+1</f>
        <v>4</v>
      </c>
      <c r="L24" s="25">
        <f t="shared" si="1"/>
        <v>572000</v>
      </c>
      <c r="O24" s="8"/>
      <c r="P24" s="8"/>
    </row>
    <row r="25" spans="1:16" x14ac:dyDescent="0.2">
      <c r="B25" s="27" t="s">
        <v>50</v>
      </c>
      <c r="C25" s="15"/>
      <c r="E25" s="31">
        <f>'[14]Central Trading'!E25+'[14]Central Origination'!E25+[14]Derivatives!E25+'[14]East Trading'!E25+'[14]East Origination'!E25+'[14]Financial Gas'!E25+[14]Structuring!E25+'[14]Texas Trading'!E25+'[14]Texas Origination'!E25+'[14]West Trading'!E25+'[14]West Origination'!E25+[14]Fundamentals!E25</f>
        <v>108</v>
      </c>
      <c r="H25" s="31">
        <v>0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O25" s="8"/>
      <c r="P25" s="32"/>
    </row>
    <row r="26" spans="1:16" x14ac:dyDescent="0.2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1"/>
        <v>396000</v>
      </c>
      <c r="O26" s="8"/>
      <c r="P26" s="32"/>
    </row>
    <row r="27" spans="1:16" x14ac:dyDescent="0.2">
      <c r="B27" s="27" t="s">
        <v>67</v>
      </c>
      <c r="C27" s="15"/>
      <c r="E27" s="31">
        <f>'[14]Central Trading'!E27+'[14]Central Origination'!E27+[14]Derivatives!E27+'[14]East Trading'!E27+'[14]East Origination'!E27+'[14]Financial Gas'!E27+[14]Structuring!E27+'[14]Texas Trading'!E27+'[14]Texas Origination'!E27+'[14]West Trading'!E27+'[14]West Origination'!E27+[14]Fundamentals!E27</f>
        <v>52</v>
      </c>
      <c r="H27" s="31">
        <v>1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O27" s="8"/>
      <c r="P27" s="32"/>
    </row>
    <row r="28" spans="1:16" x14ac:dyDescent="0.2">
      <c r="K28" s="25">
        <f>SUM(K16:K27)</f>
        <v>10</v>
      </c>
      <c r="L28" s="25">
        <f>SUM(L16:L27)*1.2</f>
        <v>1630200</v>
      </c>
      <c r="O28" s="8"/>
      <c r="P28" s="8"/>
    </row>
    <row r="29" spans="1:16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1</v>
      </c>
      <c r="L29" s="52">
        <v>0.2</v>
      </c>
      <c r="O29" s="8"/>
      <c r="P29" s="32"/>
    </row>
    <row r="30" spans="1:16" hidden="1" x14ac:dyDescent="0.2">
      <c r="L30" s="25">
        <f>L28*1.2</f>
        <v>1956240</v>
      </c>
      <c r="O30" s="8"/>
      <c r="P30" s="8"/>
    </row>
    <row r="31" spans="1:16" hidden="1" x14ac:dyDescent="0.2">
      <c r="H31" s="33" t="s">
        <v>56</v>
      </c>
      <c r="L31"/>
      <c r="O31" s="8"/>
      <c r="P31" s="8"/>
    </row>
    <row r="32" spans="1:16" hidden="1" x14ac:dyDescent="0.2">
      <c r="B32" s="14" t="s">
        <v>22</v>
      </c>
      <c r="C32" s="15">
        <v>254512</v>
      </c>
      <c r="L32"/>
      <c r="O32" s="8"/>
      <c r="P32" s="8"/>
    </row>
    <row r="33" spans="2:16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O33" s="8"/>
      <c r="P33" s="8"/>
    </row>
    <row r="34" spans="2:16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10</v>
      </c>
      <c r="L34" s="37">
        <f>+J34*K34</f>
        <v>482701.81250000012</v>
      </c>
      <c r="O34" s="8"/>
      <c r="P34" s="8"/>
    </row>
    <row r="35" spans="2:16" hidden="1" x14ac:dyDescent="0.2">
      <c r="O35" s="8"/>
      <c r="P35" s="8"/>
    </row>
    <row r="36" spans="2:16" hidden="1" x14ac:dyDescent="0.2">
      <c r="O36" s="8"/>
      <c r="P36" s="8"/>
    </row>
    <row r="37" spans="2:16" hidden="1" x14ac:dyDescent="0.2">
      <c r="O37" s="8"/>
      <c r="P37" s="8"/>
    </row>
    <row r="38" spans="2:16" hidden="1" x14ac:dyDescent="0.2">
      <c r="O38" s="8"/>
      <c r="P38" s="8"/>
    </row>
    <row r="39" spans="2:16" x14ac:dyDescent="0.2">
      <c r="O39" s="8"/>
      <c r="P39" s="8"/>
    </row>
    <row r="42" spans="2:16" x14ac:dyDescent="0.2">
      <c r="B42" s="123"/>
      <c r="C42" s="123"/>
      <c r="D42" s="123"/>
    </row>
    <row r="43" spans="2:16" x14ac:dyDescent="0.2">
      <c r="B43" s="123"/>
      <c r="C43" s="123"/>
      <c r="D43" s="123"/>
    </row>
    <row r="44" spans="2:16" x14ac:dyDescent="0.2">
      <c r="B44" s="123"/>
      <c r="C44" s="123"/>
      <c r="D44" s="123"/>
    </row>
    <row r="45" spans="2:16" x14ac:dyDescent="0.2">
      <c r="B45" s="123"/>
      <c r="C45" s="123"/>
      <c r="D45" s="123"/>
    </row>
    <row r="46" spans="2:16" x14ac:dyDescent="0.2">
      <c r="B46" s="123"/>
      <c r="C46" s="123"/>
      <c r="D46" s="123"/>
    </row>
    <row r="47" spans="2:16" x14ac:dyDescent="0.2">
      <c r="B47" s="123"/>
      <c r="C47" s="123"/>
      <c r="D47" s="123"/>
    </row>
    <row r="48" spans="2:16" x14ac:dyDescent="0.2">
      <c r="B48" s="123"/>
      <c r="C48" s="123"/>
      <c r="D48" s="123"/>
    </row>
    <row r="49" spans="2:4" x14ac:dyDescent="0.2">
      <c r="B49" s="123"/>
      <c r="C49" s="123"/>
      <c r="D49" s="123"/>
    </row>
    <row r="50" spans="2:4" x14ac:dyDescent="0.2">
      <c r="B50" s="124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48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4.85546875" customWidth="1"/>
    <col min="7" max="7" width="13.28515625" hidden="1" customWidth="1"/>
    <col min="8" max="8" width="1.7109375" hidden="1" customWidth="1"/>
    <col min="9" max="9" width="19.42578125" hidden="1" customWidth="1"/>
    <col min="10" max="10" width="12" hidden="1" customWidth="1"/>
    <col min="11" max="11" width="8.85546875" hidden="1" customWidth="1"/>
    <col min="12" max="12" width="12.7109375" hidden="1" customWidth="1"/>
    <col min="13" max="13" width="9.140625" hidden="1" customWidth="1"/>
    <col min="14" max="14" width="11.28515625" hidden="1" customWidth="1"/>
    <col min="15" max="15" width="9.140625" hidden="1" customWidth="1"/>
    <col min="16" max="27" width="0" hidden="1" customWidth="1"/>
  </cols>
  <sheetData>
    <row r="1" spans="1:16" ht="18" x14ac:dyDescent="0.25">
      <c r="B1" s="142" t="str">
        <f>'[3]Team Report'!B1</f>
        <v>Enron North America</v>
      </c>
      <c r="C1" s="142"/>
      <c r="D1" s="142"/>
      <c r="E1" s="142"/>
      <c r="F1" s="142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8" x14ac:dyDescent="0.25">
      <c r="B2" s="142" t="str">
        <f>'[3]Pull Sheet'!E9</f>
        <v>Competitive Analysis</v>
      </c>
      <c r="C2" s="142"/>
      <c r="D2" s="142"/>
      <c r="E2" s="142"/>
      <c r="F2" s="142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8" x14ac:dyDescent="0.25">
      <c r="B3" s="143" t="s">
        <v>0</v>
      </c>
      <c r="C3" s="143"/>
      <c r="D3" s="143"/>
      <c r="E3" s="143"/>
      <c r="F3" s="14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3.5" thickBot="1" x14ac:dyDescent="0.25"/>
    <row r="5" spans="1:16" x14ac:dyDescent="0.2">
      <c r="I5" s="4"/>
      <c r="J5" s="40"/>
      <c r="K5" s="40"/>
      <c r="L5" s="41"/>
    </row>
    <row r="6" spans="1:16" x14ac:dyDescent="0.2">
      <c r="C6" s="10">
        <v>37135</v>
      </c>
      <c r="E6" s="11">
        <v>2001</v>
      </c>
      <c r="F6" s="11">
        <v>2002</v>
      </c>
      <c r="I6" s="7"/>
      <c r="J6" s="19" t="s">
        <v>1</v>
      </c>
      <c r="K6" s="19" t="s">
        <v>2</v>
      </c>
      <c r="L6" s="74" t="s">
        <v>107</v>
      </c>
      <c r="O6" s="44" t="s">
        <v>63</v>
      </c>
    </row>
    <row r="7" spans="1:16" x14ac:dyDescent="0.2">
      <c r="C7" s="12" t="s">
        <v>5</v>
      </c>
      <c r="E7" s="12" t="s">
        <v>6</v>
      </c>
      <c r="F7" s="12" t="s">
        <v>7</v>
      </c>
      <c r="G7" s="33"/>
      <c r="I7" s="7"/>
      <c r="J7" s="17"/>
      <c r="K7" s="17"/>
      <c r="L7" s="43"/>
      <c r="O7" s="12" t="s">
        <v>7</v>
      </c>
    </row>
    <row r="8" spans="1:16" x14ac:dyDescent="0.2">
      <c r="A8" s="13" t="s">
        <v>9</v>
      </c>
      <c r="B8" s="14" t="s">
        <v>10</v>
      </c>
      <c r="C8" s="15">
        <f>'[3]Team Report'!BA25</f>
        <v>1004954.44</v>
      </c>
      <c r="E8" s="15">
        <f>(C8/9)*12</f>
        <v>1339939.2533333334</v>
      </c>
      <c r="F8" s="15">
        <f>L29</f>
        <v>406800</v>
      </c>
      <c r="I8" s="7"/>
      <c r="J8" s="17"/>
      <c r="K8" s="17"/>
      <c r="L8" s="43"/>
      <c r="O8" s="15">
        <f>+F8/$F$29*$O$29</f>
        <v>81360</v>
      </c>
    </row>
    <row r="9" spans="1:16" ht="12.75" hidden="1" customHeight="1" x14ac:dyDescent="0.2">
      <c r="A9" s="13"/>
      <c r="B9" s="14" t="s">
        <v>11</v>
      </c>
      <c r="C9" s="15">
        <v>0</v>
      </c>
      <c r="E9" s="15">
        <f>(C9/9)*12</f>
        <v>0</v>
      </c>
      <c r="F9" s="15">
        <f>(D9/9)*12</f>
        <v>0</v>
      </c>
      <c r="I9" s="7" t="s">
        <v>10</v>
      </c>
      <c r="J9" s="17">
        <v>0</v>
      </c>
      <c r="K9" s="17">
        <f>K29</f>
        <v>5</v>
      </c>
      <c r="L9" s="43">
        <f>L33</f>
        <v>488160</v>
      </c>
      <c r="O9" s="15">
        <f t="shared" ref="O9:O22" si="0">+F9/$F$29*$O$29</f>
        <v>0</v>
      </c>
    </row>
    <row r="10" spans="1:16" ht="12.75" hidden="1" customHeight="1" x14ac:dyDescent="0.2">
      <c r="B10" s="14" t="s">
        <v>12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16" x14ac:dyDescent="0.2">
      <c r="A11" s="13" t="s">
        <v>13</v>
      </c>
      <c r="B11" s="14" t="s">
        <v>14</v>
      </c>
      <c r="C11" s="15">
        <f>'[3]Team Report'!BA26</f>
        <v>241285.2</v>
      </c>
      <c r="E11" s="15">
        <f>(C11/9)*12</f>
        <v>321713.59999999998</v>
      </c>
      <c r="F11" s="15">
        <f>L33-L29</f>
        <v>81360</v>
      </c>
      <c r="I11" s="7"/>
      <c r="J11" s="17"/>
      <c r="K11" s="17"/>
      <c r="L11" s="43"/>
      <c r="O11" s="15">
        <f t="shared" si="0"/>
        <v>16272</v>
      </c>
    </row>
    <row r="12" spans="1:16" x14ac:dyDescent="0.2">
      <c r="A12" s="13" t="s">
        <v>16</v>
      </c>
      <c r="B12" s="14" t="s">
        <v>17</v>
      </c>
      <c r="C12" s="15">
        <f>'[3]Team Report'!BA27</f>
        <v>64034.85</v>
      </c>
      <c r="E12" s="20">
        <f>((C12/9)*12)*1.25</f>
        <v>106724.75</v>
      </c>
      <c r="F12" s="21">
        <f t="shared" ref="F12:F22" si="1">(E12/$E$29)*$F$29</f>
        <v>19057.991071428572</v>
      </c>
      <c r="I12" s="7" t="s">
        <v>15</v>
      </c>
      <c r="J12" s="17">
        <f>(E12+E13+E14+E15+E16+E17+E18+E19+E20+E21+E22)/E29</f>
        <v>29159.270999999997</v>
      </c>
      <c r="K12" s="17">
        <f>K29</f>
        <v>5</v>
      </c>
      <c r="L12" s="43">
        <f>J12*K12</f>
        <v>145796.35499999998</v>
      </c>
      <c r="O12" s="15">
        <f t="shared" si="0"/>
        <v>3811.5982142857147</v>
      </c>
    </row>
    <row r="13" spans="1:16" x14ac:dyDescent="0.2">
      <c r="A13" s="13" t="s">
        <v>18</v>
      </c>
      <c r="B13" s="14" t="s">
        <v>19</v>
      </c>
      <c r="C13" s="15">
        <f>'[3]Team Report'!BA28</f>
        <v>201286.59999999998</v>
      </c>
      <c r="E13" s="20">
        <f>((C13/9)*12)*1.17</f>
        <v>314007.09599999996</v>
      </c>
      <c r="F13" s="21">
        <f>(E13/$E$29)*$F$29+63927</f>
        <v>119999.69571428571</v>
      </c>
      <c r="I13" s="7"/>
      <c r="J13" s="17"/>
      <c r="K13" s="17"/>
      <c r="L13" s="43"/>
      <c r="O13" s="15">
        <f t="shared" si="0"/>
        <v>23999.939142857143</v>
      </c>
    </row>
    <row r="14" spans="1:16" ht="13.5" thickBot="1" x14ac:dyDescent="0.25">
      <c r="A14" s="13" t="s">
        <v>21</v>
      </c>
      <c r="B14" s="14" t="s">
        <v>22</v>
      </c>
      <c r="C14" s="15">
        <f>'[3]Team Report'!BA32-C39</f>
        <v>-6.0000000055879354E-2</v>
      </c>
      <c r="E14" s="20">
        <f>((C14/9)*12)*1.3</f>
        <v>-0.10400000009685754</v>
      </c>
      <c r="F14" s="21">
        <f>(E14/$E$29)*$F$29+480000</f>
        <v>479999.98142857139</v>
      </c>
      <c r="I14" s="22" t="s">
        <v>20</v>
      </c>
      <c r="J14" s="47"/>
      <c r="K14" s="47"/>
      <c r="L14" s="48">
        <f>SUM(L9:L12)</f>
        <v>633956.35499999998</v>
      </c>
      <c r="N14" s="25"/>
      <c r="O14" s="15">
        <f t="shared" si="0"/>
        <v>95999.996285714282</v>
      </c>
    </row>
    <row r="15" spans="1:16" x14ac:dyDescent="0.2">
      <c r="A15" s="13" t="s">
        <v>23</v>
      </c>
      <c r="B15" s="14" t="s">
        <v>24</v>
      </c>
      <c r="C15" s="15">
        <f>'[3]Team Report'!BA33</f>
        <v>21945.55</v>
      </c>
      <c r="E15" s="20">
        <f>((C15/9)*12)*1.25</f>
        <v>36575.916666666664</v>
      </c>
      <c r="F15" s="21">
        <f t="shared" si="1"/>
        <v>6531.4136904761908</v>
      </c>
      <c r="I15" s="8"/>
      <c r="J15" s="17"/>
      <c r="K15" s="17"/>
      <c r="L15" s="17"/>
      <c r="O15" s="15">
        <f t="shared" si="0"/>
        <v>1306.2827380952381</v>
      </c>
    </row>
    <row r="16" spans="1:16" x14ac:dyDescent="0.2">
      <c r="A16" s="13" t="s">
        <v>25</v>
      </c>
      <c r="B16" s="14" t="s">
        <v>26</v>
      </c>
      <c r="C16" s="15">
        <f>'[3]Team Report'!BA34</f>
        <v>0</v>
      </c>
      <c r="E16" s="20">
        <f>((C16/9)*12)*1.3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28</v>
      </c>
      <c r="B17" s="14" t="s">
        <v>29</v>
      </c>
      <c r="C17" s="15">
        <f>'[3]Team Report'!BA35</f>
        <v>0</v>
      </c>
      <c r="E17" s="20">
        <f>((C17/9)*12)*1.3</f>
        <v>0</v>
      </c>
      <c r="F17" s="21">
        <f t="shared" si="1"/>
        <v>0</v>
      </c>
      <c r="I17" s="8" t="s">
        <v>27</v>
      </c>
      <c r="J17" s="17">
        <f>36000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x14ac:dyDescent="0.2">
      <c r="A18" s="13" t="s">
        <v>31</v>
      </c>
      <c r="B18" s="14" t="s">
        <v>32</v>
      </c>
      <c r="C18" s="15">
        <f>'[3]Team Report'!BA36</f>
        <v>837.87000000000012</v>
      </c>
      <c r="E18" s="20">
        <f>((C18/9)*12)*1.25</f>
        <v>1396.45</v>
      </c>
      <c r="F18" s="21">
        <f t="shared" si="1"/>
        <v>249.36607142857144</v>
      </c>
      <c r="I18" t="s">
        <v>93</v>
      </c>
      <c r="J18" s="25">
        <v>48000</v>
      </c>
      <c r="K18" s="17">
        <v>1</v>
      </c>
      <c r="L18" s="17">
        <f t="shared" si="2"/>
        <v>48000</v>
      </c>
      <c r="O18" s="15">
        <f t="shared" si="0"/>
        <v>49.87321428571429</v>
      </c>
    </row>
    <row r="19" spans="1:15" x14ac:dyDescent="0.2">
      <c r="A19" s="13" t="s">
        <v>34</v>
      </c>
      <c r="B19" s="14" t="s">
        <v>35</v>
      </c>
      <c r="C19" s="15">
        <f>'[3]Team Report'!BA37</f>
        <v>24222.35</v>
      </c>
      <c r="E19" s="20">
        <f>((C19/9)*12)*1.3</f>
        <v>41985.406666666669</v>
      </c>
      <c r="F19" s="21">
        <f>(E19/$E$29)*$F$29+60000</f>
        <v>67497.394047619047</v>
      </c>
      <c r="I19" t="s">
        <v>33</v>
      </c>
      <c r="J19" s="25">
        <v>49200</v>
      </c>
      <c r="K19" s="17">
        <v>0</v>
      </c>
      <c r="L19" s="17">
        <f t="shared" si="2"/>
        <v>0</v>
      </c>
      <c r="O19" s="15">
        <f t="shared" si="0"/>
        <v>13499.478809523809</v>
      </c>
    </row>
    <row r="20" spans="1:15" x14ac:dyDescent="0.2">
      <c r="A20" s="13" t="s">
        <v>37</v>
      </c>
      <c r="B20" s="14" t="s">
        <v>38</v>
      </c>
      <c r="C20" s="15">
        <f>'[3]Team Report'!BA38</f>
        <v>8.15</v>
      </c>
      <c r="E20" s="20">
        <f>((C20/9)*12)*1.25</f>
        <v>13.583333333333334</v>
      </c>
      <c r="F20" s="21">
        <f t="shared" si="1"/>
        <v>2.4255952380952381</v>
      </c>
      <c r="I20" t="s">
        <v>94</v>
      </c>
      <c r="J20" s="25">
        <v>57600</v>
      </c>
      <c r="K20" s="17">
        <v>0</v>
      </c>
      <c r="L20" s="17">
        <f t="shared" si="2"/>
        <v>0</v>
      </c>
      <c r="O20" s="15">
        <f t="shared" si="0"/>
        <v>0.48511904761904762</v>
      </c>
    </row>
    <row r="21" spans="1:15" x14ac:dyDescent="0.2">
      <c r="A21" s="13" t="s">
        <v>40</v>
      </c>
      <c r="B21" s="14" t="s">
        <v>41</v>
      </c>
      <c r="C21" s="15">
        <f>'[3]Team Report'!BA42</f>
        <v>196834.1</v>
      </c>
      <c r="E21" s="20">
        <f>((C21/9)*12)*1.2</f>
        <v>314934.56</v>
      </c>
      <c r="F21" s="21">
        <f t="shared" si="1"/>
        <v>56238.314285714288</v>
      </c>
      <c r="I21" t="s">
        <v>45</v>
      </c>
      <c r="J21" s="25">
        <v>72000</v>
      </c>
      <c r="K21" s="25">
        <v>0</v>
      </c>
      <c r="L21" s="17">
        <f t="shared" si="2"/>
        <v>0</v>
      </c>
      <c r="O21" s="15">
        <f t="shared" si="0"/>
        <v>11247.662857142857</v>
      </c>
    </row>
    <row r="22" spans="1:15" x14ac:dyDescent="0.2">
      <c r="A22" s="13" t="s">
        <v>43</v>
      </c>
      <c r="B22" s="14" t="s">
        <v>44</v>
      </c>
      <c r="C22" s="15">
        <f>'[3]Team Report'!BA44</f>
        <v>474.19</v>
      </c>
      <c r="E22" s="20">
        <f>((C22/9)*12)*1.3</f>
        <v>821.92933333333337</v>
      </c>
      <c r="F22" s="21">
        <f t="shared" si="1"/>
        <v>146.77309523809524</v>
      </c>
      <c r="I22" t="s">
        <v>36</v>
      </c>
      <c r="J22" s="25">
        <v>62400</v>
      </c>
      <c r="K22" s="17">
        <v>0</v>
      </c>
      <c r="L22" s="17">
        <f t="shared" si="2"/>
        <v>0</v>
      </c>
      <c r="O22" s="15">
        <f t="shared" si="0"/>
        <v>29.354619047619046</v>
      </c>
    </row>
    <row r="23" spans="1:15" ht="13.5" thickBot="1" x14ac:dyDescent="0.25">
      <c r="A23" s="26" t="s">
        <v>46</v>
      </c>
      <c r="B23" s="27" t="s">
        <v>47</v>
      </c>
      <c r="C23" s="28">
        <f>SUM(C8:C22)</f>
        <v>1755883.24</v>
      </c>
      <c r="E23" s="28">
        <f>SUM(E8:E22)</f>
        <v>2478112.441333334</v>
      </c>
      <c r="F23" s="28">
        <f>SUM(F8:F22)</f>
        <v>1237883.355</v>
      </c>
      <c r="I23" t="s">
        <v>95</v>
      </c>
      <c r="J23" s="25">
        <v>74400</v>
      </c>
      <c r="K23" s="17">
        <v>2</v>
      </c>
      <c r="L23" s="17">
        <f t="shared" si="2"/>
        <v>148800</v>
      </c>
      <c r="O23" s="58">
        <f>SUM(O8:O22)</f>
        <v>247576.67099999997</v>
      </c>
    </row>
    <row r="24" spans="1:15" x14ac:dyDescent="0.2">
      <c r="I24" t="s">
        <v>96</v>
      </c>
      <c r="J24" s="25">
        <v>90000</v>
      </c>
      <c r="K24" s="17">
        <v>1</v>
      </c>
      <c r="L24" s="17">
        <f t="shared" si="2"/>
        <v>90000</v>
      </c>
    </row>
    <row r="25" spans="1:15" x14ac:dyDescent="0.2">
      <c r="B25" s="27" t="s">
        <v>50</v>
      </c>
      <c r="C25" s="15"/>
      <c r="E25" s="31">
        <v>28</v>
      </c>
      <c r="F25" s="31">
        <f>+K29</f>
        <v>5</v>
      </c>
      <c r="I25" t="s">
        <v>97</v>
      </c>
      <c r="J25" s="25"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119</v>
      </c>
      <c r="J26" s="25">
        <v>178800</v>
      </c>
      <c r="K26" s="17">
        <v>0</v>
      </c>
      <c r="L26" s="17">
        <f t="shared" si="2"/>
        <v>0</v>
      </c>
      <c r="O26" s="15"/>
    </row>
    <row r="27" spans="1:15" x14ac:dyDescent="0.2">
      <c r="B27" s="27" t="s">
        <v>101</v>
      </c>
      <c r="C27" s="15"/>
      <c r="E27" s="31">
        <v>0</v>
      </c>
      <c r="F27" s="31">
        <v>0</v>
      </c>
      <c r="I27" t="s">
        <v>99</v>
      </c>
      <c r="J27" s="25">
        <v>216000</v>
      </c>
      <c r="K27" s="17">
        <v>0</v>
      </c>
      <c r="L27" s="17">
        <f t="shared" si="2"/>
        <v>0</v>
      </c>
      <c r="O27" s="31">
        <f>SUM(U21:U22)</f>
        <v>0</v>
      </c>
    </row>
    <row r="28" spans="1:15" x14ac:dyDescent="0.2">
      <c r="I28" t="s">
        <v>100</v>
      </c>
      <c r="J28" s="25"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55</v>
      </c>
      <c r="C29" s="15"/>
      <c r="E29" s="31">
        <f>+E27+E25</f>
        <v>28</v>
      </c>
      <c r="F29" s="31">
        <f>+F27+F25</f>
        <v>5</v>
      </c>
      <c r="G29" s="25"/>
      <c r="J29" s="25"/>
      <c r="K29" s="25">
        <f>SUM(K17:K28)</f>
        <v>5</v>
      </c>
      <c r="L29" s="17">
        <f>SUM(L17:L28)</f>
        <v>406800</v>
      </c>
      <c r="O29" s="31">
        <v>1</v>
      </c>
    </row>
    <row r="30" spans="1:15" x14ac:dyDescent="0.2">
      <c r="J30" s="25"/>
      <c r="K30" s="25"/>
      <c r="L30" s="25"/>
    </row>
    <row r="31" spans="1:15" hidden="1" x14ac:dyDescent="0.2">
      <c r="A31" s="13" t="s">
        <v>71</v>
      </c>
      <c r="B31" s="14" t="s">
        <v>72</v>
      </c>
      <c r="C31" s="15">
        <f>'[3]Team Report'!BA29</f>
        <v>0</v>
      </c>
      <c r="E31" s="15">
        <f t="shared" ref="E31:E38" si="3">(C31/9)*12</f>
        <v>0</v>
      </c>
      <c r="I31" t="s">
        <v>102</v>
      </c>
      <c r="J31" s="25"/>
      <c r="K31" s="52"/>
      <c r="L31" s="52">
        <v>0.2</v>
      </c>
    </row>
    <row r="32" spans="1:15" hidden="1" x14ac:dyDescent="0.2">
      <c r="A32" s="13" t="s">
        <v>73</v>
      </c>
      <c r="B32" s="14" t="s">
        <v>74</v>
      </c>
      <c r="C32" s="15">
        <f>'[3]Team Report'!BA30</f>
        <v>0</v>
      </c>
      <c r="E32" s="15">
        <f t="shared" si="3"/>
        <v>0</v>
      </c>
      <c r="J32" s="25"/>
      <c r="K32" s="25"/>
      <c r="L32" s="25"/>
    </row>
    <row r="33" spans="1:12" hidden="1" x14ac:dyDescent="0.2">
      <c r="A33" s="13" t="s">
        <v>75</v>
      </c>
      <c r="B33" s="14" t="s">
        <v>76</v>
      </c>
      <c r="C33" s="15">
        <f>'[3]Team Report'!BA31</f>
        <v>0</v>
      </c>
      <c r="E33" s="15">
        <f t="shared" si="3"/>
        <v>0</v>
      </c>
      <c r="J33" s="25"/>
      <c r="K33" s="25"/>
      <c r="L33" s="25">
        <f>L29*1.2</f>
        <v>488160</v>
      </c>
    </row>
    <row r="34" spans="1:12" hidden="1" x14ac:dyDescent="0.2">
      <c r="A34" s="13" t="s">
        <v>77</v>
      </c>
      <c r="B34" s="14" t="s">
        <v>78</v>
      </c>
      <c r="C34" s="15">
        <f>'[3]Team Report'!BA39</f>
        <v>0</v>
      </c>
      <c r="E34" s="15">
        <f t="shared" si="3"/>
        <v>0</v>
      </c>
      <c r="J34" s="25"/>
      <c r="K34" s="25"/>
      <c r="L34" s="25"/>
    </row>
    <row r="35" spans="1:12" hidden="1" x14ac:dyDescent="0.2">
      <c r="A35" s="13" t="s">
        <v>79</v>
      </c>
      <c r="B35" s="14" t="s">
        <v>80</v>
      </c>
      <c r="C35" s="15">
        <f>'[3]Team Report'!BA40</f>
        <v>155543.13</v>
      </c>
      <c r="E35" s="15">
        <f t="shared" si="3"/>
        <v>207390.84</v>
      </c>
    </row>
    <row r="36" spans="1:12" hidden="1" x14ac:dyDescent="0.2">
      <c r="A36" s="13" t="s">
        <v>81</v>
      </c>
      <c r="B36" s="14" t="s">
        <v>82</v>
      </c>
      <c r="C36" s="15">
        <f>'[3]Team Report'!BA41</f>
        <v>132051.71</v>
      </c>
      <c r="E36" s="15">
        <f t="shared" si="3"/>
        <v>176068.94666666666</v>
      </c>
    </row>
    <row r="37" spans="1:12" hidden="1" x14ac:dyDescent="0.2">
      <c r="A37" s="13" t="s">
        <v>83</v>
      </c>
      <c r="B37" s="14" t="s">
        <v>84</v>
      </c>
      <c r="C37" s="15">
        <f>'[3]Team Report'!BA43</f>
        <v>-1900070.7900000003</v>
      </c>
      <c r="E37" s="15">
        <f t="shared" si="3"/>
        <v>-2533427.7200000002</v>
      </c>
      <c r="G37" s="33" t="s">
        <v>56</v>
      </c>
      <c r="I37" s="25"/>
      <c r="J37" s="25"/>
      <c r="K37" s="25"/>
    </row>
    <row r="38" spans="1:12" hidden="1" x14ac:dyDescent="0.2">
      <c r="A38" s="13" t="s">
        <v>85</v>
      </c>
      <c r="B38" s="14" t="s">
        <v>86</v>
      </c>
      <c r="C38" s="15">
        <f>'[3]Team Report'!BA45</f>
        <v>0</v>
      </c>
      <c r="E38" s="15">
        <f t="shared" si="3"/>
        <v>0</v>
      </c>
      <c r="I38" s="25"/>
      <c r="J38" s="25"/>
      <c r="K38" s="25"/>
    </row>
    <row r="39" spans="1:12" hidden="1" x14ac:dyDescent="0.2">
      <c r="B39" s="14" t="s">
        <v>22</v>
      </c>
      <c r="C39" s="15">
        <v>1140923</v>
      </c>
      <c r="E39" s="15"/>
      <c r="G39" s="34" t="s">
        <v>57</v>
      </c>
      <c r="I39" s="35" t="s">
        <v>58</v>
      </c>
      <c r="J39" s="35" t="s">
        <v>59</v>
      </c>
      <c r="K39" s="35" t="s">
        <v>2</v>
      </c>
      <c r="L39" s="35" t="s">
        <v>60</v>
      </c>
    </row>
    <row r="40" spans="1:12" hidden="1" x14ac:dyDescent="0.2">
      <c r="B40" s="14"/>
      <c r="G40" s="36">
        <f>SUM(E12:E22)</f>
        <v>816459.58799999987</v>
      </c>
      <c r="I40" s="56">
        <f>+E29</f>
        <v>28</v>
      </c>
      <c r="J40" s="37">
        <f>+G40/I40</f>
        <v>29159.270999999997</v>
      </c>
      <c r="K40" s="56">
        <f>+K12</f>
        <v>5</v>
      </c>
      <c r="L40" s="37">
        <f>+J40*K40</f>
        <v>145796.35499999998</v>
      </c>
    </row>
    <row r="41" spans="1:12" hidden="1" x14ac:dyDescent="0.2">
      <c r="C41" s="54">
        <f>C23+C31+C32+C33+C34+C35+C36+C37+C38</f>
        <v>143407.2899999998</v>
      </c>
    </row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R38"/>
  <sheetViews>
    <sheetView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17" width="12.7109375" hidden="1" customWidth="1"/>
    <col min="18" max="52" width="0" hidden="1" customWidth="1"/>
  </cols>
  <sheetData>
    <row r="1" spans="1:44" ht="18" x14ac:dyDescent="0.2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2" t="s">
        <v>187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 t="s">
        <v>63</v>
      </c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 t="s">
        <v>7</v>
      </c>
    </row>
    <row r="8" spans="1:44" x14ac:dyDescent="0.2">
      <c r="A8" s="13" t="s">
        <v>9</v>
      </c>
      <c r="B8" s="14" t="s">
        <v>10</v>
      </c>
      <c r="C8" s="15">
        <f>'[11]Central Trading'!C8+'[11]Central Origination'!C8+[11]Derivatives!C8+'[11]East Trading'!C8+'[11]East Origination'!C8+'[11]Financial Gas'!C8+[11]Structuring!C8+'[11]Texas Trading'!C8+'[11]Texas Origination'!C8+'[11]West Trading'!C8+'[11]West Origination'!C8+[11]Fundamentals!C8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591580</v>
      </c>
      <c r="I8" s="42" t="s">
        <v>10</v>
      </c>
      <c r="J8" s="17">
        <v>0</v>
      </c>
      <c r="K8" s="17"/>
      <c r="L8" s="43">
        <f>L30</f>
        <v>1645776</v>
      </c>
      <c r="Q8" s="15">
        <f>+H8/$H$29*$Q$29</f>
        <v>42255.714285714283</v>
      </c>
    </row>
    <row r="9" spans="1:44" hidden="1" x14ac:dyDescent="0.2">
      <c r="A9" s="13"/>
      <c r="B9" s="14" t="s">
        <v>11</v>
      </c>
      <c r="C9" s="15">
        <f>'[11]Central Trading'!C9+'[11]Central Origination'!C9+[11]Derivatives!C9+'[11]East Trading'!C9+'[11]East Origination'!C9+'[11]Financial Gas'!C9+[11]Structuring!C9+'[11]Texas Trading'!C9+'[11]Texas Origination'!C9+'[11]West Trading'!C9+'[11]West Origination'!C9+[11]Fundamentals!C9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65</v>
      </c>
      <c r="C10" s="15">
        <f>'[11]Central Trading'!C10+'[11]Central Origination'!C10+[11]Derivatives!C10+'[11]East Trading'!C10+'[11]East Origination'!C10+'[11]Financial Gas'!C10+[11]Structuring!C10+'[11]Texas Trading'!C10+'[11]Texas Origination'!C10+'[11]West Trading'!C10+'[11]West Origination'!C10+[11]Fundamentals!C10</f>
        <v>3095252.76</v>
      </c>
      <c r="D10" s="15"/>
      <c r="E10" s="15">
        <f>('[11]Central Trading'!E9+'[11]Central Origination'!E10+[11]Derivatives!E10+'[11]East Trading'!E10+'[11]East Origination'!E10+'[11]Financial Gas'!E10+[11]Structuring!E10+'[11]Texas Trading'!E10+'[11]Texas Origination'!E10+'[11]West Trading'!E10+'[11]West Origination'!E10+[11]Fundamentals!E10)-4000000</f>
        <v>82420.999999999534</v>
      </c>
      <c r="G10" s="45">
        <f t="shared" si="0"/>
        <v>3.7797619139155266E-3</v>
      </c>
      <c r="H10" s="15">
        <f>L21+L22</f>
        <v>779900</v>
      </c>
      <c r="I10" s="42"/>
      <c r="J10" s="17"/>
      <c r="K10" s="17"/>
      <c r="L10" s="43"/>
      <c r="Q10" s="15">
        <f t="shared" si="1"/>
        <v>55707.142857142855</v>
      </c>
    </row>
    <row r="11" spans="1:44" x14ac:dyDescent="0.2">
      <c r="A11" s="13" t="s">
        <v>13</v>
      </c>
      <c r="B11" s="14" t="s">
        <v>14</v>
      </c>
      <c r="C11" s="15">
        <f>'[11]Central Trading'!C11+'[11]Central Origination'!C11+[11]Derivatives!C11+'[11]East Trading'!C11+'[11]East Origination'!C11+'[11]Financial Gas'!C11+[11]Structuring!C11+'[11]Texas Trading'!C11+'[11]Texas Origination'!C11+'[11]West Trading'!C11+'[11]West Origination'!C11+[11]Fundamentals!C11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274296</v>
      </c>
      <c r="I11" s="42" t="s">
        <v>15</v>
      </c>
      <c r="J11" s="17">
        <f>(E12+E13+E14+E15+E16+E17+E18+E19+E20+E21+E22)/E29</f>
        <v>48270.181250000009</v>
      </c>
      <c r="K11" s="17">
        <f>K28</f>
        <v>14</v>
      </c>
      <c r="L11" s="43">
        <f>J11*K11</f>
        <v>675782.53750000009</v>
      </c>
      <c r="Q11" s="15">
        <f t="shared" si="1"/>
        <v>19592.571428571428</v>
      </c>
    </row>
    <row r="12" spans="1:44" x14ac:dyDescent="0.2">
      <c r="A12" s="13" t="s">
        <v>16</v>
      </c>
      <c r="B12" s="14" t="s">
        <v>17</v>
      </c>
      <c r="C12" s="15">
        <f>'[11]Central Trading'!C12+'[11]Central Origination'!C12+[11]Derivatives!C12+'[11]East Trading'!C12+'[11]East Origination'!C12+'[11]Financial Gas'!C12+[11]Structuring!C12+'[11]Texas Trading'!C12+'[11]Texas Origination'!C12+'[11]West Trading'!C12+'[11]West Origination'!C12+[11]Fundamentals!C12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86274.632499999963</v>
      </c>
      <c r="I12" s="42"/>
      <c r="J12" s="17"/>
      <c r="K12" s="17"/>
      <c r="L12" s="43"/>
      <c r="Q12" s="15">
        <f t="shared" si="1"/>
        <v>6162.4737499999974</v>
      </c>
    </row>
    <row r="13" spans="1:44" ht="13.5" thickBot="1" x14ac:dyDescent="0.25">
      <c r="A13" s="13" t="s">
        <v>18</v>
      </c>
      <c r="B13" s="14" t="s">
        <v>19</v>
      </c>
      <c r="C13" s="15">
        <f>'[11]Central Trading'!C13+'[11]Central Origination'!C13+[11]Derivatives!C13+'[11]East Trading'!C13+'[11]East Origination'!C13+'[11]Financial Gas'!C13+[11]Structuring!C13+'[11]Texas Trading'!C13+'[11]Texas Origination'!C13+'[11]West Trading'!C13+'[11]West Origination'!C13+[11]Fundamentals!C13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>(E13/$E$29)*$K$11-66789</f>
        <v>10000.396833333347</v>
      </c>
      <c r="I13" s="46" t="s">
        <v>20</v>
      </c>
      <c r="J13" s="47"/>
      <c r="K13" s="47"/>
      <c r="L13" s="48">
        <f>L8+L11</f>
        <v>2321558.5375000001</v>
      </c>
      <c r="N13" s="25">
        <v>24109311.029375006</v>
      </c>
      <c r="P13" s="49">
        <f>N13-L13</f>
        <v>21787752.491875004</v>
      </c>
      <c r="Q13" s="15">
        <f t="shared" si="1"/>
        <v>714.31405952381044</v>
      </c>
    </row>
    <row r="14" spans="1:44" x14ac:dyDescent="0.2">
      <c r="A14" s="13" t="s">
        <v>21</v>
      </c>
      <c r="B14" s="14" t="s">
        <v>22</v>
      </c>
      <c r="C14" s="15">
        <f>'[11]Central Trading'!C14+'[11]Central Origination'!C14+[11]Derivatives!C14+'[11]East Trading'!C14+'[11]East Origination'!C14+'[11]Financial Gas'!C14+[11]Structuring!C14+'[11]Texas Trading'!C14+'[11]Texas Origination'!C14+'[11]West Trading'!C14+'[11]West Origination'!C14+[11]Fundamentals!C14-C32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>(E14/$E$29)*$K$11+180000+250000+6600+9000+30000</f>
        <v>475600.02799999999</v>
      </c>
      <c r="Q14" s="15">
        <f t="shared" si="1"/>
        <v>33971.430571428573</v>
      </c>
    </row>
    <row r="15" spans="1:44" x14ac:dyDescent="0.2">
      <c r="A15" s="13" t="s">
        <v>23</v>
      </c>
      <c r="B15" s="14" t="s">
        <v>24</v>
      </c>
      <c r="C15" s="15">
        <f>'[11]Central Trading'!C15+'[11]Central Origination'!C15+[11]Derivatives!C15+'[11]East Trading'!C15+'[11]East Origination'!C15+'[11]Financial Gas'!C15+[11]Structuring!C15+'[11]Texas Trading'!C15+'[11]Texas Origination'!C15+'[11]West Trading'!C15+'[11]West Origination'!C15+[11]Fundamentals!C15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12199.016666666665</v>
      </c>
      <c r="Q15" s="15">
        <f t="shared" si="1"/>
        <v>871.35833333333323</v>
      </c>
    </row>
    <row r="16" spans="1:44" x14ac:dyDescent="0.2">
      <c r="A16" s="13" t="s">
        <v>25</v>
      </c>
      <c r="B16" s="14" t="s">
        <v>26</v>
      </c>
      <c r="C16" s="15">
        <f>'[11]Central Trading'!C16+'[11]Central Origination'!C16+[11]Derivatives!C16+'[11]East Trading'!C16+'[11]East Origination'!C16+'[11]Financial Gas'!C16+[11]Structuring!C16+'[11]Texas Trading'!C16+'[11]Texas Origination'!C16+'[11]West Trading'!C16+'[11]West Origination'!C16+[11]Fundamentals!C16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66</v>
      </c>
      <c r="J16" s="25">
        <v>33000</v>
      </c>
      <c r="K16" s="25"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28</v>
      </c>
      <c r="B17" s="14" t="s">
        <v>29</v>
      </c>
      <c r="C17" s="15">
        <f>'[11]Central Trading'!C17+'[11]Central Origination'!C17+[11]Derivatives!C17+'[11]East Trading'!C17+'[11]East Origination'!C17+'[11]Financial Gas'!C17+[11]Structuring!C17+'[11]Texas Trading'!C17+'[11]Texas Origination'!C17+'[11]West Trading'!C17+'[11]West Origination'!C17+[11]Fundamentals!C17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688.33333333333326</v>
      </c>
      <c r="I17" s="25" t="s">
        <v>30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31</v>
      </c>
      <c r="B18" s="14" t="s">
        <v>32</v>
      </c>
      <c r="C18" s="15">
        <f>'[11]Central Trading'!C18+'[11]Central Origination'!C18+[11]Derivatives!C18+'[11]East Trading'!C18+'[11]East Origination'!C18+'[11]Financial Gas'!C18+[11]Structuring!C18+'[11]Texas Trading'!C18+'[11]Texas Origination'!C18+'[11]West Trading'!C18+'[11]West Origination'!C18+[11]Fundamentals!C18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12501.407333333334</v>
      </c>
      <c r="I18" s="25" t="s">
        <v>33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892.9576666666668</v>
      </c>
    </row>
    <row r="19" spans="1:17" x14ac:dyDescent="0.2">
      <c r="A19" s="13" t="s">
        <v>34</v>
      </c>
      <c r="B19" s="14" t="s">
        <v>35</v>
      </c>
      <c r="C19" s="15">
        <f>'[11]Central Trading'!C19+'[11]Central Origination'!C19+[11]Derivatives!C19+'[11]East Trading'!C19+'[11]East Origination'!C19+'[11]Financial Gas'!C19+[11]Structuring!C19+'[11]Texas Trading'!C19+'[11]Texas Origination'!C19+'[11]West Trading'!C19+'[11]West Origination'!C19+[11]Fundamentals!C19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12741.204</v>
      </c>
      <c r="I19" s="25" t="s">
        <v>36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910.08600000000001</v>
      </c>
    </row>
    <row r="20" spans="1:17" x14ac:dyDescent="0.2">
      <c r="A20" s="13" t="s">
        <v>37</v>
      </c>
      <c r="B20" s="14" t="s">
        <v>38</v>
      </c>
      <c r="C20" s="15">
        <f>'[11]Central Trading'!C20+'[11]Central Origination'!C20+[11]Derivatives!C20+'[11]East Trading'!C20+'[11]East Origination'!C20+'[11]Financial Gas'!C20+[11]Structuring!C20+'[11]Texas Trading'!C20+'[11]Texas Origination'!C20+'[11]West Trading'!C20+'[11]West Origination'!C20+[11]Fundamentals!C20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1.8666666666666667</v>
      </c>
      <c r="I20" s="25" t="s">
        <v>39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x14ac:dyDescent="0.2">
      <c r="A21" s="13" t="s">
        <v>40</v>
      </c>
      <c r="B21" s="14" t="s">
        <v>41</v>
      </c>
      <c r="C21" s="15">
        <f>'[11]Central Trading'!C21+'[11]Central Origination'!C21+[11]Derivatives!C21+'[11]East Trading'!C21+'[11]East Origination'!C21+'[11]Financial Gas'!C21+[11]Structuring!C21+'[11]Texas Trading'!C21+'[11]Texas Origination'!C21+'[11]West Trading'!C21+'[11]West Origination'!C21+[11]Fundamentals!C21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15842.039499999986</v>
      </c>
      <c r="I21" s="25" t="s">
        <v>42</v>
      </c>
      <c r="J21" s="25">
        <v>60500</v>
      </c>
      <c r="K21" s="25">
        <v>7</v>
      </c>
      <c r="L21" s="25">
        <f t="shared" si="3"/>
        <v>423500</v>
      </c>
      <c r="Q21" s="15">
        <f t="shared" si="1"/>
        <v>1131.574249999999</v>
      </c>
    </row>
    <row r="22" spans="1:17" x14ac:dyDescent="0.2">
      <c r="A22" s="13" t="s">
        <v>43</v>
      </c>
      <c r="B22" s="14" t="s">
        <v>44</v>
      </c>
      <c r="C22" s="15">
        <f>'[11]Central Trading'!C22+'[11]Central Origination'!C22+[11]Derivatives!C22+'[11]East Trading'!C22+'[11]East Origination'!C22+'[11]Financial Gas'!C22+[11]Structuring!C22+'[11]Texas Trading'!C22+'[11]Texas Origination'!C22+'[11]West Trading'!C22+'[11]West Origination'!C22+[11]Fundamentals!C22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(E22/$E$29)*$K$11-327675</f>
        <v>131069.61266666692</v>
      </c>
      <c r="I22" s="25" t="s">
        <v>45</v>
      </c>
      <c r="J22" s="25">
        <v>89100</v>
      </c>
      <c r="K22" s="25">
        <v>4</v>
      </c>
      <c r="L22" s="25">
        <f t="shared" si="3"/>
        <v>356400</v>
      </c>
      <c r="Q22" s="15">
        <f t="shared" si="1"/>
        <v>9362.1151904762082</v>
      </c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2402694.5375000006</v>
      </c>
      <c r="I23" s="25" t="s">
        <v>48</v>
      </c>
      <c r="J23" s="25">
        <v>110000</v>
      </c>
      <c r="K23" s="25">
        <v>2</v>
      </c>
      <c r="L23" s="25">
        <f t="shared" si="3"/>
        <v>220000</v>
      </c>
      <c r="Q23" s="28">
        <f>SUM(Q8:Q22)</f>
        <v>171621.03839285715</v>
      </c>
    </row>
    <row r="24" spans="1:17" x14ac:dyDescent="0.2">
      <c r="I24" s="25" t="s">
        <v>49</v>
      </c>
      <c r="J24" s="25">
        <v>143000</v>
      </c>
      <c r="K24" s="25">
        <v>1</v>
      </c>
      <c r="L24" s="25">
        <f t="shared" si="3"/>
        <v>143000</v>
      </c>
    </row>
    <row r="25" spans="1:17" x14ac:dyDescent="0.2">
      <c r="B25" s="27" t="s">
        <v>50</v>
      </c>
      <c r="C25" s="15"/>
      <c r="E25" s="31">
        <f>'[11]Central Trading'!E25+'[11]Central Origination'!E25+[11]Derivatives!E25+'[11]East Trading'!E25+'[11]East Origination'!E25+'[11]Financial Gas'!E25+[11]Structuring!E25+'[11]Texas Trading'!E25+'[11]Texas Origination'!E25+'[11]West Trading'!E25+'[11]West Origination'!E25+[11]Fundamentals!E25</f>
        <v>108</v>
      </c>
      <c r="H25" s="31">
        <f>+K16+K17+K18+K19+K20+K23+K24+K25+K26+K27</f>
        <v>3</v>
      </c>
      <c r="I25" s="25" t="s">
        <v>51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3"/>
        <v>0</v>
      </c>
      <c r="Q26" s="15"/>
    </row>
    <row r="27" spans="1:17" x14ac:dyDescent="0.2">
      <c r="B27" s="27" t="s">
        <v>67</v>
      </c>
      <c r="C27" s="15"/>
      <c r="E27" s="31">
        <f>'[11]Central Trading'!E27+'[11]Central Origination'!E27+[11]Derivatives!E27+'[11]East Trading'!E27+'[11]East Origination'!E27+'[11]Financial Gas'!E27+[11]Structuring!E27+'[11]Texas Trading'!E27+'[11]Texas Origination'!E27+'[11]West Trading'!E27+'[11]West Origination'!E27+[11]Fundamentals!E27</f>
        <v>52</v>
      </c>
      <c r="H27" s="31">
        <f>+K21+K22</f>
        <v>11</v>
      </c>
      <c r="I27" s="25" t="s">
        <v>54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14</v>
      </c>
      <c r="L28" s="25">
        <f>SUM(L16:L27)*1.2</f>
        <v>1371480</v>
      </c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14</v>
      </c>
      <c r="L29" s="52">
        <v>0.2</v>
      </c>
      <c r="Q29" s="31">
        <f>SUM(Q25:Q27)</f>
        <v>1</v>
      </c>
    </row>
    <row r="30" spans="1:17" hidden="1" x14ac:dyDescent="0.2">
      <c r="L30" s="25">
        <f>L28*1.2</f>
        <v>1645776</v>
      </c>
    </row>
    <row r="31" spans="1:17" hidden="1" x14ac:dyDescent="0.2">
      <c r="H31" s="33" t="s">
        <v>56</v>
      </c>
      <c r="L31"/>
    </row>
    <row r="32" spans="1:17" hidden="1" x14ac:dyDescent="0.2">
      <c r="B32" s="14" t="s">
        <v>22</v>
      </c>
      <c r="C32" s="15">
        <v>254512</v>
      </c>
      <c r="L32"/>
    </row>
    <row r="33" spans="8:12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14</v>
      </c>
      <c r="L34" s="37">
        <f>+J34*K34</f>
        <v>675782.53750000009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pageSetUpPr fitToPage="1"/>
  </sheetPr>
  <dimension ref="A1:AS34"/>
  <sheetViews>
    <sheetView topLeftCell="A6" zoomScaleNormal="100" workbookViewId="0">
      <selection activeCell="D64" sqref="D6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2" width="0" hidden="1" customWidth="1"/>
  </cols>
  <sheetData>
    <row r="1" spans="1:45" ht="18" x14ac:dyDescent="0.2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2" t="s">
        <v>191</v>
      </c>
      <c r="C2" s="142"/>
      <c r="D2" s="142"/>
      <c r="E2" s="142"/>
      <c r="F2" s="142"/>
      <c r="G2" s="142"/>
      <c r="H2" s="14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43" t="s">
        <v>0</v>
      </c>
      <c r="C3" s="143"/>
      <c r="D3" s="143"/>
      <c r="E3" s="143"/>
      <c r="F3" s="143"/>
      <c r="G3" s="143"/>
      <c r="H3" s="14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N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N7" s="12" t="s">
        <v>7</v>
      </c>
    </row>
    <row r="8" spans="1:45" x14ac:dyDescent="0.2">
      <c r="A8" s="13" t="s">
        <v>9</v>
      </c>
      <c r="B8" s="14" t="s">
        <v>10</v>
      </c>
      <c r="C8" s="15">
        <f>'[10]Ercot Trading'!C8+'[10]Ercot Origination'!C8+'[10]Southeast Trading'!C8+'[10]Southeast Origination'!C8+'[10]Midwest Trading'!C8+'[10]Midwest Origination'!C8+'[10]Northeast Trading'!C8+'[10]Northeast Origination'!C8+'[10]Management Book'!C8+[10]Structuring_Fund!C8+[10]Services!C8+[10]Options!C8</f>
        <v>6640774.8000000017</v>
      </c>
      <c r="E8" s="15">
        <f>(C8/9)*12</f>
        <v>8854366.4000000022</v>
      </c>
      <c r="F8" s="15">
        <f>M16+M17+M18+M19+M20+M23+M24+M26</f>
        <v>318000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810720</v>
      </c>
      <c r="N8" s="15">
        <f>+F8/$F$29*$N$29</f>
        <v>45428.571428571428</v>
      </c>
    </row>
    <row r="9" spans="1:45" x14ac:dyDescent="0.2">
      <c r="A9" s="13"/>
      <c r="B9" s="14" t="s">
        <v>11</v>
      </c>
      <c r="C9" s="15">
        <f>'[10]Ercot Trading'!C9+'[10]Ercot Origination'!C9+'[10]Southeast Trading'!C9+'[10]Southeast Origination'!C9+'[10]Midwest Trading'!C9+'[10]Midwest Origination'!C9+'[10]Northeast Trading'!C9+'[10]Northeast Origination'!C9+'[10]Management Book'!C9+[10]Structuring_Fund!C9+[10]Services!C9+[10]Options!C9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x14ac:dyDescent="0.2">
      <c r="A10" s="13"/>
      <c r="B10" s="14" t="s">
        <v>12</v>
      </c>
      <c r="C10" s="15">
        <f>'[10]Ercot Trading'!C10+'[10]Ercot Origination'!C10+'[10]Southeast Trading'!C10+'[10]Southeast Origination'!C10+'[10]Midwest Trading'!C10+'[10]Midwest Origination'!C10+'[10]Northeast Trading'!C10+'[10]Northeast Origination'!C10+'[10]Management Book'!C10+[10]Structuring_Fund!C10+[10]Services!C10+[10]Options!C10</f>
        <v>2652510</v>
      </c>
      <c r="E10" s="15">
        <f>(C10/9)*12</f>
        <v>3536680</v>
      </c>
      <c r="F10" s="15">
        <f>M21+M22</f>
        <v>357600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51085.714285714283</v>
      </c>
    </row>
    <row r="11" spans="1:45" x14ac:dyDescent="0.2">
      <c r="A11" s="13" t="s">
        <v>13</v>
      </c>
      <c r="B11" s="14" t="s">
        <v>14</v>
      </c>
      <c r="C11" s="15">
        <f>'[10]Ercot Trading'!C11+'[10]Ercot Origination'!C11+'[10]Southeast Trading'!C11+'[10]Southeast Origination'!C11+'[10]Midwest Trading'!C11+'[10]Midwest Origination'!C11+'[10]Northeast Trading'!C11+'[10]Northeast Origination'!C11+'[10]Management Book'!C11+[10]Structuring_Fund!C11+[10]Services!C11+[10]Options!C11</f>
        <v>1536343.4600000002</v>
      </c>
      <c r="E11" s="15">
        <f>(C11/9)*12</f>
        <v>2048457.9466666668</v>
      </c>
      <c r="F11" s="15">
        <f>M28*0.2</f>
        <v>135120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7</v>
      </c>
      <c r="M11" s="18">
        <f>K11*L11</f>
        <v>221733.27330496447</v>
      </c>
      <c r="N11" s="15">
        <f t="shared" si="1"/>
        <v>19302.857142857141</v>
      </c>
    </row>
    <row r="12" spans="1:45" x14ac:dyDescent="0.2">
      <c r="A12" s="13" t="s">
        <v>16</v>
      </c>
      <c r="B12" s="14" t="s">
        <v>17</v>
      </c>
      <c r="C12" s="15">
        <f>'[10]Ercot Trading'!C12+'[10]Ercot Origination'!C12+'[10]Southeast Trading'!C12+'[10]Southeast Origination'!C12+'[10]Midwest Trading'!C12+'[10]Midwest Origination'!C12+'[10]Northeast Trading'!C12+'[10]Northeast Origination'!C12+'[10]Management Book'!C12+[10]Structuring_Fund!C12+[10]Services!C12+[10]Options!C12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44200.855602836877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6314.4079432624112</v>
      </c>
    </row>
    <row r="13" spans="1:45" ht="13.5" thickBot="1" x14ac:dyDescent="0.25">
      <c r="A13" s="13" t="s">
        <v>18</v>
      </c>
      <c r="B13" s="14" t="s">
        <v>19</v>
      </c>
      <c r="C13" s="15">
        <f>'[10]Ercot Trading'!C13+'[10]Ercot Origination'!C13+'[10]Southeast Trading'!C13+'[10]Southeast Origination'!C13+'[10]Midwest Trading'!C13+'[10]Midwest Origination'!C13+'[10]Northeast Trading'!C13+'[10]Northeast Origination'!C13+'[10]Management Book'!C13+[10]Structuring_Fund!C13+[10]Services!C13+[10]Options!C13</f>
        <v>1014365.41</v>
      </c>
      <c r="E13" s="20">
        <f t="shared" si="2"/>
        <v>1622984.656</v>
      </c>
      <c r="F13" s="21">
        <f t="shared" si="3"/>
        <v>80573.706326241139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1032453.2733049644</v>
      </c>
      <c r="N13" s="15">
        <f t="shared" si="1"/>
        <v>11510.529475177305</v>
      </c>
    </row>
    <row r="14" spans="1:45" x14ac:dyDescent="0.2">
      <c r="A14" s="13" t="s">
        <v>21</v>
      </c>
      <c r="B14" s="14" t="s">
        <v>22</v>
      </c>
      <c r="C14" s="15">
        <f>'[10]Ercot Trading'!C14+'[10]Ercot Origination'!C14+'[10]Southeast Trading'!C14+'[10]Southeast Origination'!C14+'[10]Midwest Trading'!C14+'[10]Midwest Origination'!C14+'[10]Northeast Trading'!C14+'[10]Northeast Origination'!C14+'[10]Management Book'!C14+[10]Structuring_Fund!C14+[10]Services!C14+[10]Options!C14-C32</f>
        <v>0.38000000012107193</v>
      </c>
      <c r="E14" s="20">
        <f t="shared" si="2"/>
        <v>0.60800000019371503</v>
      </c>
      <c r="F14" s="21">
        <v>1000000</v>
      </c>
      <c r="H14" s="16">
        <f t="shared" si="0"/>
        <v>2.9853903459396468E-8</v>
      </c>
      <c r="N14" s="15">
        <f t="shared" si="1"/>
        <v>142857.14285714287</v>
      </c>
    </row>
    <row r="15" spans="1:45" x14ac:dyDescent="0.2">
      <c r="A15" s="13" t="s">
        <v>23</v>
      </c>
      <c r="B15" s="14" t="s">
        <v>24</v>
      </c>
      <c r="C15" s="15">
        <f>'[10]Ercot Trading'!C15+'[10]Ercot Origination'!C15+'[10]Southeast Trading'!C15+'[10]Southeast Origination'!C15+'[10]Midwest Trading'!C15+'[10]Midwest Origination'!C15+'[10]Northeast Trading'!C15+'[10]Northeast Origination'!C15+'[10]Management Book'!C15+[10]Structuring_Fund!C15+[10]Services!C15+[10]Options!C15</f>
        <v>93227.13</v>
      </c>
      <c r="E15" s="20">
        <f t="shared" si="2"/>
        <v>149163.408</v>
      </c>
      <c r="F15" s="21">
        <f t="shared" si="3"/>
        <v>7405.2755744680844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x14ac:dyDescent="0.2">
      <c r="A16" s="13" t="s">
        <v>25</v>
      </c>
      <c r="B16" s="14" t="s">
        <v>26</v>
      </c>
      <c r="C16" s="15">
        <f>'[10]Ercot Trading'!C16+'[10]Ercot Origination'!C16+'[10]Southeast Trading'!C16+'[10]Southeast Origination'!C16+'[10]Midwest Trading'!C16+'[10]Midwest Origination'!C16+'[10]Northeast Trading'!C16+'[10]Northeast Origination'!C16+'[10]Management Book'!C16+[10]Structuring_Fund!C16+[10]Services!C16+[10]Options!C16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27</v>
      </c>
      <c r="K16" s="25">
        <v>33600</v>
      </c>
      <c r="L16">
        <f>'[10]Ercot Trading'!K16+'[10]Ercot Origination'!K16+'[10]Southeast Trading'!K16+'[10]Southeast Origination'!K16+'[10]Midwest Trading'!K16+'[10]Midwest Origination'!K16+'[10]Northeast Trading'!K16+'[10]Northeast Origination'!K16+'[10]Management Book'!K16+[10]Structuring_Fund!K16+[10]Services!K16+[10]Options!K16</f>
        <v>0</v>
      </c>
      <c r="M16" s="25">
        <f t="shared" ref="M16:M27" si="4">K16*L16</f>
        <v>0</v>
      </c>
      <c r="N16" s="15">
        <f t="shared" si="1"/>
        <v>0</v>
      </c>
    </row>
    <row r="17" spans="1:14" x14ac:dyDescent="0.2">
      <c r="A17" s="13" t="s">
        <v>28</v>
      </c>
      <c r="B17" s="14" t="s">
        <v>29</v>
      </c>
      <c r="C17" s="15">
        <f>'[10]Ercot Trading'!C17+'[10]Ercot Origination'!C17+'[10]Southeast Trading'!C17+'[10]Southeast Origination'!C17+'[10]Midwest Trading'!C17+'[10]Midwest Origination'!C17+'[10]Northeast Trading'!C17+'[10]Northeast Origination'!C17+'[10]Management Book'!C17+[10]Structuring_Fund!C17+[10]Services!C17+[10]Options!C17</f>
        <v>5300</v>
      </c>
      <c r="E17" s="20">
        <f t="shared" si="2"/>
        <v>8480</v>
      </c>
      <c r="F17" s="21">
        <f t="shared" si="3"/>
        <v>420.99290780141843</v>
      </c>
      <c r="H17" s="16">
        <f t="shared" si="0"/>
        <v>4.1638339022207621E-4</v>
      </c>
      <c r="J17" t="s">
        <v>30</v>
      </c>
      <c r="K17" s="25">
        <v>52800</v>
      </c>
      <c r="L17">
        <f>'[10]Ercot Trading'!K17+'[10]Ercot Origination'!K17+'[10]Southeast Trading'!K17+'[10]Southeast Origination'!K17+'[10]Midwest Trading'!K17+'[10]Midwest Origination'!K17+'[10]Northeast Trading'!K17+'[10]Northeast Origination'!K17+'[10]Management Book'!K17+[10]Structuring_Fund!K17+[10]Services!K17+[10]Options!K17</f>
        <v>0</v>
      </c>
      <c r="M17" s="25">
        <f t="shared" si="4"/>
        <v>0</v>
      </c>
      <c r="N17" s="15">
        <f t="shared" si="1"/>
        <v>60.141843971631204</v>
      </c>
    </row>
    <row r="18" spans="1:14" x14ac:dyDescent="0.2">
      <c r="A18" s="13" t="s">
        <v>31</v>
      </c>
      <c r="B18" s="14" t="s">
        <v>32</v>
      </c>
      <c r="C18" s="15">
        <f>'[10]Ercot Trading'!C18+'[10]Ercot Origination'!C18+'[10]Southeast Trading'!C18+'[10]Southeast Origination'!C18+'[10]Midwest Trading'!C18+'[10]Midwest Origination'!C18+'[10]Northeast Trading'!C18+'[10]Northeast Origination'!C18+'[10]Management Book'!C18+[10]Structuring_Fund!C18+[10]Services!C18+[10]Options!C18</f>
        <v>287.28999999999655</v>
      </c>
      <c r="E18" s="20">
        <f t="shared" si="2"/>
        <v>459.66399999999447</v>
      </c>
      <c r="F18" s="21">
        <f t="shared" si="3"/>
        <v>22.82019858156001</v>
      </c>
      <c r="H18" s="16">
        <f t="shared" si="0"/>
        <v>2.2570336637150724E-5</v>
      </c>
      <c r="J18" t="s">
        <v>33</v>
      </c>
      <c r="K18" s="25">
        <v>54000</v>
      </c>
      <c r="L18">
        <f>'[10]Ercot Trading'!K18+'[10]Ercot Origination'!K18+'[10]Southeast Trading'!K18+'[10]Southeast Origination'!K18+'[10]Midwest Trading'!K18+'[10]Midwest Origination'!K18+'[10]Northeast Trading'!K18+'[10]Northeast Origination'!K18+'[10]Management Book'!K18+[10]Structuring_Fund!K18+[10]Services!K18+[10]Options!K18</f>
        <v>0</v>
      </c>
      <c r="M18" s="25">
        <f t="shared" si="4"/>
        <v>0</v>
      </c>
      <c r="N18" s="15">
        <f t="shared" si="1"/>
        <v>3.2600283687942873</v>
      </c>
    </row>
    <row r="19" spans="1:14" x14ac:dyDescent="0.2">
      <c r="A19" s="13" t="s">
        <v>34</v>
      </c>
      <c r="B19" s="14" t="s">
        <v>35</v>
      </c>
      <c r="C19" s="15">
        <f>'[10]Ercot Trading'!C19+'[10]Ercot Origination'!C19+'[10]Southeast Trading'!C19+'[10]Southeast Origination'!C19+'[10]Midwest Trading'!C19+'[10]Midwest Origination'!C19+'[10]Northeast Trading'!C19+'[10]Northeast Origination'!C19+'[10]Management Book'!C19+[10]Structuring_Fund!C19+[10]Services!C19+[10]Options!C19</f>
        <v>487149.2</v>
      </c>
      <c r="E19" s="20">
        <f t="shared" si="2"/>
        <v>779438.72000000009</v>
      </c>
      <c r="F19" s="21">
        <f t="shared" si="3"/>
        <v>38695.539290780143</v>
      </c>
      <c r="H19" s="16">
        <f t="shared" si="0"/>
        <v>3.8271855743390995E-2</v>
      </c>
      <c r="J19" t="s">
        <v>36</v>
      </c>
      <c r="K19" s="25">
        <v>63000</v>
      </c>
      <c r="L19">
        <f>'[10]Ercot Trading'!K19+'[10]Ercot Origination'!K19+'[10]Southeast Trading'!K19+'[10]Southeast Origination'!K19+'[10]Midwest Trading'!K19+'[10]Midwest Origination'!K19+'[10]Northeast Trading'!K19+'[10]Northeast Origination'!K19+'[10]Management Book'!K19+[10]Structuring_Fund!K19+[10]Services!K19+[10]Options!K19</f>
        <v>0</v>
      </c>
      <c r="M19" s="25">
        <f t="shared" si="4"/>
        <v>0</v>
      </c>
      <c r="N19" s="15">
        <f t="shared" si="1"/>
        <v>5527.9341843971633</v>
      </c>
    </row>
    <row r="20" spans="1:14" x14ac:dyDescent="0.2">
      <c r="A20" s="13" t="s">
        <v>37</v>
      </c>
      <c r="B20" s="14" t="s">
        <v>38</v>
      </c>
      <c r="C20" s="15">
        <f>'[10]Ercot Trading'!C20+'[10]Ercot Origination'!C20+'[10]Southeast Trading'!C20+'[10]Southeast Origination'!C20+'[10]Midwest Trading'!C20+'[10]Midwest Origination'!C20+'[10]Northeast Trading'!C20+'[10]Northeast Origination'!C20+'[10]Management Book'!C20+[10]Structuring_Fund!C20+[10]Services!C20+[10]Options!C20</f>
        <v>78.180000000000007</v>
      </c>
      <c r="E20" s="20">
        <f t="shared" si="2"/>
        <v>125.08800000000001</v>
      </c>
      <c r="F20" s="21">
        <f t="shared" si="3"/>
        <v>6.2100425531914896</v>
      </c>
      <c r="H20" s="16">
        <f t="shared" si="0"/>
        <v>6.1420478202947023E-6</v>
      </c>
      <c r="J20" t="s">
        <v>39</v>
      </c>
      <c r="K20" s="25">
        <v>78000</v>
      </c>
      <c r="L20">
        <v>1</v>
      </c>
      <c r="M20" s="25">
        <f t="shared" si="4"/>
        <v>78000</v>
      </c>
      <c r="N20" s="15">
        <f t="shared" si="1"/>
        <v>0.88714893617021284</v>
      </c>
    </row>
    <row r="21" spans="1:14" x14ac:dyDescent="0.2">
      <c r="A21" s="13" t="s">
        <v>40</v>
      </c>
      <c r="B21" s="14" t="s">
        <v>41</v>
      </c>
      <c r="C21" s="15">
        <f>'[10]Ercot Trading'!C21+'[10]Ercot Origination'!C21+'[10]Southeast Trading'!C21+'[10]Southeast Origination'!C21+'[10]Midwest Trading'!C21+'[10]Midwest Origination'!C21+'[10]Northeast Trading'!C21+'[10]Northeast Origination'!C21+'[10]Management Book'!C21+[10]Structuring_Fund!C21+[10]Services!C21+[10]Options!C21</f>
        <v>633408.5</v>
      </c>
      <c r="E21" s="20">
        <f t="shared" si="2"/>
        <v>1013453.5999999999</v>
      </c>
      <c r="F21" s="21">
        <f t="shared" si="3"/>
        <v>50313.299290780131</v>
      </c>
      <c r="H21" s="16">
        <f t="shared" si="0"/>
        <v>4.9762411061411306E-2</v>
      </c>
      <c r="J21" t="s">
        <v>42</v>
      </c>
      <c r="K21" s="25">
        <v>66000</v>
      </c>
      <c r="L21">
        <v>1</v>
      </c>
      <c r="M21" s="25">
        <f t="shared" si="4"/>
        <v>66000</v>
      </c>
      <c r="N21" s="15">
        <f t="shared" si="1"/>
        <v>7187.6141843971618</v>
      </c>
    </row>
    <row r="22" spans="1:14" x14ac:dyDescent="0.2">
      <c r="A22" s="13" t="s">
        <v>43</v>
      </c>
      <c r="B22" s="14" t="s">
        <v>44</v>
      </c>
      <c r="C22" s="15">
        <f>'[10]Ercot Trading'!C22+'[10]Ercot Origination'!C22+'[10]Southeast Trading'!C22+'[10]Southeast Origination'!C22+'[10]Midwest Trading'!C22+'[10]Midwest Origination'!C22+'[10]Northeast Trading'!C22+'[10]Northeast Origination'!C22+'[10]Management Book'!C22+[10]Structuring_Fund!C22+[10]Services!C22+[10]Options!C22</f>
        <v>1190.24</v>
      </c>
      <c r="E22" s="20">
        <f t="shared" si="2"/>
        <v>1904.384</v>
      </c>
      <c r="F22" s="21">
        <f t="shared" si="3"/>
        <v>94.543886524822696</v>
      </c>
      <c r="H22" s="16">
        <f t="shared" si="0"/>
        <v>9.350871063734415E-5</v>
      </c>
      <c r="J22" t="s">
        <v>45</v>
      </c>
      <c r="K22" s="25">
        <v>97200</v>
      </c>
      <c r="L22">
        <v>3</v>
      </c>
      <c r="M22" s="25">
        <f t="shared" si="4"/>
        <v>291600</v>
      </c>
      <c r="N22" s="15">
        <f t="shared" si="1"/>
        <v>13.506269503546099</v>
      </c>
    </row>
    <row r="23" spans="1:14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2032453.2431205676</v>
      </c>
      <c r="H23" s="30">
        <f>SUM(H8:H22)</f>
        <v>1</v>
      </c>
      <c r="J23" t="s">
        <v>48</v>
      </c>
      <c r="K23" s="25">
        <v>120000</v>
      </c>
      <c r="L23">
        <f>3-1</f>
        <v>2</v>
      </c>
      <c r="M23" s="25">
        <f t="shared" si="4"/>
        <v>240000</v>
      </c>
      <c r="N23" s="58">
        <f>SUM(N8:N22)</f>
        <v>290350.46330293821</v>
      </c>
    </row>
    <row r="24" spans="1:14" x14ac:dyDescent="0.2">
      <c r="J24" t="s">
        <v>49</v>
      </c>
      <c r="K24" s="25">
        <v>156000</v>
      </c>
      <c r="L24">
        <f>1-1</f>
        <v>0</v>
      </c>
      <c r="M24" s="25">
        <f t="shared" si="4"/>
        <v>0</v>
      </c>
    </row>
    <row r="25" spans="1:14" x14ac:dyDescent="0.2">
      <c r="B25" s="27" t="s">
        <v>50</v>
      </c>
      <c r="C25" s="15"/>
      <c r="E25" s="31">
        <f>'[10]Ercot Trading'!E25+'[10]Ercot Origination'!E25+'[10]Southeast Trading'!E25+'[10]Southeast Origination'!E25+'[10]Midwest Trading'!E25+'[10]Midwest Origination'!E25+'[10]Northeast Trading'!E25+'[10]Northeast Origination'!E25+'[10]Management Book'!E25+[10]Structuring_Fund!E25+[10]Services!E25+[10]Options!E25</f>
        <v>91</v>
      </c>
      <c r="F25" s="31">
        <f>SUM(L16:L20,L23:L27)</f>
        <v>3</v>
      </c>
      <c r="J25" t="s">
        <v>51</v>
      </c>
      <c r="K25" s="25">
        <v>180000</v>
      </c>
      <c r="L25">
        <f>'[10]Ercot Trading'!K25+'[10]Ercot Origination'!K25+'[10]Southeast Trading'!K25+'[10]Southeast Origination'!K25+'[10]Midwest Trading'!K25+'[10]Midwest Origination'!K25+'[10]Northeast Trading'!K25+'[10]Northeast Origination'!K25+'[10]Management Book'!K25+[10]Structuring_Fund!K25+[10]Services!K25+[10]Options!K25</f>
        <v>0</v>
      </c>
      <c r="M25" s="25">
        <f t="shared" si="4"/>
        <v>0</v>
      </c>
      <c r="N25" s="31">
        <v>1</v>
      </c>
    </row>
    <row r="26" spans="1:14" x14ac:dyDescent="0.2">
      <c r="C26" s="15"/>
      <c r="E26" s="15"/>
      <c r="F26" s="15"/>
      <c r="J26" t="s">
        <v>52</v>
      </c>
      <c r="K26" s="25">
        <v>216000</v>
      </c>
      <c r="L26">
        <f>'[10]Ercot Trading'!K26+'[10]Ercot Origination'!K26+'[10]Southeast Trading'!K26+'[10]Southeast Origination'!K26+'[10]Midwest Trading'!K26+'[10]Midwest Origination'!K26+'[10]Northeast Trading'!K26+'[10]Northeast Origination'!K26+'[10]Management Book'!K26+[10]Structuring_Fund!K26+[10]Services!K26+[10]Options!K26</f>
        <v>0</v>
      </c>
      <c r="M26" s="25">
        <f t="shared" si="4"/>
        <v>0</v>
      </c>
      <c r="N26" s="15"/>
    </row>
    <row r="27" spans="1:14" x14ac:dyDescent="0.2">
      <c r="B27" s="27" t="s">
        <v>53</v>
      </c>
      <c r="C27" s="15"/>
      <c r="E27" s="31">
        <f>'[10]Ercot Trading'!E27+'[10]Ercot Origination'!E27+'[10]Southeast Trading'!E27+'[10]Southeast Origination'!E27+'[10]Midwest Trading'!E27+'[10]Midwest Origination'!E27+'[10]Northeast Trading'!E27+'[10]Northeast Origination'!E27+'[10]Management Book'!E27+[10]Structuring_Fund!E27+[10]Services!E27+[10]Options!E27</f>
        <v>50</v>
      </c>
      <c r="F27" s="31">
        <f>SUM(L21:L22)</f>
        <v>4</v>
      </c>
      <c r="J27" t="s">
        <v>54</v>
      </c>
      <c r="K27" s="25">
        <v>240000</v>
      </c>
      <c r="L27">
        <f>'[10]Ercot Trading'!K27+'[10]Ercot Origination'!K27+'[10]Southeast Trading'!K27+'[10]Southeast Origination'!K27+'[10]Midwest Trading'!K27+'[10]Midwest Origination'!K27+'[10]Northeast Trading'!K27+'[10]Northeast Origination'!K27+'[10]Management Book'!K27+[10]Structuring_Fund!K27+[10]Services!K27+[10]Options!K27</f>
        <v>0</v>
      </c>
      <c r="M27" s="25">
        <f t="shared" si="4"/>
        <v>0</v>
      </c>
      <c r="N27" s="31">
        <f>SUM(T21:T22)</f>
        <v>0</v>
      </c>
    </row>
    <row r="28" spans="1:14" x14ac:dyDescent="0.2">
      <c r="B28" s="27"/>
      <c r="L28">
        <f>SUM(L16:L27)</f>
        <v>7</v>
      </c>
      <c r="M28" s="25">
        <f>SUM(M16:M27)</f>
        <v>675600</v>
      </c>
    </row>
    <row r="29" spans="1:14" x14ac:dyDescent="0.2">
      <c r="B29" s="27" t="s">
        <v>55</v>
      </c>
      <c r="E29" s="59">
        <f>SUM(E25:E27)</f>
        <v>141</v>
      </c>
      <c r="F29" s="59">
        <f>SUM(F25:F27)</f>
        <v>7</v>
      </c>
      <c r="H29" s="25"/>
      <c r="N29" s="59">
        <f>SUM(N25:N27)</f>
        <v>1</v>
      </c>
    </row>
    <row r="31" spans="1:14" x14ac:dyDescent="0.2">
      <c r="I31" s="33" t="s">
        <v>56</v>
      </c>
      <c r="J31" s="25"/>
      <c r="K31" s="25"/>
      <c r="L31" s="25"/>
    </row>
    <row r="32" spans="1:14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7</v>
      </c>
      <c r="M34" s="37">
        <f>+K34*L34</f>
        <v>221733.27330496447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pageSetUpPr fitToPage="1"/>
  </sheetPr>
  <dimension ref="A1:AU34"/>
  <sheetViews>
    <sheetView topLeftCell="A4" zoomScaleNormal="100" workbookViewId="0">
      <selection activeCell="D64" sqref="D64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9.140625" hidden="1" customWidth="1"/>
    <col min="16" max="55" width="0" hidden="1" customWidth="1"/>
  </cols>
  <sheetData>
    <row r="1" spans="1:47" ht="18" x14ac:dyDescent="0.25">
      <c r="B1" s="142" t="str">
        <f>'[9]Team Report'!B1</f>
        <v>Enron North America</v>
      </c>
      <c r="C1" s="142"/>
      <c r="D1" s="144"/>
      <c r="E1" s="144"/>
      <c r="F1" s="144"/>
      <c r="G1" s="144"/>
      <c r="H1" s="144"/>
      <c r="I1" s="14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42" t="s">
        <v>189</v>
      </c>
      <c r="C2" s="142"/>
      <c r="D2" s="144"/>
      <c r="E2" s="144"/>
      <c r="F2" s="144"/>
      <c r="G2" s="144"/>
      <c r="H2" s="144"/>
      <c r="I2" s="14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45" t="s">
        <v>0</v>
      </c>
      <c r="C3" s="145"/>
      <c r="D3" s="146"/>
      <c r="E3" s="146"/>
      <c r="F3" s="146"/>
      <c r="G3" s="146"/>
      <c r="H3" s="146"/>
      <c r="I3" s="146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1</v>
      </c>
      <c r="M5" s="8" t="s">
        <v>2</v>
      </c>
      <c r="N5" s="9" t="s">
        <v>3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47" x14ac:dyDescent="0.2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47" x14ac:dyDescent="0.2">
      <c r="A8" s="13" t="s">
        <v>9</v>
      </c>
      <c r="B8" s="14" t="s">
        <v>10</v>
      </c>
      <c r="C8" s="15">
        <f>'[12]Executive Orig'!C8+[12]Trading!C8+[12]Origination!C8+'[12]Mid Market'!C8+[12]Services!C8+[12]Fundamentals!C8</f>
        <v>4789958.9899999993</v>
      </c>
      <c r="E8" s="15">
        <f>(C8/9)*12</f>
        <v>6386611.9866666663</v>
      </c>
      <c r="F8" s="15"/>
      <c r="G8" s="15">
        <v>495000</v>
      </c>
      <c r="H8" s="15"/>
      <c r="I8" s="16">
        <f t="shared" ref="I8:I22" si="0">+G8/$G$23</f>
        <v>0.471726905556827</v>
      </c>
      <c r="K8" s="7" t="s">
        <v>10</v>
      </c>
      <c r="L8" s="17">
        <v>0</v>
      </c>
      <c r="M8" s="8">
        <f>+M11</f>
        <v>6</v>
      </c>
      <c r="N8" s="18">
        <f>N28</f>
        <v>673200</v>
      </c>
      <c r="O8" s="15">
        <f>+G8/$G$29*$O$29</f>
        <v>70714.28571428571</v>
      </c>
    </row>
    <row r="9" spans="1:47" hidden="1" x14ac:dyDescent="0.2">
      <c r="A9" s="13"/>
      <c r="B9" s="14" t="s">
        <v>11</v>
      </c>
      <c r="C9" s="15">
        <f>'[12]Executive Orig'!C9+[12]Trading!C9+[12]Origination!C9+'[12]Mid Market'!C9+[12]Services!C9+[12]Fundamentals!C9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x14ac:dyDescent="0.2">
      <c r="B10" s="14" t="s">
        <v>12</v>
      </c>
      <c r="C10" s="15">
        <f>'[12]Executive Orig'!C10+[12]Trading!C10+[12]Origination!C10+'[12]Mid Market'!C10+[12]Services!C10+[12]Fundamentals!C10</f>
        <v>804567</v>
      </c>
      <c r="E10" s="15">
        <f>(C10/9)*12</f>
        <v>1072756</v>
      </c>
      <c r="F10" s="15"/>
      <c r="G10" s="15">
        <v>132000</v>
      </c>
      <c r="H10" s="15"/>
      <c r="I10" s="16">
        <f t="shared" si="0"/>
        <v>0.12579384148182052</v>
      </c>
      <c r="K10" s="7"/>
      <c r="L10" s="8"/>
      <c r="M10" s="8"/>
      <c r="N10" s="9"/>
      <c r="O10" s="15">
        <f t="shared" si="1"/>
        <v>18857.142857142859</v>
      </c>
    </row>
    <row r="11" spans="1:47" x14ac:dyDescent="0.2">
      <c r="A11" s="13" t="s">
        <v>13</v>
      </c>
      <c r="B11" s="14" t="s">
        <v>14</v>
      </c>
      <c r="C11" s="15">
        <f>'[12]Executive Orig'!C11+[12]Trading!C11+[12]Origination!C11+'[12]Mid Market'!C11+[12]Services!C11+[12]Fundamentals!C11</f>
        <v>1096068.21</v>
      </c>
      <c r="E11" s="15">
        <f>(C11/9)*12</f>
        <v>1461424.2799999998</v>
      </c>
      <c r="F11" s="15"/>
      <c r="G11" s="15">
        <v>125400</v>
      </c>
      <c r="H11" s="15"/>
      <c r="I11" s="16">
        <f t="shared" si="0"/>
        <v>0.11950414940772951</v>
      </c>
      <c r="K11" s="7" t="s">
        <v>15</v>
      </c>
      <c r="L11" s="19">
        <f>(E12+E13+E14+E15+E16+E17+E18+E19+E20+E21+E22)/E29</f>
        <v>47533.855280898868</v>
      </c>
      <c r="M11" s="8">
        <f>M28</f>
        <v>6</v>
      </c>
      <c r="N11" s="18">
        <f>L11*M11</f>
        <v>285203.13168539322</v>
      </c>
      <c r="O11" s="15">
        <f t="shared" si="1"/>
        <v>17914.285714285714</v>
      </c>
    </row>
    <row r="12" spans="1:47" x14ac:dyDescent="0.2">
      <c r="A12" s="13" t="s">
        <v>16</v>
      </c>
      <c r="B12" s="14" t="s">
        <v>17</v>
      </c>
      <c r="C12" s="15">
        <f>'[12]Executive Orig'!C12+[12]Trading!C12+[12]Origination!C12+'[12]Mid Market'!C12+[12]Services!C12+[12]Fundamentals!C12</f>
        <v>658117.68000000005</v>
      </c>
      <c r="E12" s="20">
        <f t="shared" ref="E12:E22" si="2">((C12/9)*12)*1.2</f>
        <v>1052988.2880000002</v>
      </c>
      <c r="F12" s="15"/>
      <c r="G12" s="21">
        <v>30000</v>
      </c>
      <c r="H12" s="15"/>
      <c r="I12" s="16">
        <f t="shared" si="0"/>
        <v>2.8589509427686483E-2</v>
      </c>
      <c r="K12" s="7"/>
      <c r="L12" s="8"/>
      <c r="M12" s="8"/>
      <c r="N12" s="9"/>
      <c r="O12" s="15">
        <f t="shared" si="1"/>
        <v>4285.7142857142853</v>
      </c>
    </row>
    <row r="13" spans="1:47" ht="13.5" thickBot="1" x14ac:dyDescent="0.25">
      <c r="A13" s="13" t="s">
        <v>18</v>
      </c>
      <c r="B13" s="14" t="s">
        <v>19</v>
      </c>
      <c r="C13" s="15">
        <f>'[12]Executive Orig'!C13+[12]Trading!C13+[12]Origination!C13+'[12]Mid Market'!C13+[12]Services!C13+[12]Fundamentals!C13</f>
        <v>719773.79999999993</v>
      </c>
      <c r="E13" s="20">
        <f t="shared" si="2"/>
        <v>1151638.0799999998</v>
      </c>
      <c r="F13" s="15"/>
      <c r="G13" s="21">
        <v>30000</v>
      </c>
      <c r="H13" s="15"/>
      <c r="I13" s="16">
        <f t="shared" si="0"/>
        <v>2.8589509427686483E-2</v>
      </c>
      <c r="K13" s="22" t="s">
        <v>20</v>
      </c>
      <c r="L13" s="23"/>
      <c r="M13" s="23"/>
      <c r="N13" s="24">
        <f>N8+N11</f>
        <v>958403.13168539316</v>
      </c>
      <c r="O13" s="15">
        <f t="shared" si="1"/>
        <v>4285.7142857142853</v>
      </c>
    </row>
    <row r="14" spans="1:47" x14ac:dyDescent="0.2">
      <c r="A14" s="13" t="s">
        <v>21</v>
      </c>
      <c r="B14" s="14" t="s">
        <v>22</v>
      </c>
      <c r="C14" s="15">
        <f>'[12]Executive Orig'!C14+[12]Trading!C14+[12]Origination!C14+'[12]Mid Market'!C14+[12]Services!C14+[12]Fundamentals!C14-C32</f>
        <v>0.23999999975785613</v>
      </c>
      <c r="E14" s="20">
        <f t="shared" si="2"/>
        <v>0.38399999961256975</v>
      </c>
      <c r="F14" s="15"/>
      <c r="G14" s="21">
        <v>80000</v>
      </c>
      <c r="H14" s="15"/>
      <c r="I14" s="16">
        <f t="shared" si="0"/>
        <v>7.6238691807163958E-2</v>
      </c>
      <c r="O14" s="15">
        <f t="shared" si="1"/>
        <v>11428.571428571429</v>
      </c>
    </row>
    <row r="15" spans="1:47" x14ac:dyDescent="0.2">
      <c r="A15" s="13" t="s">
        <v>23</v>
      </c>
      <c r="B15" s="14" t="s">
        <v>24</v>
      </c>
      <c r="C15" s="15">
        <f>'[12]Executive Orig'!C15+[12]Trading!C15+[12]Origination!C15+'[12]Mid Market'!C15+[12]Services!C15+[12]Fundamentals!C15</f>
        <v>128890.14</v>
      </c>
      <c r="E15" s="20">
        <f t="shared" si="2"/>
        <v>206224.22400000002</v>
      </c>
      <c r="F15" s="15"/>
      <c r="G15" s="21">
        <v>20160</v>
      </c>
      <c r="H15" s="15"/>
      <c r="I15" s="16">
        <f t="shared" si="0"/>
        <v>1.9212150335405319E-2</v>
      </c>
      <c r="O15" s="15">
        <f t="shared" si="1"/>
        <v>2880</v>
      </c>
    </row>
    <row r="16" spans="1:47" x14ac:dyDescent="0.2">
      <c r="A16" s="13" t="s">
        <v>25</v>
      </c>
      <c r="B16" s="14" t="s">
        <v>26</v>
      </c>
      <c r="C16" s="15">
        <f>'[12]Executive Orig'!C16+[12]Trading!C16+[12]Origination!C16+'[12]Mid Market'!C16+[12]Services!C16+[12]Fundamentals!C16</f>
        <v>0</v>
      </c>
      <c r="E16" s="20">
        <f t="shared" si="2"/>
        <v>0</v>
      </c>
      <c r="F16" s="15"/>
      <c r="G16" s="21">
        <v>0</v>
      </c>
      <c r="H16" s="15"/>
      <c r="I16" s="16">
        <f t="shared" si="0"/>
        <v>0</v>
      </c>
      <c r="K16" t="s">
        <v>27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'[12]Executive Orig'!C17+[12]Trading!C17+[12]Origination!C17+'[12]Mid Market'!C17+[12]Services!C17+[12]Fundamentals!C17</f>
        <v>11300</v>
      </c>
      <c r="E17" s="20">
        <f t="shared" si="2"/>
        <v>18080</v>
      </c>
      <c r="F17" s="15"/>
      <c r="G17" s="21">
        <v>0</v>
      </c>
      <c r="H17" s="15"/>
      <c r="I17" s="16">
        <f t="shared" si="0"/>
        <v>0</v>
      </c>
      <c r="K17" t="s">
        <v>30</v>
      </c>
      <c r="L17" s="25">
        <v>52800</v>
      </c>
      <c r="M17">
        <v>0</v>
      </c>
      <c r="N17" s="25">
        <f t="shared" si="3"/>
        <v>0</v>
      </c>
      <c r="O17" s="15">
        <f t="shared" si="1"/>
        <v>0</v>
      </c>
    </row>
    <row r="18" spans="1:15" x14ac:dyDescent="0.2">
      <c r="A18" s="13" t="s">
        <v>31</v>
      </c>
      <c r="B18" s="14" t="s">
        <v>32</v>
      </c>
      <c r="C18" s="15">
        <f>'[12]Executive Orig'!C18+[12]Trading!C18+[12]Origination!C18+'[12]Mid Market'!C18+[12]Services!C18+[12]Fundamentals!C18</f>
        <v>327447.74000000005</v>
      </c>
      <c r="E18" s="20">
        <f t="shared" si="2"/>
        <v>523916.38400000002</v>
      </c>
      <c r="F18" s="15"/>
      <c r="G18" s="21">
        <v>6300</v>
      </c>
      <c r="H18" s="15"/>
      <c r="I18" s="16">
        <f t="shared" si="0"/>
        <v>6.0037969798141617E-3</v>
      </c>
      <c r="K18" t="s">
        <v>33</v>
      </c>
      <c r="L18" s="25">
        <v>54000</v>
      </c>
      <c r="M18">
        <v>0</v>
      </c>
      <c r="N18" s="25">
        <f t="shared" si="3"/>
        <v>0</v>
      </c>
      <c r="O18" s="15">
        <f t="shared" si="1"/>
        <v>900</v>
      </c>
    </row>
    <row r="19" spans="1:15" x14ac:dyDescent="0.2">
      <c r="A19" s="13" t="s">
        <v>34</v>
      </c>
      <c r="B19" s="14" t="s">
        <v>35</v>
      </c>
      <c r="C19" s="15">
        <f>'[12]Executive Orig'!C19+[12]Trading!C19+[12]Origination!C19+'[12]Mid Market'!C19+[12]Services!C19+[12]Fundamentals!C19</f>
        <v>155845.37</v>
      </c>
      <c r="E19" s="20">
        <f t="shared" si="2"/>
        <v>249352.59199999998</v>
      </c>
      <c r="F19" s="15"/>
      <c r="G19" s="21">
        <v>49612.001617977527</v>
      </c>
      <c r="H19" s="15"/>
      <c r="I19" s="16">
        <f t="shared" si="0"/>
        <v>4.7279426266118856E-2</v>
      </c>
      <c r="K19" t="s">
        <v>36</v>
      </c>
      <c r="L19" s="25">
        <v>63000</v>
      </c>
      <c r="M19">
        <v>1</v>
      </c>
      <c r="N19" s="25">
        <f t="shared" si="3"/>
        <v>63000</v>
      </c>
      <c r="O19" s="15">
        <f t="shared" si="1"/>
        <v>7087.4288025682181</v>
      </c>
    </row>
    <row r="20" spans="1:15" x14ac:dyDescent="0.2">
      <c r="A20" s="13" t="s">
        <v>37</v>
      </c>
      <c r="B20" s="14" t="s">
        <v>38</v>
      </c>
      <c r="C20" s="15">
        <f>'[12]Executive Orig'!C20+[12]Trading!C20+[12]Origination!C20+'[12]Mid Market'!C20+[12]Services!C20+[12]Fundamentals!C20</f>
        <v>116.15</v>
      </c>
      <c r="E20" s="20">
        <f t="shared" si="2"/>
        <v>185.84</v>
      </c>
      <c r="F20" s="15"/>
      <c r="G20" s="21">
        <v>0</v>
      </c>
      <c r="H20" s="15"/>
      <c r="I20" s="16">
        <f t="shared" si="0"/>
        <v>0</v>
      </c>
      <c r="K20" t="s">
        <v>39</v>
      </c>
      <c r="L20" s="25">
        <v>78000</v>
      </c>
      <c r="M20">
        <v>2</v>
      </c>
      <c r="N20" s="25">
        <f t="shared" si="3"/>
        <v>156000</v>
      </c>
      <c r="O20" s="15">
        <f t="shared" si="1"/>
        <v>0</v>
      </c>
    </row>
    <row r="21" spans="1:15" x14ac:dyDescent="0.2">
      <c r="A21" s="13" t="s">
        <v>40</v>
      </c>
      <c r="B21" s="14" t="s">
        <v>41</v>
      </c>
      <c r="C21" s="15">
        <f>'[12]Executive Orig'!C21+[12]Trading!C21+[12]Origination!C21+'[12]Mid Market'!C21+[12]Services!C21+[12]Fundamentals!C21</f>
        <v>566869.93000000017</v>
      </c>
      <c r="E21" s="20">
        <f t="shared" si="2"/>
        <v>906991.88800000027</v>
      </c>
      <c r="F21" s="15"/>
      <c r="G21" s="21">
        <v>71336.44062921351</v>
      </c>
      <c r="H21" s="15"/>
      <c r="I21" s="16">
        <f t="shared" si="0"/>
        <v>6.7982461396883229E-2</v>
      </c>
      <c r="K21" t="s">
        <v>42</v>
      </c>
      <c r="L21" s="25">
        <v>66000</v>
      </c>
      <c r="M21">
        <v>1</v>
      </c>
      <c r="N21" s="25">
        <f t="shared" si="3"/>
        <v>66000</v>
      </c>
      <c r="O21" s="15">
        <f t="shared" si="1"/>
        <v>10190.920089887644</v>
      </c>
    </row>
    <row r="22" spans="1:15" x14ac:dyDescent="0.2">
      <c r="A22" s="13" t="s">
        <v>43</v>
      </c>
      <c r="B22" s="14" t="s">
        <v>44</v>
      </c>
      <c r="C22" s="15">
        <f>'[12]Executive Orig'!C22+[12]Trading!C22+[12]Origination!C22+'[12]Mid Market'!C22+[12]Services!C22+[12]Fundamentals!C22</f>
        <v>75709.649999999965</v>
      </c>
      <c r="E22" s="20">
        <f t="shared" si="2"/>
        <v>121135.43999999994</v>
      </c>
      <c r="F22" s="15"/>
      <c r="G22" s="21">
        <v>9527.5065168539295</v>
      </c>
      <c r="H22" s="15"/>
      <c r="I22" s="16">
        <f t="shared" si="0"/>
        <v>9.0795579128646609E-3</v>
      </c>
      <c r="K22" t="s">
        <v>45</v>
      </c>
      <c r="L22" s="25">
        <v>97200</v>
      </c>
      <c r="M22">
        <v>0</v>
      </c>
      <c r="N22" s="25">
        <f t="shared" si="3"/>
        <v>0</v>
      </c>
      <c r="O22" s="15">
        <f t="shared" si="1"/>
        <v>1361.0723595505613</v>
      </c>
    </row>
    <row r="23" spans="1:15" x14ac:dyDescent="0.2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v>1049335.9487640448</v>
      </c>
      <c r="H23" s="29"/>
      <c r="I23" s="30">
        <f>SUM(I8:I22)</f>
        <v>1</v>
      </c>
      <c r="K23" t="s">
        <v>48</v>
      </c>
      <c r="L23" s="25">
        <v>120000</v>
      </c>
      <c r="M23">
        <v>1</v>
      </c>
      <c r="N23" s="25">
        <f t="shared" si="3"/>
        <v>120000</v>
      </c>
      <c r="O23" s="28">
        <f>SUM(O8:O22)</f>
        <v>149905.13553772069</v>
      </c>
    </row>
    <row r="24" spans="1:15" x14ac:dyDescent="0.2">
      <c r="K24" t="s">
        <v>49</v>
      </c>
      <c r="L24" s="25">
        <v>156000</v>
      </c>
      <c r="M24">
        <v>1</v>
      </c>
      <c r="N24" s="25">
        <f t="shared" si="3"/>
        <v>156000</v>
      </c>
    </row>
    <row r="25" spans="1:15" x14ac:dyDescent="0.2">
      <c r="B25" s="27" t="s">
        <v>50</v>
      </c>
      <c r="C25" s="15"/>
      <c r="E25" s="31">
        <f>'[12]Executive Orig'!E25+[12]Trading!E25+[12]Origination!E25+'[12]Mid Market'!E25+[12]Services!E25+[12]Fundamentals!E25</f>
        <v>74</v>
      </c>
      <c r="F25" s="32"/>
      <c r="G25" s="31">
        <v>5</v>
      </c>
      <c r="H25" s="32"/>
      <c r="K25" t="s">
        <v>51</v>
      </c>
      <c r="L25" s="25">
        <v>180000</v>
      </c>
      <c r="M25">
        <v>0</v>
      </c>
      <c r="N25" s="25">
        <f t="shared" si="3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52</v>
      </c>
      <c r="L26" s="25">
        <v>216000</v>
      </c>
      <c r="M26">
        <v>0</v>
      </c>
      <c r="N26" s="25">
        <f t="shared" si="3"/>
        <v>0</v>
      </c>
      <c r="O26" s="15"/>
    </row>
    <row r="27" spans="1:15" x14ac:dyDescent="0.2">
      <c r="B27" s="27" t="s">
        <v>53</v>
      </c>
      <c r="C27" s="15"/>
      <c r="E27" s="31">
        <f>'[12]Executive Orig'!E27+[12]Trading!E27+[12]Origination!E27+'[12]Mid Market'!E27+[12]Services!E27+[12]Fundamentals!E27</f>
        <v>15</v>
      </c>
      <c r="F27" s="32"/>
      <c r="G27" s="31">
        <v>2</v>
      </c>
      <c r="H27" s="32"/>
      <c r="K27" t="s">
        <v>54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15" x14ac:dyDescent="0.2">
      <c r="M28">
        <f>SUM(M16:M27)</f>
        <v>6</v>
      </c>
      <c r="N28" s="25">
        <f>SUM(N16:N27)*1.2</f>
        <v>673200</v>
      </c>
    </row>
    <row r="29" spans="1:15" x14ac:dyDescent="0.2">
      <c r="B29" s="27" t="s">
        <v>55</v>
      </c>
      <c r="C29" s="15"/>
      <c r="E29" s="31">
        <f>+E27+E25</f>
        <v>89</v>
      </c>
      <c r="F29" s="32"/>
      <c r="G29" s="31">
        <v>7</v>
      </c>
      <c r="H29" s="32"/>
      <c r="I29" s="25"/>
      <c r="O29" s="31">
        <f>+O27+O25</f>
        <v>1</v>
      </c>
    </row>
    <row r="31" spans="1:15" x14ac:dyDescent="0.2">
      <c r="J31" s="33" t="s">
        <v>56</v>
      </c>
      <c r="K31" s="25"/>
      <c r="L31" s="25"/>
      <c r="M31" s="25"/>
    </row>
    <row r="32" spans="1:15" hidden="1" x14ac:dyDescent="0.2">
      <c r="B32" s="14" t="s">
        <v>22</v>
      </c>
      <c r="C32" s="15">
        <v>677322</v>
      </c>
      <c r="K32" s="25"/>
      <c r="L32" s="25"/>
      <c r="M32" s="25"/>
    </row>
    <row r="33" spans="10:14" x14ac:dyDescent="0.2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6</v>
      </c>
      <c r="N34" s="37">
        <f>+L34*M34</f>
        <v>285203.13168539322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pageSetUpPr fitToPage="1"/>
  </sheetPr>
  <dimension ref="A1:AU34"/>
  <sheetViews>
    <sheetView zoomScaleNormal="100" workbookViewId="0">
      <selection activeCell="G27" sqref="G27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3.1406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9.140625" hidden="1" customWidth="1"/>
    <col min="16" max="47" width="0" hidden="1" customWidth="1"/>
  </cols>
  <sheetData>
    <row r="1" spans="1:47" ht="18" x14ac:dyDescent="0.25">
      <c r="B1" s="142" t="str">
        <f>'[9]Team Report'!B1</f>
        <v>Enron North America</v>
      </c>
      <c r="C1" s="142"/>
      <c r="D1" s="144"/>
      <c r="E1" s="144"/>
      <c r="F1" s="144"/>
      <c r="G1" s="144"/>
      <c r="H1" s="144"/>
      <c r="I1" s="14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42" t="s">
        <v>190</v>
      </c>
      <c r="C2" s="142"/>
      <c r="D2" s="144"/>
      <c r="E2" s="144"/>
      <c r="F2" s="144"/>
      <c r="G2" s="144"/>
      <c r="H2" s="144"/>
      <c r="I2" s="14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45" t="s">
        <v>0</v>
      </c>
      <c r="C3" s="145"/>
      <c r="D3" s="146"/>
      <c r="E3" s="146"/>
      <c r="F3" s="146"/>
      <c r="G3" s="146"/>
      <c r="H3" s="146"/>
      <c r="I3" s="146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1</v>
      </c>
      <c r="M5" s="8" t="s">
        <v>2</v>
      </c>
      <c r="N5" s="9" t="s">
        <v>3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47" x14ac:dyDescent="0.2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47" x14ac:dyDescent="0.2">
      <c r="A8" s="13" t="s">
        <v>9</v>
      </c>
      <c r="B8" s="14" t="s">
        <v>10</v>
      </c>
      <c r="C8" s="15">
        <f>'[12]Executive Orig'!C8+[12]Trading!C8+[12]Origination!C8+'[12]Mid Market'!C8+[12]Services!C8+[12]Fundamentals!C8</f>
        <v>4789958.9899999993</v>
      </c>
      <c r="E8" s="15">
        <f>(C8/9)*12</f>
        <v>6386611.9866666663</v>
      </c>
      <c r="F8" s="15"/>
      <c r="G8" s="15">
        <v>120000</v>
      </c>
      <c r="H8" s="15"/>
      <c r="I8" s="16">
        <f t="shared" ref="I8:I22" si="0">+G8/$G$23</f>
        <v>0.37067954621506577</v>
      </c>
      <c r="K8" s="7" t="s">
        <v>10</v>
      </c>
      <c r="L8" s="17">
        <v>0</v>
      </c>
      <c r="M8" s="8">
        <f>+M11</f>
        <v>3</v>
      </c>
      <c r="N8" s="18">
        <f>N28</f>
        <v>339840</v>
      </c>
      <c r="O8" s="15">
        <f>+G8/$G$29*$O$29</f>
        <v>60000</v>
      </c>
    </row>
    <row r="9" spans="1:47" hidden="1" x14ac:dyDescent="0.2">
      <c r="A9" s="13"/>
      <c r="B9" s="14" t="s">
        <v>11</v>
      </c>
      <c r="C9" s="15">
        <f>'[12]Executive Orig'!C9+[12]Trading!C9+[12]Origination!C9+'[12]Mid Market'!C9+[12]Services!C9+[12]Fundamentals!C9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x14ac:dyDescent="0.2">
      <c r="B10" s="14" t="s">
        <v>12</v>
      </c>
      <c r="C10" s="15">
        <f>'[12]Executive Orig'!C10+[12]Trading!C10+[12]Origination!C10+'[12]Mid Market'!C10+[12]Services!C10+[12]Fundamentals!C10</f>
        <v>804567</v>
      </c>
      <c r="E10" s="15">
        <f>(C10/9)*12</f>
        <v>1072756</v>
      </c>
      <c r="F10" s="15"/>
      <c r="G10" s="15">
        <v>97200</v>
      </c>
      <c r="H10" s="15"/>
      <c r="I10" s="16">
        <f t="shared" si="0"/>
        <v>0.30025043243420324</v>
      </c>
      <c r="K10" s="7"/>
      <c r="L10" s="8"/>
      <c r="M10" s="8"/>
      <c r="N10" s="9"/>
      <c r="O10" s="15">
        <f t="shared" si="1"/>
        <v>48600</v>
      </c>
    </row>
    <row r="11" spans="1:47" x14ac:dyDescent="0.2">
      <c r="A11" s="13" t="s">
        <v>13</v>
      </c>
      <c r="B11" s="14" t="s">
        <v>14</v>
      </c>
      <c r="C11" s="15">
        <f>'[12]Executive Orig'!C11+[12]Trading!C11+[12]Origination!C11+'[12]Mid Market'!C11+[12]Services!C11+[12]Fundamentals!C11</f>
        <v>1096068.21</v>
      </c>
      <c r="E11" s="15">
        <f>(C11/9)*12</f>
        <v>1461424.2799999998</v>
      </c>
      <c r="F11" s="15"/>
      <c r="G11" s="15">
        <v>43440</v>
      </c>
      <c r="H11" s="15"/>
      <c r="I11" s="16">
        <f t="shared" si="0"/>
        <v>0.13418599572985379</v>
      </c>
      <c r="K11" s="7" t="s">
        <v>15</v>
      </c>
      <c r="L11" s="19">
        <f>(E12+E13+E14+E15+E16+E17+E18+E19+E20+E21+E22)/E29</f>
        <v>47533.855280898868</v>
      </c>
      <c r="M11" s="8">
        <f>M28</f>
        <v>3</v>
      </c>
      <c r="N11" s="18">
        <f>L11*M11</f>
        <v>142601.56584269661</v>
      </c>
      <c r="O11" s="15">
        <f t="shared" si="1"/>
        <v>21720</v>
      </c>
    </row>
    <row r="12" spans="1:47" x14ac:dyDescent="0.2">
      <c r="A12" s="13" t="s">
        <v>16</v>
      </c>
      <c r="B12" s="14" t="s">
        <v>17</v>
      </c>
      <c r="C12" s="15">
        <f>'[12]Executive Orig'!C12+[12]Trading!C12+[12]Origination!C12+'[12]Mid Market'!C12+[12]Services!C12+[12]Fundamentals!C12</f>
        <v>658117.68000000005</v>
      </c>
      <c r="E12" s="20">
        <f t="shared" ref="E12:E22" si="2">((C12/9)*12)*1.2</f>
        <v>1052988.2880000002</v>
      </c>
      <c r="F12" s="15"/>
      <c r="G12" s="21">
        <v>14400</v>
      </c>
      <c r="H12" s="15"/>
      <c r="I12" s="16">
        <f t="shared" si="0"/>
        <v>4.4481545545807889E-2</v>
      </c>
      <c r="K12" s="7"/>
      <c r="L12" s="8"/>
      <c r="M12" s="8"/>
      <c r="N12" s="9"/>
      <c r="O12" s="15">
        <f t="shared" si="1"/>
        <v>7200</v>
      </c>
    </row>
    <row r="13" spans="1:47" ht="13.5" thickBot="1" x14ac:dyDescent="0.25">
      <c r="A13" s="13" t="s">
        <v>18</v>
      </c>
      <c r="B13" s="14" t="s">
        <v>19</v>
      </c>
      <c r="C13" s="15">
        <f>'[12]Executive Orig'!C13+[12]Trading!C13+[12]Origination!C13+'[12]Mid Market'!C13+[12]Services!C13+[12]Fundamentals!C13</f>
        <v>719773.79999999993</v>
      </c>
      <c r="E13" s="20">
        <f t="shared" si="2"/>
        <v>1151638.0799999998</v>
      </c>
      <c r="F13" s="15"/>
      <c r="G13" s="21">
        <v>27800</v>
      </c>
      <c r="H13" s="15"/>
      <c r="I13" s="16">
        <f t="shared" si="0"/>
        <v>8.5874094873156892E-2</v>
      </c>
      <c r="K13" s="22" t="s">
        <v>20</v>
      </c>
      <c r="L13" s="23"/>
      <c r="M13" s="23"/>
      <c r="N13" s="24">
        <f>N8+N11</f>
        <v>482441.56584269658</v>
      </c>
      <c r="O13" s="15">
        <f t="shared" si="1"/>
        <v>13900</v>
      </c>
    </row>
    <row r="14" spans="1:47" x14ac:dyDescent="0.2">
      <c r="A14" s="13" t="s">
        <v>21</v>
      </c>
      <c r="B14" s="14" t="s">
        <v>22</v>
      </c>
      <c r="C14" s="15">
        <f>'[12]Executive Orig'!C14+[12]Trading!C14+[12]Origination!C14+'[12]Mid Market'!C14+[12]Services!C14+[12]Fundamentals!C14-C32</f>
        <v>0.23999999975785613</v>
      </c>
      <c r="E14" s="20">
        <f t="shared" si="2"/>
        <v>0.38399999961256975</v>
      </c>
      <c r="F14" s="15"/>
      <c r="G14" s="21">
        <v>8.6292134744397689E-3</v>
      </c>
      <c r="H14" s="15"/>
      <c r="I14" s="16">
        <f t="shared" si="0"/>
        <v>2.6655607790818869E-8</v>
      </c>
      <c r="O14" s="15">
        <f t="shared" si="1"/>
        <v>4.3146067372198844E-3</v>
      </c>
    </row>
    <row r="15" spans="1:47" x14ac:dyDescent="0.2">
      <c r="A15" s="13" t="s">
        <v>23</v>
      </c>
      <c r="B15" s="14" t="s">
        <v>24</v>
      </c>
      <c r="C15" s="15">
        <f>'[12]Executive Orig'!C15+[12]Trading!C15+[12]Origination!C15+'[12]Mid Market'!C15+[12]Services!C15+[12]Fundamentals!C15</f>
        <v>128890.14</v>
      </c>
      <c r="E15" s="20">
        <f t="shared" si="2"/>
        <v>206224.22400000002</v>
      </c>
      <c r="F15" s="15"/>
      <c r="G15" s="21">
        <v>5760</v>
      </c>
      <c r="H15" s="15"/>
      <c r="I15" s="16">
        <f t="shared" si="0"/>
        <v>1.7792618218323154E-2</v>
      </c>
      <c r="O15" s="15">
        <f t="shared" si="1"/>
        <v>2880</v>
      </c>
    </row>
    <row r="16" spans="1:47" x14ac:dyDescent="0.2">
      <c r="A16" s="13" t="s">
        <v>25</v>
      </c>
      <c r="B16" s="14" t="s">
        <v>26</v>
      </c>
      <c r="C16" s="15">
        <f>'[12]Executive Orig'!C16+[12]Trading!C16+[12]Origination!C16+'[12]Mid Market'!C16+[12]Services!C16+[12]Fundamentals!C16</f>
        <v>0</v>
      </c>
      <c r="E16" s="20">
        <f t="shared" si="2"/>
        <v>0</v>
      </c>
      <c r="F16" s="15"/>
      <c r="G16" s="21">
        <v>0</v>
      </c>
      <c r="H16" s="15"/>
      <c r="I16" s="16">
        <f t="shared" si="0"/>
        <v>0</v>
      </c>
      <c r="K16" t="s">
        <v>27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0</v>
      </c>
    </row>
    <row r="17" spans="1:15" x14ac:dyDescent="0.2">
      <c r="A17" s="13" t="s">
        <v>28</v>
      </c>
      <c r="B17" s="14" t="s">
        <v>29</v>
      </c>
      <c r="C17" s="15">
        <f>'[12]Executive Orig'!C17+[12]Trading!C17+[12]Origination!C17+'[12]Mid Market'!C17+[12]Services!C17+[12]Fundamentals!C17</f>
        <v>11300</v>
      </c>
      <c r="E17" s="20">
        <f t="shared" si="2"/>
        <v>18080</v>
      </c>
      <c r="F17" s="15"/>
      <c r="G17" s="21">
        <v>0</v>
      </c>
      <c r="H17" s="15"/>
      <c r="I17" s="16">
        <f t="shared" si="0"/>
        <v>0</v>
      </c>
      <c r="K17" t="s">
        <v>30</v>
      </c>
      <c r="L17" s="25">
        <v>52800</v>
      </c>
      <c r="M17">
        <v>0</v>
      </c>
      <c r="N17" s="25">
        <f t="shared" si="3"/>
        <v>0</v>
      </c>
      <c r="O17" s="15">
        <f t="shared" si="1"/>
        <v>0</v>
      </c>
    </row>
    <row r="18" spans="1:15" x14ac:dyDescent="0.2">
      <c r="A18" s="13" t="s">
        <v>31</v>
      </c>
      <c r="B18" s="14" t="s">
        <v>32</v>
      </c>
      <c r="C18" s="15">
        <f>'[12]Executive Orig'!C18+[12]Trading!C18+[12]Origination!C18+'[12]Mid Market'!C18+[12]Services!C18+[12]Fundamentals!C18</f>
        <v>327447.74000000005</v>
      </c>
      <c r="E18" s="20">
        <f t="shared" si="2"/>
        <v>523916.38400000002</v>
      </c>
      <c r="F18" s="15"/>
      <c r="G18" s="21">
        <v>1800</v>
      </c>
      <c r="H18" s="15"/>
      <c r="I18" s="16">
        <f t="shared" si="0"/>
        <v>5.5601931932259862E-3</v>
      </c>
      <c r="K18" t="s">
        <v>33</v>
      </c>
      <c r="L18" s="25">
        <v>54000</v>
      </c>
      <c r="M18">
        <v>0</v>
      </c>
      <c r="N18" s="25">
        <f t="shared" si="3"/>
        <v>0</v>
      </c>
      <c r="O18" s="15">
        <f t="shared" si="1"/>
        <v>900</v>
      </c>
    </row>
    <row r="19" spans="1:15" x14ac:dyDescent="0.2">
      <c r="A19" s="13" t="s">
        <v>34</v>
      </c>
      <c r="B19" s="14" t="s">
        <v>35</v>
      </c>
      <c r="C19" s="15">
        <f>'[12]Executive Orig'!C19+[12]Trading!C19+[12]Origination!C19+'[12]Mid Market'!C19+[12]Services!C19+[12]Fundamentals!C19</f>
        <v>155845.37</v>
      </c>
      <c r="E19" s="20">
        <f t="shared" si="2"/>
        <v>249352.59199999998</v>
      </c>
      <c r="F19" s="15"/>
      <c r="G19" s="21">
        <v>5603.4290337078646</v>
      </c>
      <c r="H19" s="15"/>
      <c r="I19" s="16">
        <f t="shared" si="0"/>
        <v>1.7308971095526298E-2</v>
      </c>
      <c r="K19" t="s">
        <v>36</v>
      </c>
      <c r="L19" s="25">
        <v>63000</v>
      </c>
      <c r="M19">
        <v>0</v>
      </c>
      <c r="N19" s="25">
        <f t="shared" si="3"/>
        <v>0</v>
      </c>
      <c r="O19" s="15">
        <f t="shared" si="1"/>
        <v>2801.7145168539323</v>
      </c>
    </row>
    <row r="20" spans="1:15" x14ac:dyDescent="0.2">
      <c r="A20" s="13" t="s">
        <v>37</v>
      </c>
      <c r="B20" s="14" t="s">
        <v>38</v>
      </c>
      <c r="C20" s="15">
        <f>'[12]Executive Orig'!C20+[12]Trading!C20+[12]Origination!C20+'[12]Mid Market'!C20+[12]Services!C20+[12]Fundamentals!C20</f>
        <v>116.15</v>
      </c>
      <c r="E20" s="20">
        <f t="shared" si="2"/>
        <v>185.84</v>
      </c>
      <c r="F20" s="15"/>
      <c r="G20" s="21">
        <v>4.1761797752808993</v>
      </c>
      <c r="H20" s="15"/>
      <c r="I20" s="16">
        <f t="shared" si="0"/>
        <v>1.2900203533447158E-5</v>
      </c>
      <c r="K20" t="s">
        <v>39</v>
      </c>
      <c r="L20" s="25">
        <v>78000</v>
      </c>
      <c r="M20">
        <f>2-2</f>
        <v>0</v>
      </c>
      <c r="N20" s="25">
        <f t="shared" si="3"/>
        <v>0</v>
      </c>
      <c r="O20" s="15">
        <f t="shared" si="1"/>
        <v>2.0880898876404497</v>
      </c>
    </row>
    <row r="21" spans="1:15" x14ac:dyDescent="0.2">
      <c r="A21" s="13" t="s">
        <v>40</v>
      </c>
      <c r="B21" s="14" t="s">
        <v>41</v>
      </c>
      <c r="C21" s="15">
        <f>'[12]Executive Orig'!C21+[12]Trading!C21+[12]Origination!C21+'[12]Mid Market'!C21+[12]Services!C21+[12]Fundamentals!C21</f>
        <v>566869.93000000017</v>
      </c>
      <c r="E21" s="20">
        <f t="shared" si="2"/>
        <v>906991.88800000027</v>
      </c>
      <c r="F21" s="15"/>
      <c r="G21" s="21">
        <v>5000</v>
      </c>
      <c r="H21" s="15"/>
      <c r="I21" s="16">
        <f t="shared" si="0"/>
        <v>1.5444981092294406E-2</v>
      </c>
      <c r="K21" t="s">
        <v>42</v>
      </c>
      <c r="L21" s="25">
        <v>66000</v>
      </c>
      <c r="M21">
        <v>1</v>
      </c>
      <c r="N21" s="25">
        <f t="shared" si="3"/>
        <v>66000</v>
      </c>
      <c r="O21" s="15">
        <f t="shared" si="1"/>
        <v>2500</v>
      </c>
    </row>
    <row r="22" spans="1:15" x14ac:dyDescent="0.2">
      <c r="A22" s="13" t="s">
        <v>43</v>
      </c>
      <c r="B22" s="14" t="s">
        <v>44</v>
      </c>
      <c r="C22" s="15">
        <f>'[12]Executive Orig'!C22+[12]Trading!C22+[12]Origination!C22+'[12]Mid Market'!C22+[12]Services!C22+[12]Fundamentals!C22</f>
        <v>75709.649999999965</v>
      </c>
      <c r="E22" s="20">
        <f t="shared" si="2"/>
        <v>121135.43999999994</v>
      </c>
      <c r="F22" s="15"/>
      <c r="G22" s="21">
        <v>2722.1447191011225</v>
      </c>
      <c r="H22" s="15"/>
      <c r="I22" s="16">
        <f t="shared" si="0"/>
        <v>8.4086947434011804E-3</v>
      </c>
      <c r="K22" t="s">
        <v>45</v>
      </c>
      <c r="L22" s="25">
        <v>97200</v>
      </c>
      <c r="M22">
        <v>1</v>
      </c>
      <c r="N22" s="25">
        <f t="shared" si="3"/>
        <v>97200</v>
      </c>
      <c r="O22" s="15">
        <f t="shared" si="1"/>
        <v>1361.0723595505613</v>
      </c>
    </row>
    <row r="23" spans="1:15" x14ac:dyDescent="0.2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v>323729.75856179779</v>
      </c>
      <c r="H23" s="29"/>
      <c r="I23" s="30">
        <f>SUM(I8:I22)</f>
        <v>0.99999999999999989</v>
      </c>
      <c r="K23" t="s">
        <v>48</v>
      </c>
      <c r="L23" s="25">
        <v>120000</v>
      </c>
      <c r="M23">
        <v>1</v>
      </c>
      <c r="N23" s="25">
        <f t="shared" si="3"/>
        <v>120000</v>
      </c>
      <c r="O23" s="28">
        <f>SUM(O8:O22)</f>
        <v>161864.87928089889</v>
      </c>
    </row>
    <row r="24" spans="1:15" x14ac:dyDescent="0.2">
      <c r="K24" t="s">
        <v>49</v>
      </c>
      <c r="L24" s="25">
        <v>156000</v>
      </c>
      <c r="M24">
        <f>1-1</f>
        <v>0</v>
      </c>
      <c r="N24" s="25">
        <f t="shared" si="3"/>
        <v>0</v>
      </c>
    </row>
    <row r="25" spans="1:15" x14ac:dyDescent="0.2">
      <c r="B25" s="27" t="s">
        <v>50</v>
      </c>
      <c r="C25" s="15"/>
      <c r="E25" s="31">
        <f>'[12]Executive Orig'!E25+[12]Trading!E25+[12]Origination!E25+'[12]Mid Market'!E25+[12]Services!E25+[12]Fundamentals!E25</f>
        <v>74</v>
      </c>
      <c r="F25" s="32"/>
      <c r="G25" s="31">
        <v>1</v>
      </c>
      <c r="H25" s="32"/>
      <c r="K25" t="s">
        <v>51</v>
      </c>
      <c r="L25" s="25">
        <v>180000</v>
      </c>
      <c r="M25">
        <v>0</v>
      </c>
      <c r="N25" s="25">
        <f t="shared" si="3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52</v>
      </c>
      <c r="L26" s="25">
        <v>216000</v>
      </c>
      <c r="M26">
        <v>0</v>
      </c>
      <c r="N26" s="25">
        <f t="shared" si="3"/>
        <v>0</v>
      </c>
      <c r="O26" s="15"/>
    </row>
    <row r="27" spans="1:15" x14ac:dyDescent="0.2">
      <c r="B27" s="27" t="s">
        <v>53</v>
      </c>
      <c r="C27" s="15"/>
      <c r="E27" s="31">
        <f>'[12]Executive Orig'!E27+[12]Trading!E27+[12]Origination!E27+'[12]Mid Market'!E27+[12]Services!E27+[12]Fundamentals!E27</f>
        <v>15</v>
      </c>
      <c r="F27" s="32"/>
      <c r="G27" s="31">
        <v>1</v>
      </c>
      <c r="H27" s="32"/>
      <c r="K27" t="s">
        <v>54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15" x14ac:dyDescent="0.2">
      <c r="M28">
        <f>SUM(M16:M27)</f>
        <v>3</v>
      </c>
      <c r="N28" s="25">
        <f>SUM(N16:N27)*1.2</f>
        <v>339840</v>
      </c>
    </row>
    <row r="29" spans="1:15" x14ac:dyDescent="0.2">
      <c r="B29" s="27" t="s">
        <v>55</v>
      </c>
      <c r="C29" s="15"/>
      <c r="E29" s="31">
        <f>+E27+E25</f>
        <v>89</v>
      </c>
      <c r="F29" s="32"/>
      <c r="G29" s="31">
        <v>2</v>
      </c>
      <c r="H29" s="32"/>
      <c r="I29" s="25"/>
      <c r="O29" s="31">
        <f>+O27+O25</f>
        <v>1</v>
      </c>
    </row>
    <row r="31" spans="1:15" x14ac:dyDescent="0.2">
      <c r="J31" s="33" t="s">
        <v>56</v>
      </c>
      <c r="K31" s="25"/>
      <c r="L31" s="25"/>
      <c r="M31" s="25"/>
    </row>
    <row r="32" spans="1:15" hidden="1" x14ac:dyDescent="0.2">
      <c r="B32" s="14" t="s">
        <v>22</v>
      </c>
      <c r="C32" s="15">
        <v>677322</v>
      </c>
      <c r="K32" s="25"/>
      <c r="L32" s="25"/>
      <c r="M32" s="25"/>
    </row>
    <row r="33" spans="10:14" x14ac:dyDescent="0.2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3</v>
      </c>
      <c r="N34" s="37">
        <f>+L34*M34</f>
        <v>142601.56584269661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R3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43" width="0" hidden="1" customWidth="1"/>
  </cols>
  <sheetData>
    <row r="1" spans="1:44" ht="18" x14ac:dyDescent="0.2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42" t="s">
        <v>188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1</v>
      </c>
      <c r="K5" s="17" t="s">
        <v>2</v>
      </c>
      <c r="L5" s="43" t="s">
        <v>3</v>
      </c>
    </row>
    <row r="6" spans="1:44" x14ac:dyDescent="0.2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 t="s">
        <v>63</v>
      </c>
    </row>
    <row r="7" spans="1:44" x14ac:dyDescent="0.2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 t="s">
        <v>7</v>
      </c>
    </row>
    <row r="8" spans="1:44" x14ac:dyDescent="0.2">
      <c r="A8" s="13" t="s">
        <v>9</v>
      </c>
      <c r="B8" s="14" t="s">
        <v>10</v>
      </c>
      <c r="C8" s="15">
        <f>'[11]Central Trading'!C8+'[11]Central Origination'!C8+[11]Derivatives!C8+'[11]East Trading'!C8+'[11]East Origination'!C8+'[11]Financial Gas'!C8+[11]Structuring!C8+'[11]Texas Trading'!C8+'[11]Texas Origination'!C8+'[11]West Trading'!C8+'[11]West Origination'!C8+[11]Fundamentals!C8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475200</v>
      </c>
      <c r="I8" s="42" t="s">
        <v>10</v>
      </c>
      <c r="J8" s="17">
        <v>0</v>
      </c>
      <c r="K8" s="17"/>
      <c r="L8" s="43">
        <f>L30</f>
        <v>570240</v>
      </c>
      <c r="Q8" s="15">
        <f>+H8/$H$29*$Q$29</f>
        <v>158400</v>
      </c>
    </row>
    <row r="9" spans="1:44" hidden="1" x14ac:dyDescent="0.2">
      <c r="A9" s="13"/>
      <c r="B9" s="14" t="s">
        <v>11</v>
      </c>
      <c r="C9" s="15">
        <f>'[11]Central Trading'!C9+'[11]Central Origination'!C9+[11]Derivatives!C9+'[11]East Trading'!C9+'[11]East Origination'!C9+'[11]Financial Gas'!C9+[11]Structuring!C9+'[11]Texas Trading'!C9+'[11]Texas Origination'!C9+'[11]West Trading'!C9+'[11]West Origination'!C9+[11]Fundamentals!C9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65</v>
      </c>
      <c r="C10" s="15">
        <f>'[11]Central Trading'!C10+'[11]Central Origination'!C10+[11]Derivatives!C10+'[11]East Trading'!C10+'[11]East Origination'!C10+'[11]Financial Gas'!C10+[11]Structuring!C10+'[11]Texas Trading'!C10+'[11]Texas Origination'!C10+'[11]West Trading'!C10+'[11]West Origination'!C10+[11]Fundamentals!C10</f>
        <v>3095252.76</v>
      </c>
      <c r="D10" s="15"/>
      <c r="E10" s="15">
        <f>('[11]Central Trading'!E9+'[11]Central Origination'!E10+[11]Derivatives!E10+'[11]East Trading'!E10+'[11]East Origination'!E10+'[11]Financial Gas'!E10+[11]Structuring!E10+'[11]Texas Trading'!E10+'[11]Texas Origination'!E10+'[11]West Trading'!E10+'[11]West Origination'!E10+[11]Fundamentals!E10)-4000000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x14ac:dyDescent="0.2">
      <c r="A11" s="13" t="s">
        <v>13</v>
      </c>
      <c r="B11" s="14" t="s">
        <v>14</v>
      </c>
      <c r="C11" s="15">
        <f>'[11]Central Trading'!C11+'[11]Central Origination'!C11+[11]Derivatives!C11+'[11]East Trading'!C11+'[11]East Origination'!C11+'[11]Financial Gas'!C11+[11]Structuring!C11+'[11]Texas Trading'!C11+'[11]Texas Origination'!C11+'[11]West Trading'!C11+'[11]West Origination'!C11+[11]Fundamentals!C11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95040</v>
      </c>
      <c r="I11" s="42" t="s">
        <v>15</v>
      </c>
      <c r="J11" s="17">
        <f>(E12+E13+E14+E15+E16+E17+E18+E19+E20+E21+E22)/E29</f>
        <v>48270.181250000009</v>
      </c>
      <c r="K11" s="17">
        <f>K28</f>
        <v>3</v>
      </c>
      <c r="L11" s="43">
        <f>J11*K11</f>
        <v>144810.54375000001</v>
      </c>
      <c r="Q11" s="15">
        <f t="shared" si="1"/>
        <v>31680</v>
      </c>
    </row>
    <row r="12" spans="1:44" x14ac:dyDescent="0.2">
      <c r="A12" s="13" t="s">
        <v>16</v>
      </c>
      <c r="B12" s="14" t="s">
        <v>17</v>
      </c>
      <c r="C12" s="15">
        <f>'[11]Central Trading'!C12+'[11]Central Origination'!C12+[11]Derivatives!C12+'[11]East Trading'!C12+'[11]East Origination'!C12+'[11]Financial Gas'!C12+[11]Structuring!C12+'[11]Texas Trading'!C12+'[11]Texas Origination'!C12+'[11]West Trading'!C12+'[11]West Origination'!C12+[11]Fundamentals!C12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18487.421249999992</v>
      </c>
      <c r="I12" s="42"/>
      <c r="J12" s="17"/>
      <c r="K12" s="17"/>
      <c r="L12" s="43"/>
      <c r="Q12" s="15">
        <f t="shared" si="1"/>
        <v>6162.4737499999974</v>
      </c>
    </row>
    <row r="13" spans="1:44" ht="13.5" thickBot="1" x14ac:dyDescent="0.25">
      <c r="A13" s="13" t="s">
        <v>18</v>
      </c>
      <c r="B13" s="14" t="s">
        <v>19</v>
      </c>
      <c r="C13" s="15">
        <f>'[11]Central Trading'!C13+'[11]Central Origination'!C13+[11]Derivatives!C13+'[11]East Trading'!C13+'[11]East Origination'!C13+'[11]Financial Gas'!C13+[11]Structuring!C13+'[11]Texas Trading'!C13+'[11]Texas Origination'!C13+'[11]West Trading'!C13+'[11]West Origination'!C13+[11]Fundamentals!C13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16454.870750000002</v>
      </c>
      <c r="I13" s="46" t="s">
        <v>20</v>
      </c>
      <c r="J13" s="47"/>
      <c r="K13" s="47"/>
      <c r="L13" s="48">
        <f>L8+L11</f>
        <v>715050.54374999995</v>
      </c>
      <c r="N13" s="25">
        <v>24109311.029375006</v>
      </c>
      <c r="P13" s="49">
        <f>N13-L13</f>
        <v>23394260.485625006</v>
      </c>
      <c r="Q13" s="15">
        <f t="shared" si="1"/>
        <v>5484.956916666667</v>
      </c>
    </row>
    <row r="14" spans="1:44" x14ac:dyDescent="0.2">
      <c r="A14" s="13" t="s">
        <v>21</v>
      </c>
      <c r="B14" s="14" t="s">
        <v>22</v>
      </c>
      <c r="C14" s="15">
        <f>'[11]Central Trading'!C14+'[11]Central Origination'!C14+[11]Derivatives!C14+'[11]East Trading'!C14+'[11]East Origination'!C14+'[11]Financial Gas'!C14+[11]Structuring!C14+'[11]Texas Trading'!C14+'[11]Texas Origination'!C14+'[11]West Trading'!C14+'[11]West Origination'!C14+[11]Fundamentals!C14-C32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6.0000000004947641E-3</v>
      </c>
      <c r="Q14" s="15">
        <f t="shared" si="1"/>
        <v>2.0000000001649215E-3</v>
      </c>
    </row>
    <row r="15" spans="1:44" x14ac:dyDescent="0.2">
      <c r="A15" s="13" t="s">
        <v>23</v>
      </c>
      <c r="B15" s="14" t="s">
        <v>24</v>
      </c>
      <c r="C15" s="15">
        <f>'[11]Central Trading'!C15+'[11]Central Origination'!C15+[11]Derivatives!C15+'[11]East Trading'!C15+'[11]East Origination'!C15+'[11]Financial Gas'!C15+[11]Structuring!C15+'[11]Texas Trading'!C15+'[11]Texas Origination'!C15+'[11]West Trading'!C15+'[11]West Origination'!C15+[11]Fundamentals!C15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2614.0749999999998</v>
      </c>
      <c r="Q15" s="15">
        <f t="shared" si="1"/>
        <v>871.35833333333323</v>
      </c>
    </row>
    <row r="16" spans="1:44" x14ac:dyDescent="0.2">
      <c r="A16" s="13" t="s">
        <v>25</v>
      </c>
      <c r="B16" s="14" t="s">
        <v>26</v>
      </c>
      <c r="C16" s="15">
        <f>'[11]Central Trading'!C16+'[11]Central Origination'!C16+[11]Derivatives!C16+'[11]East Trading'!C16+'[11]East Origination'!C16+'[11]Financial Gas'!C16+[11]Structuring!C16+'[11]Texas Trading'!C16+'[11]Texas Origination'!C16+'[11]West Trading'!C16+'[11]West Origination'!C16+[11]Fundamentals!C16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28</v>
      </c>
      <c r="B17" s="14" t="s">
        <v>29</v>
      </c>
      <c r="C17" s="15">
        <f>'[11]Central Trading'!C17+'[11]Central Origination'!C17+[11]Derivatives!C17+'[11]East Trading'!C17+'[11]East Origination'!C17+'[11]Financial Gas'!C17+[11]Structuring!C17+'[11]Texas Trading'!C17+'[11]Texas Origination'!C17+'[11]West Trading'!C17+'[11]West Origination'!C17+[11]Fundamentals!C17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147.5</v>
      </c>
      <c r="I17" s="25" t="s">
        <v>30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31</v>
      </c>
      <c r="B18" s="14" t="s">
        <v>32</v>
      </c>
      <c r="C18" s="15">
        <f>'[11]Central Trading'!C18+'[11]Central Origination'!C18+[11]Derivatives!C18+'[11]East Trading'!C18+'[11]East Origination'!C18+'[11]Financial Gas'!C18+[11]Structuring!C18+'[11]Texas Trading'!C18+'[11]Texas Origination'!C18+'[11]West Trading'!C18+'[11]West Origination'!C18+[11]Fundamentals!C18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2678.8730000000005</v>
      </c>
      <c r="I18" s="25" t="s">
        <v>33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892.9576666666668</v>
      </c>
    </row>
    <row r="19" spans="1:17" x14ac:dyDescent="0.2">
      <c r="A19" s="13" t="s">
        <v>34</v>
      </c>
      <c r="B19" s="14" t="s">
        <v>35</v>
      </c>
      <c r="C19" s="15">
        <f>'[11]Central Trading'!C19+'[11]Central Origination'!C19+[11]Derivatives!C19+'[11]East Trading'!C19+'[11]East Origination'!C19+'[11]Financial Gas'!C19+[11]Structuring!C19+'[11]Texas Trading'!C19+'[11]Texas Origination'!C19+'[11]West Trading'!C19+'[11]West Origination'!C19+[11]Fundamentals!C19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2730.2579999999998</v>
      </c>
      <c r="I19" s="25" t="s">
        <v>36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910.0859999999999</v>
      </c>
    </row>
    <row r="20" spans="1:17" x14ac:dyDescent="0.2">
      <c r="A20" s="13" t="s">
        <v>37</v>
      </c>
      <c r="B20" s="14" t="s">
        <v>38</v>
      </c>
      <c r="C20" s="15">
        <f>'[11]Central Trading'!C20+'[11]Central Origination'!C20+[11]Derivatives!C20+'[11]East Trading'!C20+'[11]East Origination'!C20+'[11]Financial Gas'!C20+[11]Structuring!C20+'[11]Texas Trading'!C20+'[11]Texas Origination'!C20+'[11]West Trading'!C20+'[11]West Origination'!C20+[11]Fundamentals!C20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0.4</v>
      </c>
      <c r="I20" s="25" t="s">
        <v>39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x14ac:dyDescent="0.2">
      <c r="A21" s="13" t="s">
        <v>40</v>
      </c>
      <c r="B21" s="14" t="s">
        <v>41</v>
      </c>
      <c r="C21" s="15">
        <f>'[11]Central Trading'!C21+'[11]Central Origination'!C21+[11]Derivatives!C21+'[11]East Trading'!C21+'[11]East Origination'!C21+'[11]Financial Gas'!C21+[11]Structuring!C21+'[11]Texas Trading'!C21+'[11]Texas Origination'!C21+'[11]West Trading'!C21+'[11]West Origination'!C21+[11]Fundamentals!C21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3394.7227499999972</v>
      </c>
      <c r="I21" s="25" t="s">
        <v>42</v>
      </c>
      <c r="J21" s="25">
        <v>60500</v>
      </c>
      <c r="K21" s="25">
        <f>6-5-1</f>
        <v>0</v>
      </c>
      <c r="L21" s="25">
        <f t="shared" si="3"/>
        <v>0</v>
      </c>
      <c r="Q21" s="15">
        <f t="shared" si="1"/>
        <v>1131.574249999999</v>
      </c>
    </row>
    <row r="22" spans="1:17" x14ac:dyDescent="0.2">
      <c r="A22" s="13" t="s">
        <v>43</v>
      </c>
      <c r="B22" s="14" t="s">
        <v>44</v>
      </c>
      <c r="C22" s="15">
        <f>'[11]Central Trading'!C22+'[11]Central Origination'!C22+[11]Derivatives!C22+'[11]East Trading'!C22+'[11]East Origination'!C22+'[11]Financial Gas'!C22+[11]Structuring!C22+'[11]Texas Trading'!C22+'[11]Texas Origination'!C22+'[11]West Trading'!C22+'[11]West Origination'!C22+[11]Fundamentals!C22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(E22/$E$29)*$K$11-98302</f>
        <v>0.41700000004493631</v>
      </c>
      <c r="I22" s="25" t="s">
        <v>45</v>
      </c>
      <c r="J22" s="25">
        <v>89100</v>
      </c>
      <c r="K22" s="25">
        <v>0</v>
      </c>
      <c r="L22" s="25">
        <f t="shared" si="3"/>
        <v>0</v>
      </c>
      <c r="Q22" s="15">
        <f t="shared" si="1"/>
        <v>0.13900000001497878</v>
      </c>
    </row>
    <row r="23" spans="1:17" x14ac:dyDescent="0.2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616748.54375000007</v>
      </c>
      <c r="I23" s="25" t="s">
        <v>48</v>
      </c>
      <c r="J23" s="25">
        <v>110000</v>
      </c>
      <c r="K23" s="25">
        <v>1</v>
      </c>
      <c r="L23" s="25">
        <f t="shared" si="3"/>
        <v>110000</v>
      </c>
      <c r="Q23" s="28">
        <f>SUM(Q8:Q22)</f>
        <v>205582.84791666671</v>
      </c>
    </row>
    <row r="24" spans="1:17" x14ac:dyDescent="0.2">
      <c r="I24" s="25" t="s">
        <v>49</v>
      </c>
      <c r="J24" s="25">
        <v>143000</v>
      </c>
      <c r="K24" s="25">
        <v>2</v>
      </c>
      <c r="L24" s="25">
        <f t="shared" si="3"/>
        <v>286000</v>
      </c>
    </row>
    <row r="25" spans="1:17" x14ac:dyDescent="0.2">
      <c r="B25" s="27" t="s">
        <v>50</v>
      </c>
      <c r="C25" s="15"/>
      <c r="E25" s="31">
        <f>'[11]Central Trading'!E25+'[11]Central Origination'!E25+[11]Derivatives!E25+'[11]East Trading'!E25+'[11]East Origination'!E25+'[11]Financial Gas'!E25+[11]Structuring!E25+'[11]Texas Trading'!E25+'[11]Texas Origination'!E25+'[11]West Trading'!E25+'[11]West Origination'!E25+[11]Fundamentals!E25</f>
        <v>108</v>
      </c>
      <c r="H25" s="31">
        <f>+K16+K17+K18+K19+K20+K23+K24+K25+K26+K27</f>
        <v>3</v>
      </c>
      <c r="I25" s="25" t="s">
        <v>51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x14ac:dyDescent="0.2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3"/>
        <v>0</v>
      </c>
      <c r="Q26" s="15"/>
    </row>
    <row r="27" spans="1:17" x14ac:dyDescent="0.2">
      <c r="B27" s="27" t="s">
        <v>67</v>
      </c>
      <c r="C27" s="15"/>
      <c r="E27" s="31">
        <f>'[11]Central Trading'!E27+'[11]Central Origination'!E27+[11]Derivatives!E27+'[11]East Trading'!E27+'[11]East Origination'!E27+'[11]Financial Gas'!E27+[11]Structuring!E27+'[11]Texas Trading'!E27+'[11]Texas Origination'!E27+'[11]West Trading'!E27+'[11]West Origination'!E27+[11]Fundamentals!E27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3</v>
      </c>
      <c r="L28" s="25">
        <f>SUM(L16:L27)*1.2</f>
        <v>475200</v>
      </c>
    </row>
    <row r="29" spans="1:17" x14ac:dyDescent="0.2">
      <c r="B29" s="27" t="s">
        <v>55</v>
      </c>
      <c r="C29" s="15"/>
      <c r="E29" s="31">
        <f>SUM(E25:E27)</f>
        <v>160</v>
      </c>
      <c r="G29" s="25"/>
      <c r="H29" s="31">
        <f>SUM(H25:H27)</f>
        <v>3</v>
      </c>
      <c r="L29" s="52">
        <v>0.2</v>
      </c>
      <c r="Q29" s="31">
        <f>SUM(Q25:Q27)</f>
        <v>1</v>
      </c>
    </row>
    <row r="30" spans="1:17" hidden="1" x14ac:dyDescent="0.2">
      <c r="L30" s="25">
        <f>L28*1.2</f>
        <v>570240</v>
      </c>
    </row>
    <row r="31" spans="1:17" hidden="1" x14ac:dyDescent="0.2">
      <c r="H31" s="33" t="s">
        <v>56</v>
      </c>
      <c r="L31"/>
    </row>
    <row r="32" spans="1:17" hidden="1" x14ac:dyDescent="0.2">
      <c r="B32" s="14" t="s">
        <v>22</v>
      </c>
      <c r="C32" s="15">
        <v>254512</v>
      </c>
      <c r="L32"/>
    </row>
    <row r="33" spans="8:12" hidden="1" x14ac:dyDescent="0.2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</v>
      </c>
      <c r="L34" s="37">
        <f>+J34*K34</f>
        <v>144810.54375000001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pageSetUpPr fitToPage="1"/>
  </sheetPr>
  <dimension ref="A1:AS34"/>
  <sheetViews>
    <sheetView topLeftCell="A7" zoomScaleNormal="100" workbookViewId="0">
      <selection activeCell="B7" sqref="B7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0" hidden="1" customWidth="1"/>
    <col min="13" max="13" width="14" hidden="1" customWidth="1"/>
    <col min="14" max="14" width="10.85546875" bestFit="1" customWidth="1"/>
  </cols>
  <sheetData>
    <row r="1" spans="1:45" ht="18" x14ac:dyDescent="0.2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42" t="s">
        <v>192</v>
      </c>
      <c r="C2" s="142"/>
      <c r="D2" s="142"/>
      <c r="E2" s="142"/>
      <c r="F2" s="142"/>
      <c r="G2" s="142"/>
      <c r="H2" s="14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43" t="s">
        <v>0</v>
      </c>
      <c r="C3" s="143"/>
      <c r="D3" s="143"/>
      <c r="E3" s="143"/>
      <c r="F3" s="143"/>
      <c r="G3" s="143"/>
      <c r="H3" s="14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1</v>
      </c>
      <c r="L5" s="8" t="s">
        <v>2</v>
      </c>
      <c r="M5" s="9" t="s">
        <v>3</v>
      </c>
    </row>
    <row r="6" spans="1:45" x14ac:dyDescent="0.2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N6" s="44" t="s">
        <v>63</v>
      </c>
    </row>
    <row r="7" spans="1:45" x14ac:dyDescent="0.2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N7" s="12" t="s">
        <v>7</v>
      </c>
    </row>
    <row r="8" spans="1:45" x14ac:dyDescent="0.2">
      <c r="A8" s="13" t="s">
        <v>9</v>
      </c>
      <c r="B8" s="14" t="s">
        <v>10</v>
      </c>
      <c r="C8" s="15">
        <f>'[10]Ercot Trading'!C8+'[10]Ercot Origination'!C8+'[10]Southeast Trading'!C8+'[10]Southeast Origination'!C8+'[10]Midwest Trading'!C8+'[10]Midwest Origination'!C8+'[10]Northeast Trading'!C8+'[10]Northeast Origination'!C8+'[10]Management Book'!C8+[10]Structuring_Fund!C8+[10]Services!C8+[10]Options!C8</f>
        <v>6640774.8000000017</v>
      </c>
      <c r="E8" s="15">
        <f>(C8/9)*12</f>
        <v>8854366.4000000022</v>
      </c>
      <c r="F8" s="15">
        <f>M16+M17+M18+M19+M20+M23+M24+M26</f>
        <v>432000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676800</v>
      </c>
      <c r="N8" s="15">
        <f>+F8/$F$29*$N$29</f>
        <v>72000</v>
      </c>
    </row>
    <row r="9" spans="1:45" x14ac:dyDescent="0.2">
      <c r="A9" s="13"/>
      <c r="B9" s="14" t="s">
        <v>11</v>
      </c>
      <c r="C9" s="15">
        <f>'[10]Ercot Trading'!C9+'[10]Ercot Origination'!C9+'[10]Southeast Trading'!C9+'[10]Southeast Origination'!C9+'[10]Midwest Trading'!C9+'[10]Midwest Origination'!C9+'[10]Northeast Trading'!C9+'[10]Northeast Origination'!C9+'[10]Management Book'!C9+[10]Structuring_Fund!C9+[10]Services!C9+[10]Options!C9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x14ac:dyDescent="0.2">
      <c r="A10" s="13"/>
      <c r="B10" s="14" t="s">
        <v>12</v>
      </c>
      <c r="C10" s="15">
        <f>'[10]Ercot Trading'!C10+'[10]Ercot Origination'!C10+'[10]Southeast Trading'!C10+'[10]Southeast Origination'!C10+'[10]Midwest Trading'!C10+'[10]Midwest Origination'!C10+'[10]Northeast Trading'!C10+'[10]Northeast Origination'!C10+'[10]Management Book'!C10+[10]Structuring_Fund!C10+[10]Services!C10+[10]Options!C10</f>
        <v>2652510</v>
      </c>
      <c r="E10" s="15">
        <f>(C10/9)*12</f>
        <v>3536680</v>
      </c>
      <c r="F10" s="15">
        <f>M21+M22</f>
        <v>132000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22000</v>
      </c>
    </row>
    <row r="11" spans="1:45" x14ac:dyDescent="0.2">
      <c r="A11" s="13" t="s">
        <v>13</v>
      </c>
      <c r="B11" s="14" t="s">
        <v>14</v>
      </c>
      <c r="C11" s="15">
        <f>'[10]Ercot Trading'!C11+'[10]Ercot Origination'!C11+'[10]Southeast Trading'!C11+'[10]Southeast Origination'!C11+'[10]Midwest Trading'!C11+'[10]Midwest Origination'!C11+'[10]Northeast Trading'!C11+'[10]Northeast Origination'!C11+'[10]Management Book'!C11+[10]Structuring_Fund!C11+[10]Services!C11+[10]Options!C11</f>
        <v>1536343.4600000002</v>
      </c>
      <c r="E11" s="15">
        <f>(C11/9)*12</f>
        <v>2048457.9466666668</v>
      </c>
      <c r="F11" s="15">
        <f>M28*0.2</f>
        <v>112800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6</v>
      </c>
      <c r="M11" s="18">
        <f>K11*L11</f>
        <v>190057.09140425528</v>
      </c>
      <c r="N11" s="15">
        <f t="shared" si="1"/>
        <v>18800</v>
      </c>
    </row>
    <row r="12" spans="1:45" x14ac:dyDescent="0.2">
      <c r="A12" s="13" t="s">
        <v>16</v>
      </c>
      <c r="B12" s="14" t="s">
        <v>17</v>
      </c>
      <c r="C12" s="15">
        <f>'[10]Ercot Trading'!C12+'[10]Ercot Origination'!C12+'[10]Southeast Trading'!C12+'[10]Southeast Origination'!C12+'[10]Midwest Trading'!C12+'[10]Midwest Origination'!C12+'[10]Northeast Trading'!C12+'[10]Northeast Origination'!C12+'[10]Management Book'!C12+[10]Structuring_Fund!C12+[10]Services!C12+[10]Options!C12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37886.447659574464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6314.4079432624103</v>
      </c>
    </row>
    <row r="13" spans="1:45" ht="13.5" thickBot="1" x14ac:dyDescent="0.25">
      <c r="A13" s="13" t="s">
        <v>18</v>
      </c>
      <c r="B13" s="14" t="s">
        <v>19</v>
      </c>
      <c r="C13" s="15">
        <f>'[10]Ercot Trading'!C13+'[10]Ercot Origination'!C13+'[10]Southeast Trading'!C13+'[10]Southeast Origination'!C13+'[10]Midwest Trading'!C13+'[10]Midwest Origination'!C13+'[10]Northeast Trading'!C13+'[10]Northeast Origination'!C13+'[10]Management Book'!C13+[10]Structuring_Fund!C13+[10]Services!C13+[10]Options!C13</f>
        <v>1014365.41</v>
      </c>
      <c r="E13" s="20">
        <f t="shared" si="2"/>
        <v>1622984.656</v>
      </c>
      <c r="F13" s="21">
        <f t="shared" si="3"/>
        <v>69063.176851063836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866857.09140425525</v>
      </c>
      <c r="N13" s="15">
        <f t="shared" si="1"/>
        <v>11510.529475177305</v>
      </c>
    </row>
    <row r="14" spans="1:45" x14ac:dyDescent="0.2">
      <c r="A14" s="13" t="s">
        <v>21</v>
      </c>
      <c r="B14" s="14" t="s">
        <v>22</v>
      </c>
      <c r="C14" s="15">
        <f>'[10]Ercot Trading'!C14+'[10]Ercot Origination'!C14+'[10]Southeast Trading'!C14+'[10]Southeast Origination'!C14+'[10]Midwest Trading'!C14+'[10]Midwest Origination'!C14+'[10]Northeast Trading'!C14+'[10]Northeast Origination'!C14+'[10]Management Book'!C14+[10]Structuring_Fund!C14+[10]Services!C14+[10]Options!C14-C32</f>
        <v>0.38000000012107193</v>
      </c>
      <c r="E14" s="20">
        <f t="shared" si="2"/>
        <v>0.60800000019371503</v>
      </c>
      <c r="F14" s="21">
        <f t="shared" si="3"/>
        <v>2.5872340433775107E-2</v>
      </c>
      <c r="H14" s="16">
        <f t="shared" si="0"/>
        <v>2.9853903459396468E-8</v>
      </c>
      <c r="N14" s="15">
        <f t="shared" si="1"/>
        <v>4.3120567389625178E-3</v>
      </c>
    </row>
    <row r="15" spans="1:45" x14ac:dyDescent="0.2">
      <c r="A15" s="13" t="s">
        <v>23</v>
      </c>
      <c r="B15" s="14" t="s">
        <v>24</v>
      </c>
      <c r="C15" s="15">
        <f>'[10]Ercot Trading'!C15+'[10]Ercot Origination'!C15+'[10]Southeast Trading'!C15+'[10]Southeast Origination'!C15+'[10]Midwest Trading'!C15+'[10]Midwest Origination'!C15+'[10]Northeast Trading'!C15+'[10]Northeast Origination'!C15+'[10]Management Book'!C15+[10]Structuring_Fund!C15+[10]Services!C15+[10]Options!C15</f>
        <v>93227.13</v>
      </c>
      <c r="E15" s="20">
        <f t="shared" si="2"/>
        <v>149163.408</v>
      </c>
      <c r="F15" s="21">
        <f t="shared" si="3"/>
        <v>6347.3790638297869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x14ac:dyDescent="0.2">
      <c r="A16" s="13" t="s">
        <v>25</v>
      </c>
      <c r="B16" s="14" t="s">
        <v>26</v>
      </c>
      <c r="C16" s="15">
        <f>'[10]Ercot Trading'!C16+'[10]Ercot Origination'!C16+'[10]Southeast Trading'!C16+'[10]Southeast Origination'!C16+'[10]Midwest Trading'!C16+'[10]Midwest Origination'!C16+'[10]Northeast Trading'!C16+'[10]Northeast Origination'!C16+'[10]Management Book'!C16+[10]Structuring_Fund!C16+[10]Services!C16+[10]Options!C16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27</v>
      </c>
      <c r="K16" s="25">
        <v>33600</v>
      </c>
      <c r="L16">
        <f>'[10]Ercot Trading'!K16+'[10]Ercot Origination'!K16+'[10]Southeast Trading'!K16+'[10]Southeast Origination'!K16+'[10]Midwest Trading'!K16+'[10]Midwest Origination'!K16+'[10]Northeast Trading'!K16+'[10]Northeast Origination'!K16+'[10]Management Book'!K16+[10]Structuring_Fund!K16+[10]Services!K16+[10]Options!K16</f>
        <v>0</v>
      </c>
      <c r="M16" s="25">
        <f t="shared" ref="M16:M27" si="4">K16*L16</f>
        <v>0</v>
      </c>
      <c r="N16" s="15">
        <f t="shared" si="1"/>
        <v>0</v>
      </c>
    </row>
    <row r="17" spans="1:14" x14ac:dyDescent="0.2">
      <c r="A17" s="13" t="s">
        <v>28</v>
      </c>
      <c r="B17" s="14" t="s">
        <v>29</v>
      </c>
      <c r="C17" s="15">
        <f>'[10]Ercot Trading'!C17+'[10]Ercot Origination'!C17+'[10]Southeast Trading'!C17+'[10]Southeast Origination'!C17+'[10]Midwest Trading'!C17+'[10]Midwest Origination'!C17+'[10]Northeast Trading'!C17+'[10]Northeast Origination'!C17+'[10]Management Book'!C17+[10]Structuring_Fund!C17+[10]Services!C17+[10]Options!C17</f>
        <v>5300</v>
      </c>
      <c r="E17" s="20">
        <f t="shared" si="2"/>
        <v>8480</v>
      </c>
      <c r="F17" s="21">
        <f t="shared" si="3"/>
        <v>360.85106382978722</v>
      </c>
      <c r="H17" s="16">
        <f t="shared" si="0"/>
        <v>4.1638339022207621E-4</v>
      </c>
      <c r="J17" t="s">
        <v>30</v>
      </c>
      <c r="K17" s="25">
        <v>52800</v>
      </c>
      <c r="L17">
        <f>'[10]Ercot Trading'!K17+'[10]Ercot Origination'!K17+'[10]Southeast Trading'!K17+'[10]Southeast Origination'!K17+'[10]Midwest Trading'!K17+'[10]Midwest Origination'!K17+'[10]Northeast Trading'!K17+'[10]Northeast Origination'!K17+'[10]Management Book'!K17+[10]Structuring_Fund!K17+[10]Services!K17+[10]Options!K17</f>
        <v>0</v>
      </c>
      <c r="M17" s="25">
        <f t="shared" si="4"/>
        <v>0</v>
      </c>
      <c r="N17" s="15">
        <f t="shared" si="1"/>
        <v>60.141843971631204</v>
      </c>
    </row>
    <row r="18" spans="1:14" x14ac:dyDescent="0.2">
      <c r="A18" s="13" t="s">
        <v>31</v>
      </c>
      <c r="B18" s="14" t="s">
        <v>32</v>
      </c>
      <c r="C18" s="15">
        <f>'[10]Ercot Trading'!C18+'[10]Ercot Origination'!C18+'[10]Southeast Trading'!C18+'[10]Southeast Origination'!C18+'[10]Midwest Trading'!C18+'[10]Midwest Origination'!C18+'[10]Northeast Trading'!C18+'[10]Northeast Origination'!C18+'[10]Management Book'!C18+[10]Structuring_Fund!C18+[10]Services!C18+[10]Options!C18</f>
        <v>287.28999999999655</v>
      </c>
      <c r="E18" s="20">
        <f t="shared" si="2"/>
        <v>459.66399999999447</v>
      </c>
      <c r="F18" s="21">
        <f t="shared" si="3"/>
        <v>19.560170212765723</v>
      </c>
      <c r="H18" s="16">
        <f t="shared" si="0"/>
        <v>2.2570336637150724E-5</v>
      </c>
      <c r="J18" t="s">
        <v>33</v>
      </c>
      <c r="K18" s="25">
        <v>54000</v>
      </c>
      <c r="L18">
        <f>'[10]Ercot Trading'!K18+'[10]Ercot Origination'!K18+'[10]Southeast Trading'!K18+'[10]Southeast Origination'!K18+'[10]Midwest Trading'!K18+'[10]Midwest Origination'!K18+'[10]Northeast Trading'!K18+'[10]Northeast Origination'!K18+'[10]Management Book'!K18+[10]Structuring_Fund!K18+[10]Services!K18+[10]Options!K18</f>
        <v>0</v>
      </c>
      <c r="M18" s="25">
        <f t="shared" si="4"/>
        <v>0</v>
      </c>
      <c r="N18" s="15">
        <f t="shared" si="1"/>
        <v>3.2600283687942873</v>
      </c>
    </row>
    <row r="19" spans="1:14" x14ac:dyDescent="0.2">
      <c r="A19" s="13" t="s">
        <v>34</v>
      </c>
      <c r="B19" s="14" t="s">
        <v>35</v>
      </c>
      <c r="C19" s="15">
        <f>'[10]Ercot Trading'!C19+'[10]Ercot Origination'!C19+'[10]Southeast Trading'!C19+'[10]Southeast Origination'!C19+'[10]Midwest Trading'!C19+'[10]Midwest Origination'!C19+'[10]Northeast Trading'!C19+'[10]Northeast Origination'!C19+'[10]Management Book'!C19+[10]Structuring_Fund!C19+[10]Services!C19+[10]Options!C19</f>
        <v>487149.2</v>
      </c>
      <c r="E19" s="20">
        <f t="shared" si="2"/>
        <v>779438.72000000009</v>
      </c>
      <c r="F19" s="21">
        <f t="shared" si="3"/>
        <v>33167.60510638298</v>
      </c>
      <c r="H19" s="16">
        <f t="shared" si="0"/>
        <v>3.8271855743390995E-2</v>
      </c>
      <c r="J19" t="s">
        <v>36</v>
      </c>
      <c r="K19" s="25">
        <v>63000</v>
      </c>
      <c r="L19">
        <f>'[10]Ercot Trading'!K19+'[10]Ercot Origination'!K19+'[10]Southeast Trading'!K19+'[10]Southeast Origination'!K19+'[10]Midwest Trading'!K19+'[10]Midwest Origination'!K19+'[10]Northeast Trading'!K19+'[10]Northeast Origination'!K19+'[10]Management Book'!K19+[10]Structuring_Fund!K19+[10]Services!K19+[10]Options!K19</f>
        <v>0</v>
      </c>
      <c r="M19" s="25">
        <f t="shared" si="4"/>
        <v>0</v>
      </c>
      <c r="N19" s="15">
        <f t="shared" si="1"/>
        <v>5527.9341843971633</v>
      </c>
    </row>
    <row r="20" spans="1:14" x14ac:dyDescent="0.2">
      <c r="A20" s="13" t="s">
        <v>37</v>
      </c>
      <c r="B20" s="14" t="s">
        <v>38</v>
      </c>
      <c r="C20" s="15">
        <f>'[10]Ercot Trading'!C20+'[10]Ercot Origination'!C20+'[10]Southeast Trading'!C20+'[10]Southeast Origination'!C20+'[10]Midwest Trading'!C20+'[10]Midwest Origination'!C20+'[10]Northeast Trading'!C20+'[10]Northeast Origination'!C20+'[10]Management Book'!C20+[10]Structuring_Fund!C20+[10]Services!C20+[10]Options!C20</f>
        <v>78.180000000000007</v>
      </c>
      <c r="E20" s="20">
        <f t="shared" si="2"/>
        <v>125.08800000000001</v>
      </c>
      <c r="F20" s="21">
        <f t="shared" si="3"/>
        <v>5.3228936170212773</v>
      </c>
      <c r="H20" s="16">
        <f t="shared" si="0"/>
        <v>6.1420478202947023E-6</v>
      </c>
      <c r="J20" t="s">
        <v>39</v>
      </c>
      <c r="K20" s="25">
        <v>78000</v>
      </c>
      <c r="L20">
        <f>3-1</f>
        <v>2</v>
      </c>
      <c r="M20" s="25">
        <f t="shared" si="4"/>
        <v>156000</v>
      </c>
      <c r="N20" s="15">
        <f t="shared" si="1"/>
        <v>0.88714893617021284</v>
      </c>
    </row>
    <row r="21" spans="1:14" x14ac:dyDescent="0.2">
      <c r="A21" s="13" t="s">
        <v>40</v>
      </c>
      <c r="B21" s="14" t="s">
        <v>41</v>
      </c>
      <c r="C21" s="15">
        <f>'[10]Ercot Trading'!C21+'[10]Ercot Origination'!C21+'[10]Southeast Trading'!C21+'[10]Southeast Origination'!C21+'[10]Midwest Trading'!C21+'[10]Midwest Origination'!C21+'[10]Northeast Trading'!C21+'[10]Northeast Origination'!C21+'[10]Management Book'!C21+[10]Structuring_Fund!C21+[10]Services!C21+[10]Options!C21</f>
        <v>633408.5</v>
      </c>
      <c r="E21" s="20">
        <f t="shared" si="2"/>
        <v>1013453.5999999999</v>
      </c>
      <c r="F21" s="21">
        <f t="shared" si="3"/>
        <v>43125.685106382967</v>
      </c>
      <c r="H21" s="16">
        <f t="shared" si="0"/>
        <v>4.9762411061411306E-2</v>
      </c>
      <c r="J21" t="s">
        <v>42</v>
      </c>
      <c r="K21" s="25">
        <v>66000</v>
      </c>
      <c r="L21">
        <f>3-1</f>
        <v>2</v>
      </c>
      <c r="M21" s="25">
        <f t="shared" si="4"/>
        <v>132000</v>
      </c>
      <c r="N21" s="15">
        <f t="shared" si="1"/>
        <v>7187.6141843971609</v>
      </c>
    </row>
    <row r="22" spans="1:14" x14ac:dyDescent="0.2">
      <c r="A22" s="13" t="s">
        <v>43</v>
      </c>
      <c r="B22" s="14" t="s">
        <v>44</v>
      </c>
      <c r="C22" s="15">
        <f>'[10]Ercot Trading'!C22+'[10]Ercot Origination'!C22+'[10]Southeast Trading'!C22+'[10]Southeast Origination'!C22+'[10]Midwest Trading'!C22+'[10]Midwest Origination'!C22+'[10]Northeast Trading'!C22+'[10]Northeast Origination'!C22+'[10]Management Book'!C22+[10]Structuring_Fund!C22+[10]Services!C22+[10]Options!C22</f>
        <v>1190.24</v>
      </c>
      <c r="E22" s="20">
        <f t="shared" si="2"/>
        <v>1904.384</v>
      </c>
      <c r="F22" s="21">
        <f t="shared" si="3"/>
        <v>81.037617021276589</v>
      </c>
      <c r="H22" s="16">
        <f t="shared" si="0"/>
        <v>9.350871063734415E-5</v>
      </c>
      <c r="J22" t="s">
        <v>45</v>
      </c>
      <c r="K22" s="25">
        <v>97200</v>
      </c>
      <c r="L22">
        <f>3-3</f>
        <v>0</v>
      </c>
      <c r="M22" s="25">
        <f t="shared" si="4"/>
        <v>0</v>
      </c>
      <c r="N22" s="15">
        <f t="shared" si="1"/>
        <v>13.506269503546099</v>
      </c>
    </row>
    <row r="23" spans="1:14" ht="13.5" thickBot="1" x14ac:dyDescent="0.2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866857.09140425513</v>
      </c>
      <c r="H23" s="30">
        <f>SUM(H8:H22)</f>
        <v>1</v>
      </c>
      <c r="J23" t="s">
        <v>48</v>
      </c>
      <c r="K23" s="25">
        <v>120000</v>
      </c>
      <c r="L23">
        <f>3-2</f>
        <v>1</v>
      </c>
      <c r="M23" s="25">
        <f t="shared" si="4"/>
        <v>120000</v>
      </c>
      <c r="N23" s="58">
        <f>SUM(N8:N22)</f>
        <v>144476.18190070923</v>
      </c>
    </row>
    <row r="24" spans="1:14" x14ac:dyDescent="0.2">
      <c r="J24" t="s">
        <v>49</v>
      </c>
      <c r="K24" s="25">
        <v>156000</v>
      </c>
      <c r="L24">
        <v>1</v>
      </c>
      <c r="M24" s="25">
        <f t="shared" si="4"/>
        <v>156000</v>
      </c>
    </row>
    <row r="25" spans="1:14" x14ac:dyDescent="0.2">
      <c r="B25" s="27" t="s">
        <v>50</v>
      </c>
      <c r="C25" s="15"/>
      <c r="E25" s="31">
        <f>'[10]Ercot Trading'!E25+'[10]Ercot Origination'!E25+'[10]Southeast Trading'!E25+'[10]Southeast Origination'!E25+'[10]Midwest Trading'!E25+'[10]Midwest Origination'!E25+'[10]Northeast Trading'!E25+'[10]Northeast Origination'!E25+'[10]Management Book'!E25+[10]Structuring_Fund!E25+[10]Services!E25+[10]Options!E25</f>
        <v>91</v>
      </c>
      <c r="F25" s="31">
        <f>SUM(L16:L20,L23:L27)</f>
        <v>4</v>
      </c>
      <c r="J25" t="s">
        <v>51</v>
      </c>
      <c r="K25" s="25">
        <v>180000</v>
      </c>
      <c r="L25">
        <f>'[10]Ercot Trading'!K25+'[10]Ercot Origination'!K25+'[10]Southeast Trading'!K25+'[10]Southeast Origination'!K25+'[10]Midwest Trading'!K25+'[10]Midwest Origination'!K25+'[10]Northeast Trading'!K25+'[10]Northeast Origination'!K25+'[10]Management Book'!K25+[10]Structuring_Fund!K25+[10]Services!K25+[10]Options!K25</f>
        <v>0</v>
      </c>
      <c r="M25" s="25">
        <f t="shared" si="4"/>
        <v>0</v>
      </c>
      <c r="N25" s="31">
        <v>1</v>
      </c>
    </row>
    <row r="26" spans="1:14" x14ac:dyDescent="0.2">
      <c r="C26" s="15"/>
      <c r="E26" s="15"/>
      <c r="F26" s="15"/>
      <c r="J26" t="s">
        <v>52</v>
      </c>
      <c r="K26" s="25">
        <v>216000</v>
      </c>
      <c r="L26">
        <f>'[10]Ercot Trading'!K26+'[10]Ercot Origination'!K26+'[10]Southeast Trading'!K26+'[10]Southeast Origination'!K26+'[10]Midwest Trading'!K26+'[10]Midwest Origination'!K26+'[10]Northeast Trading'!K26+'[10]Northeast Origination'!K26+'[10]Management Book'!K26+[10]Structuring_Fund!K26+[10]Services!K26+[10]Options!K26</f>
        <v>0</v>
      </c>
      <c r="M26" s="25">
        <f t="shared" si="4"/>
        <v>0</v>
      </c>
      <c r="N26" s="15"/>
    </row>
    <row r="27" spans="1:14" x14ac:dyDescent="0.2">
      <c r="B27" s="27" t="s">
        <v>53</v>
      </c>
      <c r="C27" s="15"/>
      <c r="E27" s="31">
        <f>'[10]Ercot Trading'!E27+'[10]Ercot Origination'!E27+'[10]Southeast Trading'!E27+'[10]Southeast Origination'!E27+'[10]Midwest Trading'!E27+'[10]Midwest Origination'!E27+'[10]Northeast Trading'!E27+'[10]Northeast Origination'!E27+'[10]Management Book'!E27+[10]Structuring_Fund!E27+[10]Services!E27+[10]Options!E27</f>
        <v>50</v>
      </c>
      <c r="F27" s="31">
        <f>SUM(L21:L22)</f>
        <v>2</v>
      </c>
      <c r="J27" t="s">
        <v>54</v>
      </c>
      <c r="K27" s="25">
        <v>240000</v>
      </c>
      <c r="L27">
        <f>'[10]Ercot Trading'!K27+'[10]Ercot Origination'!K27+'[10]Southeast Trading'!K27+'[10]Southeast Origination'!K27+'[10]Midwest Trading'!K27+'[10]Midwest Origination'!K27+'[10]Northeast Trading'!K27+'[10]Northeast Origination'!K27+'[10]Management Book'!K27+[10]Structuring_Fund!K27+[10]Services!K27+[10]Options!K27</f>
        <v>0</v>
      </c>
      <c r="M27" s="25">
        <f t="shared" si="4"/>
        <v>0</v>
      </c>
      <c r="N27" s="31">
        <f>SUM(T21:T22)</f>
        <v>0</v>
      </c>
    </row>
    <row r="28" spans="1:14" x14ac:dyDescent="0.2">
      <c r="B28" s="27"/>
      <c r="L28">
        <f>SUM(L16:L27)</f>
        <v>6</v>
      </c>
      <c r="M28" s="25">
        <f>SUM(M16:M27)</f>
        <v>564000</v>
      </c>
    </row>
    <row r="29" spans="1:14" x14ac:dyDescent="0.2">
      <c r="B29" s="27" t="s">
        <v>55</v>
      </c>
      <c r="E29" s="59">
        <f>SUM(E25:E27)</f>
        <v>141</v>
      </c>
      <c r="F29" s="59">
        <f>SUM(F25:F27)</f>
        <v>6</v>
      </c>
      <c r="H29" s="25"/>
      <c r="N29" s="59">
        <f>SUM(N25:N27)</f>
        <v>1</v>
      </c>
    </row>
    <row r="31" spans="1:14" x14ac:dyDescent="0.2">
      <c r="I31" s="33" t="s">
        <v>56</v>
      </c>
      <c r="J31" s="25"/>
      <c r="K31" s="25"/>
      <c r="L31" s="25"/>
    </row>
    <row r="32" spans="1:14" hidden="1" x14ac:dyDescent="0.2">
      <c r="B32" s="14" t="s">
        <v>22</v>
      </c>
      <c r="C32" s="15">
        <v>524067</v>
      </c>
      <c r="J32" s="25"/>
      <c r="K32" s="25"/>
      <c r="L32" s="25"/>
    </row>
    <row r="33" spans="9:13" x14ac:dyDescent="0.2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</v>
      </c>
      <c r="M34" s="37">
        <f>+K34*L34</f>
        <v>190057.09140425528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96</vt:i4>
      </vt:variant>
      <vt:variant>
        <vt:lpstr>Named Ranges</vt:lpstr>
      </vt:variant>
      <vt:variant>
        <vt:i4>74</vt:i4>
      </vt:variant>
    </vt:vector>
  </HeadingPairs>
  <TitlesOfParts>
    <vt:vector size="170" baseType="lpstr">
      <vt:lpstr>Summary 2002 Revised</vt:lpstr>
      <vt:lpstr>Summary 2002</vt:lpstr>
      <vt:lpstr>Derivatives w-o  AA</vt:lpstr>
      <vt:lpstr>Mexico</vt:lpstr>
      <vt:lpstr>East-Trading AA</vt:lpstr>
      <vt:lpstr>West-Trading AA</vt:lpstr>
      <vt:lpstr>Texas-Trading AA</vt:lpstr>
      <vt:lpstr>Financial - AA</vt:lpstr>
      <vt:lpstr>Derivatives AA</vt:lpstr>
      <vt:lpstr>Central - Trading AA</vt:lpstr>
      <vt:lpstr>Financial Gas</vt:lpstr>
      <vt:lpstr>East Power</vt:lpstr>
      <vt:lpstr>Texas - Trading</vt:lpstr>
      <vt:lpstr>East - Trading</vt:lpstr>
      <vt:lpstr>Central - Trading</vt:lpstr>
      <vt:lpstr>West - Trading</vt:lpstr>
      <vt:lpstr>Nymex</vt:lpstr>
      <vt:lpstr>Texas - Orig</vt:lpstr>
      <vt:lpstr>East - Orig</vt:lpstr>
      <vt:lpstr>Central - Orig</vt:lpstr>
      <vt:lpstr>West - Orig</vt:lpstr>
      <vt:lpstr>Deriv-Mex</vt:lpstr>
      <vt:lpstr>Crude</vt:lpstr>
      <vt:lpstr>Mgmt AA</vt:lpstr>
      <vt:lpstr>Ercot AA</vt:lpstr>
      <vt:lpstr>NE AA</vt:lpstr>
      <vt:lpstr>MW AA</vt:lpstr>
      <vt:lpstr>SE AA</vt:lpstr>
      <vt:lpstr>Options AA</vt:lpstr>
      <vt:lpstr>East Power Orig w Analyst</vt:lpstr>
      <vt:lpstr>Mgmt Orig AA</vt:lpstr>
      <vt:lpstr>Ercot Orig AA</vt:lpstr>
      <vt:lpstr>NE Orig AA</vt:lpstr>
      <vt:lpstr>MW Orig AA</vt:lpstr>
      <vt:lpstr>SE Orig AA</vt:lpstr>
      <vt:lpstr>West Power Consolidated Trading</vt:lpstr>
      <vt:lpstr>West Power Trading</vt:lpstr>
      <vt:lpstr>West Power Origination</vt:lpstr>
      <vt:lpstr>Canada Trading w-AA</vt:lpstr>
      <vt:lpstr>Canada Trading</vt:lpstr>
      <vt:lpstr>Canada A&amp;A-Trading</vt:lpstr>
      <vt:lpstr>Canada Orig w-AA</vt:lpstr>
      <vt:lpstr>Canada Origination</vt:lpstr>
      <vt:lpstr>Office of the Chair</vt:lpstr>
      <vt:lpstr>Canada A&amp;A-Orig</vt:lpstr>
      <vt:lpstr>Canada A&amp;A</vt:lpstr>
      <vt:lpstr>OOC w-o Adm</vt:lpstr>
      <vt:lpstr>OOC Admin</vt:lpstr>
      <vt:lpstr>Natural Gas Admin</vt:lpstr>
      <vt:lpstr>East Power Admins</vt:lpstr>
      <vt:lpstr>West Power Admins</vt:lpstr>
      <vt:lpstr>Reg Affairs</vt:lpstr>
      <vt:lpstr>Fundies-All</vt:lpstr>
      <vt:lpstr>Struct</vt:lpstr>
      <vt:lpstr>Weather</vt:lpstr>
      <vt:lpstr>Gas Risk</vt:lpstr>
      <vt:lpstr>Gas Vol Mgmt</vt:lpstr>
      <vt:lpstr>Gas Logistics</vt:lpstr>
      <vt:lpstr>Gas Settlemnt</vt:lpstr>
      <vt:lpstr>Pwr Risk</vt:lpstr>
      <vt:lpstr>Pwr Vol Mgmt</vt:lpstr>
      <vt:lpstr>Power Logistics</vt:lpstr>
      <vt:lpstr>Pwr Settlemt</vt:lpstr>
      <vt:lpstr>Documentation</vt:lpstr>
      <vt:lpstr>Managemt</vt:lpstr>
      <vt:lpstr>IT Dev-EOL</vt:lpstr>
      <vt:lpstr>IT Infra</vt:lpstr>
      <vt:lpstr>IT Infra-Cap</vt:lpstr>
      <vt:lpstr>EOL Support</vt:lpstr>
      <vt:lpstr>Canada Support</vt:lpstr>
      <vt:lpstr>Credit</vt:lpstr>
      <vt:lpstr>Mkt Risk </vt:lpstr>
      <vt:lpstr>Research1</vt:lpstr>
      <vt:lpstr>Fin Ops</vt:lpstr>
      <vt:lpstr>Cash Ops</vt:lpstr>
      <vt:lpstr>Tax</vt:lpstr>
      <vt:lpstr>HR</vt:lpstr>
      <vt:lpstr>Legal</vt:lpstr>
      <vt:lpstr>Crude AA</vt:lpstr>
      <vt:lpstr>EOPs</vt:lpstr>
      <vt:lpstr>Canada</vt:lpstr>
      <vt:lpstr>Canada Admins</vt:lpstr>
      <vt:lpstr>SAP</vt:lpstr>
      <vt:lpstr>Research</vt:lpstr>
      <vt:lpstr>Mkt Risk - Combined</vt:lpstr>
      <vt:lpstr>IT Dev</vt:lpstr>
      <vt:lpstr>IT EOL</vt:lpstr>
      <vt:lpstr>IT All</vt:lpstr>
      <vt:lpstr>Fundies-Hou</vt:lpstr>
      <vt:lpstr>Competitive Ana</vt:lpstr>
      <vt:lpstr>Gas - Fund</vt:lpstr>
      <vt:lpstr>East - Fund</vt:lpstr>
      <vt:lpstr>West - Fund</vt:lpstr>
      <vt:lpstr>West - Struct</vt:lpstr>
      <vt:lpstr>Gas - Struct</vt:lpstr>
      <vt:lpstr>East - Struct</vt:lpstr>
      <vt:lpstr>Canada!Print_Area</vt:lpstr>
      <vt:lpstr>'Canada A&amp;A'!Print_Area</vt:lpstr>
      <vt:lpstr>'Canada A&amp;A-Orig'!Print_Area</vt:lpstr>
      <vt:lpstr>'Canada A&amp;A-Trading'!Print_Area</vt:lpstr>
      <vt:lpstr>'Canada Admins'!Print_Area</vt:lpstr>
      <vt:lpstr>'Canada Orig w-AA'!Print_Area</vt:lpstr>
      <vt:lpstr>'Canada Origination'!Print_Area</vt:lpstr>
      <vt:lpstr>'Canada Support'!Print_Area</vt:lpstr>
      <vt:lpstr>'Canada Trading'!Print_Area</vt:lpstr>
      <vt:lpstr>'Canada Trading w-AA'!Print_Area</vt:lpstr>
      <vt:lpstr>'Cash Ops'!Print_Area</vt:lpstr>
      <vt:lpstr>'Central - Orig'!Print_Area</vt:lpstr>
      <vt:lpstr>'Central - Trading'!Print_Area</vt:lpstr>
      <vt:lpstr>'Central - Trading AA'!Print_Area</vt:lpstr>
      <vt:lpstr>'Competitive Ana'!Print_Area</vt:lpstr>
      <vt:lpstr>Credit!Print_Area</vt:lpstr>
      <vt:lpstr>Crude!Print_Area</vt:lpstr>
      <vt:lpstr>'Crude AA'!Print_Area</vt:lpstr>
      <vt:lpstr>'Derivatives AA'!Print_Area</vt:lpstr>
      <vt:lpstr>'Derivatives w-o  AA'!Print_Area</vt:lpstr>
      <vt:lpstr>'Deriv-Mex'!Print_Area</vt:lpstr>
      <vt:lpstr>'East - Fund'!Print_Area</vt:lpstr>
      <vt:lpstr>'East - Orig'!Print_Area</vt:lpstr>
      <vt:lpstr>'East - Struct'!Print_Area</vt:lpstr>
      <vt:lpstr>'East - Trading'!Print_Area</vt:lpstr>
      <vt:lpstr>'East Power'!Print_Area</vt:lpstr>
      <vt:lpstr>'East Power Admins'!Print_Area</vt:lpstr>
      <vt:lpstr>'East-Trading AA'!Print_Area</vt:lpstr>
      <vt:lpstr>'EOL Support'!Print_Area</vt:lpstr>
      <vt:lpstr>EOPs!Print_Area</vt:lpstr>
      <vt:lpstr>'Fin Ops'!Print_Area</vt:lpstr>
      <vt:lpstr>'Financial - AA'!Print_Area</vt:lpstr>
      <vt:lpstr>'Financial Gas'!Print_Area</vt:lpstr>
      <vt:lpstr>'Fundies-All'!Print_Area</vt:lpstr>
      <vt:lpstr>'Fundies-Hou'!Print_Area</vt:lpstr>
      <vt:lpstr>'Gas - Fund'!Print_Area</vt:lpstr>
      <vt:lpstr>'Gas - Struct'!Print_Area</vt:lpstr>
      <vt:lpstr>HR!Print_Area</vt:lpstr>
      <vt:lpstr>'IT All'!Print_Area</vt:lpstr>
      <vt:lpstr>'IT Dev'!Print_Area</vt:lpstr>
      <vt:lpstr>'IT Dev-EOL'!Print_Area</vt:lpstr>
      <vt:lpstr>'IT EOL'!Print_Area</vt:lpstr>
      <vt:lpstr>'IT Infra'!Print_Area</vt:lpstr>
      <vt:lpstr>'IT Infra-Cap'!Print_Area</vt:lpstr>
      <vt:lpstr>Legal!Print_Area</vt:lpstr>
      <vt:lpstr>Mexico!Print_Area</vt:lpstr>
      <vt:lpstr>'Mkt Risk '!Print_Area</vt:lpstr>
      <vt:lpstr>'Mkt Risk - Combined'!Print_Area</vt:lpstr>
      <vt:lpstr>'Natural Gas Admin'!Print_Area</vt:lpstr>
      <vt:lpstr>Nymex!Print_Area</vt:lpstr>
      <vt:lpstr>'Office of the Chair'!Print_Area</vt:lpstr>
      <vt:lpstr>'OOC Admin'!Print_Area</vt:lpstr>
      <vt:lpstr>'OOC w-o Adm'!Print_Area</vt:lpstr>
      <vt:lpstr>'Reg Affairs'!Print_Area</vt:lpstr>
      <vt:lpstr>Research!Print_Area</vt:lpstr>
      <vt:lpstr>Research1!Print_Area</vt:lpstr>
      <vt:lpstr>SAP!Print_Area</vt:lpstr>
      <vt:lpstr>Struct!Print_Area</vt:lpstr>
      <vt:lpstr>'Summary 2002'!Print_Area</vt:lpstr>
      <vt:lpstr>'Summary 2002 Revised'!Print_Area</vt:lpstr>
      <vt:lpstr>Tax!Print_Area</vt:lpstr>
      <vt:lpstr>'Texas - Orig'!Print_Area</vt:lpstr>
      <vt:lpstr>'Texas - Trading'!Print_Area</vt:lpstr>
      <vt:lpstr>'Texas-Trading AA'!Print_Area</vt:lpstr>
      <vt:lpstr>Weather!Print_Area</vt:lpstr>
      <vt:lpstr>'West - Fund'!Print_Area</vt:lpstr>
      <vt:lpstr>'West - Orig'!Print_Area</vt:lpstr>
      <vt:lpstr>'West - Struct'!Print_Area</vt:lpstr>
      <vt:lpstr>'West - Trading'!Print_Area</vt:lpstr>
      <vt:lpstr>'West Power Admins'!Print_Area</vt:lpstr>
      <vt:lpstr>'West Power Consolidated Trading'!Print_Area</vt:lpstr>
      <vt:lpstr>'West Power Origination'!Print_Area</vt:lpstr>
      <vt:lpstr>'West Power Trading'!Print_Area</vt:lpstr>
      <vt:lpstr>'West-Trading AA'!Print_Area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Jan Havlíček</cp:lastModifiedBy>
  <cp:lastPrinted>2002-01-09T22:31:35Z</cp:lastPrinted>
  <dcterms:created xsi:type="dcterms:W3CDTF">2001-12-05T13:20:56Z</dcterms:created>
  <dcterms:modified xsi:type="dcterms:W3CDTF">2023-09-16T22:41:15Z</dcterms:modified>
</cp:coreProperties>
</file>