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485AF8-2A7F-4F46-90EB-C917203FA18C}" xr6:coauthVersionLast="47" xr6:coauthVersionMax="47" xr10:uidLastSave="{00000000-0000-0000-0000-000000000000}"/>
  <bookViews>
    <workbookView xWindow="-120" yWindow="-120" windowWidth="38640" windowHeight="15720"/>
  </bookViews>
  <sheets>
    <sheet name="Summary 2002" sheetId="44" r:id="rId1"/>
    <sheet name="Mexico" sheetId="3" state="hidden" r:id="rId2"/>
    <sheet name="SAP" sheetId="15" state="hidden" r:id="rId3"/>
    <sheet name="East - Struct" sheetId="39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3">'East - Struct'!$B$1:$H$29</definedName>
    <definedName name="_xlnm.Print_Area" localSheetId="1">Mexico!$B$1:$F$29</definedName>
    <definedName name="_xlnm.Print_Area" localSheetId="2">SAP!$B$1:$M$40</definedName>
    <definedName name="_xlnm.Print_Area" localSheetId="0">'Summary 2002'!$A$1:$K$64</definedName>
    <definedName name="SAPFuncF4Help" localSheetId="1" hidden="1">Main.SAPF4Help()</definedName>
    <definedName name="SAPFuncF4Help" localSheetId="2" hidden="1">Main.SAPF4Help()</definedName>
    <definedName name="SAPFuncF4Help" localSheetId="0" hidden="1">Main.SAPF4Help()</definedName>
    <definedName name="SAPFuncF4Help" hidden="1">Main.SAPF4Help()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9" l="1"/>
  <c r="C8" i="39"/>
  <c r="E8" i="39"/>
  <c r="F8" i="39"/>
  <c r="H8" i="39"/>
  <c r="M8" i="39"/>
  <c r="N8" i="39"/>
  <c r="C9" i="39"/>
  <c r="E9" i="39"/>
  <c r="H9" i="39"/>
  <c r="N9" i="39"/>
  <c r="C10" i="39"/>
  <c r="E10" i="39"/>
  <c r="F10" i="39"/>
  <c r="H10" i="39"/>
  <c r="N10" i="39"/>
  <c r="C11" i="39"/>
  <c r="E11" i="39"/>
  <c r="F11" i="39"/>
  <c r="H11" i="39"/>
  <c r="K11" i="39"/>
  <c r="L11" i="39"/>
  <c r="M11" i="39"/>
  <c r="N11" i="39"/>
  <c r="C12" i="39"/>
  <c r="E12" i="39"/>
  <c r="F12" i="39"/>
  <c r="H12" i="39"/>
  <c r="N12" i="39"/>
  <c r="C13" i="39"/>
  <c r="E13" i="39"/>
  <c r="F13" i="39"/>
  <c r="H13" i="39"/>
  <c r="M13" i="39"/>
  <c r="N13" i="39"/>
  <c r="C14" i="39"/>
  <c r="E14" i="39"/>
  <c r="F14" i="39"/>
  <c r="H14" i="39"/>
  <c r="N14" i="39"/>
  <c r="C15" i="39"/>
  <c r="E15" i="39"/>
  <c r="F15" i="39"/>
  <c r="H15" i="39"/>
  <c r="N15" i="39"/>
  <c r="C16" i="39"/>
  <c r="E16" i="39"/>
  <c r="F16" i="39"/>
  <c r="H16" i="39"/>
  <c r="L16" i="39"/>
  <c r="M16" i="39"/>
  <c r="N16" i="39"/>
  <c r="C17" i="39"/>
  <c r="E17" i="39"/>
  <c r="F17" i="39"/>
  <c r="H17" i="39"/>
  <c r="L17" i="39"/>
  <c r="M17" i="39"/>
  <c r="N17" i="39"/>
  <c r="C18" i="39"/>
  <c r="E18" i="39"/>
  <c r="F18" i="39"/>
  <c r="H18" i="39"/>
  <c r="L18" i="39"/>
  <c r="M18" i="39"/>
  <c r="N18" i="39"/>
  <c r="C19" i="39"/>
  <c r="E19" i="39"/>
  <c r="F19" i="39"/>
  <c r="H19" i="39"/>
  <c r="L19" i="39"/>
  <c r="M19" i="39"/>
  <c r="N19" i="39"/>
  <c r="C20" i="39"/>
  <c r="E20" i="39"/>
  <c r="F20" i="39"/>
  <c r="H20" i="39"/>
  <c r="L20" i="39"/>
  <c r="M20" i="39"/>
  <c r="N20" i="39"/>
  <c r="C21" i="39"/>
  <c r="E21" i="39"/>
  <c r="F21" i="39"/>
  <c r="H21" i="39"/>
  <c r="L21" i="39"/>
  <c r="M21" i="39"/>
  <c r="N21" i="39"/>
  <c r="C22" i="39"/>
  <c r="E22" i="39"/>
  <c r="F22" i="39"/>
  <c r="H22" i="39"/>
  <c r="L22" i="39"/>
  <c r="M22" i="39"/>
  <c r="N22" i="39"/>
  <c r="C23" i="39"/>
  <c r="E23" i="39"/>
  <c r="F23" i="39"/>
  <c r="H23" i="39"/>
  <c r="L23" i="39"/>
  <c r="M23" i="39"/>
  <c r="N23" i="39"/>
  <c r="M24" i="39"/>
  <c r="E25" i="39"/>
  <c r="F25" i="39"/>
  <c r="L25" i="39"/>
  <c r="M25" i="39"/>
  <c r="L26" i="39"/>
  <c r="M26" i="39"/>
  <c r="E27" i="39"/>
  <c r="F27" i="39"/>
  <c r="L27" i="39"/>
  <c r="M27" i="39"/>
  <c r="N27" i="39"/>
  <c r="L28" i="39"/>
  <c r="M28" i="39"/>
  <c r="E29" i="39"/>
  <c r="F29" i="39"/>
  <c r="N29" i="39"/>
  <c r="I34" i="39"/>
  <c r="J34" i="39"/>
  <c r="K34" i="39"/>
  <c r="L34" i="39"/>
  <c r="M34" i="39"/>
  <c r="B1" i="3"/>
  <c r="C8" i="3"/>
  <c r="E8" i="3"/>
  <c r="F8" i="3"/>
  <c r="M8" i="3"/>
  <c r="O8" i="3"/>
  <c r="E9" i="3"/>
  <c r="O9" i="3"/>
  <c r="E10" i="3"/>
  <c r="O10" i="3"/>
  <c r="C11" i="3"/>
  <c r="E11" i="3"/>
  <c r="F11" i="3"/>
  <c r="K11" i="3"/>
  <c r="L11" i="3"/>
  <c r="M11" i="3"/>
  <c r="O11" i="3"/>
  <c r="C12" i="3"/>
  <c r="E12" i="3"/>
  <c r="F12" i="3"/>
  <c r="O12" i="3"/>
  <c r="C13" i="3"/>
  <c r="E13" i="3"/>
  <c r="F13" i="3"/>
  <c r="M13" i="3"/>
  <c r="N13" i="3"/>
  <c r="O13" i="3"/>
  <c r="C14" i="3"/>
  <c r="E14" i="3"/>
  <c r="F14" i="3"/>
  <c r="I14" i="3"/>
  <c r="O14" i="3"/>
  <c r="C15" i="3"/>
  <c r="E15" i="3"/>
  <c r="F15" i="3"/>
  <c r="O15" i="3"/>
  <c r="C16" i="3"/>
  <c r="E16" i="3"/>
  <c r="F16" i="3"/>
  <c r="M16" i="3"/>
  <c r="O16" i="3"/>
  <c r="C17" i="3"/>
  <c r="E17" i="3"/>
  <c r="F17" i="3"/>
  <c r="M17" i="3"/>
  <c r="O17" i="3"/>
  <c r="C18" i="3"/>
  <c r="E18" i="3"/>
  <c r="F18" i="3"/>
  <c r="M18" i="3"/>
  <c r="O18" i="3"/>
  <c r="C19" i="3"/>
  <c r="E19" i="3"/>
  <c r="F19" i="3"/>
  <c r="M19" i="3"/>
  <c r="O19" i="3"/>
  <c r="C20" i="3"/>
  <c r="E20" i="3"/>
  <c r="F20" i="3"/>
  <c r="M20" i="3"/>
  <c r="O20" i="3"/>
  <c r="C21" i="3"/>
  <c r="E21" i="3"/>
  <c r="F21" i="3"/>
  <c r="M21" i="3"/>
  <c r="O21" i="3"/>
  <c r="C22" i="3"/>
  <c r="E22" i="3"/>
  <c r="F22" i="3"/>
  <c r="M22" i="3"/>
  <c r="O22" i="3"/>
  <c r="C23" i="3"/>
  <c r="E23" i="3"/>
  <c r="F23" i="3"/>
  <c r="M23" i="3"/>
  <c r="O23" i="3"/>
  <c r="M24" i="3"/>
  <c r="M25" i="3"/>
  <c r="O25" i="3"/>
  <c r="M26" i="3"/>
  <c r="M27" i="3"/>
  <c r="O27" i="3"/>
  <c r="L28" i="3"/>
  <c r="M28" i="3"/>
  <c r="E29" i="3"/>
  <c r="F29" i="3"/>
  <c r="C31" i="3"/>
  <c r="E31" i="3"/>
  <c r="C32" i="3"/>
  <c r="E32" i="3"/>
  <c r="C33" i="3"/>
  <c r="E33" i="3"/>
  <c r="C34" i="3"/>
  <c r="E34" i="3"/>
  <c r="I34" i="3"/>
  <c r="J34" i="3"/>
  <c r="K34" i="3"/>
  <c r="M34" i="3"/>
  <c r="C35" i="3"/>
  <c r="E35" i="3"/>
  <c r="C36" i="3"/>
  <c r="E36" i="3"/>
  <c r="C37" i="3"/>
  <c r="E37" i="3"/>
  <c r="C38" i="3"/>
  <c r="E38" i="3"/>
  <c r="E39" i="3"/>
  <c r="C44" i="3"/>
  <c r="B1" i="15"/>
  <c r="C8" i="15"/>
  <c r="E8" i="15"/>
  <c r="G8" i="15"/>
  <c r="O8" i="15"/>
  <c r="E9" i="15"/>
  <c r="G9" i="15"/>
  <c r="L9" i="15"/>
  <c r="M9" i="15"/>
  <c r="O9" i="15"/>
  <c r="E10" i="15"/>
  <c r="G10" i="15"/>
  <c r="O10" i="15"/>
  <c r="C11" i="15"/>
  <c r="E11" i="15"/>
  <c r="G11" i="15"/>
  <c r="O11" i="15"/>
  <c r="C12" i="15"/>
  <c r="E12" i="15"/>
  <c r="G12" i="15"/>
  <c r="K12" i="15"/>
  <c r="M12" i="15"/>
  <c r="O12" i="15"/>
  <c r="C13" i="15"/>
  <c r="E13" i="15"/>
  <c r="G13" i="15"/>
  <c r="O13" i="15"/>
  <c r="C14" i="15"/>
  <c r="E14" i="15"/>
  <c r="G14" i="15"/>
  <c r="M14" i="15"/>
  <c r="O14" i="15"/>
  <c r="C15" i="15"/>
  <c r="E15" i="15"/>
  <c r="G15" i="15"/>
  <c r="O15" i="15"/>
  <c r="C16" i="15"/>
  <c r="E16" i="15"/>
  <c r="O16" i="15"/>
  <c r="C17" i="15"/>
  <c r="E17" i="15"/>
  <c r="M17" i="15"/>
  <c r="O17" i="15"/>
  <c r="C18" i="15"/>
  <c r="E18" i="15"/>
  <c r="M18" i="15"/>
  <c r="O18" i="15"/>
  <c r="C19" i="15"/>
  <c r="E19" i="15"/>
  <c r="G19" i="15"/>
  <c r="M19" i="15"/>
  <c r="O19" i="15"/>
  <c r="C20" i="15"/>
  <c r="E20" i="15"/>
  <c r="M20" i="15"/>
  <c r="O20" i="15"/>
  <c r="C21" i="15"/>
  <c r="E21" i="15"/>
  <c r="G21" i="15"/>
  <c r="M21" i="15"/>
  <c r="O21" i="15"/>
  <c r="C22" i="15"/>
  <c r="E22" i="15"/>
  <c r="M22" i="15"/>
  <c r="O22" i="15"/>
  <c r="C23" i="15"/>
  <c r="E23" i="15"/>
  <c r="G23" i="15"/>
  <c r="M23" i="15"/>
  <c r="O23" i="15"/>
  <c r="M24" i="15"/>
  <c r="M25" i="15"/>
  <c r="O25" i="15"/>
  <c r="M26" i="15"/>
  <c r="M27" i="15"/>
  <c r="O27" i="15"/>
  <c r="M28" i="15"/>
  <c r="E29" i="15"/>
  <c r="G29" i="15"/>
  <c r="L29" i="15"/>
  <c r="M29" i="15"/>
  <c r="C31" i="15"/>
  <c r="E31" i="15"/>
  <c r="C32" i="15"/>
  <c r="E32" i="15"/>
  <c r="C33" i="15"/>
  <c r="E33" i="15"/>
  <c r="M33" i="15"/>
  <c r="C34" i="15"/>
  <c r="C35" i="15"/>
  <c r="L35" i="15"/>
  <c r="M35" i="15"/>
  <c r="C36" i="15"/>
  <c r="C37" i="15"/>
  <c r="C38" i="15"/>
  <c r="C40" i="15"/>
  <c r="H8" i="44"/>
  <c r="H9" i="44"/>
  <c r="H10" i="44"/>
  <c r="H11" i="44"/>
  <c r="H12" i="44"/>
  <c r="H13" i="44"/>
  <c r="H14" i="44"/>
  <c r="H15" i="44"/>
  <c r="G17" i="44"/>
  <c r="H17" i="44"/>
  <c r="K17" i="44"/>
  <c r="H21" i="44"/>
  <c r="H22" i="44"/>
  <c r="H23" i="44"/>
  <c r="H24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3" i="44"/>
  <c r="H44" i="44"/>
  <c r="H50" i="44"/>
  <c r="K50" i="44"/>
  <c r="H56" i="44"/>
  <c r="K56" i="44"/>
  <c r="H58" i="44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<sst xmlns="http://schemas.openxmlformats.org/spreadsheetml/2006/main" count="299" uniqueCount="145">
  <si>
    <t>2002 Plan</t>
  </si>
  <si>
    <t>Per HC</t>
  </si>
  <si>
    <t>New HC</t>
  </si>
  <si>
    <t>Adjust Comp</t>
  </si>
  <si>
    <t>YTD Actual</t>
  </si>
  <si>
    <t>Forecast</t>
  </si>
  <si>
    <t>Plan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</si>
  <si>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</si>
  <si>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</si>
  <si>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</si>
  <si>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</si>
  <si>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</si>
  <si>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</si>
  <si>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</si>
  <si>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</si>
  <si>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</si>
  <si>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</si>
  <si>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</si>
  <si>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</si>
  <si>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</si>
  <si>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</si>
  <si>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</si>
  <si>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</si>
  <si>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</si>
  <si>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</si>
  <si>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</si>
  <si>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</si>
  <si>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</si>
  <si>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</si>
  <si>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</si>
  <si>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</si>
  <si>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</si>
  <si>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</si>
  <si>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</si>
  <si>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</si>
  <si>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</si>
  <si>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</si>
  <si>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</si>
  <si>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</si>
  <si>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</si>
  <si>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</si>
  <si>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</si>
  <si>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</si>
  <si>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</si>
  <si>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</si>
  <si>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</si>
  <si>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</si>
  <si>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</si>
  <si>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</si>
  <si>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</si>
  <si>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</si>
  <si>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</si>
  <si>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</si>
  <si>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</si>
  <si>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</si>
  <si>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</si>
  <si>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</si>
  <si>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</si>
  <si>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</si>
  <si>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2001</t>
  </si>
  <si>
    <t>%</t>
  </si>
  <si>
    <t>2002</t>
  </si>
  <si>
    <t>of Total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</si>
  <si>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</si>
  <si>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</si>
  <si>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</si>
  <si>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</si>
  <si>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</si>
  <si>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</si>
  <si>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</si>
  <si>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</si>
  <si>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</si>
  <si>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</si>
  <si>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</si>
  <si>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</si>
  <si>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</si>
  <si>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</si>
  <si>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</si>
  <si>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</si>
  <si>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</si>
  <si>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</si>
  <si>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</si>
  <si>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</si>
  <si>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 Headcount</t>
  </si>
  <si>
    <t>Benefits &amp; Taxes</t>
  </si>
  <si>
    <t>Adj Comp</t>
  </si>
  <si>
    <t>Regulatory Affairs</t>
  </si>
  <si>
    <t>Credit</t>
  </si>
  <si>
    <t>Legal</t>
  </si>
  <si>
    <t>SAP</t>
  </si>
  <si>
    <t>Consultants</t>
  </si>
  <si>
    <t>Based on information from ENW accounting.</t>
  </si>
  <si>
    <t>EOL Support</t>
  </si>
  <si>
    <t>Enron North America</t>
  </si>
  <si>
    <t>VAR Limit</t>
  </si>
  <si>
    <t>Gross Margin</t>
  </si>
  <si>
    <t>Direct Expenses</t>
  </si>
  <si>
    <t>EBIT</t>
  </si>
  <si>
    <t xml:space="preserve"> </t>
  </si>
  <si>
    <t>Accounting, Transaction Support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</si>
  <si>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</si>
  <si>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</si>
  <si>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</si>
  <si>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</si>
  <si>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</si>
  <si>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</si>
  <si>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</si>
  <si>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</si>
  <si>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</si>
  <si>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</si>
  <si>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 xml:space="preserve">Rent </t>
  </si>
  <si>
    <t>Market Risk</t>
  </si>
  <si>
    <t>Research</t>
  </si>
  <si>
    <t>IT- Development *</t>
  </si>
  <si>
    <t>IT- Infrastructure**</t>
  </si>
  <si>
    <t>IT- EOL</t>
  </si>
  <si>
    <t>Houston &amp; Other</t>
  </si>
  <si>
    <t>Portland</t>
  </si>
  <si>
    <t>East Power Structuring</t>
  </si>
  <si>
    <t>Cash Operations and Tax</t>
  </si>
  <si>
    <t>Other Corporate Charges</t>
  </si>
  <si>
    <t>Moved $2.4 of SAP costs here, and decreased HC by 12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</si>
  <si>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</si>
  <si>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</si>
  <si>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</si>
  <si>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</si>
  <si>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</si>
  <si>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U.S. Gas Trading (Houston)</t>
  </si>
  <si>
    <t>U.S. Gas Origination (Houston)</t>
  </si>
  <si>
    <t>U.S. East Power Trading (Houston)</t>
  </si>
  <si>
    <t>U.S. East Power Origination (Houston)</t>
  </si>
  <si>
    <t>U.S. West Power Trading (Portland)</t>
  </si>
  <si>
    <t>U.S. West Power Origination (Portland)</t>
  </si>
  <si>
    <t>Canada Gas/Power Trading (Calgary)</t>
  </si>
  <si>
    <t>Canada Gas/Power Origination (Calgary/Toronto)</t>
  </si>
  <si>
    <t>Leadership</t>
  </si>
  <si>
    <t>Admins for Commercial Teams</t>
  </si>
  <si>
    <t>Houston Fundamentals/Structuring, and Weather</t>
  </si>
  <si>
    <t>Energy Ops - Houston and Portland</t>
  </si>
  <si>
    <t>All Canada Support including Energy Ops</t>
  </si>
  <si>
    <t>Subtotal - Commercial</t>
  </si>
  <si>
    <t>Subtotal - Non Commercial</t>
  </si>
  <si>
    <t>ENE Service Level Agreements (this is a moving target)</t>
  </si>
  <si>
    <t>Total Expenses/People</t>
  </si>
  <si>
    <t>Analyst and Associates directly supporting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</si>
</sst>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2" xfId="3" applyNumberFormat="1" applyBorder="1"/>
    <xf numFmtId="165" fontId="1" fillId="0" borderId="3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5" fontId="1" fillId="0" borderId="7" xfId="3" applyNumberFormat="1" applyBorder="1"/>
    <xf numFmtId="165" fontId="1" fillId="0" borderId="8" xfId="3" applyNumberForma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165" fontId="1" fillId="0" borderId="5" xfId="3" applyNumberFormat="1" applyFill="1" applyBorder="1" applyAlignment="1">
      <alignment horizontal="center"/>
    </xf>
    <xf numFmtId="43" fontId="1" fillId="0" borderId="0" xfId="3" applyBorder="1"/>
    <xf numFmtId="0" fontId="7" fillId="0" borderId="0" xfId="0" applyFont="1" applyAlignment="1">
      <alignment horizontal="centerContinuous"/>
    </xf>
    <xf numFmtId="0" fontId="7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7" fontId="1" fillId="0" borderId="13" xfId="3" applyNumberFormat="1" applyBorder="1"/>
    <xf numFmtId="167" fontId="1" fillId="0" borderId="0" xfId="3" applyNumberFormat="1"/>
    <xf numFmtId="0" fontId="0" fillId="0" borderId="13" xfId="0" applyBorder="1"/>
    <xf numFmtId="167" fontId="1" fillId="0" borderId="14" xfId="3" applyNumberFormat="1" applyBorder="1"/>
    <xf numFmtId="0" fontId="0" fillId="0" borderId="14" xfId="0" applyBorder="1"/>
    <xf numFmtId="189" fontId="0" fillId="0" borderId="13" xfId="0" applyNumberFormat="1" applyBorder="1"/>
    <xf numFmtId="167" fontId="1" fillId="0" borderId="0" xfId="3" applyNumberFormat="1" applyBorder="1"/>
    <xf numFmtId="167" fontId="11" fillId="0" borderId="13" xfId="3" applyNumberFormat="1" applyFont="1" applyBorder="1"/>
    <xf numFmtId="0" fontId="7" fillId="0" borderId="15" xfId="0" applyFont="1" applyBorder="1" applyAlignment="1">
      <alignment horizontal="center"/>
    </xf>
    <xf numFmtId="167" fontId="1" fillId="0" borderId="16" xfId="3" applyNumberFormat="1" applyBorder="1"/>
    <xf numFmtId="167" fontId="1" fillId="0" borderId="17" xfId="3" applyNumberFormat="1" applyBorder="1"/>
    <xf numFmtId="0" fontId="0" fillId="0" borderId="17" xfId="0" applyBorder="1"/>
    <xf numFmtId="189" fontId="0" fillId="0" borderId="14" xfId="0" applyNumberFormat="1" applyBorder="1"/>
    <xf numFmtId="189" fontId="0" fillId="0" borderId="0" xfId="0" applyNumberFormat="1" applyBorder="1"/>
    <xf numFmtId="167" fontId="1" fillId="0" borderId="0" xfId="3" applyNumberFormat="1" applyFont="1" applyBorder="1"/>
    <xf numFmtId="189" fontId="0" fillId="0" borderId="16" xfId="0" applyNumberFormat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2" fillId="0" borderId="0" xfId="0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lavora/Local%20Settings/Temporary%20Internet%20Files/OLKB2/Documents%20and%20Settings/sbrown6/Local%20Settings/Temporary%20Internet%20Files/OLK8D/TEAMRPT/Expense%20Project/Mex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lavora/Local%20Settings/Temporary%20Internet%20Files/OLKB2/Documents%20and%20Settings/sbrown6/Local%20Settings/Temporary%20Internet%20Files/OLK8D/TEAMRPT/Expense%20Project/IT_S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lavora/Local%20Settings/Temporary%20Internet%20Files/OLKB2/Documents%20and%20Settings/sbrown6/Local%20Settings/Temporary%20Internet%20Files/OLK8D/TEAMRPT/Expense%20Project/WPR%20Trading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lavora/Local%20Settings/Temporary%20Internet%20Files/OLKB2/Documents%20and%20Settings/sbrown6/Local%20Settings/Temporary%20Internet%20Files/OLK8D/TEAMRPT/Expense%20Project/East%20Power%20Consolid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3"/>
  <sheetViews>
    <sheetView tabSelected="1" zoomScaleNormal="100" workbookViewId="0">
      <selection activeCell="H8" sqref="H8"/>
    </sheetView>
  </sheetViews>
  <sheetFormatPr defaultRowHeight="12.75" x14ac:dyDescent="0.2"/>
  <cols>
    <col min="4" max="4" width="31.28515625" customWidth="1"/>
    <col min="5" max="5" width="18.5703125" hidden="1" customWidth="1"/>
    <col min="6" max="6" width="2.7109375" customWidth="1"/>
    <col min="7" max="7" width="18.5703125" customWidth="1"/>
    <col min="8" max="8" width="15.5703125" bestFit="1" customWidth="1"/>
    <col min="9" max="10" width="2.7109375" customWidth="1"/>
    <col min="11" max="11" width="10.7109375" bestFit="1" customWidth="1"/>
    <col min="12" max="12" width="49.42578125" bestFit="1" customWidth="1"/>
  </cols>
  <sheetData>
    <row r="1" spans="1:11" x14ac:dyDescent="0.2">
      <c r="A1" s="55" t="s">
        <v>93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x14ac:dyDescent="0.2">
      <c r="A2" s="55" t="s">
        <v>122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3.5" thickBot="1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3.5" thickBot="1" x14ac:dyDescent="0.25">
      <c r="A4" s="52"/>
      <c r="G4" s="77" t="s">
        <v>0</v>
      </c>
      <c r="H4" s="78"/>
      <c r="K4" s="56" t="s">
        <v>0</v>
      </c>
    </row>
    <row r="5" spans="1:11" ht="13.5" thickBot="1" x14ac:dyDescent="0.25">
      <c r="E5" s="56" t="s">
        <v>94</v>
      </c>
      <c r="G5" s="75" t="s">
        <v>95</v>
      </c>
      <c r="H5" s="76" t="s">
        <v>96</v>
      </c>
      <c r="K5" s="67" t="s">
        <v>48</v>
      </c>
    </row>
    <row r="6" spans="1:11" x14ac:dyDescent="0.2">
      <c r="E6" s="57"/>
      <c r="G6" s="58"/>
      <c r="H6" s="58"/>
      <c r="K6" s="58"/>
    </row>
    <row r="7" spans="1:11" x14ac:dyDescent="0.2">
      <c r="B7" t="s">
        <v>98</v>
      </c>
      <c r="E7" s="58"/>
      <c r="G7" s="58"/>
      <c r="H7" s="58"/>
      <c r="K7" s="58"/>
    </row>
    <row r="8" spans="1:11" x14ac:dyDescent="0.2">
      <c r="B8" t="s">
        <v>127</v>
      </c>
      <c r="E8" s="59">
        <v>0</v>
      </c>
      <c r="F8" s="60"/>
      <c r="G8" s="59">
        <v>275</v>
      </c>
      <c r="H8" s="59">
        <f>(20.6/90)*K8</f>
        <v>6.4088888888888889</v>
      </c>
      <c r="I8" s="60"/>
      <c r="K8" s="61">
        <v>28</v>
      </c>
    </row>
    <row r="9" spans="1:11" x14ac:dyDescent="0.2">
      <c r="B9" t="s">
        <v>128</v>
      </c>
      <c r="E9" s="59"/>
      <c r="F9" s="60"/>
      <c r="G9" s="59">
        <v>40</v>
      </c>
      <c r="H9" s="59">
        <f>(20.6/90)*K9</f>
        <v>2.06</v>
      </c>
      <c r="I9" s="60"/>
      <c r="K9" s="61">
        <v>9</v>
      </c>
    </row>
    <row r="10" spans="1:11" x14ac:dyDescent="0.2">
      <c r="B10" t="s">
        <v>129</v>
      </c>
      <c r="E10" s="59"/>
      <c r="F10" s="60"/>
      <c r="G10" s="59">
        <v>150</v>
      </c>
      <c r="H10" s="59">
        <f>(10.8/65)*K10</f>
        <v>4.32</v>
      </c>
      <c r="I10" s="60"/>
      <c r="K10" s="61">
        <v>26</v>
      </c>
    </row>
    <row r="11" spans="1:11" x14ac:dyDescent="0.2">
      <c r="B11" t="s">
        <v>130</v>
      </c>
      <c r="E11" s="59"/>
      <c r="F11" s="60"/>
      <c r="G11" s="59">
        <v>25</v>
      </c>
      <c r="H11" s="59">
        <f>(10.8/65)*K11</f>
        <v>1.1630769230769231</v>
      </c>
      <c r="I11" s="60"/>
      <c r="K11" s="61">
        <v>7</v>
      </c>
    </row>
    <row r="12" spans="1:11" x14ac:dyDescent="0.2">
      <c r="B12" t="s">
        <v>131</v>
      </c>
      <c r="E12" s="59">
        <v>0</v>
      </c>
      <c r="F12" s="60"/>
      <c r="G12" s="59">
        <v>100</v>
      </c>
      <c r="H12" s="59">
        <f>(7.9/40)*K12</f>
        <v>3.3574999999999999</v>
      </c>
      <c r="I12" s="60"/>
      <c r="K12" s="61">
        <v>17</v>
      </c>
    </row>
    <row r="13" spans="1:11" x14ac:dyDescent="0.2">
      <c r="B13" t="s">
        <v>132</v>
      </c>
      <c r="E13" s="59"/>
      <c r="F13" s="60"/>
      <c r="G13" s="59">
        <v>20</v>
      </c>
      <c r="H13" s="59">
        <f>(7.9/40)*K13</f>
        <v>0.98750000000000004</v>
      </c>
      <c r="I13" s="60"/>
      <c r="K13" s="61">
        <v>5</v>
      </c>
    </row>
    <row r="14" spans="1:11" x14ac:dyDescent="0.2">
      <c r="B14" t="s">
        <v>133</v>
      </c>
      <c r="E14" s="59"/>
      <c r="F14" s="60"/>
      <c r="G14" s="59">
        <v>30</v>
      </c>
      <c r="H14" s="59">
        <f>(4.5/26)*K14</f>
        <v>1.0384615384615383</v>
      </c>
      <c r="I14" s="60"/>
      <c r="K14" s="61">
        <v>6</v>
      </c>
    </row>
    <row r="15" spans="1:11" x14ac:dyDescent="0.2">
      <c r="B15" t="s">
        <v>134</v>
      </c>
      <c r="E15" s="59"/>
      <c r="F15" s="60"/>
      <c r="G15" s="59">
        <v>10</v>
      </c>
      <c r="H15" s="59">
        <f>(4.5/26)*K15</f>
        <v>0.86538461538461542</v>
      </c>
      <c r="I15" s="60"/>
      <c r="K15" s="61">
        <v>5</v>
      </c>
    </row>
    <row r="16" spans="1:11" x14ac:dyDescent="0.2">
      <c r="B16" t="s">
        <v>135</v>
      </c>
      <c r="E16" s="59">
        <v>0</v>
      </c>
      <c r="F16" s="60"/>
      <c r="G16" s="62"/>
      <c r="H16" s="62">
        <v>1.4</v>
      </c>
      <c r="I16" s="69"/>
      <c r="J16" s="70"/>
      <c r="K16" s="63">
        <v>2</v>
      </c>
    </row>
    <row r="17" spans="2:15" x14ac:dyDescent="0.2">
      <c r="B17" s="32" t="s">
        <v>140</v>
      </c>
      <c r="E17" s="59"/>
      <c r="F17" s="60"/>
      <c r="G17" s="65">
        <f>SUM(G8:G15)</f>
        <v>650</v>
      </c>
      <c r="H17" s="59">
        <f>SUM(H8:H16)</f>
        <v>21.600811965811967</v>
      </c>
      <c r="I17" s="60"/>
      <c r="K17" s="61">
        <f>SUM(K8:K16)</f>
        <v>105</v>
      </c>
    </row>
    <row r="18" spans="2:15" x14ac:dyDescent="0.2">
      <c r="H18" s="59"/>
      <c r="K18" s="61"/>
    </row>
    <row r="19" spans="2:15" x14ac:dyDescent="0.2">
      <c r="B19" t="s">
        <v>144</v>
      </c>
      <c r="H19" s="59">
        <v>4</v>
      </c>
      <c r="K19" s="61">
        <v>35</v>
      </c>
    </row>
    <row r="20" spans="2:15" x14ac:dyDescent="0.2">
      <c r="B20" t="s">
        <v>136</v>
      </c>
      <c r="H20" s="59">
        <v>0.6</v>
      </c>
      <c r="K20" s="61">
        <v>10</v>
      </c>
    </row>
    <row r="21" spans="2:15" x14ac:dyDescent="0.2">
      <c r="B21" t="s">
        <v>99</v>
      </c>
      <c r="H21" s="59">
        <f>(6.5/45)*K21</f>
        <v>5.7777777777777768</v>
      </c>
      <c r="K21" s="61">
        <v>40</v>
      </c>
      <c r="L21" t="s">
        <v>98</v>
      </c>
      <c r="M21" t="s">
        <v>98</v>
      </c>
      <c r="N21" t="s">
        <v>98</v>
      </c>
      <c r="O21" t="s">
        <v>98</v>
      </c>
    </row>
    <row r="22" spans="2:15" x14ac:dyDescent="0.2">
      <c r="B22" t="s">
        <v>119</v>
      </c>
      <c r="E22" t="s">
        <v>98</v>
      </c>
      <c r="H22" s="59">
        <f>(2/10)*K22</f>
        <v>1.4000000000000001</v>
      </c>
      <c r="K22" s="61">
        <v>7</v>
      </c>
    </row>
    <row r="23" spans="2:15" x14ac:dyDescent="0.2">
      <c r="B23" t="s">
        <v>86</v>
      </c>
      <c r="H23" s="59">
        <f>(1.9/9)*K23</f>
        <v>1.0555555555555556</v>
      </c>
      <c r="K23" s="61">
        <v>5</v>
      </c>
    </row>
    <row r="24" spans="2:15" x14ac:dyDescent="0.2">
      <c r="B24" t="s">
        <v>87</v>
      </c>
      <c r="H24" s="59">
        <f>(2.2/15)*K24</f>
        <v>1.4666666666666668</v>
      </c>
      <c r="K24" s="61">
        <v>10</v>
      </c>
    </row>
    <row r="25" spans="2:15" x14ac:dyDescent="0.2">
      <c r="B25" t="s">
        <v>112</v>
      </c>
      <c r="H25" s="59">
        <v>0.5</v>
      </c>
      <c r="K25" s="61">
        <v>2</v>
      </c>
    </row>
    <row r="26" spans="2:15" x14ac:dyDescent="0.2">
      <c r="B26" t="s">
        <v>111</v>
      </c>
      <c r="H26" s="59">
        <v>0.8</v>
      </c>
      <c r="K26" s="61">
        <v>4</v>
      </c>
    </row>
    <row r="27" spans="2:15" x14ac:dyDescent="0.2">
      <c r="B27" t="s">
        <v>138</v>
      </c>
      <c r="H27" s="59"/>
      <c r="K27" s="61"/>
    </row>
    <row r="28" spans="2:15" x14ac:dyDescent="0.2">
      <c r="C28" t="s">
        <v>100</v>
      </c>
      <c r="H28" s="59">
        <f>(6.2/37)*K28</f>
        <v>5.0270270270270272</v>
      </c>
      <c r="K28" s="61">
        <v>30</v>
      </c>
      <c r="L28">
        <v>5</v>
      </c>
      <c r="M28">
        <v>0.5</v>
      </c>
    </row>
    <row r="29" spans="2:15" x14ac:dyDescent="0.2">
      <c r="C29" t="s">
        <v>101</v>
      </c>
      <c r="H29" s="59">
        <f>(7.7/46)*K29</f>
        <v>6.1934782608695658</v>
      </c>
      <c r="K29" s="61">
        <v>37</v>
      </c>
      <c r="L29">
        <v>4</v>
      </c>
      <c r="M29">
        <v>0.5</v>
      </c>
    </row>
    <row r="30" spans="2:15" x14ac:dyDescent="0.2">
      <c r="C30" t="s">
        <v>102</v>
      </c>
      <c r="H30" s="59">
        <f>(4.4/26)*K30</f>
        <v>3.5538461538461541</v>
      </c>
      <c r="K30" s="61">
        <v>21</v>
      </c>
      <c r="L30">
        <v>4</v>
      </c>
      <c r="M30">
        <v>0.5</v>
      </c>
    </row>
    <row r="31" spans="2:15" x14ac:dyDescent="0.2">
      <c r="C31" t="s">
        <v>103</v>
      </c>
      <c r="H31" s="59">
        <f>(1.8/12)*K31</f>
        <v>1.5</v>
      </c>
      <c r="K31" s="61">
        <v>10</v>
      </c>
      <c r="L31">
        <v>4</v>
      </c>
      <c r="M31">
        <v>0.5</v>
      </c>
    </row>
    <row r="32" spans="2:15" x14ac:dyDescent="0.2">
      <c r="C32" t="s">
        <v>104</v>
      </c>
      <c r="H32" s="66">
        <f>(2.1/13)*K32</f>
        <v>1.6153846153846154</v>
      </c>
      <c r="K32" s="61">
        <v>10</v>
      </c>
      <c r="L32">
        <v>4</v>
      </c>
      <c r="M32">
        <v>0.5</v>
      </c>
    </row>
    <row r="33" spans="2:13" x14ac:dyDescent="0.2">
      <c r="C33" t="s">
        <v>105</v>
      </c>
      <c r="H33" s="59">
        <f>(2.7/16)*K33</f>
        <v>2.1937500000000001</v>
      </c>
      <c r="K33" s="61">
        <v>13</v>
      </c>
      <c r="L33">
        <v>4</v>
      </c>
      <c r="M33">
        <v>0.5</v>
      </c>
    </row>
    <row r="34" spans="2:13" x14ac:dyDescent="0.2">
      <c r="C34" t="s">
        <v>106</v>
      </c>
      <c r="H34" s="59">
        <f>(2.3/14)*K34</f>
        <v>1.8071428571428572</v>
      </c>
      <c r="K34" s="61">
        <v>11</v>
      </c>
      <c r="L34">
        <v>5</v>
      </c>
      <c r="M34">
        <v>0.5</v>
      </c>
    </row>
    <row r="35" spans="2:13" x14ac:dyDescent="0.2">
      <c r="C35" t="s">
        <v>107</v>
      </c>
      <c r="H35" s="59">
        <f>(2.3/14)*K35</f>
        <v>1.8071428571428572</v>
      </c>
      <c r="I35" s="7"/>
      <c r="J35" s="7"/>
      <c r="K35" s="61">
        <v>11</v>
      </c>
      <c r="L35" s="70">
        <v>6</v>
      </c>
      <c r="M35">
        <v>0.05</v>
      </c>
    </row>
    <row r="36" spans="2:13" x14ac:dyDescent="0.2">
      <c r="B36" t="s">
        <v>139</v>
      </c>
      <c r="H36" s="59">
        <f>(4.6/33)*K36</f>
        <v>3.4848484848484844</v>
      </c>
      <c r="I36" s="7"/>
      <c r="J36" s="7"/>
      <c r="K36" s="64">
        <v>25</v>
      </c>
    </row>
    <row r="37" spans="2:13" x14ac:dyDescent="0.2">
      <c r="B37" t="s">
        <v>109</v>
      </c>
      <c r="H37" s="59">
        <f>(1.4/12)*K37</f>
        <v>0.81666666666666654</v>
      </c>
      <c r="K37" s="64">
        <v>7</v>
      </c>
    </row>
    <row r="38" spans="2:13" x14ac:dyDescent="0.2">
      <c r="B38" t="s">
        <v>113</v>
      </c>
      <c r="H38" s="59">
        <f>(30/115)*K38</f>
        <v>15.652173913043478</v>
      </c>
      <c r="K38" s="64">
        <v>60</v>
      </c>
      <c r="L38" t="s">
        <v>98</v>
      </c>
      <c r="M38" t="s">
        <v>98</v>
      </c>
    </row>
    <row r="39" spans="2:13" x14ac:dyDescent="0.2">
      <c r="B39" t="s">
        <v>114</v>
      </c>
      <c r="H39" s="59">
        <f>((50.8/61)*K39)+5</f>
        <v>54.967213114754095</v>
      </c>
      <c r="K39" s="64">
        <v>60</v>
      </c>
    </row>
    <row r="40" spans="2:13" x14ac:dyDescent="0.2">
      <c r="B40" t="s">
        <v>115</v>
      </c>
      <c r="H40" s="59">
        <f>(6.7/25)*K40</f>
        <v>5.36</v>
      </c>
      <c r="K40" s="64">
        <v>20</v>
      </c>
    </row>
    <row r="41" spans="2:13" x14ac:dyDescent="0.2">
      <c r="B41" t="s">
        <v>92</v>
      </c>
      <c r="H41" s="59">
        <f>(6.3/44)*K41</f>
        <v>2.8636363636363638</v>
      </c>
      <c r="K41" s="64">
        <v>20</v>
      </c>
    </row>
    <row r="42" spans="2:13" x14ac:dyDescent="0.2">
      <c r="B42" t="s">
        <v>88</v>
      </c>
      <c r="H42" s="59">
        <v>10.5</v>
      </c>
      <c r="K42" s="64">
        <v>20</v>
      </c>
      <c r="L42" t="s">
        <v>98</v>
      </c>
      <c r="M42" t="s">
        <v>98</v>
      </c>
    </row>
    <row r="43" spans="2:13" x14ac:dyDescent="0.2">
      <c r="B43" t="s">
        <v>137</v>
      </c>
      <c r="H43" s="59">
        <f>((4.3+1+1)/39)*K43</f>
        <v>5.6538461538461542</v>
      </c>
      <c r="K43" s="64">
        <v>35</v>
      </c>
    </row>
    <row r="44" spans="2:13" x14ac:dyDescent="0.2">
      <c r="B44" t="s">
        <v>142</v>
      </c>
      <c r="H44" s="59">
        <f>9+2.4+2</f>
        <v>13.4</v>
      </c>
      <c r="K44" s="64"/>
      <c r="L44" t="s">
        <v>121</v>
      </c>
    </row>
    <row r="45" spans="2:13" x14ac:dyDescent="0.2">
      <c r="B45" t="s">
        <v>110</v>
      </c>
      <c r="H45" s="59"/>
      <c r="K45" s="64"/>
    </row>
    <row r="46" spans="2:13" x14ac:dyDescent="0.2">
      <c r="C46" t="s">
        <v>116</v>
      </c>
      <c r="H46" s="59">
        <v>5</v>
      </c>
      <c r="K46" s="64"/>
    </row>
    <row r="47" spans="2:13" x14ac:dyDescent="0.2">
      <c r="C47" t="s">
        <v>117</v>
      </c>
      <c r="H47" s="59">
        <v>1</v>
      </c>
      <c r="K47" s="64"/>
    </row>
    <row r="48" spans="2:13" x14ac:dyDescent="0.2">
      <c r="C48" t="s">
        <v>108</v>
      </c>
      <c r="H48" s="59">
        <v>1</v>
      </c>
      <c r="K48" s="64"/>
    </row>
    <row r="49" spans="2:12" x14ac:dyDescent="0.2">
      <c r="C49" t="s">
        <v>64</v>
      </c>
      <c r="H49" s="62">
        <v>0.6</v>
      </c>
      <c r="I49" s="7"/>
      <c r="J49" s="7"/>
      <c r="K49" s="71"/>
    </row>
    <row r="50" spans="2:12" x14ac:dyDescent="0.2">
      <c r="B50" s="32" t="s">
        <v>141</v>
      </c>
      <c r="H50" s="68">
        <f>SUM(H18:H49)</f>
        <v>159.59615646820831</v>
      </c>
      <c r="I50" s="7"/>
      <c r="J50" s="7"/>
      <c r="K50" s="68">
        <f>SUM(K18:K49)</f>
        <v>503</v>
      </c>
      <c r="L50" s="7"/>
    </row>
    <row r="51" spans="2:12" hidden="1" x14ac:dyDescent="0.2">
      <c r="B51" t="s">
        <v>120</v>
      </c>
      <c r="H51" s="65">
        <v>0</v>
      </c>
      <c r="I51" s="7"/>
      <c r="J51" s="7"/>
      <c r="K51" s="72"/>
      <c r="L51" s="7"/>
    </row>
    <row r="52" spans="2:12" hidden="1" x14ac:dyDescent="0.2">
      <c r="H52" s="65"/>
      <c r="I52" s="7"/>
      <c r="J52" s="7"/>
      <c r="K52" s="72"/>
      <c r="L52" s="7"/>
    </row>
    <row r="53" spans="2:12" hidden="1" x14ac:dyDescent="0.2">
      <c r="B53" t="s">
        <v>13</v>
      </c>
      <c r="H53" s="65"/>
      <c r="I53" s="7"/>
      <c r="J53" s="7"/>
      <c r="K53" s="72"/>
      <c r="L53" s="7"/>
    </row>
    <row r="54" spans="2:12" hidden="1" x14ac:dyDescent="0.2">
      <c r="H54" s="65"/>
      <c r="I54" s="7"/>
      <c r="J54" s="7"/>
      <c r="K54" s="72"/>
      <c r="L54" s="7"/>
    </row>
    <row r="55" spans="2:12" x14ac:dyDescent="0.2">
      <c r="H55" s="7"/>
      <c r="I55" s="7"/>
      <c r="J55" s="7"/>
      <c r="K55" s="7"/>
      <c r="L55" s="7"/>
    </row>
    <row r="56" spans="2:12" x14ac:dyDescent="0.2">
      <c r="B56" s="32" t="s">
        <v>143</v>
      </c>
      <c r="H56" s="68">
        <f>H50+H17</f>
        <v>181.19696843402028</v>
      </c>
      <c r="I56" s="7"/>
      <c r="J56" s="7"/>
      <c r="K56" s="74">
        <f>K50+K17</f>
        <v>608</v>
      </c>
      <c r="L56" s="7"/>
    </row>
    <row r="57" spans="2:12" x14ac:dyDescent="0.2">
      <c r="H57" s="7"/>
      <c r="I57" s="7"/>
      <c r="J57" s="7"/>
      <c r="K57" s="7"/>
      <c r="L57" s="7"/>
    </row>
    <row r="58" spans="2:12" x14ac:dyDescent="0.2">
      <c r="B58" s="32" t="s">
        <v>97</v>
      </c>
      <c r="D58" s="32" t="s">
        <v>98</v>
      </c>
      <c r="H58" s="68">
        <f>G17-H56</f>
        <v>468.80303156597972</v>
      </c>
      <c r="I58" s="73"/>
      <c r="J58" s="7"/>
      <c r="K58" s="16"/>
      <c r="L58" s="7"/>
    </row>
    <row r="59" spans="2:12" x14ac:dyDescent="0.2">
      <c r="F59" s="7"/>
      <c r="G59" s="65"/>
      <c r="H59" s="65"/>
      <c r="K59" s="65"/>
    </row>
    <row r="60" spans="2:12" x14ac:dyDescent="0.2">
      <c r="B60" t="s">
        <v>123</v>
      </c>
      <c r="G60" s="7"/>
      <c r="H60" s="7"/>
      <c r="I60" s="7"/>
      <c r="J60" s="7"/>
      <c r="K60" s="7"/>
    </row>
    <row r="61" spans="2:12" x14ac:dyDescent="0.2">
      <c r="B61" t="s">
        <v>124</v>
      </c>
      <c r="G61" s="7"/>
    </row>
    <row r="62" spans="2:12" x14ac:dyDescent="0.2">
      <c r="B62" t="s">
        <v>125</v>
      </c>
      <c r="G62" s="7"/>
    </row>
    <row r="63" spans="2:12" x14ac:dyDescent="0.2">
      <c r="B63" t="s">
        <v>126</v>
      </c>
      <c r="G63" s="7"/>
    </row>
  </sheetData>
  <mergeCells count="1">
    <mergeCell ref="G4:H4"/>
  </mergeCells>
  <phoneticPr fontId="0" type="noConversion"/>
  <pageMargins left="0.52" right="0.46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4" hidden="1" customWidth="1"/>
    <col min="12" max="12" width="10.85546875" style="24" hidden="1" customWidth="1"/>
    <col min="13" max="13" width="11.42578125" style="24" hidden="1" customWidth="1"/>
    <col min="14" max="14" width="0" hidden="1" customWidth="1"/>
  </cols>
  <sheetData>
    <row r="1" spans="1:45" ht="18" x14ac:dyDescent="0.25">
      <c r="B1" s="79" t="str">
        <f>'[1]Team Report'!B1</f>
        <v>Enron North America</v>
      </c>
      <c r="C1" s="79"/>
      <c r="D1" s="79"/>
      <c r="E1" s="79"/>
      <c r="F1" s="79"/>
      <c r="G1" s="1"/>
      <c r="H1" s="1"/>
      <c r="I1" s="1"/>
      <c r="J1" s="1"/>
      <c r="K1" s="37"/>
      <c r="L1" s="37"/>
      <c r="M1" s="3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79" t="s">
        <v>64</v>
      </c>
      <c r="C2" s="79"/>
      <c r="D2" s="79"/>
      <c r="E2" s="79"/>
      <c r="F2" s="79"/>
      <c r="G2" s="1"/>
      <c r="H2" s="1"/>
      <c r="I2" s="1"/>
      <c r="J2" s="1"/>
      <c r="K2" s="37"/>
      <c r="L2" s="37"/>
      <c r="M2" s="3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80" t="s">
        <v>0</v>
      </c>
      <c r="C3" s="80"/>
      <c r="D3" s="80"/>
      <c r="E3" s="80"/>
      <c r="F3" s="80"/>
      <c r="G3" s="2"/>
      <c r="H3" s="2"/>
      <c r="I3" s="2"/>
      <c r="J3" s="2"/>
      <c r="K3" s="37"/>
      <c r="L3" s="37"/>
      <c r="M3" s="3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">
      <c r="J4" s="3"/>
      <c r="K4" s="4"/>
      <c r="L4" s="4"/>
      <c r="M4" s="5"/>
    </row>
    <row r="5" spans="1:45" x14ac:dyDescent="0.2">
      <c r="J5" s="6"/>
      <c r="K5" s="7" t="s">
        <v>1</v>
      </c>
      <c r="L5" s="7" t="s">
        <v>2</v>
      </c>
      <c r="M5" s="8" t="s">
        <v>3</v>
      </c>
    </row>
    <row r="6" spans="1:45" x14ac:dyDescent="0.2">
      <c r="C6" s="9">
        <v>37135</v>
      </c>
      <c r="E6" s="9">
        <v>37135</v>
      </c>
      <c r="F6" s="41" t="s">
        <v>61</v>
      </c>
      <c r="J6" s="6"/>
      <c r="K6" s="7"/>
      <c r="L6" s="7"/>
      <c r="M6" s="8"/>
      <c r="O6" s="41" t="s">
        <v>61</v>
      </c>
    </row>
    <row r="7" spans="1:45" x14ac:dyDescent="0.2">
      <c r="C7" s="11" t="s">
        <v>4</v>
      </c>
      <c r="E7" s="11" t="s">
        <v>65</v>
      </c>
      <c r="F7" s="11" t="s">
        <v>6</v>
      </c>
      <c r="J7" s="6"/>
      <c r="K7" s="7"/>
      <c r="L7" s="7"/>
      <c r="M7" s="8"/>
      <c r="O7" s="11" t="s">
        <v>6</v>
      </c>
    </row>
    <row r="8" spans="1:45" x14ac:dyDescent="0.2">
      <c r="A8" s="12" t="s">
        <v>7</v>
      </c>
      <c r="B8" s="13" t="s">
        <v>8</v>
      </c>
      <c r="C8" s="45">
        <f>'[1]Team Report'!BA25</f>
        <v>875383.82000000007</v>
      </c>
      <c r="E8" s="14">
        <f>(C8/9)*12</f>
        <v>1167178.4266666668</v>
      </c>
      <c r="F8" s="14">
        <f>M17+M23+M24</f>
        <v>328800</v>
      </c>
      <c r="J8" s="6" t="s">
        <v>8</v>
      </c>
      <c r="K8" s="16">
        <v>0</v>
      </c>
      <c r="L8" s="7"/>
      <c r="M8" s="17">
        <f>M28</f>
        <v>394560</v>
      </c>
      <c r="O8" s="14">
        <f>+F8/$F$29*$O$29</f>
        <v>109600</v>
      </c>
    </row>
    <row r="9" spans="1:45" x14ac:dyDescent="0.2">
      <c r="A9" s="12"/>
      <c r="B9" s="13" t="s">
        <v>9</v>
      </c>
      <c r="C9" s="14">
        <v>0</v>
      </c>
      <c r="E9" s="14">
        <f>(C9/9)*12</f>
        <v>0</v>
      </c>
      <c r="F9" s="14"/>
      <c r="J9" s="6"/>
      <c r="K9" s="7"/>
      <c r="L9" s="7"/>
      <c r="M9" s="8"/>
      <c r="O9" s="14">
        <f t="shared" ref="O9:O22" si="0">+F9/$F$29*$O$29</f>
        <v>0</v>
      </c>
    </row>
    <row r="10" spans="1:45" x14ac:dyDescent="0.2">
      <c r="A10" s="12"/>
      <c r="B10" s="13" t="s">
        <v>66</v>
      </c>
      <c r="C10" s="14">
        <v>0</v>
      </c>
      <c r="E10" s="14">
        <f>(C10/9)*12</f>
        <v>0</v>
      </c>
      <c r="F10" s="14"/>
      <c r="J10" s="6"/>
      <c r="K10" s="7"/>
      <c r="L10" s="7"/>
      <c r="M10" s="8"/>
      <c r="O10" s="14">
        <f t="shared" si="0"/>
        <v>0</v>
      </c>
    </row>
    <row r="11" spans="1:45" x14ac:dyDescent="0.2">
      <c r="A11" s="12" t="s">
        <v>11</v>
      </c>
      <c r="B11" s="13" t="s">
        <v>12</v>
      </c>
      <c r="C11" s="14">
        <f>'[1]Team Report'!BA26</f>
        <v>1391356.79</v>
      </c>
      <c r="E11" s="14">
        <f>(C11/9)*12</f>
        <v>1855142.3866666667</v>
      </c>
      <c r="F11" s="20">
        <f>F8*0.2</f>
        <v>65760</v>
      </c>
      <c r="J11" s="6" t="s">
        <v>13</v>
      </c>
      <c r="K11" s="18">
        <f>(E12+E13+E14+E15+E16+E17+E18+E19+E20+E21+E22)/E29</f>
        <v>89201.893000000011</v>
      </c>
      <c r="L11" s="7">
        <f>L28</f>
        <v>3</v>
      </c>
      <c r="M11" s="17">
        <f>K11*L11</f>
        <v>267605.679</v>
      </c>
      <c r="O11" s="14">
        <f t="shared" si="0"/>
        <v>21920</v>
      </c>
    </row>
    <row r="12" spans="1:45" x14ac:dyDescent="0.2">
      <c r="A12" s="12" t="s">
        <v>14</v>
      </c>
      <c r="B12" s="13" t="s">
        <v>15</v>
      </c>
      <c r="C12" s="14">
        <f>'[1]Team Report'!BA27</f>
        <v>346014.38</v>
      </c>
      <c r="E12" s="19">
        <f t="shared" ref="E12:E22" si="1">(C12/9)*12*1.2</f>
        <v>553623.00800000003</v>
      </c>
      <c r="F12" s="20">
        <f t="shared" ref="F12:F22" si="2">E12/$E$25*$L$11</f>
        <v>103804.31400000001</v>
      </c>
      <c r="J12" s="6"/>
      <c r="K12" s="7"/>
      <c r="L12" s="7"/>
      <c r="M12" s="8"/>
      <c r="O12" s="14">
        <f t="shared" si="0"/>
        <v>34601.438000000002</v>
      </c>
    </row>
    <row r="13" spans="1:45" ht="13.5" thickBot="1" x14ac:dyDescent="0.25">
      <c r="A13" s="12" t="s">
        <v>16</v>
      </c>
      <c r="B13" s="13" t="s">
        <v>17</v>
      </c>
      <c r="C13" s="14">
        <f>'[1]Team Report'!BA28</f>
        <v>254648.69</v>
      </c>
      <c r="E13" s="19">
        <f t="shared" si="1"/>
        <v>407437.90399999998</v>
      </c>
      <c r="F13" s="20">
        <f t="shared" si="2"/>
        <v>76394.606999999989</v>
      </c>
      <c r="J13" s="21" t="s">
        <v>18</v>
      </c>
      <c r="K13" s="22"/>
      <c r="L13" s="22"/>
      <c r="M13" s="23">
        <f>M8+M11</f>
        <v>662165.679</v>
      </c>
      <c r="N13">
        <f>551805*1.2</f>
        <v>662166</v>
      </c>
      <c r="O13" s="14">
        <f t="shared" si="0"/>
        <v>25464.868999999995</v>
      </c>
    </row>
    <row r="14" spans="1:45" x14ac:dyDescent="0.2">
      <c r="A14" s="12" t="s">
        <v>19</v>
      </c>
      <c r="B14" s="13" t="s">
        <v>20</v>
      </c>
      <c r="C14" s="14">
        <f>'[1]Team Report'!BA32-C39</f>
        <v>-0.26000000000931323</v>
      </c>
      <c r="E14" s="19">
        <f t="shared" si="1"/>
        <v>-0.41600000001490117</v>
      </c>
      <c r="F14" s="20">
        <f t="shared" si="2"/>
        <v>-7.8000000002793973E-2</v>
      </c>
      <c r="I14" s="46">
        <f>N13-F23</f>
        <v>0.32099999999627471</v>
      </c>
      <c r="K14"/>
      <c r="L14"/>
      <c r="M14"/>
      <c r="O14" s="14">
        <f t="shared" si="0"/>
        <v>-2.6000000000931323E-2</v>
      </c>
    </row>
    <row r="15" spans="1:45" x14ac:dyDescent="0.2">
      <c r="A15" s="12" t="s">
        <v>21</v>
      </c>
      <c r="B15" s="13" t="s">
        <v>22</v>
      </c>
      <c r="C15" s="14">
        <f>'[1]Team Report'!BA33</f>
        <v>18696.41</v>
      </c>
      <c r="E15" s="19">
        <f t="shared" si="1"/>
        <v>29914.256000000001</v>
      </c>
      <c r="F15" s="20">
        <f t="shared" si="2"/>
        <v>5608.9230000000007</v>
      </c>
      <c r="K15" s="24">
        <v>1.2</v>
      </c>
      <c r="L15"/>
      <c r="M15"/>
      <c r="O15" s="14">
        <f t="shared" si="0"/>
        <v>1869.6410000000003</v>
      </c>
    </row>
    <row r="16" spans="1:45" x14ac:dyDescent="0.2">
      <c r="A16" s="12" t="s">
        <v>23</v>
      </c>
      <c r="B16" s="13" t="s">
        <v>24</v>
      </c>
      <c r="C16" s="14">
        <f>'[1]Team Report'!BA34</f>
        <v>0</v>
      </c>
      <c r="E16" s="19">
        <f t="shared" si="1"/>
        <v>0</v>
      </c>
      <c r="F16" s="20">
        <f t="shared" si="2"/>
        <v>0</v>
      </c>
      <c r="J16" t="s">
        <v>25</v>
      </c>
      <c r="K16" s="24">
        <v>33600</v>
      </c>
      <c r="L16">
        <v>0</v>
      </c>
      <c r="M16" s="24">
        <f t="shared" ref="M16:M27" si="3">K16*L16</f>
        <v>0</v>
      </c>
      <c r="O16" s="14">
        <f t="shared" si="0"/>
        <v>0</v>
      </c>
    </row>
    <row r="17" spans="1:15" x14ac:dyDescent="0.2">
      <c r="A17" s="12" t="s">
        <v>26</v>
      </c>
      <c r="B17" s="13" t="s">
        <v>27</v>
      </c>
      <c r="C17" s="14">
        <f>'[1]Team Report'!BA35</f>
        <v>0</v>
      </c>
      <c r="E17" s="19">
        <f t="shared" si="1"/>
        <v>0</v>
      </c>
      <c r="F17" s="20">
        <f t="shared" si="2"/>
        <v>0</v>
      </c>
      <c r="J17" t="s">
        <v>28</v>
      </c>
      <c r="K17" s="24">
        <v>52800</v>
      </c>
      <c r="L17">
        <v>1</v>
      </c>
      <c r="M17" s="24">
        <f t="shared" si="3"/>
        <v>52800</v>
      </c>
      <c r="O17" s="14">
        <f t="shared" si="0"/>
        <v>0</v>
      </c>
    </row>
    <row r="18" spans="1:15" x14ac:dyDescent="0.2">
      <c r="A18" s="12" t="s">
        <v>29</v>
      </c>
      <c r="B18" s="13" t="s">
        <v>30</v>
      </c>
      <c r="C18" s="14">
        <f>'[1]Team Report'!BA36</f>
        <v>101842.32</v>
      </c>
      <c r="E18" s="19">
        <f t="shared" si="1"/>
        <v>162947.712</v>
      </c>
      <c r="F18" s="20">
        <f t="shared" si="2"/>
        <v>30552.696</v>
      </c>
      <c r="J18" t="s">
        <v>31</v>
      </c>
      <c r="K18" s="24">
        <v>54000</v>
      </c>
      <c r="L18">
        <v>0</v>
      </c>
      <c r="M18" s="24">
        <f t="shared" si="3"/>
        <v>0</v>
      </c>
      <c r="O18" s="14">
        <f t="shared" si="0"/>
        <v>10184.232</v>
      </c>
    </row>
    <row r="19" spans="1:15" x14ac:dyDescent="0.2">
      <c r="A19" s="12" t="s">
        <v>32</v>
      </c>
      <c r="B19" s="13" t="s">
        <v>33</v>
      </c>
      <c r="C19" s="14">
        <f>'[1]Team Report'!BA37</f>
        <v>8504.1700000000019</v>
      </c>
      <c r="E19" s="19">
        <f t="shared" si="1"/>
        <v>13606.672000000002</v>
      </c>
      <c r="F19" s="20">
        <f t="shared" si="2"/>
        <v>2551.2510000000002</v>
      </c>
      <c r="J19" t="s">
        <v>34</v>
      </c>
      <c r="K19" s="24">
        <v>63000</v>
      </c>
      <c r="L19">
        <v>0</v>
      </c>
      <c r="M19" s="24">
        <f t="shared" si="3"/>
        <v>0</v>
      </c>
      <c r="O19" s="14">
        <f t="shared" si="0"/>
        <v>850.41700000000003</v>
      </c>
    </row>
    <row r="20" spans="1:15" x14ac:dyDescent="0.2">
      <c r="A20" s="12" t="s">
        <v>35</v>
      </c>
      <c r="B20" s="13" t="s">
        <v>36</v>
      </c>
      <c r="C20" s="14">
        <f>'[1]Team Report'!BA38</f>
        <v>299.52</v>
      </c>
      <c r="E20" s="19">
        <f t="shared" si="1"/>
        <v>479.23199999999997</v>
      </c>
      <c r="F20" s="20">
        <f t="shared" si="2"/>
        <v>89.855999999999995</v>
      </c>
      <c r="J20" t="s">
        <v>37</v>
      </c>
      <c r="K20" s="24">
        <v>78000</v>
      </c>
      <c r="L20">
        <v>0</v>
      </c>
      <c r="M20" s="24">
        <f t="shared" si="3"/>
        <v>0</v>
      </c>
      <c r="O20" s="14">
        <f t="shared" si="0"/>
        <v>29.951999999999998</v>
      </c>
    </row>
    <row r="21" spans="1:15" x14ac:dyDescent="0.2">
      <c r="A21" s="12" t="s">
        <v>38</v>
      </c>
      <c r="B21" s="13" t="s">
        <v>39</v>
      </c>
      <c r="C21" s="14">
        <f>'[1]Team Report'!BA42-C40</f>
        <v>-0.40000000002328306</v>
      </c>
      <c r="E21" s="19">
        <f t="shared" si="1"/>
        <v>-0.64000000003725299</v>
      </c>
      <c r="F21" s="20">
        <f t="shared" si="2"/>
        <v>-0.12000000000698494</v>
      </c>
      <c r="J21" t="s">
        <v>40</v>
      </c>
      <c r="K21" s="24">
        <v>66000</v>
      </c>
      <c r="L21">
        <v>0</v>
      </c>
      <c r="M21" s="24">
        <f t="shared" si="3"/>
        <v>0</v>
      </c>
      <c r="O21" s="14">
        <f t="shared" si="0"/>
        <v>-4.0000000002328312E-2</v>
      </c>
    </row>
    <row r="22" spans="1:15" x14ac:dyDescent="0.2">
      <c r="A22" s="12" t="s">
        <v>41</v>
      </c>
      <c r="B22" s="13" t="s">
        <v>42</v>
      </c>
      <c r="C22" s="14">
        <f>'[1]Team Report'!BA44</f>
        <v>162014.10000000003</v>
      </c>
      <c r="E22" s="19">
        <f t="shared" si="1"/>
        <v>259222.56000000006</v>
      </c>
      <c r="F22" s="20">
        <f t="shared" si="2"/>
        <v>48604.23000000001</v>
      </c>
      <c r="J22" t="s">
        <v>43</v>
      </c>
      <c r="K22" s="24">
        <v>97200</v>
      </c>
      <c r="L22">
        <v>0</v>
      </c>
      <c r="M22" s="24">
        <f t="shared" si="3"/>
        <v>0</v>
      </c>
      <c r="O22" s="14">
        <f t="shared" si="0"/>
        <v>16201.410000000003</v>
      </c>
    </row>
    <row r="23" spans="1:15" ht="13.5" thickBot="1" x14ac:dyDescent="0.25">
      <c r="A23" s="25" t="s">
        <v>44</v>
      </c>
      <c r="B23" s="26" t="s">
        <v>45</v>
      </c>
      <c r="C23" s="27">
        <f>SUM(C8:C22)</f>
        <v>3158759.54</v>
      </c>
      <c r="E23" s="27">
        <f>SUM(E8:E22)</f>
        <v>4449551.1013333332</v>
      </c>
      <c r="F23" s="27">
        <f>SUM(F8:F22)</f>
        <v>662165.679</v>
      </c>
      <c r="J23" t="s">
        <v>46</v>
      </c>
      <c r="K23" s="24">
        <v>120000</v>
      </c>
      <c r="L23">
        <v>1</v>
      </c>
      <c r="M23" s="24">
        <f t="shared" si="3"/>
        <v>120000</v>
      </c>
      <c r="O23" s="50">
        <f>SUM(O8:O22)</f>
        <v>220721.89299999995</v>
      </c>
    </row>
    <row r="24" spans="1:15" x14ac:dyDescent="0.2">
      <c r="J24" t="s">
        <v>47</v>
      </c>
      <c r="K24" s="24">
        <v>156000</v>
      </c>
      <c r="L24">
        <v>1</v>
      </c>
      <c r="M24" s="24">
        <f t="shared" si="3"/>
        <v>156000</v>
      </c>
    </row>
    <row r="25" spans="1:15" x14ac:dyDescent="0.2">
      <c r="B25" s="26" t="s">
        <v>48</v>
      </c>
      <c r="C25" s="47"/>
      <c r="E25" s="47">
        <v>16</v>
      </c>
      <c r="F25" s="47">
        <v>3</v>
      </c>
      <c r="J25" t="s">
        <v>49</v>
      </c>
      <c r="K25" s="24">
        <v>180000</v>
      </c>
      <c r="L25">
        <v>0</v>
      </c>
      <c r="M25" s="24">
        <f t="shared" si="3"/>
        <v>0</v>
      </c>
      <c r="O25" s="30">
        <f>SUM(U16:U20,U23:U27)</f>
        <v>0</v>
      </c>
    </row>
    <row r="26" spans="1:15" x14ac:dyDescent="0.2">
      <c r="J26" t="s">
        <v>50</v>
      </c>
      <c r="K26" s="24">
        <v>216000</v>
      </c>
      <c r="L26">
        <v>0</v>
      </c>
      <c r="M26" s="24">
        <f t="shared" si="3"/>
        <v>0</v>
      </c>
      <c r="O26" s="14"/>
    </row>
    <row r="27" spans="1:15" x14ac:dyDescent="0.2">
      <c r="B27" s="26" t="s">
        <v>63</v>
      </c>
      <c r="C27" s="47"/>
      <c r="E27" s="47"/>
      <c r="F27" s="47"/>
      <c r="J27" t="s">
        <v>52</v>
      </c>
      <c r="K27" s="24">
        <v>240000</v>
      </c>
      <c r="L27">
        <v>0</v>
      </c>
      <c r="M27" s="24">
        <f t="shared" si="3"/>
        <v>0</v>
      </c>
      <c r="O27" s="30">
        <f>SUM(U21:U22)</f>
        <v>0</v>
      </c>
    </row>
    <row r="28" spans="1:15" x14ac:dyDescent="0.2">
      <c r="K28"/>
      <c r="L28">
        <f>SUM(L16:L27)</f>
        <v>3</v>
      </c>
      <c r="M28" s="24">
        <f>SUM(M16:M27)*1.2</f>
        <v>394560</v>
      </c>
    </row>
    <row r="29" spans="1:15" x14ac:dyDescent="0.2">
      <c r="B29" s="26" t="s">
        <v>53</v>
      </c>
      <c r="C29" s="47"/>
      <c r="E29" s="47">
        <f>SUM(E25:E28)</f>
        <v>16</v>
      </c>
      <c r="F29" s="47">
        <f>SUM(F25:F28)</f>
        <v>3</v>
      </c>
      <c r="O29" s="30">
        <v>1</v>
      </c>
    </row>
    <row r="30" spans="1:15" x14ac:dyDescent="0.2">
      <c r="B30" s="26"/>
    </row>
    <row r="31" spans="1:15" hidden="1" x14ac:dyDescent="0.2">
      <c r="A31" s="12" t="s">
        <v>67</v>
      </c>
      <c r="B31" s="13" t="s">
        <v>68</v>
      </c>
      <c r="C31" s="14">
        <f>'[1]Team Report'!BA29</f>
        <v>219222.49</v>
      </c>
      <c r="E31" s="14">
        <f t="shared" ref="E31:E39" si="4">(C31/9)*12</f>
        <v>292296.65333333332</v>
      </c>
      <c r="F31" s="14"/>
      <c r="I31" s="32" t="s">
        <v>54</v>
      </c>
      <c r="J31" s="24"/>
      <c r="M31"/>
    </row>
    <row r="32" spans="1:15" hidden="1" x14ac:dyDescent="0.2">
      <c r="A32" s="12" t="s">
        <v>69</v>
      </c>
      <c r="B32" s="13" t="s">
        <v>70</v>
      </c>
      <c r="C32" s="14">
        <f>'[1]Team Report'!BA30</f>
        <v>0</v>
      </c>
      <c r="E32" s="14">
        <f t="shared" si="4"/>
        <v>0</v>
      </c>
      <c r="F32" s="14"/>
      <c r="J32" s="24"/>
      <c r="M32"/>
    </row>
    <row r="33" spans="1:13" hidden="1" x14ac:dyDescent="0.2">
      <c r="A33" s="12" t="s">
        <v>71</v>
      </c>
      <c r="B33" s="13" t="s">
        <v>72</v>
      </c>
      <c r="C33" s="14">
        <f>'[1]Team Report'!BA31</f>
        <v>0</v>
      </c>
      <c r="E33" s="14">
        <f t="shared" si="4"/>
        <v>0</v>
      </c>
      <c r="F33" s="14"/>
      <c r="I33" s="33" t="s">
        <v>55</v>
      </c>
      <c r="J33" s="34" t="s">
        <v>56</v>
      </c>
      <c r="K33" s="34" t="s">
        <v>57</v>
      </c>
      <c r="L33" s="34" t="s">
        <v>2</v>
      </c>
      <c r="M33" s="34" t="s">
        <v>58</v>
      </c>
    </row>
    <row r="34" spans="1:13" hidden="1" x14ac:dyDescent="0.2">
      <c r="A34" s="12" t="s">
        <v>73</v>
      </c>
      <c r="B34" s="13" t="s">
        <v>74</v>
      </c>
      <c r="C34" s="14">
        <f>'[1]Team Report'!BA39</f>
        <v>0</v>
      </c>
      <c r="E34" s="14">
        <f t="shared" si="4"/>
        <v>0</v>
      </c>
      <c r="F34" s="14"/>
      <c r="I34" s="35">
        <f>SUM(E12:E22)</f>
        <v>1427230.2880000002</v>
      </c>
      <c r="J34" s="48">
        <f>+E29</f>
        <v>16</v>
      </c>
      <c r="K34" s="36">
        <f>+I34/J34</f>
        <v>89201.893000000011</v>
      </c>
      <c r="L34" s="36">
        <v>3</v>
      </c>
      <c r="M34" s="36">
        <f>+K34*L34</f>
        <v>267605.679</v>
      </c>
    </row>
    <row r="35" spans="1:13" hidden="1" x14ac:dyDescent="0.2">
      <c r="A35" s="12" t="s">
        <v>75</v>
      </c>
      <c r="B35" s="13" t="s">
        <v>76</v>
      </c>
      <c r="C35" s="14">
        <f>'[1]Team Report'!BA40</f>
        <v>70087.89999999998</v>
      </c>
      <c r="E35" s="14">
        <f t="shared" si="4"/>
        <v>93450.533333333296</v>
      </c>
      <c r="F35" s="14"/>
    </row>
    <row r="36" spans="1:13" hidden="1" x14ac:dyDescent="0.2">
      <c r="A36" s="12" t="s">
        <v>77</v>
      </c>
      <c r="B36" s="13" t="s">
        <v>78</v>
      </c>
      <c r="C36" s="14">
        <f>'[1]Team Report'!BA41</f>
        <v>13379</v>
      </c>
      <c r="E36" s="14">
        <f t="shared" si="4"/>
        <v>17838.666666666668</v>
      </c>
      <c r="F36" s="14"/>
    </row>
    <row r="37" spans="1:13" hidden="1" x14ac:dyDescent="0.2">
      <c r="A37" s="12" t="s">
        <v>79</v>
      </c>
      <c r="B37" s="13" t="s">
        <v>80</v>
      </c>
      <c r="C37" s="14">
        <f>'[1]Team Report'!BA43</f>
        <v>0</v>
      </c>
      <c r="E37" s="14">
        <f t="shared" si="4"/>
        <v>0</v>
      </c>
      <c r="F37" s="14"/>
    </row>
    <row r="38" spans="1:13" hidden="1" x14ac:dyDescent="0.2">
      <c r="A38" s="12" t="s">
        <v>81</v>
      </c>
      <c r="B38" s="13" t="s">
        <v>82</v>
      </c>
      <c r="C38" s="14">
        <f>'[1]Team Report'!BA45</f>
        <v>0</v>
      </c>
      <c r="E38" s="14">
        <f t="shared" si="4"/>
        <v>0</v>
      </c>
      <c r="F38" s="14"/>
    </row>
    <row r="39" spans="1:13" hidden="1" x14ac:dyDescent="0.2">
      <c r="B39" s="13" t="s">
        <v>20</v>
      </c>
      <c r="C39" s="14">
        <v>338678</v>
      </c>
      <c r="E39" s="14">
        <f t="shared" si="4"/>
        <v>451570.66666666669</v>
      </c>
      <c r="F39" s="14"/>
    </row>
    <row r="40" spans="1:13" hidden="1" x14ac:dyDescent="0.2">
      <c r="B40" s="13" t="s">
        <v>39</v>
      </c>
      <c r="C40" s="14">
        <v>434791</v>
      </c>
      <c r="E40" s="14"/>
      <c r="F40" s="14"/>
    </row>
    <row r="41" spans="1:13" hidden="1" x14ac:dyDescent="0.2"/>
    <row r="42" spans="1:13" hidden="1" x14ac:dyDescent="0.2"/>
    <row r="44" spans="1:13" x14ac:dyDescent="0.2">
      <c r="C44" s="46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zoomScaleNormal="100" workbookViewId="0">
      <selection activeCell="O6" sqref="O6:O29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</cols>
  <sheetData>
    <row r="1" spans="1:15" ht="18" x14ac:dyDescent="0.25">
      <c r="B1" s="79" t="str">
        <f>'[2]Team Report'!B1</f>
        <v>Enron North America</v>
      </c>
      <c r="C1" s="79"/>
      <c r="D1" s="81"/>
      <c r="E1" s="81"/>
      <c r="F1" s="81"/>
      <c r="G1" s="81"/>
      <c r="H1" s="1"/>
      <c r="I1" s="1"/>
      <c r="J1" s="1"/>
      <c r="K1" s="1"/>
      <c r="L1" s="1"/>
      <c r="M1" s="1"/>
    </row>
    <row r="2" spans="1:15" ht="18" x14ac:dyDescent="0.25">
      <c r="B2" s="79" t="s">
        <v>89</v>
      </c>
      <c r="C2" s="79"/>
      <c r="D2" s="81"/>
      <c r="E2" s="81"/>
      <c r="F2" s="81"/>
      <c r="G2" s="81"/>
      <c r="H2" s="1"/>
      <c r="I2" s="1"/>
      <c r="J2" s="1"/>
      <c r="K2" s="1"/>
      <c r="L2" s="1"/>
      <c r="M2" s="1"/>
    </row>
    <row r="3" spans="1:15" ht="18" x14ac:dyDescent="0.25">
      <c r="B3" s="79" t="s">
        <v>0</v>
      </c>
      <c r="C3" s="79"/>
      <c r="D3" s="81"/>
      <c r="E3" s="81"/>
      <c r="F3" s="81"/>
      <c r="G3" s="81"/>
      <c r="H3" s="2"/>
      <c r="I3" s="2"/>
      <c r="J3" s="2"/>
      <c r="K3" s="2"/>
      <c r="L3" s="2"/>
      <c r="M3" s="2"/>
    </row>
    <row r="4" spans="1:15" ht="13.5" thickBot="1" x14ac:dyDescent="0.25"/>
    <row r="5" spans="1:15" x14ac:dyDescent="0.2">
      <c r="J5" s="3"/>
      <c r="K5" s="38"/>
      <c r="L5" s="38"/>
      <c r="M5" s="39"/>
    </row>
    <row r="6" spans="1:15" x14ac:dyDescent="0.2">
      <c r="C6" s="9">
        <v>37135</v>
      </c>
      <c r="E6" s="10">
        <v>2001</v>
      </c>
      <c r="F6" s="10"/>
      <c r="G6" s="10">
        <v>2002</v>
      </c>
      <c r="J6" s="6"/>
      <c r="K6" s="18" t="s">
        <v>1</v>
      </c>
      <c r="L6" s="18" t="s">
        <v>2</v>
      </c>
      <c r="M6" s="53" t="s">
        <v>85</v>
      </c>
      <c r="O6" s="10">
        <v>2002</v>
      </c>
    </row>
    <row r="7" spans="1:15" x14ac:dyDescent="0.2">
      <c r="C7" s="11" t="s">
        <v>4</v>
      </c>
      <c r="E7" s="11" t="s">
        <v>5</v>
      </c>
      <c r="F7" s="11"/>
      <c r="G7" s="11" t="s">
        <v>6</v>
      </c>
      <c r="H7" s="32"/>
      <c r="J7" s="6"/>
      <c r="K7" s="16"/>
      <c r="L7" s="16"/>
      <c r="M7" s="40"/>
      <c r="O7" s="11" t="s">
        <v>6</v>
      </c>
    </row>
    <row r="8" spans="1:15" x14ac:dyDescent="0.2">
      <c r="A8" s="12" t="s">
        <v>7</v>
      </c>
      <c r="B8" s="13" t="s">
        <v>8</v>
      </c>
      <c r="C8" s="14">
        <f>'[2]Team Report'!BA25</f>
        <v>17469588.960000001</v>
      </c>
      <c r="E8" s="14">
        <f t="shared" ref="E8:E22" si="0">+C8/9*12</f>
        <v>23292785.280000001</v>
      </c>
      <c r="F8" s="14"/>
      <c r="G8" s="14">
        <f>SUM(M17:M28)</f>
        <v>1776000</v>
      </c>
      <c r="J8" s="6"/>
      <c r="K8" s="16"/>
      <c r="L8" s="16"/>
      <c r="M8" s="40"/>
      <c r="O8" s="14">
        <f>+G8/$G$29*$O$29</f>
        <v>148000</v>
      </c>
    </row>
    <row r="9" spans="1:15" hidden="1" x14ac:dyDescent="0.2">
      <c r="A9" s="12"/>
      <c r="B9" s="13" t="s">
        <v>9</v>
      </c>
      <c r="C9" s="14">
        <v>0</v>
      </c>
      <c r="E9" s="14">
        <f t="shared" si="0"/>
        <v>0</v>
      </c>
      <c r="F9" s="14"/>
      <c r="G9" s="14">
        <f>+E9/9*12</f>
        <v>0</v>
      </c>
      <c r="J9" s="6" t="s">
        <v>8</v>
      </c>
      <c r="K9" s="16">
        <v>0</v>
      </c>
      <c r="L9" s="16">
        <f>+L29</f>
        <v>12</v>
      </c>
      <c r="M9" s="40">
        <f>M35</f>
        <v>2131200</v>
      </c>
      <c r="O9" s="14">
        <f t="shared" ref="O9:O21" si="1">+G9/$G$29*$O$29</f>
        <v>0</v>
      </c>
    </row>
    <row r="10" spans="1:15" x14ac:dyDescent="0.2">
      <c r="B10" s="13" t="s">
        <v>10</v>
      </c>
      <c r="C10" s="14">
        <v>0</v>
      </c>
      <c r="E10" s="14">
        <f t="shared" si="0"/>
        <v>0</v>
      </c>
      <c r="F10" s="14"/>
      <c r="G10" s="14">
        <f>+E10/9*12</f>
        <v>0</v>
      </c>
      <c r="J10" s="6"/>
      <c r="K10" s="16"/>
      <c r="L10" s="16"/>
      <c r="M10" s="40"/>
      <c r="O10" s="14">
        <f t="shared" si="1"/>
        <v>0</v>
      </c>
    </row>
    <row r="11" spans="1:15" x14ac:dyDescent="0.2">
      <c r="A11" s="12" t="s">
        <v>11</v>
      </c>
      <c r="B11" s="13" t="s">
        <v>12</v>
      </c>
      <c r="C11" s="14">
        <f>'[2]Team Report'!BA26</f>
        <v>1272399.6399999999</v>
      </c>
      <c r="E11" s="14">
        <f t="shared" si="0"/>
        <v>1696532.8533333333</v>
      </c>
      <c r="F11" s="14"/>
      <c r="G11" s="14">
        <f>+G8*0.2</f>
        <v>355200</v>
      </c>
      <c r="J11" s="6"/>
      <c r="K11" s="16"/>
      <c r="L11" s="16"/>
      <c r="M11" s="40"/>
      <c r="O11" s="14">
        <f t="shared" si="1"/>
        <v>29600</v>
      </c>
    </row>
    <row r="12" spans="1:15" x14ac:dyDescent="0.2">
      <c r="A12" s="12" t="s">
        <v>14</v>
      </c>
      <c r="B12" s="13" t="s">
        <v>15</v>
      </c>
      <c r="C12" s="14">
        <f>'[2]Team Report'!BA27</f>
        <v>141777.57</v>
      </c>
      <c r="E12" s="14">
        <f t="shared" si="0"/>
        <v>189036.76</v>
      </c>
      <c r="F12" s="14"/>
      <c r="G12" s="14">
        <f>+$M$12*0.25</f>
        <v>66582</v>
      </c>
      <c r="J12" s="6" t="s">
        <v>13</v>
      </c>
      <c r="K12" s="16">
        <f>18495*1.2</f>
        <v>22194</v>
      </c>
      <c r="L12" s="16">
        <v>12</v>
      </c>
      <c r="M12" s="40">
        <f>K12*L12</f>
        <v>266328</v>
      </c>
      <c r="O12" s="14">
        <f t="shared" si="1"/>
        <v>5548.5</v>
      </c>
    </row>
    <row r="13" spans="1:15" x14ac:dyDescent="0.2">
      <c r="A13" s="12" t="s">
        <v>16</v>
      </c>
      <c r="B13" s="13" t="s">
        <v>17</v>
      </c>
      <c r="C13" s="14">
        <f>'[2]Team Report'!BA28</f>
        <v>100051.51000000001</v>
      </c>
      <c r="E13" s="14">
        <f t="shared" si="0"/>
        <v>133402.01333333334</v>
      </c>
      <c r="F13" s="14"/>
      <c r="G13" s="14">
        <f>+$M$12*0.13</f>
        <v>34622.639999999999</v>
      </c>
      <c r="J13" s="6"/>
      <c r="K13" s="16"/>
      <c r="L13" s="16"/>
      <c r="M13" s="40"/>
      <c r="O13" s="14">
        <f t="shared" si="1"/>
        <v>2885.22</v>
      </c>
    </row>
    <row r="14" spans="1:15" ht="13.5" thickBot="1" x14ac:dyDescent="0.25">
      <c r="A14" s="12" t="s">
        <v>19</v>
      </c>
      <c r="B14" s="13" t="s">
        <v>20</v>
      </c>
      <c r="C14" s="14">
        <f>'[2]Team Report'!BA32</f>
        <v>13823042.719999999</v>
      </c>
      <c r="E14" s="14">
        <f t="shared" si="0"/>
        <v>18430723.626666665</v>
      </c>
      <c r="F14" s="14"/>
      <c r="G14" s="14">
        <f>+$M$12*0.2</f>
        <v>53265.600000000006</v>
      </c>
      <c r="J14" s="21" t="s">
        <v>18</v>
      </c>
      <c r="K14" s="42"/>
      <c r="L14" s="42"/>
      <c r="M14" s="43">
        <f>SUM(M9:M12)</f>
        <v>2397528</v>
      </c>
      <c r="O14" s="14">
        <f t="shared" si="1"/>
        <v>4438.8</v>
      </c>
    </row>
    <row r="15" spans="1:15" x14ac:dyDescent="0.2">
      <c r="A15" s="12" t="s">
        <v>21</v>
      </c>
      <c r="B15" s="13" t="s">
        <v>22</v>
      </c>
      <c r="C15" s="14">
        <f>'[2]Team Report'!BA33</f>
        <v>7559.4299999999994</v>
      </c>
      <c r="E15" s="14">
        <f t="shared" si="0"/>
        <v>10079.24</v>
      </c>
      <c r="F15" s="14"/>
      <c r="G15" s="14">
        <f>+$M$12*0.08</f>
        <v>21306.240000000002</v>
      </c>
      <c r="J15" s="7"/>
      <c r="K15" s="16"/>
      <c r="L15" s="16"/>
      <c r="M15" s="16"/>
      <c r="O15" s="14">
        <f t="shared" si="1"/>
        <v>1775.5200000000002</v>
      </c>
    </row>
    <row r="16" spans="1:15" x14ac:dyDescent="0.2">
      <c r="A16" s="12" t="s">
        <v>23</v>
      </c>
      <c r="B16" s="13" t="s">
        <v>24</v>
      </c>
      <c r="C16" s="14">
        <f>'[2]Team Report'!BA34</f>
        <v>0</v>
      </c>
      <c r="E16" s="14">
        <f t="shared" si="0"/>
        <v>0</v>
      </c>
      <c r="F16" s="14"/>
      <c r="G16" s="14">
        <v>0</v>
      </c>
      <c r="J16" s="7"/>
      <c r="K16" s="16"/>
      <c r="L16" s="54"/>
      <c r="M16" s="16"/>
      <c r="O16" s="14">
        <f t="shared" si="1"/>
        <v>0</v>
      </c>
    </row>
    <row r="17" spans="1:15" x14ac:dyDescent="0.2">
      <c r="A17" s="12" t="s">
        <v>26</v>
      </c>
      <c r="B17" s="13" t="s">
        <v>27</v>
      </c>
      <c r="C17" s="14">
        <f>'[2]Team Report'!BA35</f>
        <v>0</v>
      </c>
      <c r="E17" s="14">
        <f t="shared" si="0"/>
        <v>0</v>
      </c>
      <c r="F17" s="14"/>
      <c r="G17" s="14">
        <v>0</v>
      </c>
      <c r="J17" t="s">
        <v>25</v>
      </c>
      <c r="K17" s="24">
        <v>49200</v>
      </c>
      <c r="L17" s="24">
        <v>0</v>
      </c>
      <c r="M17" s="16">
        <f t="shared" ref="M17:M28" si="2">K17*L17</f>
        <v>0</v>
      </c>
      <c r="O17" s="14">
        <f t="shared" si="1"/>
        <v>0</v>
      </c>
    </row>
    <row r="18" spans="1:15" x14ac:dyDescent="0.2">
      <c r="A18" s="12" t="s">
        <v>29</v>
      </c>
      <c r="B18" s="13" t="s">
        <v>30</v>
      </c>
      <c r="C18" s="14">
        <f>'[2]Team Report'!BA36</f>
        <v>91694.450000000012</v>
      </c>
      <c r="E18" s="14">
        <f t="shared" si="0"/>
        <v>122259.26666666669</v>
      </c>
      <c r="F18" s="14"/>
      <c r="G18" s="14">
        <v>0</v>
      </c>
      <c r="J18" t="s">
        <v>28</v>
      </c>
      <c r="K18" s="24">
        <v>57600</v>
      </c>
      <c r="L18" s="24">
        <v>0</v>
      </c>
      <c r="M18" s="16">
        <f t="shared" si="2"/>
        <v>0</v>
      </c>
      <c r="O18" s="14">
        <f t="shared" si="1"/>
        <v>0</v>
      </c>
    </row>
    <row r="19" spans="1:15" x14ac:dyDescent="0.2">
      <c r="A19" s="12" t="s">
        <v>32</v>
      </c>
      <c r="B19" s="13" t="s">
        <v>33</v>
      </c>
      <c r="C19" s="14">
        <f>'[2]Team Report'!BA37</f>
        <v>-7331217.4600000009</v>
      </c>
      <c r="E19" s="14">
        <f t="shared" si="0"/>
        <v>-9774956.6133333351</v>
      </c>
      <c r="F19" s="14"/>
      <c r="G19" s="14">
        <f>+$M$12*0.19</f>
        <v>50602.32</v>
      </c>
      <c r="J19" t="s">
        <v>31</v>
      </c>
      <c r="K19" s="24">
        <v>60000</v>
      </c>
      <c r="L19" s="24">
        <v>0</v>
      </c>
      <c r="M19" s="16">
        <f t="shared" si="2"/>
        <v>0</v>
      </c>
      <c r="O19" s="14">
        <f t="shared" si="1"/>
        <v>4216.8599999999997</v>
      </c>
    </row>
    <row r="20" spans="1:15" x14ac:dyDescent="0.2">
      <c r="A20" s="12" t="s">
        <v>35</v>
      </c>
      <c r="B20" s="13" t="s">
        <v>36</v>
      </c>
      <c r="C20" s="14">
        <f>'[2]Team Report'!BA38</f>
        <v>0</v>
      </c>
      <c r="E20" s="14">
        <f t="shared" si="0"/>
        <v>0</v>
      </c>
      <c r="F20" s="14"/>
      <c r="G20" s="14">
        <v>0</v>
      </c>
      <c r="J20" t="s">
        <v>34</v>
      </c>
      <c r="K20" s="24">
        <v>78000</v>
      </c>
      <c r="L20" s="24">
        <v>2</v>
      </c>
      <c r="M20" s="16">
        <f t="shared" si="2"/>
        <v>156000</v>
      </c>
      <c r="O20" s="14">
        <f t="shared" si="1"/>
        <v>0</v>
      </c>
    </row>
    <row r="21" spans="1:15" x14ac:dyDescent="0.2">
      <c r="A21" s="12" t="s">
        <v>38</v>
      </c>
      <c r="B21" s="13" t="s">
        <v>39</v>
      </c>
      <c r="C21" s="14">
        <f>'[2]Team Report'!BA42</f>
        <v>24774212.690000001</v>
      </c>
      <c r="E21" s="14">
        <f t="shared" si="0"/>
        <v>33032283.58666667</v>
      </c>
      <c r="F21" s="14"/>
      <c r="G21" s="14">
        <f>+$M$12*0.15</f>
        <v>39949.199999999997</v>
      </c>
      <c r="J21" t="s">
        <v>37</v>
      </c>
      <c r="K21" s="24">
        <v>102000</v>
      </c>
      <c r="L21" s="24">
        <v>2</v>
      </c>
      <c r="M21" s="16">
        <f t="shared" si="2"/>
        <v>204000</v>
      </c>
      <c r="O21" s="14">
        <f t="shared" si="1"/>
        <v>3329.1</v>
      </c>
    </row>
    <row r="22" spans="1:15" x14ac:dyDescent="0.2">
      <c r="A22" s="12" t="s">
        <v>41</v>
      </c>
      <c r="B22" s="13" t="s">
        <v>42</v>
      </c>
      <c r="C22" s="14">
        <f>'[2]Team Report'!BA44</f>
        <v>16.600000000000001</v>
      </c>
      <c r="E22" s="14">
        <f t="shared" si="0"/>
        <v>22.133333333333333</v>
      </c>
      <c r="F22" s="14"/>
      <c r="G22" s="14">
        <v>0</v>
      </c>
      <c r="J22" t="s">
        <v>40</v>
      </c>
      <c r="K22" s="24">
        <v>0</v>
      </c>
      <c r="L22" s="24">
        <v>0</v>
      </c>
      <c r="M22" s="16">
        <f t="shared" si="2"/>
        <v>0</v>
      </c>
      <c r="O22" s="14">
        <f>+G22/$G$29*$O$29</f>
        <v>0</v>
      </c>
    </row>
    <row r="23" spans="1:15" x14ac:dyDescent="0.2">
      <c r="A23" s="25" t="s">
        <v>44</v>
      </c>
      <c r="B23" s="26" t="s">
        <v>45</v>
      </c>
      <c r="C23" s="27">
        <f>SUM(C8:C22)</f>
        <v>50349126.110000007</v>
      </c>
      <c r="E23" s="27">
        <f>SUM(E8:E22)</f>
        <v>67132168.146666676</v>
      </c>
      <c r="F23" s="28"/>
      <c r="G23" s="27">
        <f>SUM(G8:G22)</f>
        <v>2397528.0000000005</v>
      </c>
      <c r="J23" t="s">
        <v>43</v>
      </c>
      <c r="K23" s="24">
        <v>0</v>
      </c>
      <c r="L23" s="24">
        <v>0</v>
      </c>
      <c r="M23" s="16">
        <f t="shared" si="2"/>
        <v>0</v>
      </c>
      <c r="O23" s="27">
        <f>SUM(O8:O22)</f>
        <v>199793.99999999997</v>
      </c>
    </row>
    <row r="24" spans="1:15" x14ac:dyDescent="0.2">
      <c r="J24" t="s">
        <v>46</v>
      </c>
      <c r="K24" s="24">
        <v>144000</v>
      </c>
      <c r="L24" s="24">
        <v>3</v>
      </c>
      <c r="M24" s="16">
        <f t="shared" si="2"/>
        <v>432000</v>
      </c>
    </row>
    <row r="25" spans="1:15" x14ac:dyDescent="0.2">
      <c r="B25" s="26" t="s">
        <v>48</v>
      </c>
      <c r="C25" s="14"/>
      <c r="E25" s="30">
        <v>111</v>
      </c>
      <c r="F25" s="31"/>
      <c r="G25" s="30">
        <v>12</v>
      </c>
      <c r="J25" t="s">
        <v>47</v>
      </c>
      <c r="K25" s="24">
        <v>168000</v>
      </c>
      <c r="L25" s="24">
        <v>2</v>
      </c>
      <c r="M25" s="16">
        <f t="shared" si="2"/>
        <v>336000</v>
      </c>
      <c r="O25" s="30">
        <f>SUM(U16:U20,U23:U27)</f>
        <v>0</v>
      </c>
    </row>
    <row r="26" spans="1:15" x14ac:dyDescent="0.2">
      <c r="C26" s="14"/>
      <c r="E26" s="14"/>
      <c r="F26" s="14"/>
      <c r="G26" s="14"/>
      <c r="J26" t="s">
        <v>49</v>
      </c>
      <c r="K26" s="24">
        <v>216000</v>
      </c>
      <c r="L26" s="24">
        <v>3</v>
      </c>
      <c r="M26" s="16">
        <f t="shared" si="2"/>
        <v>648000</v>
      </c>
      <c r="O26" s="14"/>
    </row>
    <row r="27" spans="1:15" x14ac:dyDescent="0.2">
      <c r="B27" s="26" t="s">
        <v>83</v>
      </c>
      <c r="C27" s="14"/>
      <c r="E27" s="30">
        <v>0</v>
      </c>
      <c r="F27" s="31"/>
      <c r="G27" s="30">
        <v>0</v>
      </c>
      <c r="J27" t="s">
        <v>50</v>
      </c>
      <c r="K27" s="24">
        <v>222000</v>
      </c>
      <c r="L27" s="24">
        <v>0</v>
      </c>
      <c r="M27" s="16">
        <f t="shared" si="2"/>
        <v>0</v>
      </c>
      <c r="O27" s="30">
        <f>+U21+U22</f>
        <v>0</v>
      </c>
    </row>
    <row r="28" spans="1:15" x14ac:dyDescent="0.2">
      <c r="J28" t="s">
        <v>52</v>
      </c>
      <c r="K28" s="24">
        <v>300000</v>
      </c>
      <c r="L28" s="24">
        <v>0</v>
      </c>
      <c r="M28" s="16">
        <f t="shared" si="2"/>
        <v>0</v>
      </c>
    </row>
    <row r="29" spans="1:15" x14ac:dyDescent="0.2">
      <c r="B29" s="26" t="s">
        <v>53</v>
      </c>
      <c r="C29" s="14"/>
      <c r="E29" s="30">
        <f>+E27+E25</f>
        <v>111</v>
      </c>
      <c r="F29" s="31"/>
      <c r="G29" s="30">
        <f>+G27+G25</f>
        <v>12</v>
      </c>
      <c r="H29" s="24"/>
      <c r="K29" s="24"/>
      <c r="L29" s="24">
        <f>SUM(L17:L28)</f>
        <v>12</v>
      </c>
      <c r="M29" s="24">
        <f>SUM(M17:M28)</f>
        <v>1776000</v>
      </c>
      <c r="O29" s="30">
        <v>1</v>
      </c>
    </row>
    <row r="30" spans="1:15" x14ac:dyDescent="0.2">
      <c r="K30" s="24"/>
      <c r="L30" s="24"/>
      <c r="M30" s="24"/>
    </row>
    <row r="31" spans="1:15" hidden="1" x14ac:dyDescent="0.2">
      <c r="A31" s="12" t="s">
        <v>67</v>
      </c>
      <c r="B31" s="13" t="s">
        <v>68</v>
      </c>
      <c r="C31" s="14">
        <f>'[2]Team Report'!BA29</f>
        <v>0</v>
      </c>
      <c r="E31" s="14">
        <f>(C31/9)*12</f>
        <v>0</v>
      </c>
      <c r="F31" s="14"/>
      <c r="J31" t="s">
        <v>84</v>
      </c>
      <c r="K31" s="24"/>
      <c r="L31" s="44"/>
      <c r="M31" s="44">
        <v>0.2</v>
      </c>
    </row>
    <row r="32" spans="1:15" hidden="1" x14ac:dyDescent="0.2">
      <c r="A32" s="12" t="s">
        <v>69</v>
      </c>
      <c r="B32" s="13" t="s">
        <v>70</v>
      </c>
      <c r="C32" s="14">
        <f>'[2]Team Report'!BA30</f>
        <v>0</v>
      </c>
      <c r="E32" s="14">
        <f>(C32/9)*12</f>
        <v>0</v>
      </c>
      <c r="F32" s="14"/>
      <c r="K32" s="24"/>
      <c r="L32" s="24"/>
      <c r="M32" s="24"/>
    </row>
    <row r="33" spans="1:13" hidden="1" x14ac:dyDescent="0.2">
      <c r="A33" s="12" t="s">
        <v>71</v>
      </c>
      <c r="B33" s="13" t="s">
        <v>72</v>
      </c>
      <c r="C33" s="14">
        <f>'[2]Team Report'!BA31</f>
        <v>0</v>
      </c>
      <c r="E33" s="14">
        <f>(C33/9)*12</f>
        <v>0</v>
      </c>
      <c r="F33" s="14"/>
      <c r="J33" t="s">
        <v>90</v>
      </c>
      <c r="K33" s="24">
        <v>160000</v>
      </c>
      <c r="L33" s="24">
        <v>0</v>
      </c>
      <c r="M33" s="16">
        <f>K33*L33</f>
        <v>0</v>
      </c>
    </row>
    <row r="34" spans="1:13" hidden="1" x14ac:dyDescent="0.2">
      <c r="A34" s="12" t="s">
        <v>73</v>
      </c>
      <c r="B34" s="13" t="s">
        <v>74</v>
      </c>
      <c r="C34" s="14">
        <f>'[2]Team Report'!BA39</f>
        <v>-7489842.25</v>
      </c>
      <c r="E34" s="14">
        <v>0</v>
      </c>
      <c r="F34" s="14"/>
      <c r="K34" s="24"/>
      <c r="L34" s="24"/>
      <c r="M34" s="24"/>
    </row>
    <row r="35" spans="1:13" hidden="1" x14ac:dyDescent="0.2">
      <c r="A35" s="12" t="s">
        <v>75</v>
      </c>
      <c r="B35" s="13" t="s">
        <v>76</v>
      </c>
      <c r="C35" s="14">
        <f>'[2]Team Report'!BA40</f>
        <v>2999489.79</v>
      </c>
      <c r="E35" s="14">
        <v>0</v>
      </c>
      <c r="F35" s="14"/>
      <c r="K35" s="24"/>
      <c r="L35" s="24">
        <f>+L29+L33</f>
        <v>12</v>
      </c>
      <c r="M35" s="24">
        <f>M29*1.2+M33</f>
        <v>2131200</v>
      </c>
    </row>
    <row r="36" spans="1:13" hidden="1" x14ac:dyDescent="0.2">
      <c r="A36" s="12" t="s">
        <v>77</v>
      </c>
      <c r="B36" s="13" t="s">
        <v>78</v>
      </c>
      <c r="C36" s="14">
        <f>'[2]Team Report'!BA41</f>
        <v>205055.58999999997</v>
      </c>
      <c r="E36" s="14">
        <v>0</v>
      </c>
      <c r="F36" s="14"/>
      <c r="K36" s="24"/>
      <c r="L36" s="24"/>
      <c r="M36" s="24"/>
    </row>
    <row r="37" spans="1:13" hidden="1" x14ac:dyDescent="0.2">
      <c r="A37" s="12" t="s">
        <v>79</v>
      </c>
      <c r="B37" s="13" t="s">
        <v>80</v>
      </c>
      <c r="C37" s="14">
        <f>'[2]Team Report'!BA43</f>
        <v>42687168.700000003</v>
      </c>
      <c r="E37" s="14">
        <v>0</v>
      </c>
      <c r="F37" s="14"/>
      <c r="I37" s="32" t="s">
        <v>54</v>
      </c>
    </row>
    <row r="38" spans="1:13" hidden="1" x14ac:dyDescent="0.2">
      <c r="A38" s="12" t="s">
        <v>81</v>
      </c>
      <c r="B38" s="13" t="s">
        <v>82</v>
      </c>
      <c r="C38" s="14">
        <f>'[2]Team Report'!BA45</f>
        <v>8186094.0700000003</v>
      </c>
      <c r="E38" s="14">
        <v>0</v>
      </c>
      <c r="F38" s="14"/>
    </row>
    <row r="39" spans="1:13" x14ac:dyDescent="0.2">
      <c r="I39" t="s">
        <v>91</v>
      </c>
    </row>
    <row r="40" spans="1:13" x14ac:dyDescent="0.2">
      <c r="C40" s="46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79" t="str">
        <f>'[3]Team Report'!B1</f>
        <v>Enron North America</v>
      </c>
      <c r="C1" s="79"/>
      <c r="D1" s="79"/>
      <c r="E1" s="79"/>
      <c r="F1" s="79"/>
      <c r="G1" s="79"/>
      <c r="H1" s="7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79" t="s">
        <v>118</v>
      </c>
      <c r="C2" s="79"/>
      <c r="D2" s="79"/>
      <c r="E2" s="79"/>
      <c r="F2" s="79"/>
      <c r="G2" s="79"/>
      <c r="H2" s="7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82" t="s">
        <v>0</v>
      </c>
      <c r="C3" s="82"/>
      <c r="D3" s="82"/>
      <c r="E3" s="82"/>
      <c r="F3" s="82"/>
      <c r="G3" s="82"/>
      <c r="H3" s="8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x14ac:dyDescent="0.2">
      <c r="J4" s="3"/>
      <c r="K4" s="4"/>
      <c r="L4" s="4"/>
      <c r="M4" s="5"/>
    </row>
    <row r="5" spans="1:45" x14ac:dyDescent="0.2">
      <c r="J5" s="6"/>
      <c r="K5" s="7" t="s">
        <v>1</v>
      </c>
      <c r="L5" s="7" t="s">
        <v>2</v>
      </c>
      <c r="M5" s="8" t="s">
        <v>3</v>
      </c>
    </row>
    <row r="6" spans="1:45" x14ac:dyDescent="0.2">
      <c r="C6" s="9">
        <v>37135</v>
      </c>
      <c r="E6" s="41" t="s">
        <v>59</v>
      </c>
      <c r="F6" s="41" t="s">
        <v>61</v>
      </c>
      <c r="H6" s="49" t="s">
        <v>60</v>
      </c>
      <c r="J6" s="6"/>
      <c r="K6" s="7"/>
      <c r="L6" s="7"/>
      <c r="M6" s="8"/>
      <c r="N6" s="41" t="s">
        <v>61</v>
      </c>
    </row>
    <row r="7" spans="1:45" x14ac:dyDescent="0.2">
      <c r="C7" s="11" t="s">
        <v>4</v>
      </c>
      <c r="E7" s="11" t="s">
        <v>5</v>
      </c>
      <c r="F7" s="11" t="s">
        <v>6</v>
      </c>
      <c r="H7" s="49" t="s">
        <v>62</v>
      </c>
      <c r="J7" s="6"/>
      <c r="K7" s="7"/>
      <c r="L7" s="7"/>
      <c r="M7" s="8"/>
      <c r="N7" s="11" t="s">
        <v>6</v>
      </c>
    </row>
    <row r="8" spans="1:45" x14ac:dyDescent="0.2">
      <c r="A8" s="12" t="s">
        <v>7</v>
      </c>
      <c r="B8" s="13" t="s">
        <v>8</v>
      </c>
      <c r="C8" s="14">
        <f>'[4]Ercot Trading'!C8+'[4]Ercot Origination'!C8+'[4]Southeast Trading'!C8+'[4]Southeast Origination'!C8+'[4]Midwest Trading'!C8+'[4]Midwest Origination'!C8+'[4]Northeast Trading'!C8+'[4]Northeast Origination'!C8+'[4]Management Book'!C8+[4]Structuring_Fund!C8+[4]Services!C8+[4]Options!C8</f>
        <v>6640774.8000000017</v>
      </c>
      <c r="E8" s="14">
        <f>(C8/9)*12</f>
        <v>8854366.4000000022</v>
      </c>
      <c r="F8" s="14">
        <f>M16+M17+M18+M19+M20+M23+M24+M26</f>
        <v>432000</v>
      </c>
      <c r="H8" s="15">
        <f t="shared" ref="H8:H22" si="0">E8/$E$23</f>
        <v>0.43476545989391996</v>
      </c>
      <c r="J8" s="6" t="s">
        <v>8</v>
      </c>
      <c r="K8" s="16">
        <v>0</v>
      </c>
      <c r="L8" s="7"/>
      <c r="M8" s="17">
        <f>M28*1.2</f>
        <v>676800</v>
      </c>
      <c r="N8" s="14">
        <f>+F8/$F$29*$N$29</f>
        <v>72000</v>
      </c>
    </row>
    <row r="9" spans="1:45" x14ac:dyDescent="0.2">
      <c r="A9" s="12"/>
      <c r="B9" s="13" t="s">
        <v>9</v>
      </c>
      <c r="C9" s="14">
        <f>'[4]Ercot Trading'!C9+'[4]Ercot Origination'!C9+'[4]Southeast Trading'!C9+'[4]Southeast Origination'!C9+'[4]Midwest Trading'!C9+'[4]Midwest Origination'!C9+'[4]Northeast Trading'!C9+'[4]Northeast Origination'!C9+'[4]Management Book'!C9+[4]Structuring_Fund!C9+[4]Services!C9+[4]Options!C9</f>
        <v>1460000</v>
      </c>
      <c r="E9" s="14">
        <f>C9</f>
        <v>1460000</v>
      </c>
      <c r="F9" s="14"/>
      <c r="H9" s="15">
        <f t="shared" si="0"/>
        <v>7.1688649731631054E-2</v>
      </c>
      <c r="J9" s="6"/>
      <c r="K9" s="7"/>
      <c r="L9" s="7"/>
      <c r="M9" s="8"/>
      <c r="N9" s="14">
        <f t="shared" ref="N9:N22" si="1">+F9/$F$29*$N$29</f>
        <v>0</v>
      </c>
    </row>
    <row r="10" spans="1:45" x14ac:dyDescent="0.2">
      <c r="A10" s="12"/>
      <c r="B10" s="13" t="s">
        <v>10</v>
      </c>
      <c r="C10" s="14">
        <f>'[4]Ercot Trading'!C10+'[4]Ercot Origination'!C10+'[4]Southeast Trading'!C10+'[4]Southeast Origination'!C10+'[4]Midwest Trading'!C10+'[4]Midwest Origination'!C10+'[4]Northeast Trading'!C10+'[4]Northeast Origination'!C10+'[4]Management Book'!C10+[4]Structuring_Fund!C10+[4]Services!C10+[4]Options!C10</f>
        <v>2652510</v>
      </c>
      <c r="E10" s="14">
        <f>(C10/9)*12</f>
        <v>3536680</v>
      </c>
      <c r="F10" s="14">
        <f>M21+M22</f>
        <v>132000</v>
      </c>
      <c r="H10" s="15">
        <f t="shared" si="0"/>
        <v>0.17365740666634583</v>
      </c>
      <c r="J10" s="6"/>
      <c r="K10" s="7"/>
      <c r="L10" s="7"/>
      <c r="M10" s="8"/>
      <c r="N10" s="14">
        <f t="shared" si="1"/>
        <v>22000</v>
      </c>
    </row>
    <row r="11" spans="1:45" x14ac:dyDescent="0.2">
      <c r="A11" s="12" t="s">
        <v>11</v>
      </c>
      <c r="B11" s="13" t="s">
        <v>12</v>
      </c>
      <c r="C11" s="14">
        <f>'[4]Ercot Trading'!C11+'[4]Ercot Origination'!C11+'[4]Southeast Trading'!C11+'[4]Southeast Origination'!C11+'[4]Midwest Trading'!C11+'[4]Midwest Origination'!C11+'[4]Northeast Trading'!C11+'[4]Northeast Origination'!C11+'[4]Management Book'!C11+[4]Structuring_Fund!C11+[4]Services!C11+[4]Options!C11</f>
        <v>1536343.4600000002</v>
      </c>
      <c r="E11" s="14">
        <f>(C11/9)*12</f>
        <v>2048457.9466666668</v>
      </c>
      <c r="F11" s="14">
        <f>M28*0.2</f>
        <v>112800</v>
      </c>
      <c r="H11" s="15">
        <f t="shared" si="0"/>
        <v>0.10058300289627591</v>
      </c>
      <c r="J11" s="6" t="s">
        <v>13</v>
      </c>
      <c r="K11" s="16">
        <f>(E12+E13+E14+E15+E16+E17+E18+E19+E20+E21+E22)/E29</f>
        <v>31676.181900709213</v>
      </c>
      <c r="L11" s="7">
        <f>L28</f>
        <v>6</v>
      </c>
      <c r="M11" s="17">
        <f>K11*L11</f>
        <v>190057.09140425528</v>
      </c>
      <c r="N11" s="14">
        <f t="shared" si="1"/>
        <v>18800</v>
      </c>
    </row>
    <row r="12" spans="1:45" x14ac:dyDescent="0.2">
      <c r="A12" s="12" t="s">
        <v>14</v>
      </c>
      <c r="B12" s="13" t="s">
        <v>15</v>
      </c>
      <c r="C12" s="14">
        <f>'[4]Ercot Trading'!C12+'[4]Ercot Origination'!C12+'[4]Southeast Trading'!C12+'[4]Southeast Origination'!C12+'[4]Midwest Trading'!C12+'[4]Midwest Origination'!C12+'[4]Northeast Trading'!C12+'[4]Northeast Origination'!C12+'[4]Management Book'!C12+[4]Structuring_Fund!C12+[4]Services!C12+[4]Options!C12</f>
        <v>556457.20000000007</v>
      </c>
      <c r="E12" s="19">
        <f t="shared" ref="E12:E22" si="2">(C12/9)*12*1.2</f>
        <v>890331.52</v>
      </c>
      <c r="F12" s="20">
        <f t="shared" ref="F12:F22" si="3">E12/$E$29*$L$11</f>
        <v>37886.447659574464</v>
      </c>
      <c r="H12" s="15">
        <f t="shared" si="0"/>
        <v>4.3716893481034705E-2</v>
      </c>
      <c r="J12" s="6"/>
      <c r="K12" s="7"/>
      <c r="L12" s="7"/>
      <c r="M12" s="8"/>
      <c r="N12" s="14">
        <f t="shared" si="1"/>
        <v>6314.4079432624103</v>
      </c>
    </row>
    <row r="13" spans="1:45" ht="13.5" thickBot="1" x14ac:dyDescent="0.25">
      <c r="A13" s="12" t="s">
        <v>16</v>
      </c>
      <c r="B13" s="13" t="s">
        <v>17</v>
      </c>
      <c r="C13" s="14">
        <f>'[4]Ercot Trading'!C13+'[4]Ercot Origination'!C13+'[4]Southeast Trading'!C13+'[4]Southeast Origination'!C13+'[4]Midwest Trading'!C13+'[4]Midwest Origination'!C13+'[4]Northeast Trading'!C13+'[4]Northeast Origination'!C13+'[4]Management Book'!C13+[4]Structuring_Fund!C13+[4]Services!C13+[4]Options!C13</f>
        <v>1014365.41</v>
      </c>
      <c r="E13" s="19">
        <f t="shared" si="2"/>
        <v>1622984.656</v>
      </c>
      <c r="F13" s="20">
        <f t="shared" si="3"/>
        <v>69063.176851063836</v>
      </c>
      <c r="H13" s="15">
        <f t="shared" si="0"/>
        <v>7.9691492139586095E-2</v>
      </c>
      <c r="J13" s="21" t="s">
        <v>18</v>
      </c>
      <c r="K13" s="22"/>
      <c r="L13" s="22"/>
      <c r="M13" s="23">
        <f>M8+M11</f>
        <v>866857.09140425525</v>
      </c>
      <c r="N13" s="14">
        <f t="shared" si="1"/>
        <v>11510.529475177305</v>
      </c>
    </row>
    <row r="14" spans="1:45" x14ac:dyDescent="0.2">
      <c r="A14" s="12" t="s">
        <v>19</v>
      </c>
      <c r="B14" s="13" t="s">
        <v>20</v>
      </c>
      <c r="C14" s="14">
        <f>'[4]Ercot Trading'!C14+'[4]Ercot Origination'!C14+'[4]Southeast Trading'!C14+'[4]Southeast Origination'!C14+'[4]Midwest Trading'!C14+'[4]Midwest Origination'!C14+'[4]Northeast Trading'!C14+'[4]Northeast Origination'!C14+'[4]Management Book'!C14+[4]Structuring_Fund!C14+[4]Services!C14+[4]Options!C14-C32</f>
        <v>0.38000000012107193</v>
      </c>
      <c r="E14" s="19">
        <f t="shared" si="2"/>
        <v>0.60800000019371503</v>
      </c>
      <c r="F14" s="20">
        <f t="shared" si="3"/>
        <v>2.5872340433775107E-2</v>
      </c>
      <c r="H14" s="15">
        <f t="shared" si="0"/>
        <v>2.9853903459396468E-8</v>
      </c>
      <c r="N14" s="14">
        <f t="shared" si="1"/>
        <v>4.3120567389625178E-3</v>
      </c>
    </row>
    <row r="15" spans="1:45" x14ac:dyDescent="0.2">
      <c r="A15" s="12" t="s">
        <v>21</v>
      </c>
      <c r="B15" s="13" t="s">
        <v>22</v>
      </c>
      <c r="C15" s="14">
        <f>'[4]Ercot Trading'!C15+'[4]Ercot Origination'!C15+'[4]Southeast Trading'!C15+'[4]Southeast Origination'!C15+'[4]Midwest Trading'!C15+'[4]Midwest Origination'!C15+'[4]Northeast Trading'!C15+'[4]Northeast Origination'!C15+'[4]Management Book'!C15+[4]Structuring_Fund!C15+[4]Services!C15+[4]Options!C15</f>
        <v>93227.13</v>
      </c>
      <c r="E15" s="19">
        <f t="shared" si="2"/>
        <v>149163.408</v>
      </c>
      <c r="F15" s="20">
        <f t="shared" si="3"/>
        <v>6347.3790638297869</v>
      </c>
      <c r="H15" s="15">
        <f t="shared" si="0"/>
        <v>7.3241940471838168E-3</v>
      </c>
      <c r="K15" s="24"/>
      <c r="N15" s="14">
        <f t="shared" si="1"/>
        <v>1057.8965106382977</v>
      </c>
    </row>
    <row r="16" spans="1:45" x14ac:dyDescent="0.2">
      <c r="A16" s="12" t="s">
        <v>23</v>
      </c>
      <c r="B16" s="13" t="s">
        <v>24</v>
      </c>
      <c r="C16" s="14">
        <f>'[4]Ercot Trading'!C16+'[4]Ercot Origination'!C16+'[4]Southeast Trading'!C16+'[4]Southeast Origination'!C16+'[4]Midwest Trading'!C16+'[4]Midwest Origination'!C16+'[4]Northeast Trading'!C16+'[4]Northeast Origination'!C16+'[4]Management Book'!C16+[4]Structuring_Fund!C16+[4]Services!C16+[4]Options!C16</f>
        <v>0</v>
      </c>
      <c r="E16" s="19">
        <f t="shared" si="2"/>
        <v>0</v>
      </c>
      <c r="F16" s="20">
        <f t="shared" si="3"/>
        <v>0</v>
      </c>
      <c r="H16" s="15">
        <f t="shared" si="0"/>
        <v>0</v>
      </c>
      <c r="J16" t="s">
        <v>25</v>
      </c>
      <c r="K16" s="24">
        <v>33600</v>
      </c>
      <c r="L16">
        <f>'[4]Ercot Trading'!K16+'[4]Ercot Origination'!K16+'[4]Southeast Trading'!K16+'[4]Southeast Origination'!K16+'[4]Midwest Trading'!K16+'[4]Midwest Origination'!K16+'[4]Northeast Trading'!K16+'[4]Northeast Origination'!K16+'[4]Management Book'!K16+[4]Structuring_Fund!K16+[4]Services!K16+[4]Options!K16</f>
        <v>0</v>
      </c>
      <c r="M16" s="24">
        <f t="shared" ref="M16:M27" si="4">K16*L16</f>
        <v>0</v>
      </c>
      <c r="N16" s="14">
        <f t="shared" si="1"/>
        <v>0</v>
      </c>
    </row>
    <row r="17" spans="1:14" x14ac:dyDescent="0.2">
      <c r="A17" s="12" t="s">
        <v>26</v>
      </c>
      <c r="B17" s="13" t="s">
        <v>27</v>
      </c>
      <c r="C17" s="14">
        <f>'[4]Ercot Trading'!C17+'[4]Ercot Origination'!C17+'[4]Southeast Trading'!C17+'[4]Southeast Origination'!C17+'[4]Midwest Trading'!C17+'[4]Midwest Origination'!C17+'[4]Northeast Trading'!C17+'[4]Northeast Origination'!C17+'[4]Management Book'!C17+[4]Structuring_Fund!C17+[4]Services!C17+[4]Options!C17</f>
        <v>5300</v>
      </c>
      <c r="E17" s="19">
        <f t="shared" si="2"/>
        <v>8480</v>
      </c>
      <c r="F17" s="20">
        <f t="shared" si="3"/>
        <v>360.85106382978722</v>
      </c>
      <c r="H17" s="15">
        <f t="shared" si="0"/>
        <v>4.1638339022207621E-4</v>
      </c>
      <c r="J17" t="s">
        <v>28</v>
      </c>
      <c r="K17" s="24">
        <v>52800</v>
      </c>
      <c r="L17">
        <f>'[4]Ercot Trading'!K17+'[4]Ercot Origination'!K17+'[4]Southeast Trading'!K17+'[4]Southeast Origination'!K17+'[4]Midwest Trading'!K17+'[4]Midwest Origination'!K17+'[4]Northeast Trading'!K17+'[4]Northeast Origination'!K17+'[4]Management Book'!K17+[4]Structuring_Fund!K17+[4]Services!K17+[4]Options!K17</f>
        <v>0</v>
      </c>
      <c r="M17" s="24">
        <f t="shared" si="4"/>
        <v>0</v>
      </c>
      <c r="N17" s="14">
        <f t="shared" si="1"/>
        <v>60.141843971631204</v>
      </c>
    </row>
    <row r="18" spans="1:14" x14ac:dyDescent="0.2">
      <c r="A18" s="12" t="s">
        <v>29</v>
      </c>
      <c r="B18" s="13" t="s">
        <v>30</v>
      </c>
      <c r="C18" s="14">
        <f>'[4]Ercot Trading'!C18+'[4]Ercot Origination'!C18+'[4]Southeast Trading'!C18+'[4]Southeast Origination'!C18+'[4]Midwest Trading'!C18+'[4]Midwest Origination'!C18+'[4]Northeast Trading'!C18+'[4]Northeast Origination'!C18+'[4]Management Book'!C18+[4]Structuring_Fund!C18+[4]Services!C18+[4]Options!C18</f>
        <v>287.28999999999655</v>
      </c>
      <c r="E18" s="19">
        <f t="shared" si="2"/>
        <v>459.66399999999447</v>
      </c>
      <c r="F18" s="20">
        <f t="shared" si="3"/>
        <v>19.560170212765723</v>
      </c>
      <c r="H18" s="15">
        <f t="shared" si="0"/>
        <v>2.2570336637150724E-5</v>
      </c>
      <c r="J18" t="s">
        <v>31</v>
      </c>
      <c r="K18" s="24">
        <v>54000</v>
      </c>
      <c r="L18">
        <f>'[4]Ercot Trading'!K18+'[4]Ercot Origination'!K18+'[4]Southeast Trading'!K18+'[4]Southeast Origination'!K18+'[4]Midwest Trading'!K18+'[4]Midwest Origination'!K18+'[4]Northeast Trading'!K18+'[4]Northeast Origination'!K18+'[4]Management Book'!K18+[4]Structuring_Fund!K18+[4]Services!K18+[4]Options!K18</f>
        <v>0</v>
      </c>
      <c r="M18" s="24">
        <f t="shared" si="4"/>
        <v>0</v>
      </c>
      <c r="N18" s="14">
        <f t="shared" si="1"/>
        <v>3.2600283687942873</v>
      </c>
    </row>
    <row r="19" spans="1:14" x14ac:dyDescent="0.2">
      <c r="A19" s="12" t="s">
        <v>32</v>
      </c>
      <c r="B19" s="13" t="s">
        <v>33</v>
      </c>
      <c r="C19" s="14">
        <f>'[4]Ercot Trading'!C19+'[4]Ercot Origination'!C19+'[4]Southeast Trading'!C19+'[4]Southeast Origination'!C19+'[4]Midwest Trading'!C19+'[4]Midwest Origination'!C19+'[4]Northeast Trading'!C19+'[4]Northeast Origination'!C19+'[4]Management Book'!C19+[4]Structuring_Fund!C19+[4]Services!C19+[4]Options!C19</f>
        <v>487149.2</v>
      </c>
      <c r="E19" s="19">
        <f t="shared" si="2"/>
        <v>779438.72000000009</v>
      </c>
      <c r="F19" s="20">
        <f t="shared" si="3"/>
        <v>33167.60510638298</v>
      </c>
      <c r="H19" s="15">
        <f t="shared" si="0"/>
        <v>3.8271855743390995E-2</v>
      </c>
      <c r="J19" t="s">
        <v>34</v>
      </c>
      <c r="K19" s="24">
        <v>63000</v>
      </c>
      <c r="L19">
        <f>'[4]Ercot Trading'!K19+'[4]Ercot Origination'!K19+'[4]Southeast Trading'!K19+'[4]Southeast Origination'!K19+'[4]Midwest Trading'!K19+'[4]Midwest Origination'!K19+'[4]Northeast Trading'!K19+'[4]Northeast Origination'!K19+'[4]Management Book'!K19+[4]Structuring_Fund!K19+[4]Services!K19+[4]Options!K19</f>
        <v>0</v>
      </c>
      <c r="M19" s="24">
        <f t="shared" si="4"/>
        <v>0</v>
      </c>
      <c r="N19" s="14">
        <f t="shared" si="1"/>
        <v>5527.9341843971633</v>
      </c>
    </row>
    <row r="20" spans="1:14" x14ac:dyDescent="0.2">
      <c r="A20" s="12" t="s">
        <v>35</v>
      </c>
      <c r="B20" s="13" t="s">
        <v>36</v>
      </c>
      <c r="C20" s="14">
        <f>'[4]Ercot Trading'!C20+'[4]Ercot Origination'!C20+'[4]Southeast Trading'!C20+'[4]Southeast Origination'!C20+'[4]Midwest Trading'!C20+'[4]Midwest Origination'!C20+'[4]Northeast Trading'!C20+'[4]Northeast Origination'!C20+'[4]Management Book'!C20+[4]Structuring_Fund!C20+[4]Services!C20+[4]Options!C20</f>
        <v>78.180000000000007</v>
      </c>
      <c r="E20" s="19">
        <f t="shared" si="2"/>
        <v>125.08800000000001</v>
      </c>
      <c r="F20" s="20">
        <f t="shared" si="3"/>
        <v>5.3228936170212773</v>
      </c>
      <c r="H20" s="15">
        <f t="shared" si="0"/>
        <v>6.1420478202947023E-6</v>
      </c>
      <c r="J20" t="s">
        <v>37</v>
      </c>
      <c r="K20" s="24">
        <v>78000</v>
      </c>
      <c r="L20">
        <f>3-1</f>
        <v>2</v>
      </c>
      <c r="M20" s="24">
        <f t="shared" si="4"/>
        <v>156000</v>
      </c>
      <c r="N20" s="14">
        <f t="shared" si="1"/>
        <v>0.88714893617021284</v>
      </c>
    </row>
    <row r="21" spans="1:14" x14ac:dyDescent="0.2">
      <c r="A21" s="12" t="s">
        <v>38</v>
      </c>
      <c r="B21" s="13" t="s">
        <v>39</v>
      </c>
      <c r="C21" s="14">
        <f>'[4]Ercot Trading'!C21+'[4]Ercot Origination'!C21+'[4]Southeast Trading'!C21+'[4]Southeast Origination'!C21+'[4]Midwest Trading'!C21+'[4]Midwest Origination'!C21+'[4]Northeast Trading'!C21+'[4]Northeast Origination'!C21+'[4]Management Book'!C21+[4]Structuring_Fund!C21+[4]Services!C21+[4]Options!C21</f>
        <v>633408.5</v>
      </c>
      <c r="E21" s="19">
        <f t="shared" si="2"/>
        <v>1013453.5999999999</v>
      </c>
      <c r="F21" s="20">
        <f t="shared" si="3"/>
        <v>43125.685106382967</v>
      </c>
      <c r="H21" s="15">
        <f t="shared" si="0"/>
        <v>4.9762411061411306E-2</v>
      </c>
      <c r="J21" t="s">
        <v>40</v>
      </c>
      <c r="K21" s="24">
        <v>66000</v>
      </c>
      <c r="L21">
        <f>3-1</f>
        <v>2</v>
      </c>
      <c r="M21" s="24">
        <f t="shared" si="4"/>
        <v>132000</v>
      </c>
      <c r="N21" s="14">
        <f t="shared" si="1"/>
        <v>7187.6141843971609</v>
      </c>
    </row>
    <row r="22" spans="1:14" x14ac:dyDescent="0.2">
      <c r="A22" s="12" t="s">
        <v>41</v>
      </c>
      <c r="B22" s="13" t="s">
        <v>42</v>
      </c>
      <c r="C22" s="14">
        <f>'[4]Ercot Trading'!C22+'[4]Ercot Origination'!C22+'[4]Southeast Trading'!C22+'[4]Southeast Origination'!C22+'[4]Midwest Trading'!C22+'[4]Midwest Origination'!C22+'[4]Northeast Trading'!C22+'[4]Northeast Origination'!C22+'[4]Management Book'!C22+[4]Structuring_Fund!C22+[4]Services!C22+[4]Options!C22</f>
        <v>1190.24</v>
      </c>
      <c r="E22" s="19">
        <f t="shared" si="2"/>
        <v>1904.384</v>
      </c>
      <c r="F22" s="20">
        <f t="shared" si="3"/>
        <v>81.037617021276589</v>
      </c>
      <c r="H22" s="15">
        <f t="shared" si="0"/>
        <v>9.350871063734415E-5</v>
      </c>
      <c r="J22" t="s">
        <v>43</v>
      </c>
      <c r="K22" s="24">
        <v>97200</v>
      </c>
      <c r="L22">
        <f>3-3</f>
        <v>0</v>
      </c>
      <c r="M22" s="24">
        <f t="shared" si="4"/>
        <v>0</v>
      </c>
      <c r="N22" s="14">
        <f t="shared" si="1"/>
        <v>13.506269503546099</v>
      </c>
    </row>
    <row r="23" spans="1:14" ht="13.5" thickBot="1" x14ac:dyDescent="0.25">
      <c r="A23" s="25" t="s">
        <v>44</v>
      </c>
      <c r="B23" s="26" t="s">
        <v>45</v>
      </c>
      <c r="C23" s="27">
        <f>SUM(C8:C22)</f>
        <v>15081091.790000001</v>
      </c>
      <c r="E23" s="27">
        <f>SUM(E8:E22)</f>
        <v>20365845.99466667</v>
      </c>
      <c r="F23" s="50">
        <f>SUM(F8:F22)</f>
        <v>866857.09140425513</v>
      </c>
      <c r="H23" s="29">
        <f>SUM(H8:H22)</f>
        <v>1</v>
      </c>
      <c r="J23" t="s">
        <v>46</v>
      </c>
      <c r="K23" s="24">
        <v>120000</v>
      </c>
      <c r="L23">
        <f>3-2</f>
        <v>1</v>
      </c>
      <c r="M23" s="24">
        <f t="shared" si="4"/>
        <v>120000</v>
      </c>
      <c r="N23" s="50">
        <f>SUM(N8:N22)</f>
        <v>144476.18190070923</v>
      </c>
    </row>
    <row r="24" spans="1:14" x14ac:dyDescent="0.2">
      <c r="J24" t="s">
        <v>47</v>
      </c>
      <c r="K24" s="24">
        <v>156000</v>
      </c>
      <c r="L24">
        <v>1</v>
      </c>
      <c r="M24" s="24">
        <f t="shared" si="4"/>
        <v>156000</v>
      </c>
    </row>
    <row r="25" spans="1:14" x14ac:dyDescent="0.2">
      <c r="B25" s="26" t="s">
        <v>48</v>
      </c>
      <c r="C25" s="14"/>
      <c r="E25" s="30">
        <f>'[4]Ercot Trading'!E25+'[4]Ercot Origination'!E25+'[4]Southeast Trading'!E25+'[4]Southeast Origination'!E25+'[4]Midwest Trading'!E25+'[4]Midwest Origination'!E25+'[4]Northeast Trading'!E25+'[4]Northeast Origination'!E25+'[4]Management Book'!E25+[4]Structuring_Fund!E25+[4]Services!E25+[4]Options!E25</f>
        <v>91</v>
      </c>
      <c r="F25" s="30">
        <f>SUM(L16:L20,L23:L27)</f>
        <v>4</v>
      </c>
      <c r="J25" t="s">
        <v>49</v>
      </c>
      <c r="K25" s="24">
        <v>180000</v>
      </c>
      <c r="L25">
        <f>'[4]Ercot Trading'!K25+'[4]Ercot Origination'!K25+'[4]Southeast Trading'!K25+'[4]Southeast Origination'!K25+'[4]Midwest Trading'!K25+'[4]Midwest Origination'!K25+'[4]Northeast Trading'!K25+'[4]Northeast Origination'!K25+'[4]Management Book'!K25+[4]Structuring_Fund!K25+[4]Services!K25+[4]Options!K25</f>
        <v>0</v>
      </c>
      <c r="M25" s="24">
        <f t="shared" si="4"/>
        <v>0</v>
      </c>
      <c r="N25" s="30">
        <v>1</v>
      </c>
    </row>
    <row r="26" spans="1:14" x14ac:dyDescent="0.2">
      <c r="C26" s="14"/>
      <c r="E26" s="14"/>
      <c r="F26" s="14"/>
      <c r="J26" t="s">
        <v>50</v>
      </c>
      <c r="K26" s="24">
        <v>216000</v>
      </c>
      <c r="L26">
        <f>'[4]Ercot Trading'!K26+'[4]Ercot Origination'!K26+'[4]Southeast Trading'!K26+'[4]Southeast Origination'!K26+'[4]Midwest Trading'!K26+'[4]Midwest Origination'!K26+'[4]Northeast Trading'!K26+'[4]Northeast Origination'!K26+'[4]Management Book'!K26+[4]Structuring_Fund!K26+[4]Services!K26+[4]Options!K26</f>
        <v>0</v>
      </c>
      <c r="M26" s="24">
        <f t="shared" si="4"/>
        <v>0</v>
      </c>
      <c r="N26" s="14"/>
    </row>
    <row r="27" spans="1:14" x14ac:dyDescent="0.2">
      <c r="B27" s="26" t="s">
        <v>51</v>
      </c>
      <c r="C27" s="14"/>
      <c r="E27" s="30">
        <f>'[4]Ercot Trading'!E27+'[4]Ercot Origination'!E27+'[4]Southeast Trading'!E27+'[4]Southeast Origination'!E27+'[4]Midwest Trading'!E27+'[4]Midwest Origination'!E27+'[4]Northeast Trading'!E27+'[4]Northeast Origination'!E27+'[4]Management Book'!E27+[4]Structuring_Fund!E27+[4]Services!E27+[4]Options!E27</f>
        <v>50</v>
      </c>
      <c r="F27" s="30">
        <f>SUM(L21:L22)</f>
        <v>2</v>
      </c>
      <c r="J27" t="s">
        <v>52</v>
      </c>
      <c r="K27" s="24">
        <v>240000</v>
      </c>
      <c r="L27">
        <f>'[4]Ercot Trading'!K27+'[4]Ercot Origination'!K27+'[4]Southeast Trading'!K27+'[4]Southeast Origination'!K27+'[4]Midwest Trading'!K27+'[4]Midwest Origination'!K27+'[4]Northeast Trading'!K27+'[4]Northeast Origination'!K27+'[4]Management Book'!K27+[4]Structuring_Fund!K27+[4]Services!K27+[4]Options!K27</f>
        <v>0</v>
      </c>
      <c r="M27" s="24">
        <f t="shared" si="4"/>
        <v>0</v>
      </c>
      <c r="N27" s="30">
        <f>SUM(T21:T22)</f>
        <v>0</v>
      </c>
    </row>
    <row r="28" spans="1:14" x14ac:dyDescent="0.2">
      <c r="B28" s="26"/>
      <c r="L28">
        <f>SUM(L16:L27)</f>
        <v>6</v>
      </c>
      <c r="M28" s="24">
        <f>SUM(M16:M27)</f>
        <v>564000</v>
      </c>
    </row>
    <row r="29" spans="1:14" x14ac:dyDescent="0.2">
      <c r="B29" s="26" t="s">
        <v>53</v>
      </c>
      <c r="E29" s="51">
        <f>SUM(E25:E27)</f>
        <v>141</v>
      </c>
      <c r="F29" s="51">
        <f>SUM(F25:F27)</f>
        <v>6</v>
      </c>
      <c r="H29" s="24"/>
      <c r="N29" s="51">
        <f>SUM(N25:N27)</f>
        <v>1</v>
      </c>
    </row>
    <row r="31" spans="1:14" x14ac:dyDescent="0.2">
      <c r="I31" s="32" t="s">
        <v>54</v>
      </c>
      <c r="J31" s="24"/>
      <c r="K31" s="24"/>
      <c r="L31" s="24"/>
    </row>
    <row r="32" spans="1:14" hidden="1" x14ac:dyDescent="0.2">
      <c r="B32" s="13" t="s">
        <v>20</v>
      </c>
      <c r="C32" s="14">
        <v>524067</v>
      </c>
      <c r="J32" s="24"/>
      <c r="K32" s="24"/>
      <c r="L32" s="24"/>
    </row>
    <row r="33" spans="9:13" x14ac:dyDescent="0.2">
      <c r="I33" s="33" t="s">
        <v>55</v>
      </c>
      <c r="J33" s="34" t="s">
        <v>56</v>
      </c>
      <c r="K33" s="34" t="s">
        <v>57</v>
      </c>
      <c r="L33" s="34" t="s">
        <v>2</v>
      </c>
      <c r="M33" s="34" t="s">
        <v>58</v>
      </c>
    </row>
    <row r="34" spans="9:13" x14ac:dyDescent="0.2">
      <c r="I34" s="35">
        <f>SUM(E12:E22)</f>
        <v>4466341.6479999991</v>
      </c>
      <c r="J34" s="36">
        <f>+E29</f>
        <v>141</v>
      </c>
      <c r="K34" s="36">
        <f>+I34/J34</f>
        <v>31676.181900709213</v>
      </c>
      <c r="L34" s="36">
        <f>+L11</f>
        <v>6</v>
      </c>
      <c r="M34" s="36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 2002</vt:lpstr>
      <vt:lpstr>Mexico</vt:lpstr>
      <vt:lpstr>SAP</vt:lpstr>
      <vt:lpstr>East - Struct</vt:lpstr>
      <vt:lpstr>'East - Struct'!Print_Area</vt:lpstr>
      <vt:lpstr>Mexico!Print_Area</vt:lpstr>
      <vt:lpstr>SAP!Print_Area</vt:lpstr>
      <vt:lpstr>'Summary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2001-12-27T22:15:25Z</cp:lastPrinted>
  <dcterms:created xsi:type="dcterms:W3CDTF">2001-12-05T13:20:56Z</dcterms:created>
  <dcterms:modified xsi:type="dcterms:W3CDTF">2023-09-16T22:41:35Z</dcterms:modified>
</cp:coreProperties>
</file>