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7EB9EE-28B9-43B5-BC9F-B249CD4E9E15}" xr6:coauthVersionLast="47" xr6:coauthVersionMax="47" xr10:uidLastSave="{00000000-0000-0000-0000-000000000000}"/>
  <bookViews>
    <workbookView xWindow="-120" yWindow="-120" windowWidth="38640" windowHeight="15720" tabRatio="830" activeTab="6"/>
  </bookViews>
  <sheets>
    <sheet name="Template" sheetId="154" r:id="rId1"/>
    <sheet name="1203" sheetId="205" r:id="rId2"/>
    <sheet name="1204" sheetId="207" r:id="rId3"/>
    <sheet name="1205" sheetId="208" r:id="rId4"/>
    <sheet name="1206" sheetId="209" r:id="rId5"/>
    <sheet name="1207" sheetId="211" r:id="rId6"/>
    <sheet name="1208" sheetId="21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Print_Area" localSheetId="0">Template!$A$1:$P$43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54" l="1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J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J25" i="154"/>
  <c r="L25" i="154"/>
  <c r="P25" i="154"/>
  <c r="B26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<sst xmlns="http://schemas.openxmlformats.org/spreadsheetml/2006/main" count="350" uniqueCount="46">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</sst>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  <cell r="BF11">
            <v>0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  <cell r="BF14">
            <v>0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-29176050</v>
          </cell>
        </row>
        <row r="22">
          <cell r="J22">
            <v>3156254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>
        <row r="11">
          <cell r="I11">
            <v>1.28</v>
          </cell>
        </row>
      </sheetData>
      <sheetData sheetId="20">
        <row r="12">
          <cell r="I12">
            <v>2102656.7200000002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735239.84999999963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735239.84999999963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735239.84999999963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735239.84999999963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735239.84999999963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735239.84999999963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735239.84999999963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735239.84999999963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735239.84999999963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735239.84999999963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735239.84999999963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735239.84999999963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735239.84999999963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735239.84999999963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735239.84999999963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82103124.660000056</v>
          </cell>
          <cell r="DJ173">
            <v>2535090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2535090</v>
          </cell>
          <cell r="DJ179">
            <v>0</v>
          </cell>
        </row>
        <row r="215">
          <cell r="A215">
            <v>37231</v>
          </cell>
          <cell r="DB215">
            <v>81049062.160000056</v>
          </cell>
          <cell r="DJ215">
            <v>200590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200590</v>
          </cell>
          <cell r="DJ221">
            <v>0</v>
          </cell>
        </row>
        <row r="257">
          <cell r="A257">
            <v>37232</v>
          </cell>
          <cell r="DB257">
            <v>80639812.160000056</v>
          </cell>
          <cell r="DJ257">
            <v>55020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55020</v>
          </cell>
          <cell r="DJ263">
            <v>0</v>
          </cell>
        </row>
        <row r="299">
          <cell r="A299">
            <v>37233</v>
          </cell>
          <cell r="DB299">
            <v>80584792.160000056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80584792.160000056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80511677.160000056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80511677.160000056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80511677.160000056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80511677.160000056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80511677.160000056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80511677.160000056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80511677.160000056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80511677.160000056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80511677.160000056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80511677.160000056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80511677.160000056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80511677.160000056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80511677.160000056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80511677.160000056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80511677.160000056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80511677.160000056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80511677.160000056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80511677.160000056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80511677.160000056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80511677.160000056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80511677.160000056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80511677.160000056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0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0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0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0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4068679.5990916872</v>
          </cell>
          <cell r="FJ173">
            <v>-1553591.2962500001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4140706.9076689426</v>
          </cell>
          <cell r="FJ215">
            <v>-1469880.86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4176676.7418139772</v>
          </cell>
          <cell r="FJ257">
            <v>-1441565.4824999999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5637336.4195783678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5547349.9674011264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4029309.5866221334</v>
          </cell>
          <cell r="FJ383">
            <v>-1587787.4559000002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5641531.4898146577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5635379.6513498202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5637965.8973089904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5633668.3503050646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5634759.855158438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5547380.5174011262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5547380.5174011262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4930755.9852641169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4936267.0325174378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4935151.775425449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4940995.4264313867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4938344.8093604436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4842759.344639089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4842759.344639089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4935042.1673638728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37252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37253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39278373.78599979</v>
          </cell>
          <cell r="CX173">
            <v>696262.79000000923</v>
          </cell>
          <cell r="DB173">
            <v>7021630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7021630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-30829260</v>
          </cell>
        </row>
        <row r="215">
          <cell r="A215">
            <v>37231</v>
          </cell>
          <cell r="CT215">
            <v>39005700.385999784</v>
          </cell>
          <cell r="CX215">
            <v>696262.79000000923</v>
          </cell>
          <cell r="DB215">
            <v>5847070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5847070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-30811120</v>
          </cell>
        </row>
        <row r="257">
          <cell r="A257">
            <v>37232</v>
          </cell>
          <cell r="CT257">
            <v>39691651.485999793</v>
          </cell>
          <cell r="CX257">
            <v>696262.79000000923</v>
          </cell>
          <cell r="DB257">
            <v>5635520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5635520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-31526730</v>
          </cell>
        </row>
        <row r="299">
          <cell r="A299">
            <v>37233</v>
          </cell>
          <cell r="CT299">
            <v>34056131.485999793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34056131.485999793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36917604.03599979</v>
          </cell>
          <cell r="CX383">
            <v>696262.79000000923</v>
          </cell>
          <cell r="DB383">
            <v>4464420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4464420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-29176050</v>
          </cell>
        </row>
        <row r="425">
          <cell r="A425">
            <v>37236</v>
          </cell>
          <cell r="CT425">
            <v>32453184.03599979</v>
          </cell>
          <cell r="CX425">
            <v>696262.79000000923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37237</v>
          </cell>
          <cell r="CT467">
            <v>32453184.03599979</v>
          </cell>
          <cell r="CX467">
            <v>696262.79000000923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37238</v>
          </cell>
          <cell r="CT509">
            <v>32453184.03599979</v>
          </cell>
          <cell r="CX509">
            <v>696262.79000000923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37239</v>
          </cell>
          <cell r="CT551">
            <v>32453184.03599979</v>
          </cell>
          <cell r="CX551">
            <v>696262.79000000923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32453184.03599979</v>
          </cell>
          <cell r="CX593">
            <v>696262.79000000923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32453184.03599979</v>
          </cell>
          <cell r="CX635">
            <v>696262.79000000923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32453184.03599979</v>
          </cell>
          <cell r="CX677">
            <v>696262.79000000923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32453184.03599979</v>
          </cell>
          <cell r="CX719">
            <v>696262.79000000923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32453184.03599979</v>
          </cell>
          <cell r="CX761">
            <v>696262.79000000923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32453184.03599979</v>
          </cell>
          <cell r="CX803">
            <v>696262.79000000923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32453184.03599979</v>
          </cell>
          <cell r="CX845">
            <v>696262.79000000923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32453184.03599979</v>
          </cell>
          <cell r="CX887">
            <v>696262.79000000923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32453184.03599979</v>
          </cell>
          <cell r="CX929">
            <v>696262.79000000923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32453184.03599979</v>
          </cell>
          <cell r="CX971">
            <v>696262.79000000923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32453184.03599979</v>
          </cell>
          <cell r="CX1013">
            <v>696262.79000000923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32453184.03599979</v>
          </cell>
          <cell r="CX1055">
            <v>696262.79000000923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32453184.03599979</v>
          </cell>
          <cell r="CX1097">
            <v>696262.79000000923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32453184.03599979</v>
          </cell>
          <cell r="CX1139">
            <v>696262.79000000923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32453184.03599979</v>
          </cell>
          <cell r="CX1181">
            <v>696262.79000000923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32453184.03599979</v>
          </cell>
          <cell r="CX1223">
            <v>696262.79000000923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32453184.03599979</v>
          </cell>
          <cell r="CX1265">
            <v>696262.79000000923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2273856.6699999995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2273856.6699999995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2273856.6699999995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2273856.6699999995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2273856.6699999995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2273856.6699999995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2273856.6699999995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2273856.6699999995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2273856.6699999995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2273856.6699999995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2273856.6699999995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2273856.6699999995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2273856.6699999995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2273856.6699999995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2273856.6699999995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2273856.6699999995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2273856.6699999995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2273856.6699999995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2273856.6699999995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2273856.6699999995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2273856.6699999995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2273856.6699999995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60" workbookViewId="0">
      <pane xSplit="1" ySplit="6" topLeftCell="D7" activePane="bottomRight" state="frozen"/>
      <selection pane="topRight" activeCell="B1" sqref="B1"/>
      <selection pane="bottomLeft" activeCell="A7" sqref="A7"/>
      <selection pane="bottomRight" activeCell="F19" sqref="F19:F20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37236</v>
      </c>
      <c r="M2" s="3"/>
    </row>
    <row r="3" spans="1:17" ht="18" x14ac:dyDescent="0.25">
      <c r="A3" s="5">
        <v>37235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f>SUMIF([2]Statements!$A$5:$A$1305,$A$3,[2]Statements!$BN$5:$BN$1305)-3</f>
        <v>194899.53600002639</v>
      </c>
      <c r="C8" s="42"/>
      <c r="D8" s="42">
        <f t="shared" ref="D8:D26" si="0">B8-C8</f>
        <v>194899.53600002639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>
        <f t="shared" ref="L8:L13" si="2">B8+E8-F8+J8</f>
        <v>194899.53600002639</v>
      </c>
      <c r="M8" s="12"/>
      <c r="N8" s="34"/>
      <c r="O8" s="34"/>
      <c r="P8" s="42">
        <f>SUMIF([2]Statements!$A$5:$A$1305,$A$3,[2]Statements!$BW$5:$BW$1305)</f>
        <v>0</v>
      </c>
      <c r="Q8" s="34"/>
    </row>
    <row r="9" spans="1:17" x14ac:dyDescent="0.2">
      <c r="A9" t="s">
        <v>6</v>
      </c>
      <c r="B9" s="42">
        <f>SUMIF([3]Statements!$A$5:$A$1305,$A$3,[3]Statements!$DB$5:$DB$1305)-0.5</f>
        <v>0.19900000531924888</v>
      </c>
      <c r="C9" s="44"/>
      <c r="D9" s="42">
        <f t="shared" si="0"/>
        <v>0.19900000531924888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>
        <f t="shared" si="2"/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f>SUMIF([4]Statements!$A$5:$A$1305,$A$3,[4]Statements!$DB$5:$DB$1305)+1461</f>
        <v>0.22000002861022949</v>
      </c>
      <c r="C10" s="44"/>
      <c r="D10" s="42">
        <f t="shared" si="0"/>
        <v>0.22000002861022949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>
        <f t="shared" si="2"/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f>'[1]CARR FUTURES (NG)'!$I$11</f>
        <v>1.28</v>
      </c>
      <c r="C11" s="42"/>
      <c r="D11" s="42">
        <f t="shared" si="0"/>
        <v>1.28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f>SUMIF([5]Statements!$A$5:$A$1305,$A$3,[5]Statements!$FF$5:$FF$1305)+12330</f>
        <v>4041639.5866221334</v>
      </c>
      <c r="C12" s="42"/>
      <c r="D12" s="42">
        <f t="shared" si="0"/>
        <v>4041639.5866221334</v>
      </c>
      <c r="E12" s="42">
        <v>0</v>
      </c>
      <c r="F12" s="42">
        <f>'[1]CARR FUTURES'!$I$12</f>
        <v>2102656.7200000002</v>
      </c>
      <c r="G12" s="42"/>
      <c r="H12" s="42">
        <f t="shared" si="1"/>
        <v>2102656.7200000002</v>
      </c>
      <c r="I12" s="42"/>
      <c r="J12" s="42"/>
      <c r="K12" s="42"/>
      <c r="L12" s="42">
        <f t="shared" si="2"/>
        <v>1938982.8666221332</v>
      </c>
      <c r="M12" s="12"/>
      <c r="N12" s="34"/>
      <c r="O12" s="34"/>
      <c r="P12" s="42">
        <f>SUMIF([5]Statements!$A$5:$A$1305,$A$3,[5]Statements!$FJ$5:$FJ$1305)</f>
        <v>-1587787.4559000002</v>
      </c>
    </row>
    <row r="13" spans="1:17" x14ac:dyDescent="0.2">
      <c r="A13" t="s">
        <v>20</v>
      </c>
      <c r="B13" s="42">
        <f>SUMIF([6]Statements!$A$5:$A$1305,$A$3,[6]Statements!$CX$5:$CX$1305)-8</f>
        <v>29847.820000004023</v>
      </c>
      <c r="C13" s="42"/>
      <c r="D13" s="42">
        <f t="shared" si="0"/>
        <v>29847.820000004023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>
        <f t="shared" si="2"/>
        <v>29847.820000004023</v>
      </c>
      <c r="M13" s="12"/>
      <c r="N13" s="34"/>
      <c r="O13" s="34"/>
      <c r="P13" s="42">
        <f>SUMIF([6]Statements!$A$5:$A$1305,$A$3,[6]Statements!$DF$5:$DF$1305)</f>
        <v>0</v>
      </c>
    </row>
    <row r="14" spans="1:17" x14ac:dyDescent="0.2">
      <c r="A14" t="s">
        <v>44</v>
      </c>
      <c r="B14" s="42">
        <f>SUMIF([7]Statements!$A$5:$A$1305,$A$3,[7]Statements!$CT$5:$CT$1305)-SUMIF([7]Statements!$A$5:$A$1305,$A$3,[7]Statements!$CX$5:$CX$1305)-5</f>
        <v>36221336.245999783</v>
      </c>
      <c r="C14" s="42"/>
      <c r="D14" s="42">
        <f t="shared" si="0"/>
        <v>36221336.245999783</v>
      </c>
      <c r="E14" s="42">
        <f>+'[1]EDF MANN'!$J$20</f>
        <v>-29176050</v>
      </c>
      <c r="F14" s="42">
        <f>'[1]EDF MANN'!$J$22</f>
        <v>3156254</v>
      </c>
      <c r="G14" s="43"/>
      <c r="H14" s="42">
        <f t="shared" si="1"/>
        <v>3156254</v>
      </c>
      <c r="I14" s="43"/>
      <c r="J14" s="43"/>
      <c r="K14" s="43"/>
      <c r="L14" s="42">
        <f t="shared" ref="L14:L20" si="3">B14+E14-F14+J14</f>
        <v>3889032.2459997833</v>
      </c>
      <c r="M14" s="12"/>
      <c r="N14" s="34"/>
      <c r="O14" s="34"/>
      <c r="P14" s="42">
        <f>SUMIF([7]Statements!$A$5:$A$1305,$A$3,[7]Statements!$DB$5:$DB$1305)</f>
        <v>4464420</v>
      </c>
    </row>
    <row r="15" spans="1:17" x14ac:dyDescent="0.2">
      <c r="A15" t="s">
        <v>43</v>
      </c>
      <c r="B15" s="44">
        <f>SUMIF([8]Statements!$A$5:$A$1305,$A$3,[8]Statements!$BB$5:$BB$1305)-3</f>
        <v>2273853.6699999995</v>
      </c>
      <c r="C15" s="44"/>
      <c r="D15" s="42">
        <f t="shared" si="0"/>
        <v>2273853.6699999995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>
        <v>1</v>
      </c>
      <c r="J15" s="43">
        <f>SUMIF('[1]WIRE WORKSHEET'!$B$4:$B$36,A2,'[1]WIRE WORKSHEET'!$BB$4:$BB$36)</f>
        <v>0</v>
      </c>
      <c r="K15" s="40"/>
      <c r="L15" s="42">
        <f t="shared" si="3"/>
        <v>2273853.6699999995</v>
      </c>
      <c r="M15" s="12"/>
      <c r="N15" s="35"/>
      <c r="O15" s="35"/>
      <c r="P15" s="44">
        <f>SUMIF([8]Statements!$A$5:$A$1305,$A$3,[8]Statements!$BI$5:$BI$1305)</f>
        <v>0</v>
      </c>
      <c r="Q15" s="35"/>
    </row>
    <row r="16" spans="1:17" x14ac:dyDescent="0.2">
      <c r="A16" t="s">
        <v>9</v>
      </c>
      <c r="B16" s="44">
        <f>SUMIF([9]Statements!$A$5:$A$1305,$A$3,[9]Statements!$CA$5:$CA$1305)-851</f>
        <v>-2131.6814089999825</v>
      </c>
      <c r="C16" s="42"/>
      <c r="D16" s="42">
        <f t="shared" si="0"/>
        <v>-2131.6814089999825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>
        <f t="shared" si="3"/>
        <v>-2131.6814089999825</v>
      </c>
      <c r="M16" s="12"/>
      <c r="N16" s="34"/>
      <c r="O16" s="34"/>
      <c r="P16" s="44">
        <f>SUMIF([9]Statements!$A$5:$A$1305,$A$3,[9]Statements!$BZ$5:$BZ$1305)</f>
        <v>0</v>
      </c>
    </row>
    <row r="17" spans="1:16" x14ac:dyDescent="0.2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>
        <f>SUMIF([9]Statements!$BX$5:$BX$1305,$A$3,[9]Statements!$CG$5:$CG$1305)</f>
        <v>64204.5</v>
      </c>
      <c r="O17" s="42">
        <f>SUMIF([9]Statements!$BX$5:$BX$1305,$A$3,[9]Statements!$CH$5:$CH$1305)</f>
        <v>0</v>
      </c>
      <c r="P17" s="42">
        <v>0</v>
      </c>
    </row>
    <row r="18" spans="1:16" x14ac:dyDescent="0.2">
      <c r="A18" t="s">
        <v>26</v>
      </c>
      <c r="B18" s="42">
        <f>SUMIF([10]Statements!$A$5:$A$1305,$A$3,[10]Statements!$BB$5:$BB$1305)-5</f>
        <v>735234.84999999963</v>
      </c>
      <c r="C18" s="42"/>
      <c r="D18" s="42">
        <f t="shared" si="0"/>
        <v>735234.84999999963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>
        <f t="shared" si="3"/>
        <v>735234.84999999963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f>SUMIF([11]Statements!$A$5:$A$1305,$A$3,[11]Statements!$BB$5:$BB$1305)</f>
        <v>0</v>
      </c>
      <c r="C19" s="42"/>
      <c r="D19" s="42">
        <f t="shared" si="0"/>
        <v>0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>
        <f t="shared" si="3"/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f>SUMIF([12]Statements!$A$5:$A$1305,$A$3,[12]Statements!$DB$5:$DB$1305)-67725</f>
        <v>80443952.160000056</v>
      </c>
      <c r="C20" s="43"/>
      <c r="D20" s="42">
        <f t="shared" si="0"/>
        <v>80443952.160000056</v>
      </c>
      <c r="E20" s="43">
        <v>0</v>
      </c>
      <c r="F20" s="43">
        <f>[1]PARIBAS!$J$19</f>
        <v>0</v>
      </c>
      <c r="G20" s="43"/>
      <c r="H20" s="42">
        <f t="shared" si="1"/>
        <v>0</v>
      </c>
      <c r="I20" s="43"/>
      <c r="J20" s="43"/>
      <c r="K20" s="43"/>
      <c r="L20" s="42">
        <f t="shared" si="3"/>
        <v>80443952.160000056</v>
      </c>
      <c r="M20" s="12"/>
      <c r="N20" s="34"/>
      <c r="O20" s="34"/>
      <c r="P20" s="43">
        <f>SUMIF([12]Statements!$A$5:$A$1305,$A$3,[12]Statements!$DJ$5:$DJ$1305)</f>
        <v>0</v>
      </c>
    </row>
    <row r="21" spans="1:16" x14ac:dyDescent="0.2">
      <c r="A21" t="s">
        <v>13</v>
      </c>
      <c r="B21" s="42">
        <f>SUMIF([13]Statements!$A$5:$A$1305,$A$3,[13]Statements!$EQ$5:$EQ$1305)+1132267</f>
        <v>0.21142121125012636</v>
      </c>
      <c r="C21" s="42"/>
      <c r="D21" s="42">
        <f t="shared" si="0"/>
        <v>0.21142121125012636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>
        <f t="shared" ref="L21:L26" si="4">B21+E21-F21+J21</f>
        <v>0.21142121125012636</v>
      </c>
      <c r="M21" s="12"/>
      <c r="N21" s="34"/>
      <c r="O21" s="34"/>
      <c r="P21" s="42">
        <f>SUMIF([13]Statements!$A$5:$A$1305,$A$3,[13]Statements!$EC$5:$EC$1305)</f>
        <v>-19725.3</v>
      </c>
    </row>
    <row r="22" spans="1:16" x14ac:dyDescent="0.2">
      <c r="A22" t="s">
        <v>14</v>
      </c>
      <c r="B22" s="42">
        <f>SUMIF([14]Statements!$A$5:$A$1305,$A$3,[14]Statements!$BC$5:$BC$1305)-835.5</f>
        <v>0.25900000694036862</v>
      </c>
      <c r="C22" s="42"/>
      <c r="D22" s="42">
        <f t="shared" si="0"/>
        <v>0.25900000694036862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>
        <f t="shared" si="4"/>
        <v>0.25900000694036862</v>
      </c>
      <c r="M22" s="12"/>
      <c r="N22" s="34"/>
      <c r="O22" s="34"/>
      <c r="P22" s="42">
        <f>SUMIF([14]Statements!$A$5:$A$1305,$A$3,[14]Statements!$BB$5:$BB$1305)</f>
        <v>0</v>
      </c>
    </row>
    <row r="23" spans="1:16" x14ac:dyDescent="0.2">
      <c r="A23" t="s">
        <v>18</v>
      </c>
      <c r="B23" s="42">
        <f>SUMIF([15]Statements!$A$5:$A$1305,$A$3,[15]Statements!$BN$5:$BN$1305)+1.5</f>
        <v>0.17999999999301508</v>
      </c>
      <c r="C23" s="42"/>
      <c r="D23" s="42">
        <f t="shared" si="0"/>
        <v>0.17999999999301508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>
        <f t="shared" si="4"/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f>SUMIF([16]Statements!$A$5:$A$1305,$A$3,[16]Statements!$CK$5:$CK$1305)-39516</f>
        <v>0.18000000000029104</v>
      </c>
      <c r="C24" s="42"/>
      <c r="D24" s="42">
        <f t="shared" si="0"/>
        <v>0.18000000000029104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>
        <f t="shared" si="4"/>
        <v>0.18000000000029104</v>
      </c>
      <c r="M24" s="12"/>
      <c r="N24" s="34"/>
      <c r="O24" s="34"/>
      <c r="P24" s="42">
        <f>SUMIF([16]Statements!$A$5:$A$1305,$A$3,[16]Statements!$CD$5:$CD$1305)</f>
        <v>0</v>
      </c>
    </row>
    <row r="25" spans="1:16" ht="12" customHeight="1" x14ac:dyDescent="0.2">
      <c r="A25" s="18" t="s">
        <v>41</v>
      </c>
      <c r="B25" s="42">
        <f>SUMIF([17]Statements!$A$5:$A$1305,$A$3,[17]Statements!$CP$5:$CP$1305)</f>
        <v>53592.459999991581</v>
      </c>
      <c r="C25" s="42"/>
      <c r="D25" s="42">
        <f t="shared" si="0"/>
        <v>53592.459999991581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>
        <f>SUMIF('[1]WIRE WORKSHEET'!$B$4:$B$36,A2,'[1]WIRE WORKSHEET'!$BF$4:$BF$36)</f>
        <v>0</v>
      </c>
      <c r="K25" s="43"/>
      <c r="L25" s="42">
        <f t="shared" si="4"/>
        <v>53592.459999991581</v>
      </c>
      <c r="M25" s="12"/>
      <c r="N25" s="34"/>
      <c r="O25" s="34"/>
      <c r="P25" s="42">
        <f>SUMIF([17]Statements!$A$5:$A$1305,$A$3,[17]Statements!$CX$5:$CX$1305)</f>
        <v>0</v>
      </c>
    </row>
    <row r="26" spans="1:16" ht="12" customHeight="1" x14ac:dyDescent="0.2">
      <c r="A26" s="18" t="s">
        <v>42</v>
      </c>
      <c r="B26" s="42">
        <f>SUMIF([18]Statements!$A$5:$A$1305,$A$3,[18]Statements!$CP$5:$CP$1305)</f>
        <v>0</v>
      </c>
      <c r="C26" s="42"/>
      <c r="D26" s="42">
        <f t="shared" si="0"/>
        <v>0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>
        <f t="shared" si="4"/>
        <v>0</v>
      </c>
      <c r="M26" s="12"/>
      <c r="N26" s="34"/>
      <c r="O26" s="34"/>
      <c r="P26" s="42">
        <f>SUMIF([18]Statements!$A$5:$A$1305,$A$3,[18]Statements!$CX$5:$CX$1305)</f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f>SUM(B7:B26)</f>
        <v>123992227.17663425</v>
      </c>
      <c r="C28" s="46">
        <f>SUM(C7:C26)</f>
        <v>0</v>
      </c>
      <c r="D28" s="46">
        <f>SUM(D7:D26)</f>
        <v>123992227.17663425</v>
      </c>
      <c r="E28" s="46">
        <f t="shared" ref="E28:L28" si="5">SUM(E7:E26)</f>
        <v>-29176050</v>
      </c>
      <c r="F28" s="46">
        <f t="shared" si="5"/>
        <v>5258910.7200000007</v>
      </c>
      <c r="G28" s="46">
        <f t="shared" si="5"/>
        <v>0</v>
      </c>
      <c r="H28" s="46">
        <f t="shared" si="5"/>
        <v>5258910.7200000007</v>
      </c>
      <c r="I28" s="46"/>
      <c r="J28" s="46">
        <f t="shared" si="5"/>
        <v>0</v>
      </c>
      <c r="K28" s="46"/>
      <c r="L28" s="46">
        <f t="shared" si="5"/>
        <v>89557266.456634253</v>
      </c>
      <c r="M28" s="28"/>
      <c r="N28" s="46">
        <f>SUM(N7:N27)</f>
        <v>64204.5</v>
      </c>
      <c r="O28" s="46">
        <f>SUM(O7:O27)</f>
        <v>0</v>
      </c>
      <c r="P28" s="46">
        <f>SUM(P7:P27)</f>
        <v>2856907.2440999998</v>
      </c>
    </row>
    <row r="29" spans="1:16" s="17" customFormat="1" hidden="1" x14ac:dyDescent="0.2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f>+B28+SUM(B30:B31)</f>
        <v>123992227.17663425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f>B28+E28-F28+J28</f>
        <v>89557266.456634253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1.7109375" customWidth="1"/>
    <col min="15" max="15" width="10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37229</v>
      </c>
      <c r="M2" s="3"/>
    </row>
    <row r="3" spans="1:17" ht="18" x14ac:dyDescent="0.25">
      <c r="A3" s="5">
        <v>37228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37230</v>
      </c>
      <c r="M2" s="3"/>
    </row>
    <row r="3" spans="1:17" ht="18" x14ac:dyDescent="0.25">
      <c r="A3" s="5">
        <v>37229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A19" sqref="A19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37231</v>
      </c>
      <c r="M2" s="3"/>
    </row>
    <row r="3" spans="1:17" ht="18" x14ac:dyDescent="0.25">
      <c r="A3" s="5">
        <v>37230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4082982.2090916871</v>
      </c>
      <c r="C12" s="42"/>
      <c r="D12" s="42">
        <v>4082982.2090916871</v>
      </c>
      <c r="E12" s="42">
        <v>0</v>
      </c>
      <c r="F12" s="42">
        <v>2075741.95</v>
      </c>
      <c r="G12" s="42"/>
      <c r="H12" s="42">
        <v>2075741.95</v>
      </c>
      <c r="I12" s="42"/>
      <c r="J12" s="42"/>
      <c r="K12" s="42"/>
      <c r="L12" s="42">
        <v>2007240.2590916872</v>
      </c>
      <c r="M12" s="12"/>
      <c r="N12" s="34"/>
      <c r="O12" s="34"/>
      <c r="P12" s="42">
        <v>-1553591.2962500001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38582105.995999783</v>
      </c>
      <c r="C14" s="42"/>
      <c r="D14" s="42">
        <v>38582105.995999783</v>
      </c>
      <c r="E14" s="42">
        <v>-30829260</v>
      </c>
      <c r="F14" s="42">
        <v>530174</v>
      </c>
      <c r="G14" s="43"/>
      <c r="H14" s="42">
        <v>530174</v>
      </c>
      <c r="I14" s="43"/>
      <c r="J14" s="43"/>
      <c r="K14" s="43"/>
      <c r="L14" s="42">
        <v>7222671.9959997833</v>
      </c>
      <c r="M14" s="12"/>
      <c r="N14" s="34"/>
      <c r="O14" s="34"/>
      <c r="P14" s="42">
        <v>7021630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82035399.660000056</v>
      </c>
      <c r="C20" s="43"/>
      <c r="D20" s="42">
        <v>82035399.660000056</v>
      </c>
      <c r="E20" s="43">
        <v>0</v>
      </c>
      <c r="F20" s="43">
        <v>7856805</v>
      </c>
      <c r="G20" s="43"/>
      <c r="H20" s="42">
        <v>7856805</v>
      </c>
      <c r="I20" s="43"/>
      <c r="J20" s="43"/>
      <c r="K20" s="43"/>
      <c r="L20" s="42">
        <v>74178594.660000056</v>
      </c>
      <c r="M20" s="12"/>
      <c r="N20" s="34"/>
      <c r="O20" s="34"/>
      <c r="P20" s="43">
        <v>2535090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128014391.04910381</v>
      </c>
      <c r="C28" s="46">
        <v>0</v>
      </c>
      <c r="D28" s="46">
        <v>128014391.04910381</v>
      </c>
      <c r="E28" s="46">
        <v>-30829260</v>
      </c>
      <c r="F28" s="46">
        <v>10462720.949999999</v>
      </c>
      <c r="G28" s="46">
        <v>0</v>
      </c>
      <c r="H28" s="46">
        <v>10462720.949999999</v>
      </c>
      <c r="I28" s="46"/>
      <c r="J28" s="46">
        <v>0</v>
      </c>
      <c r="K28" s="46"/>
      <c r="L28" s="46">
        <v>86722410.099103823</v>
      </c>
      <c r="M28" s="28"/>
      <c r="N28" s="46">
        <v>64204.5</v>
      </c>
      <c r="O28" s="46">
        <v>0</v>
      </c>
      <c r="P28" s="46">
        <v>8003128.7037499994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86722410.099103808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B20" sqref="B20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37232</v>
      </c>
      <c r="M2" s="3"/>
    </row>
    <row r="3" spans="1:17" ht="18" x14ac:dyDescent="0.25">
      <c r="A3" s="5">
        <v>37231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4155680.0449069059</v>
      </c>
      <c r="C12" s="42"/>
      <c r="D12" s="42">
        <v>4155680.0449069059</v>
      </c>
      <c r="E12" s="42">
        <v>0</v>
      </c>
      <c r="F12" s="42">
        <v>2094227.32</v>
      </c>
      <c r="G12" s="42"/>
      <c r="H12" s="42">
        <v>2094227.32</v>
      </c>
      <c r="I12" s="42"/>
      <c r="J12" s="42"/>
      <c r="K12" s="42"/>
      <c r="L12" s="42">
        <v>2061452.7249069058</v>
      </c>
      <c r="M12" s="12"/>
      <c r="N12" s="34"/>
      <c r="O12" s="34"/>
      <c r="P12" s="42">
        <v>-1469880.86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38309432.595999777</v>
      </c>
      <c r="C14" s="42"/>
      <c r="D14" s="42">
        <v>38309432.595999777</v>
      </c>
      <c r="E14" s="42">
        <v>-30811120</v>
      </c>
      <c r="F14" s="42">
        <v>882648</v>
      </c>
      <c r="G14" s="43"/>
      <c r="H14" s="42">
        <v>882648</v>
      </c>
      <c r="I14" s="43"/>
      <c r="J14" s="43"/>
      <c r="K14" s="43"/>
      <c r="L14" s="42">
        <v>6615664.5959997773</v>
      </c>
      <c r="M14" s="12"/>
      <c r="N14" s="34"/>
      <c r="O14" s="34"/>
      <c r="P14" s="42">
        <v>5847070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80981337.160000056</v>
      </c>
      <c r="C20" s="43"/>
      <c r="D20" s="42">
        <v>80981337.160000056</v>
      </c>
      <c r="E20" s="43">
        <v>0</v>
      </c>
      <c r="F20" s="43">
        <v>1629870</v>
      </c>
      <c r="G20" s="43"/>
      <c r="H20" s="42">
        <v>1629870</v>
      </c>
      <c r="I20" s="43"/>
      <c r="J20" s="43"/>
      <c r="K20" s="43"/>
      <c r="L20" s="42">
        <v>79351467.160000056</v>
      </c>
      <c r="M20" s="12"/>
      <c r="N20" s="34"/>
      <c r="O20" s="34"/>
      <c r="P20" s="43">
        <v>200590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126715866.26491903</v>
      </c>
      <c r="C28" s="46">
        <v>0</v>
      </c>
      <c r="D28" s="46">
        <v>126715866.26491903</v>
      </c>
      <c r="E28" s="46">
        <v>-30811120</v>
      </c>
      <c r="F28" s="46">
        <v>4606745.32</v>
      </c>
      <c r="G28" s="46">
        <v>0</v>
      </c>
      <c r="H28" s="46">
        <v>4606745.32</v>
      </c>
      <c r="I28" s="46"/>
      <c r="J28" s="46">
        <v>0</v>
      </c>
      <c r="K28" s="46"/>
      <c r="L28" s="46">
        <v>91298000.944919035</v>
      </c>
      <c r="M28" s="28"/>
      <c r="N28" s="46">
        <v>64204.5</v>
      </c>
      <c r="O28" s="46">
        <v>0</v>
      </c>
      <c r="P28" s="46">
        <v>4577779.1399999997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126715866.26491903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91298000.94491902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6" sqref="L3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37235</v>
      </c>
      <c r="M2" s="3"/>
    </row>
    <row r="3" spans="1:17" ht="18" x14ac:dyDescent="0.25">
      <c r="A3" s="5">
        <v>37232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4190483.7418139772</v>
      </c>
      <c r="C12" s="42"/>
      <c r="D12" s="42">
        <v>4190483.7418139772</v>
      </c>
      <c r="E12" s="42">
        <v>0</v>
      </c>
      <c r="F12" s="42">
        <v>2100395.52</v>
      </c>
      <c r="G12" s="42"/>
      <c r="H12" s="42">
        <v>2100395.52</v>
      </c>
      <c r="I12" s="42"/>
      <c r="J12" s="42"/>
      <c r="K12" s="42"/>
      <c r="L12" s="42">
        <v>2090088.2218139772</v>
      </c>
      <c r="M12" s="12"/>
      <c r="N12" s="34"/>
      <c r="O12" s="34"/>
      <c r="P12" s="42">
        <v>-1441565.4824999999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38995383.695999786</v>
      </c>
      <c r="C14" s="42"/>
      <c r="D14" s="42">
        <v>38995383.695999786</v>
      </c>
      <c r="E14" s="42">
        <v>-31526730</v>
      </c>
      <c r="F14" s="42">
        <v>1045902</v>
      </c>
      <c r="G14" s="43"/>
      <c r="H14" s="42">
        <v>1045902</v>
      </c>
      <c r="I14" s="43"/>
      <c r="J14" s="43"/>
      <c r="K14" s="43"/>
      <c r="L14" s="42">
        <v>6422751.6959997863</v>
      </c>
      <c r="M14" s="12"/>
      <c r="N14" s="34"/>
      <c r="O14" s="34"/>
      <c r="P14" s="42">
        <v>5635520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80572087.160000056</v>
      </c>
      <c r="C20" s="43"/>
      <c r="D20" s="42">
        <v>80572087.160000056</v>
      </c>
      <c r="E20" s="43">
        <v>0</v>
      </c>
      <c r="F20" s="43">
        <v>914100</v>
      </c>
      <c r="G20" s="43"/>
      <c r="H20" s="42">
        <v>914100</v>
      </c>
      <c r="I20" s="43"/>
      <c r="J20" s="43"/>
      <c r="K20" s="43"/>
      <c r="L20" s="42">
        <v>79657987.160000056</v>
      </c>
      <c r="M20" s="12"/>
      <c r="N20" s="34"/>
      <c r="O20" s="34"/>
      <c r="P20" s="43">
        <v>55020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127027371.06182609</v>
      </c>
      <c r="C28" s="46">
        <v>0</v>
      </c>
      <c r="D28" s="46">
        <v>127027371.06182609</v>
      </c>
      <c r="E28" s="46">
        <v>-31526730</v>
      </c>
      <c r="F28" s="46">
        <v>4060397.52</v>
      </c>
      <c r="G28" s="46">
        <v>0</v>
      </c>
      <c r="H28" s="46">
        <v>4060397.52</v>
      </c>
      <c r="I28" s="46"/>
      <c r="J28" s="46">
        <v>0</v>
      </c>
      <c r="K28" s="46"/>
      <c r="L28" s="46">
        <v>91440243.541826114</v>
      </c>
      <c r="M28" s="28"/>
      <c r="N28" s="46">
        <v>64204.5</v>
      </c>
      <c r="O28" s="46">
        <v>0</v>
      </c>
      <c r="P28" s="46">
        <v>4248974.5175000001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127027371.06182609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91440243.541826099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="70" workbookViewId="0">
      <selection activeCell="B7" sqref="B7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37236</v>
      </c>
      <c r="M2" s="3"/>
    </row>
    <row r="3" spans="1:17" ht="18" x14ac:dyDescent="0.25">
      <c r="A3" s="5">
        <v>37235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4041639.5866221334</v>
      </c>
      <c r="C12" s="42"/>
      <c r="D12" s="42">
        <v>4041639.5866221334</v>
      </c>
      <c r="E12" s="42">
        <v>0</v>
      </c>
      <c r="F12" s="42">
        <v>2102656.7200000002</v>
      </c>
      <c r="G12" s="42"/>
      <c r="H12" s="42">
        <v>2102656.7200000002</v>
      </c>
      <c r="I12" s="42"/>
      <c r="J12" s="42"/>
      <c r="K12" s="42"/>
      <c r="L12" s="42">
        <v>1938982.8666221332</v>
      </c>
      <c r="M12" s="12"/>
      <c r="N12" s="34"/>
      <c r="O12" s="34"/>
      <c r="P12" s="42">
        <v>-1587787.4559000002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36221336.245999783</v>
      </c>
      <c r="C14" s="42"/>
      <c r="D14" s="42">
        <v>36221336.245999783</v>
      </c>
      <c r="E14" s="42">
        <v>-29176050</v>
      </c>
      <c r="F14" s="42">
        <v>3156254</v>
      </c>
      <c r="G14" s="43"/>
      <c r="H14" s="42">
        <v>3156254</v>
      </c>
      <c r="I14" s="43"/>
      <c r="J14" s="43"/>
      <c r="K14" s="43"/>
      <c r="L14" s="42">
        <v>3889032.2459997833</v>
      </c>
      <c r="M14" s="12"/>
      <c r="N14" s="34"/>
      <c r="O14" s="34"/>
      <c r="P14" s="42">
        <v>4464420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80443952.160000056</v>
      </c>
      <c r="C20" s="43"/>
      <c r="D20" s="42">
        <v>80443952.160000056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80443952.160000056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0.21142121125012636</v>
      </c>
      <c r="C21" s="42"/>
      <c r="D21" s="42">
        <v>0.21142121125012636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0.21142121125012636</v>
      </c>
      <c r="M21" s="12"/>
      <c r="N21" s="34"/>
      <c r="O21" s="34"/>
      <c r="P21" s="42">
        <v>-19725.3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123992227.17663425</v>
      </c>
      <c r="C28" s="46">
        <v>0</v>
      </c>
      <c r="D28" s="46">
        <v>123992227.17663425</v>
      </c>
      <c r="E28" s="46">
        <v>-29176050</v>
      </c>
      <c r="F28" s="46">
        <v>5258910.72</v>
      </c>
      <c r="G28" s="46">
        <v>0</v>
      </c>
      <c r="H28" s="46">
        <v>5258910.72</v>
      </c>
      <c r="I28" s="46"/>
      <c r="J28" s="46">
        <v>0</v>
      </c>
      <c r="K28" s="46"/>
      <c r="L28" s="46">
        <v>89557266.456634253</v>
      </c>
      <c r="M28" s="28"/>
      <c r="N28" s="46">
        <v>64204.5</v>
      </c>
      <c r="O28" s="46">
        <v>0</v>
      </c>
      <c r="P28" s="46">
        <v>2856907.2440999998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123992227.17663425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89557266.456634253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Template</vt:lpstr>
      <vt:lpstr>1203</vt:lpstr>
      <vt:lpstr>1204</vt:lpstr>
      <vt:lpstr>1205</vt:lpstr>
      <vt:lpstr>1206</vt:lpstr>
      <vt:lpstr>1207</vt:lpstr>
      <vt:lpstr>1208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2001-12-11T16:43:47Z</cp:lastPrinted>
  <dcterms:created xsi:type="dcterms:W3CDTF">2000-04-03T19:03:47Z</dcterms:created>
  <dcterms:modified xsi:type="dcterms:W3CDTF">2023-09-16T22:50:53Z</dcterms:modified>
</cp:coreProperties>
</file>