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D19D6B-9800-4D99-9B5E-C9867D00CC5B}" xr6:coauthVersionLast="47" xr6:coauthVersionMax="47" xr10:uidLastSave="{00000000-0000-0000-0000-000000000000}"/>
  <bookViews>
    <workbookView xWindow="-120" yWindow="-120" windowWidth="38640" windowHeight="15720" tabRatio="830"/>
  </bookViews>
  <sheets>
    <sheet name="Template" sheetId="154" r:id="rId1"/>
    <sheet name="1203" sheetId="205" r:id="rId2"/>
    <sheet name="1204" sheetId="207" r:id="rId3"/>
    <sheet name="1205" sheetId="20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Area" localSheetId="0">Template!$A$1:$P$43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54" l="1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J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J25" i="154"/>
  <c r="L25" i="154"/>
  <c r="P25" i="154"/>
  <c r="B26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twarwic</author>
    <author>pbloom</author>
    <author>charlie hoang</author>
  </authors>
  <commentList>
    <comment ref="B8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44,488 Interest 12/1</t>
        </r>
      </text>
    </comment>
    <comment ref="F16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2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</commentList>
</comments>
</file>

<file path=xl/sharedStrings.xml><?xml version="1.0" encoding="utf-8"?>
<sst xmlns="http://schemas.openxmlformats.org/spreadsheetml/2006/main" count="200" uniqueCount="46">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</sst>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0" borderId="2" xfId="2" applyNumberFormat="1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JPM01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Mann01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f01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si011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ef011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JO01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aul01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01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Fin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BN01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dm01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BkOne01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arr01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SFB01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Edf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Fm01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Hsbc0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37225</v>
          </cell>
          <cell r="BB4">
            <v>0</v>
          </cell>
          <cell r="BF4">
            <v>-4107510</v>
          </cell>
        </row>
        <row r="5">
          <cell r="B5">
            <v>37226</v>
          </cell>
        </row>
        <row r="6">
          <cell r="B6">
            <v>37227</v>
          </cell>
        </row>
        <row r="7">
          <cell r="B7">
            <v>37228</v>
          </cell>
          <cell r="BB7">
            <v>0</v>
          </cell>
          <cell r="BF7">
            <v>0</v>
          </cell>
        </row>
        <row r="8">
          <cell r="B8">
            <v>37229</v>
          </cell>
        </row>
        <row r="9">
          <cell r="B9">
            <v>37230</v>
          </cell>
        </row>
        <row r="10">
          <cell r="B10">
            <v>37231</v>
          </cell>
        </row>
        <row r="11">
          <cell r="B11">
            <v>37232</v>
          </cell>
        </row>
        <row r="12">
          <cell r="B12">
            <v>37233</v>
          </cell>
        </row>
        <row r="13">
          <cell r="B13">
            <v>37234</v>
          </cell>
        </row>
        <row r="14">
          <cell r="B14">
            <v>37235</v>
          </cell>
        </row>
        <row r="15">
          <cell r="B15">
            <v>37236</v>
          </cell>
        </row>
        <row r="16">
          <cell r="B16">
            <v>37237</v>
          </cell>
        </row>
        <row r="17">
          <cell r="B17">
            <v>37238</v>
          </cell>
        </row>
        <row r="18">
          <cell r="B18">
            <v>37239</v>
          </cell>
        </row>
        <row r="19">
          <cell r="B19">
            <v>37240</v>
          </cell>
        </row>
        <row r="20">
          <cell r="B20">
            <v>37241</v>
          </cell>
        </row>
        <row r="21">
          <cell r="B21">
            <v>37242</v>
          </cell>
        </row>
        <row r="22">
          <cell r="B22">
            <v>37243</v>
          </cell>
        </row>
        <row r="23">
          <cell r="B23">
            <v>37244</v>
          </cell>
        </row>
        <row r="24">
          <cell r="B24">
            <v>37245</v>
          </cell>
        </row>
        <row r="25">
          <cell r="B25">
            <v>37246</v>
          </cell>
        </row>
        <row r="26">
          <cell r="B26">
            <v>37247</v>
          </cell>
        </row>
        <row r="27">
          <cell r="B27">
            <v>37248</v>
          </cell>
          <cell r="BB27">
            <v>0</v>
          </cell>
        </row>
        <row r="28">
          <cell r="B28">
            <v>37249</v>
          </cell>
        </row>
        <row r="29">
          <cell r="B29">
            <v>37250</v>
          </cell>
        </row>
        <row r="30">
          <cell r="B30">
            <v>37251</v>
          </cell>
          <cell r="BB30">
            <v>0</v>
          </cell>
        </row>
        <row r="31">
          <cell r="B31">
            <v>37252</v>
          </cell>
          <cell r="BB31">
            <v>0</v>
          </cell>
        </row>
        <row r="32">
          <cell r="B32">
            <v>37253</v>
          </cell>
          <cell r="BB32">
            <v>0</v>
          </cell>
        </row>
        <row r="33">
          <cell r="B33">
            <v>37254</v>
          </cell>
          <cell r="BB33">
            <v>0</v>
          </cell>
        </row>
        <row r="34">
          <cell r="B34">
            <v>37255</v>
          </cell>
          <cell r="BB34">
            <v>0</v>
          </cell>
        </row>
        <row r="35">
          <cell r="B35">
            <v>37256</v>
          </cell>
        </row>
        <row r="36">
          <cell r="B36">
            <v>37257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-30829260</v>
          </cell>
        </row>
        <row r="22">
          <cell r="J22">
            <v>530174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>
        <row r="47">
          <cell r="I47" t="str">
            <v>Loan Outstanding for VM</v>
          </cell>
        </row>
      </sheetData>
      <sheetData sheetId="14">
        <row r="19">
          <cell r="J19">
            <v>7856805</v>
          </cell>
        </row>
      </sheetData>
      <sheetData sheetId="15"/>
      <sheetData sheetId="16"/>
      <sheetData sheetId="17"/>
      <sheetData sheetId="18"/>
      <sheetData sheetId="19"/>
      <sheetData sheetId="20">
        <row r="12">
          <cell r="I12">
            <v>2075741.95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735239.84999999963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735239.84999999963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735239.84999999963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735239.84999999963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735239.84999999963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735239.84999999963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735239.84999999963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735239.84999999963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735239.84999999963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735239.84999999963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735239.84999999963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735239.84999999963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735239.84999999963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735239.84999999963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735239.84999999963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735239.84999999963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735239.84999999963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735239.84999999963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735239.84999999963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735239.84999999963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735239.84999999963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735239.84999999963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735239.84999999963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735239.84999999963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735239.84999999963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735239.84999999963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735239.84999999963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735239.84999999963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735239.84999999963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735239.84999999963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116052968.58000003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37227</v>
          </cell>
          <cell r="DB47">
            <v>116052968.58000003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37228</v>
          </cell>
          <cell r="DB89">
            <v>90264354.660000041</v>
          </cell>
          <cell r="DJ89">
            <v>-3723290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-3723290</v>
          </cell>
          <cell r="DJ95">
            <v>13707757.59</v>
          </cell>
        </row>
        <row r="131">
          <cell r="A131">
            <v>37229</v>
          </cell>
          <cell r="DB131">
            <v>86402774.660000056</v>
          </cell>
          <cell r="DJ131">
            <v>-47750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-47750</v>
          </cell>
          <cell r="DJ137">
            <v>0</v>
          </cell>
        </row>
        <row r="173">
          <cell r="A173">
            <v>37230</v>
          </cell>
          <cell r="DB173">
            <v>82103124.660000056</v>
          </cell>
          <cell r="DJ173">
            <v>2535090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2535090</v>
          </cell>
          <cell r="DJ179">
            <v>0</v>
          </cell>
        </row>
        <row r="215">
          <cell r="A215">
            <v>37231</v>
          </cell>
          <cell r="DB215">
            <v>79568034.660000056</v>
          </cell>
          <cell r="DJ215">
            <v>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0</v>
          </cell>
          <cell r="DJ221">
            <v>0</v>
          </cell>
        </row>
        <row r="257">
          <cell r="A257">
            <v>37232</v>
          </cell>
          <cell r="DB257">
            <v>79568034.660000056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37233</v>
          </cell>
          <cell r="DB299">
            <v>79568034.660000056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37234</v>
          </cell>
          <cell r="DB341">
            <v>79568034.660000056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37235</v>
          </cell>
          <cell r="DB383">
            <v>79568034.660000056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37236</v>
          </cell>
          <cell r="DB425">
            <v>79568034.660000056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37237</v>
          </cell>
          <cell r="DB467">
            <v>79568034.660000056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37238</v>
          </cell>
          <cell r="DB509">
            <v>79568034.660000056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37239</v>
          </cell>
          <cell r="DB551">
            <v>79568034.660000056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37240</v>
          </cell>
          <cell r="DB593">
            <v>79568034.660000056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37241</v>
          </cell>
          <cell r="DB635">
            <v>79568034.660000056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37242</v>
          </cell>
          <cell r="DB677">
            <v>79568034.660000056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37243</v>
          </cell>
          <cell r="DB719">
            <v>79568034.660000056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37244</v>
          </cell>
          <cell r="DB761">
            <v>79568034.660000056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37245</v>
          </cell>
          <cell r="DB803">
            <v>79568034.660000056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37246</v>
          </cell>
          <cell r="DB845">
            <v>79568034.660000056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37247</v>
          </cell>
          <cell r="DB887">
            <v>79568034.660000056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37248</v>
          </cell>
          <cell r="DB929">
            <v>79568034.660000056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37249</v>
          </cell>
          <cell r="DB971">
            <v>79568034.660000056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37250</v>
          </cell>
          <cell r="DB1013">
            <v>79568034.660000056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37251</v>
          </cell>
          <cell r="DB1055">
            <v>79568034.660000056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37252</v>
          </cell>
          <cell r="DB1097">
            <v>79568034.660000056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37253</v>
          </cell>
          <cell r="DB1139">
            <v>79568034.660000056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37254</v>
          </cell>
          <cell r="DB1181">
            <v>79568034.660000056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37255</v>
          </cell>
          <cell r="DB1223">
            <v>79568034.660000056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37256</v>
          </cell>
          <cell r="DB1265">
            <v>79568034.660000056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EC5">
            <v>0</v>
          </cell>
          <cell r="EQ5">
            <v>-1112541.4885787889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37227</v>
          </cell>
          <cell r="EC47">
            <v>0</v>
          </cell>
          <cell r="EQ47">
            <v>-1112541.4885787889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37228</v>
          </cell>
          <cell r="EC89">
            <v>0</v>
          </cell>
          <cell r="EQ89">
            <v>-1112541.4885787889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37229</v>
          </cell>
          <cell r="EC131">
            <v>0</v>
          </cell>
          <cell r="EQ131">
            <v>-1112541.4885787889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37230</v>
          </cell>
          <cell r="EC173">
            <v>0</v>
          </cell>
          <cell r="EQ173">
            <v>-1112541.4885787889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37231</v>
          </cell>
          <cell r="EC215">
            <v>0</v>
          </cell>
          <cell r="EQ215">
            <v>-1112541.4885787889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37232</v>
          </cell>
          <cell r="EC257">
            <v>0</v>
          </cell>
          <cell r="EQ257">
            <v>-1112541.4885787889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37233</v>
          </cell>
          <cell r="EC299">
            <v>0</v>
          </cell>
          <cell r="EQ299">
            <v>-1112541.4885787889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37234</v>
          </cell>
          <cell r="EC341">
            <v>0</v>
          </cell>
          <cell r="EQ341">
            <v>-1112541.4885787889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37235</v>
          </cell>
          <cell r="EC383">
            <v>-19725.3</v>
          </cell>
          <cell r="EQ383">
            <v>-1132266.7885787887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37236</v>
          </cell>
          <cell r="EC425">
            <v>0</v>
          </cell>
          <cell r="EQ425">
            <v>-1112541.4885787889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37237</v>
          </cell>
          <cell r="EC467">
            <v>0</v>
          </cell>
          <cell r="EQ467">
            <v>-1112541.4885787889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37238</v>
          </cell>
          <cell r="EC509">
            <v>0</v>
          </cell>
          <cell r="EQ509">
            <v>-1112541.4885787889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37239</v>
          </cell>
          <cell r="EC551">
            <v>0</v>
          </cell>
          <cell r="EQ551">
            <v>-1112541.4885787889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37240</v>
          </cell>
          <cell r="EC593">
            <v>0</v>
          </cell>
          <cell r="EQ593">
            <v>-1112541.4885787889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37241</v>
          </cell>
          <cell r="EC635">
            <v>0</v>
          </cell>
          <cell r="EQ635">
            <v>-1112541.4885787889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37242</v>
          </cell>
          <cell r="EC677">
            <v>0</v>
          </cell>
          <cell r="EQ677">
            <v>-1112541.4885787889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37243</v>
          </cell>
          <cell r="EC719">
            <v>0</v>
          </cell>
          <cell r="EQ719">
            <v>-1112541.4885787889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37244</v>
          </cell>
          <cell r="EC761">
            <v>0</v>
          </cell>
          <cell r="EQ761">
            <v>-1112541.4885787889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37245</v>
          </cell>
          <cell r="EC803">
            <v>0</v>
          </cell>
          <cell r="EQ803">
            <v>-1112541.4885787889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37246</v>
          </cell>
          <cell r="EC845">
            <v>0</v>
          </cell>
          <cell r="EQ845">
            <v>-1112541.4885787889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37247</v>
          </cell>
          <cell r="EC887">
            <v>0</v>
          </cell>
          <cell r="EQ887">
            <v>-1112541.4885787889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37248</v>
          </cell>
          <cell r="EC929">
            <v>0</v>
          </cell>
          <cell r="EQ929">
            <v>-1112541.4885787889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37249</v>
          </cell>
          <cell r="EC971">
            <v>0</v>
          </cell>
          <cell r="EQ971">
            <v>-1112541.4885787889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37250</v>
          </cell>
          <cell r="EC1013">
            <v>0</v>
          </cell>
          <cell r="EQ1013">
            <v>-1112541.4885787889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37251</v>
          </cell>
          <cell r="EC1055">
            <v>0</v>
          </cell>
          <cell r="EQ1055">
            <v>-1112541.4885787889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37252</v>
          </cell>
          <cell r="EC1097">
            <v>0</v>
          </cell>
          <cell r="EQ1097">
            <v>-1112541.4885787889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37253</v>
          </cell>
          <cell r="EC1139">
            <v>0</v>
          </cell>
          <cell r="EQ1139">
            <v>-1112541.4885787889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37254</v>
          </cell>
          <cell r="EC1181">
            <v>0</v>
          </cell>
          <cell r="EQ1181">
            <v>-1112541.4885787889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37227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37228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37229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37230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37231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37232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37233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37234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37235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37236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37237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37238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37239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37240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37241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37242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37243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37244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37245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37246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37247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37248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37249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37250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37251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37252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37253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37254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37255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37256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37227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37228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37229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37230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37231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37232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37233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37234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37235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37236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37237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37238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37239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37240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37241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37242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37243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37244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37245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37246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37247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37248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37249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37250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37251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37252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37253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37254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37255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37256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37227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37228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37229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37230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37231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37232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37233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37234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37235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37236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37237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37238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37239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37240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37241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37242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37243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37244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37245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37246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37247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37248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37249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37250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37251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37252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37253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37254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37255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37256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-2448144.8100000005</v>
          </cell>
        </row>
        <row r="131">
          <cell r="A131">
            <v>37229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0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0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0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37229</v>
          </cell>
          <cell r="CP131">
            <v>0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0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0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0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0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0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0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0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0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0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0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0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0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0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0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0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0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0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0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0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0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0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0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0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0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0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0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0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239390.8660000246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37227</v>
          </cell>
          <cell r="BN47">
            <v>239390.8660000246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37228</v>
          </cell>
          <cell r="BN89">
            <v>194902.53600002639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37229</v>
          </cell>
          <cell r="BN131">
            <v>194902.53600002639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37230</v>
          </cell>
          <cell r="BN173">
            <v>194902.53600002639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37231</v>
          </cell>
          <cell r="BN215">
            <v>194902.53600002639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37232</v>
          </cell>
          <cell r="BN257">
            <v>194902.53600002639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37233</v>
          </cell>
          <cell r="BN299">
            <v>194902.53600002639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37234</v>
          </cell>
          <cell r="BN341">
            <v>194902.53600002639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37235</v>
          </cell>
          <cell r="BN383">
            <v>194902.53600002639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37236</v>
          </cell>
          <cell r="BN425">
            <v>194902.53600002639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37237</v>
          </cell>
          <cell r="BN467">
            <v>194902.53600002639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37238</v>
          </cell>
          <cell r="BN509">
            <v>194902.53600002639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37239</v>
          </cell>
          <cell r="BN551">
            <v>194902.53600002639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37240</v>
          </cell>
          <cell r="BN593">
            <v>194902.53600002639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37241</v>
          </cell>
          <cell r="BN635">
            <v>194902.53600002639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37242</v>
          </cell>
          <cell r="BN677">
            <v>194902.53600002639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37243</v>
          </cell>
          <cell r="BN719">
            <v>194902.53600002639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37244</v>
          </cell>
          <cell r="BN761">
            <v>194902.53600002639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37245</v>
          </cell>
          <cell r="BN803">
            <v>194902.53600002639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37246</v>
          </cell>
          <cell r="BN845">
            <v>194902.53600002639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37247</v>
          </cell>
          <cell r="BN887">
            <v>194902.53600002639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37248</v>
          </cell>
          <cell r="BN929">
            <v>194902.53600002639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37249</v>
          </cell>
          <cell r="BN971">
            <v>194902.53600002639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37250</v>
          </cell>
          <cell r="BN1013">
            <v>194902.53600002639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37251</v>
          </cell>
          <cell r="BN1055">
            <v>194902.53600002639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37252</v>
          </cell>
          <cell r="BN1097">
            <v>194902.53600002639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37253</v>
          </cell>
          <cell r="BN1139">
            <v>194902.53600002639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37254</v>
          </cell>
          <cell r="BN1181">
            <v>194902.53600002639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37255</v>
          </cell>
          <cell r="BN1223">
            <v>194902.53600002639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37256</v>
          </cell>
          <cell r="BN1265">
            <v>194902.53600002639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37227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37228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37229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37230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37231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37232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37233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37234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37235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37236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37237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37238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37239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37240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37241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37242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37243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37244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37245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37246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37247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37248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37249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37250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37251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37252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37253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37254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37255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37256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-1460.7799999713898</v>
          </cell>
        </row>
        <row r="47">
          <cell r="A47">
            <v>37227</v>
          </cell>
          <cell r="DB47">
            <v>-1460.7799999713898</v>
          </cell>
        </row>
        <row r="89">
          <cell r="A89">
            <v>37228</v>
          </cell>
          <cell r="DB89">
            <v>-1460.7799999713898</v>
          </cell>
        </row>
        <row r="131">
          <cell r="A131">
            <v>37229</v>
          </cell>
          <cell r="DB131">
            <v>-1460.7799999713898</v>
          </cell>
        </row>
        <row r="173">
          <cell r="A173">
            <v>37230</v>
          </cell>
          <cell r="DB173">
            <v>-1460.7799999713898</v>
          </cell>
        </row>
        <row r="215">
          <cell r="A215">
            <v>37231</v>
          </cell>
          <cell r="DB215">
            <v>-1460.7799999713898</v>
          </cell>
        </row>
        <row r="257">
          <cell r="A257">
            <v>37232</v>
          </cell>
          <cell r="DB257">
            <v>-1460.7799999713898</v>
          </cell>
        </row>
        <row r="299">
          <cell r="A299">
            <v>37233</v>
          </cell>
          <cell r="DB299">
            <v>-1460.7799999713898</v>
          </cell>
        </row>
        <row r="341">
          <cell r="A341">
            <v>37234</v>
          </cell>
          <cell r="DB341">
            <v>-1460.7799999713898</v>
          </cell>
        </row>
        <row r="383">
          <cell r="A383">
            <v>37235</v>
          </cell>
          <cell r="DB383">
            <v>-1460.7799999713898</v>
          </cell>
        </row>
        <row r="425">
          <cell r="A425">
            <v>37236</v>
          </cell>
          <cell r="DB425">
            <v>-1460.7799999713898</v>
          </cell>
        </row>
        <row r="467">
          <cell r="A467">
            <v>37237</v>
          </cell>
          <cell r="DB467">
            <v>-1460.7799999713898</v>
          </cell>
        </row>
        <row r="509">
          <cell r="A509">
            <v>37238</v>
          </cell>
          <cell r="DB509">
            <v>-1460.7799999713898</v>
          </cell>
        </row>
        <row r="551">
          <cell r="A551">
            <v>37239</v>
          </cell>
          <cell r="DB551">
            <v>-1460.7799999713898</v>
          </cell>
        </row>
        <row r="593">
          <cell r="A593">
            <v>37240</v>
          </cell>
          <cell r="DB593">
            <v>-1460.7799999713898</v>
          </cell>
        </row>
        <row r="635">
          <cell r="A635">
            <v>37241</v>
          </cell>
          <cell r="DB635">
            <v>-1460.7799999713898</v>
          </cell>
        </row>
        <row r="677">
          <cell r="A677">
            <v>37242</v>
          </cell>
          <cell r="DB677">
            <v>-1460.7799999713898</v>
          </cell>
        </row>
        <row r="719">
          <cell r="A719">
            <v>37243</v>
          </cell>
          <cell r="DB719">
            <v>-1460.7799999713898</v>
          </cell>
        </row>
        <row r="761">
          <cell r="A761">
            <v>37244</v>
          </cell>
          <cell r="DB761">
            <v>-1460.7799999713898</v>
          </cell>
        </row>
        <row r="803">
          <cell r="A803">
            <v>37245</v>
          </cell>
          <cell r="DB803">
            <v>-1460.7799999713898</v>
          </cell>
        </row>
        <row r="845">
          <cell r="A845">
            <v>37246</v>
          </cell>
          <cell r="DB845">
            <v>-1460.7799999713898</v>
          </cell>
        </row>
        <row r="887">
          <cell r="A887">
            <v>37247</v>
          </cell>
          <cell r="DB887">
            <v>-1460.7799999713898</v>
          </cell>
        </row>
        <row r="929">
          <cell r="A929">
            <v>37248</v>
          </cell>
          <cell r="DB929">
            <v>-1460.7799999713898</v>
          </cell>
        </row>
        <row r="971">
          <cell r="A971">
            <v>37249</v>
          </cell>
          <cell r="DB971">
            <v>-1460.7799999713898</v>
          </cell>
        </row>
        <row r="1013">
          <cell r="A1013">
            <v>37250</v>
          </cell>
          <cell r="DB1013">
            <v>-1460.7799999713898</v>
          </cell>
        </row>
        <row r="1055">
          <cell r="A1055">
            <v>37251</v>
          </cell>
          <cell r="DB1055">
            <v>-1460.7799999713898</v>
          </cell>
        </row>
        <row r="1097">
          <cell r="A1097">
            <v>37252</v>
          </cell>
          <cell r="DB1097">
            <v>-1460.7799999713898</v>
          </cell>
        </row>
        <row r="1139">
          <cell r="A1139">
            <v>37253</v>
          </cell>
          <cell r="DB1139">
            <v>-1460.7799999713898</v>
          </cell>
        </row>
        <row r="1181">
          <cell r="A1181">
            <v>37254</v>
          </cell>
          <cell r="DB1181">
            <v>-1460.7799999713898</v>
          </cell>
        </row>
        <row r="1223">
          <cell r="A1223">
            <v>37255</v>
          </cell>
          <cell r="DB1223">
            <v>-1460.7799999713898</v>
          </cell>
        </row>
        <row r="1265">
          <cell r="A1265">
            <v>37256</v>
          </cell>
          <cell r="DB1265">
            <v>-1460.7799999713898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37226</v>
          </cell>
          <cell r="FF5">
            <v>5657660.3017823128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37227</v>
          </cell>
          <cell r="FF47">
            <v>5546450.965774307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37228</v>
          </cell>
          <cell r="FF89">
            <v>3662789.6921894448</v>
          </cell>
          <cell r="FJ89">
            <v>-1950107.1870000002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37229</v>
          </cell>
          <cell r="FF131">
            <v>3680359.9232304092</v>
          </cell>
          <cell r="FJ131">
            <v>-1932825.8549999997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37230</v>
          </cell>
          <cell r="FF173">
            <v>4068679.5990916872</v>
          </cell>
          <cell r="FJ173">
            <v>-1553591.2962500001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37231</v>
          </cell>
          <cell r="FF215">
            <v>4951151.2925706403</v>
          </cell>
          <cell r="FJ215">
            <v>0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37232</v>
          </cell>
          <cell r="FF257">
            <v>4948219.3975687483</v>
          </cell>
          <cell r="FJ257">
            <v>0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37233</v>
          </cell>
          <cell r="FF299">
            <v>5646181.4766706545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37234</v>
          </cell>
          <cell r="FF341">
            <v>5559481.5125182504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37235</v>
          </cell>
          <cell r="FF383">
            <v>5559481.5125182504</v>
          </cell>
          <cell r="FJ383">
            <v>0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37236</v>
          </cell>
          <cell r="FF425">
            <v>5650273.7132613966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37237</v>
          </cell>
          <cell r="FF467">
            <v>5644160.0184947941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37238</v>
          </cell>
          <cell r="FF509">
            <v>5646888.5649574697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37239</v>
          </cell>
          <cell r="FF551">
            <v>5642739.3707505986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37240</v>
          </cell>
          <cell r="FF593">
            <v>5643837.2828450063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37241</v>
          </cell>
          <cell r="FF635">
            <v>5559512.0625182511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37242</v>
          </cell>
          <cell r="FF677">
            <v>5559512.0625182511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37243</v>
          </cell>
          <cell r="FF719">
            <v>4940923.7213838911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37244</v>
          </cell>
          <cell r="FF761">
            <v>4946351.8031961862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37245</v>
          </cell>
          <cell r="FF803">
            <v>4945232.7993733846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37246</v>
          </cell>
          <cell r="FF845">
            <v>4951197.7969318992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37247</v>
          </cell>
          <cell r="FF887">
            <v>4948518.0215940345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37248</v>
          </cell>
          <cell r="FF929">
            <v>4855987.4875171902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37249</v>
          </cell>
          <cell r="FF971">
            <v>4855987.4875171902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37250</v>
          </cell>
          <cell r="FF1013">
            <v>4945265.9885237515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37251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37252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37253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37254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37255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X5">
            <v>29266.320000004023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37227</v>
          </cell>
          <cell r="CX47">
            <v>29266.320000004023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37228</v>
          </cell>
          <cell r="CX89">
            <v>29855.820000004023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37229</v>
          </cell>
          <cell r="CX131">
            <v>29855.820000004023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37230</v>
          </cell>
          <cell r="CX173">
            <v>29855.820000004023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37231</v>
          </cell>
          <cell r="CX215">
            <v>29855.820000004023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37232</v>
          </cell>
          <cell r="CX257">
            <v>29855.820000004023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37233</v>
          </cell>
          <cell r="CX299">
            <v>29855.820000004023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37234</v>
          </cell>
          <cell r="CX341">
            <v>29855.820000004023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37235</v>
          </cell>
          <cell r="CX383">
            <v>29855.820000004023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37236</v>
          </cell>
          <cell r="CX425">
            <v>29855.820000004023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37237</v>
          </cell>
          <cell r="CX467">
            <v>29855.820000004023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37238</v>
          </cell>
          <cell r="CX509">
            <v>29855.820000004023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37239</v>
          </cell>
          <cell r="CX551">
            <v>29855.820000004023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37240</v>
          </cell>
          <cell r="CX593">
            <v>29855.820000004023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37241</v>
          </cell>
          <cell r="CX635">
            <v>29855.820000004023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37242</v>
          </cell>
          <cell r="CX677">
            <v>29855.820000004023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37243</v>
          </cell>
          <cell r="CX719">
            <v>29855.820000004023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37244</v>
          </cell>
          <cell r="CX761">
            <v>29855.820000004023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37245</v>
          </cell>
          <cell r="CX803">
            <v>29855.820000004023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37246</v>
          </cell>
          <cell r="CX845">
            <v>29855.820000004023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37247</v>
          </cell>
          <cell r="CX887">
            <v>29855.820000004023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37248</v>
          </cell>
          <cell r="CX929">
            <v>29855.820000004023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37249</v>
          </cell>
          <cell r="CX971">
            <v>29855.820000004023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37250</v>
          </cell>
          <cell r="CX1013">
            <v>29855.820000004023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37251</v>
          </cell>
          <cell r="CX1055">
            <v>29855.820000004023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37252</v>
          </cell>
          <cell r="CX1097">
            <v>29855.820000004023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37253</v>
          </cell>
          <cell r="CX1139">
            <v>29855.820000004023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37254</v>
          </cell>
          <cell r="CX1181">
            <v>29855.820000004023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37255</v>
          </cell>
          <cell r="CX1223">
            <v>29855.820000004023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37256</v>
          </cell>
          <cell r="CX1265">
            <v>29855.820000004023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T5">
            <v>45466441.165999793</v>
          </cell>
          <cell r="CX5">
            <v>720451.17000000924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37227</v>
          </cell>
          <cell r="CT47">
            <v>45466441.165999793</v>
          </cell>
          <cell r="CX47">
            <v>720451.17000000924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37228</v>
          </cell>
          <cell r="CT89">
            <v>30909280.11599981</v>
          </cell>
          <cell r="CX89">
            <v>720451.17000000924</v>
          </cell>
          <cell r="DB89">
            <v>3617814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3838650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-22068750</v>
          </cell>
        </row>
        <row r="131">
          <cell r="A131">
            <v>37229</v>
          </cell>
          <cell r="CT131">
            <v>36955100.235999785</v>
          </cell>
          <cell r="CX131">
            <v>696262.79000000923</v>
          </cell>
          <cell r="DB131">
            <v>7552010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7727210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-28519380</v>
          </cell>
        </row>
        <row r="173">
          <cell r="A173">
            <v>37230</v>
          </cell>
          <cell r="CT173">
            <v>39278373.78599979</v>
          </cell>
          <cell r="CX173">
            <v>696262.79000000923</v>
          </cell>
          <cell r="DB173">
            <v>7021630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7021630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-30829260</v>
          </cell>
        </row>
        <row r="215">
          <cell r="A215">
            <v>37231</v>
          </cell>
          <cell r="CT215">
            <v>32256743.78599979</v>
          </cell>
          <cell r="CX215">
            <v>696262.79000000923</v>
          </cell>
          <cell r="DB215">
            <v>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0</v>
          </cell>
        </row>
        <row r="257">
          <cell r="A257">
            <v>37232</v>
          </cell>
          <cell r="CT257">
            <v>32256743.78599979</v>
          </cell>
          <cell r="CX257">
            <v>696262.79000000923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37233</v>
          </cell>
          <cell r="CT299">
            <v>32256743.78599979</v>
          </cell>
          <cell r="CX299">
            <v>696262.79000000923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37234</v>
          </cell>
          <cell r="CT341">
            <v>32256743.78599979</v>
          </cell>
          <cell r="CX341">
            <v>696262.79000000923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37235</v>
          </cell>
          <cell r="CT383">
            <v>32256743.78599979</v>
          </cell>
          <cell r="CX383">
            <v>696262.79000000923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37236</v>
          </cell>
          <cell r="CT425">
            <v>32256743.78599979</v>
          </cell>
          <cell r="CX425">
            <v>696262.79000000923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37237</v>
          </cell>
          <cell r="CT467">
            <v>32256743.78599979</v>
          </cell>
          <cell r="CX467">
            <v>696262.79000000923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37238</v>
          </cell>
          <cell r="CT509">
            <v>32256743.78599979</v>
          </cell>
          <cell r="CX509">
            <v>696262.79000000923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37239</v>
          </cell>
          <cell r="CT551">
            <v>32256743.78599979</v>
          </cell>
          <cell r="CX551">
            <v>696262.79000000923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37240</v>
          </cell>
          <cell r="CT593">
            <v>32256743.78599979</v>
          </cell>
          <cell r="CX593">
            <v>696262.79000000923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37241</v>
          </cell>
          <cell r="CT635">
            <v>32256743.78599979</v>
          </cell>
          <cell r="CX635">
            <v>696262.79000000923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37242</v>
          </cell>
          <cell r="CT677">
            <v>32256743.78599979</v>
          </cell>
          <cell r="CX677">
            <v>696262.79000000923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37243</v>
          </cell>
          <cell r="CT719">
            <v>32256743.78599979</v>
          </cell>
          <cell r="CX719">
            <v>696262.79000000923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37244</v>
          </cell>
          <cell r="CT761">
            <v>32256743.78599979</v>
          </cell>
          <cell r="CX761">
            <v>696262.79000000923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37245</v>
          </cell>
          <cell r="CT803">
            <v>32256743.78599979</v>
          </cell>
          <cell r="CX803">
            <v>696262.79000000923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37246</v>
          </cell>
          <cell r="CT845">
            <v>32256743.78599979</v>
          </cell>
          <cell r="CX845">
            <v>696262.79000000923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37247</v>
          </cell>
          <cell r="CT887">
            <v>32256743.78599979</v>
          </cell>
          <cell r="CX887">
            <v>696262.79000000923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37248</v>
          </cell>
          <cell r="CT929">
            <v>32256743.78599979</v>
          </cell>
          <cell r="CX929">
            <v>696262.79000000923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37249</v>
          </cell>
          <cell r="CT971">
            <v>32256743.78599979</v>
          </cell>
          <cell r="CX971">
            <v>696262.79000000923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37250</v>
          </cell>
          <cell r="CT1013">
            <v>32256743.78599979</v>
          </cell>
          <cell r="CX1013">
            <v>696262.79000000923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37251</v>
          </cell>
          <cell r="CT1055">
            <v>32256743.78599979</v>
          </cell>
          <cell r="CX1055">
            <v>696262.79000000923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37252</v>
          </cell>
          <cell r="CT1097">
            <v>32256743.78599979</v>
          </cell>
          <cell r="CX1097">
            <v>696262.79000000923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37253</v>
          </cell>
          <cell r="CT1139">
            <v>32256743.78599979</v>
          </cell>
          <cell r="CX1139">
            <v>696262.79000000923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37254</v>
          </cell>
          <cell r="CT1181">
            <v>32256743.78599979</v>
          </cell>
          <cell r="CX1181">
            <v>696262.79000000923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37255</v>
          </cell>
          <cell r="CT1223">
            <v>32256743.78599979</v>
          </cell>
          <cell r="CX1223">
            <v>696262.79000000923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37256</v>
          </cell>
          <cell r="CT1265">
            <v>32256743.78599979</v>
          </cell>
          <cell r="CX1265">
            <v>696262.79000000923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2257974.65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2257974.65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2257974.65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2257974.65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2257974.65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2257974.65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2257974.65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2257974.65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2257974.65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2257974.65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2257974.65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2257974.65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2257974.65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2257974.65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2257974.65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2257974.65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2257974.65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2257974.65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2257974.65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2257974.65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2257974.65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2257974.65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2257974.65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2257974.65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2257974.65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2257974.65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2257974.65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2257974.65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2257974.65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2257974.65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37256</v>
          </cell>
          <cell r="BB1265">
            <v>2257974.65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37226</v>
          </cell>
          <cell r="BX5">
            <v>37226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372261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37227</v>
          </cell>
          <cell r="BX47">
            <v>37227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372271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37228</v>
          </cell>
          <cell r="BX89">
            <v>37228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372281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37229</v>
          </cell>
          <cell r="BX131">
            <v>37229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372291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37230</v>
          </cell>
          <cell r="BX173">
            <v>37230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372301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37231</v>
          </cell>
          <cell r="BX215">
            <v>37231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372311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37232</v>
          </cell>
          <cell r="BX257">
            <v>37232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372321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37233</v>
          </cell>
          <cell r="BX299">
            <v>37233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372331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37234</v>
          </cell>
          <cell r="BX341">
            <v>37234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372341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37235</v>
          </cell>
          <cell r="BX383">
            <v>37235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372351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37236</v>
          </cell>
          <cell r="BX425">
            <v>37236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372361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37237</v>
          </cell>
          <cell r="BX467">
            <v>37237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372371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37238</v>
          </cell>
          <cell r="BX509">
            <v>37238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372381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37239</v>
          </cell>
          <cell r="BX551">
            <v>37239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372391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37240</v>
          </cell>
          <cell r="BX593">
            <v>37240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372401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37241</v>
          </cell>
          <cell r="BX635">
            <v>37241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372411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37242</v>
          </cell>
          <cell r="BX677">
            <v>37242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372421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37243</v>
          </cell>
          <cell r="BX719">
            <v>37243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372431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37244</v>
          </cell>
          <cell r="BX761">
            <v>37244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372441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37245</v>
          </cell>
          <cell r="BX803">
            <v>37245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372451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37246</v>
          </cell>
          <cell r="BX845">
            <v>37246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372461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37247</v>
          </cell>
          <cell r="BX887">
            <v>37247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372471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37248</v>
          </cell>
          <cell r="BX929">
            <v>37248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372481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37249</v>
          </cell>
          <cell r="BX971">
            <v>37249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372491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37250</v>
          </cell>
          <cell r="BX1013">
            <v>37250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372501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37251</v>
          </cell>
          <cell r="BX1055">
            <v>37251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372511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37252</v>
          </cell>
          <cell r="BX1097">
            <v>37252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372521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37253</v>
          </cell>
          <cell r="BX1139">
            <v>37253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372531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37254</v>
          </cell>
          <cell r="BX1181">
            <v>37254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372541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37255</v>
          </cell>
          <cell r="BX1223">
            <v>37255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372551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37256</v>
          </cell>
          <cell r="BX1265">
            <v>37256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372561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tabSelected="1"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23" sqref="E23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37231</v>
      </c>
      <c r="M2" s="3"/>
    </row>
    <row r="3" spans="1:17" ht="18" x14ac:dyDescent="0.25">
      <c r="A3" s="5">
        <v>37230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f>SUMIF([2]Statements!$A$5:$A$1305,$A$3,[2]Statements!$BN$5:$BN$1305)-3+44488</f>
        <v>239387.53600002639</v>
      </c>
      <c r="C8" s="42"/>
      <c r="D8" s="42">
        <f t="shared" ref="D8:D26" si="0">B8-C8</f>
        <v>239387.53600002639</v>
      </c>
      <c r="E8" s="42">
        <v>0</v>
      </c>
      <c r="F8" s="42">
        <f>'[1]ABN-AMRO'!$K$12</f>
        <v>0</v>
      </c>
      <c r="G8" s="43"/>
      <c r="H8" s="42">
        <f t="shared" ref="H8:H26" si="1">F8-G8</f>
        <v>0</v>
      </c>
      <c r="I8" s="42"/>
      <c r="J8" s="42"/>
      <c r="K8" s="42"/>
      <c r="L8" s="42">
        <f t="shared" ref="L8:L13" si="2">B8+E8-F8+J8</f>
        <v>239387.53600002639</v>
      </c>
      <c r="M8" s="12"/>
      <c r="N8" s="34"/>
      <c r="O8" s="34"/>
      <c r="P8" s="42">
        <f>SUMIF([2]Statements!$A$5:$A$1305,$A$3,[2]Statements!$BW$5:$BW$1305)</f>
        <v>0</v>
      </c>
      <c r="Q8" s="34"/>
    </row>
    <row r="9" spans="1:17" x14ac:dyDescent="0.2">
      <c r="A9" t="s">
        <v>6</v>
      </c>
      <c r="B9" s="42">
        <f>SUMIF([3]Statements!$A$5:$A$1305,$A$3,[3]Statements!$DB$5:$DB$1305)-0.5</f>
        <v>0.19900000531924888</v>
      </c>
      <c r="C9" s="44"/>
      <c r="D9" s="42">
        <f t="shared" si="0"/>
        <v>0.19900000531924888</v>
      </c>
      <c r="E9" s="44">
        <v>0</v>
      </c>
      <c r="F9" s="44">
        <f>'[1]ADM Investors'!$I$13</f>
        <v>0</v>
      </c>
      <c r="G9" s="44"/>
      <c r="H9" s="44">
        <f t="shared" si="1"/>
        <v>0</v>
      </c>
      <c r="I9" s="44"/>
      <c r="J9" s="44"/>
      <c r="K9" s="44"/>
      <c r="L9" s="42">
        <f t="shared" si="2"/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f>SUMIF([4]Statements!$A$5:$A$1305,$A$3,[4]Statements!$DB$5:$DB$1305)+1461</f>
        <v>0.22000002861022949</v>
      </c>
      <c r="C10" s="44"/>
      <c r="D10" s="42">
        <f t="shared" si="0"/>
        <v>0.22000002861022949</v>
      </c>
      <c r="E10" s="44">
        <v>0</v>
      </c>
      <c r="F10" s="44">
        <f>'[1]Bank One'!$K$11</f>
        <v>0</v>
      </c>
      <c r="G10" s="44"/>
      <c r="H10" s="44">
        <f t="shared" si="1"/>
        <v>0</v>
      </c>
      <c r="I10" s="44"/>
      <c r="J10" s="44"/>
      <c r="K10" s="44"/>
      <c r="L10" s="42">
        <f t="shared" si="2"/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f>'[1]CARR FUTURES (NG)'!$I$11</f>
        <v>0</v>
      </c>
      <c r="C11" s="42"/>
      <c r="D11" s="42">
        <f t="shared" si="0"/>
        <v>0</v>
      </c>
      <c r="E11" s="42">
        <v>0</v>
      </c>
      <c r="F11" s="42">
        <f>'[1]CARR FUTURES (NG)'!$I$12</f>
        <v>0</v>
      </c>
      <c r="G11" s="42"/>
      <c r="H11" s="42">
        <f t="shared" si="1"/>
        <v>0</v>
      </c>
      <c r="I11" s="42"/>
      <c r="J11" s="42"/>
      <c r="K11" s="42"/>
      <c r="L11" s="42">
        <f t="shared" si="2"/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f>SUMIF([5]Statements!$A$5:$A$1305,$A$3,[5]Statements!$FF$5:$FF$1305)+15608-1305.39</f>
        <v>4082982.2090916871</v>
      </c>
      <c r="C12" s="42"/>
      <c r="D12" s="42">
        <f t="shared" si="0"/>
        <v>4082982.2090916871</v>
      </c>
      <c r="E12" s="42">
        <v>0</v>
      </c>
      <c r="F12" s="42">
        <f>'[1]CARR FUTURES'!$I$12</f>
        <v>2075741.95</v>
      </c>
      <c r="G12" s="42"/>
      <c r="H12" s="42">
        <f t="shared" si="1"/>
        <v>2075741.95</v>
      </c>
      <c r="I12" s="42"/>
      <c r="J12" s="42"/>
      <c r="K12" s="42"/>
      <c r="L12" s="42">
        <f t="shared" si="2"/>
        <v>2007240.2590916872</v>
      </c>
      <c r="M12" s="12"/>
      <c r="N12" s="34"/>
      <c r="O12" s="34"/>
      <c r="P12" s="42">
        <f>SUMIF([5]Statements!$A$5:$A$1305,$A$3,[5]Statements!$FJ$5:$FJ$1305)</f>
        <v>-1553591.2962500001</v>
      </c>
    </row>
    <row r="13" spans="1:17" x14ac:dyDescent="0.2">
      <c r="A13" t="s">
        <v>20</v>
      </c>
      <c r="B13" s="42">
        <f>SUMIF([6]Statements!$A$5:$A$1305,$A$3,[6]Statements!$CX$5:$CX$1305)-8</f>
        <v>29847.820000004023</v>
      </c>
      <c r="C13" s="42"/>
      <c r="D13" s="42">
        <f t="shared" si="0"/>
        <v>29847.820000004023</v>
      </c>
      <c r="E13" s="42">
        <v>0</v>
      </c>
      <c r="F13" s="42">
        <f>'[1]CREDIT SUISSE FIRST BOSTON'!$I$12</f>
        <v>0</v>
      </c>
      <c r="G13" s="42"/>
      <c r="H13" s="42">
        <f t="shared" si="1"/>
        <v>0</v>
      </c>
      <c r="I13" s="42"/>
      <c r="J13" s="42"/>
      <c r="K13" s="42"/>
      <c r="L13" s="42">
        <f t="shared" si="2"/>
        <v>29847.820000004023</v>
      </c>
      <c r="M13" s="12"/>
      <c r="N13" s="34"/>
      <c r="O13" s="34"/>
      <c r="P13" s="42">
        <f>SUMIF([6]Statements!$A$5:$A$1305,$A$3,[6]Statements!$DF$5:$DF$1305)</f>
        <v>0</v>
      </c>
    </row>
    <row r="14" spans="1:17" x14ac:dyDescent="0.2">
      <c r="A14" t="s">
        <v>44</v>
      </c>
      <c r="B14" s="42">
        <f>SUMIF([7]Statements!$A$5:$A$1305,$A$3,[7]Statements!$CT$5:$CT$1305)-SUMIF([7]Statements!$A$5:$A$1305,$A$3,[7]Statements!$CX$5:$CX$1305)-5</f>
        <v>38582105.995999783</v>
      </c>
      <c r="C14" s="42"/>
      <c r="D14" s="42">
        <f t="shared" si="0"/>
        <v>38582105.995999783</v>
      </c>
      <c r="E14" s="42">
        <f>+'[1]EDF MANN'!$J$20</f>
        <v>-30829260</v>
      </c>
      <c r="F14" s="42">
        <f>'[1]EDF MANN'!$J$22</f>
        <v>530174</v>
      </c>
      <c r="G14" s="43"/>
      <c r="H14" s="42">
        <f t="shared" si="1"/>
        <v>530174</v>
      </c>
      <c r="I14" s="43"/>
      <c r="J14" s="43"/>
      <c r="K14" s="43"/>
      <c r="L14" s="42">
        <f t="shared" ref="L14:L20" si="3">B14+E14-F14+J14</f>
        <v>7222671.9959997833</v>
      </c>
      <c r="M14" s="12"/>
      <c r="N14" s="34"/>
      <c r="O14" s="34"/>
      <c r="P14" s="42">
        <f>SUMIF([7]Statements!$A$5:$A$1305,$A$3,[7]Statements!$DB$5:$DB$1305)</f>
        <v>7021630</v>
      </c>
    </row>
    <row r="15" spans="1:17" x14ac:dyDescent="0.2">
      <c r="A15" t="s">
        <v>43</v>
      </c>
      <c r="B15" s="44">
        <f>SUMIF([8]Statements!$A$5:$A$1305,$A$3,[8]Statements!$BB$5:$BB$1305)-3</f>
        <v>2257971.65</v>
      </c>
      <c r="C15" s="44"/>
      <c r="D15" s="42">
        <f t="shared" si="0"/>
        <v>2257971.65</v>
      </c>
      <c r="E15" s="44">
        <v>0</v>
      </c>
      <c r="F15" s="44">
        <f>[1]Fimat!$K$12</f>
        <v>0</v>
      </c>
      <c r="G15" s="40"/>
      <c r="H15" s="40">
        <f t="shared" si="1"/>
        <v>0</v>
      </c>
      <c r="I15" s="40">
        <v>1</v>
      </c>
      <c r="J15" s="43">
        <f>SUMIF('[1]WIRE WORKSHEET'!$B$4:$B$36,A2,'[1]WIRE WORKSHEET'!$BB$4:$BB$36)</f>
        <v>0</v>
      </c>
      <c r="K15" s="40"/>
      <c r="L15" s="42">
        <f t="shared" si="3"/>
        <v>2257971.65</v>
      </c>
      <c r="M15" s="12"/>
      <c r="N15" s="35"/>
      <c r="O15" s="35"/>
      <c r="P15" s="44">
        <f>SUMIF([8]Statements!$A$5:$A$1305,$A$3,[8]Statements!$BI$5:$BI$1305)</f>
        <v>0</v>
      </c>
      <c r="Q15" s="35"/>
    </row>
    <row r="16" spans="1:17" x14ac:dyDescent="0.2">
      <c r="A16" t="s">
        <v>9</v>
      </c>
      <c r="B16" s="44">
        <f>SUMIF([9]Statements!$A$5:$A$1305,$A$3,[9]Statements!$CA$5:$CA$1305)-851</f>
        <v>-2131.6814089999825</v>
      </c>
      <c r="C16" s="42"/>
      <c r="D16" s="42">
        <f t="shared" si="0"/>
        <v>-2131.6814089999825</v>
      </c>
      <c r="E16" s="42">
        <v>0</v>
      </c>
      <c r="F16" s="42">
        <f>'[1]HSBC-US$'!$J$17</f>
        <v>0</v>
      </c>
      <c r="G16" s="42"/>
      <c r="H16" s="42">
        <f t="shared" si="1"/>
        <v>0</v>
      </c>
      <c r="I16" s="42"/>
      <c r="J16" s="42"/>
      <c r="K16" s="42"/>
      <c r="L16" s="42">
        <f t="shared" si="3"/>
        <v>-2131.6814089999825</v>
      </c>
      <c r="M16" s="12"/>
      <c r="N16" s="34"/>
      <c r="O16" s="34"/>
      <c r="P16" s="44">
        <f>SUMIF([9]Statements!$A$5:$A$1305,$A$3,[9]Statements!$BZ$5:$BZ$1305)</f>
        <v>0</v>
      </c>
    </row>
    <row r="17" spans="1:16" x14ac:dyDescent="0.2">
      <c r="A17" t="s">
        <v>10</v>
      </c>
      <c r="B17" s="42">
        <v>0</v>
      </c>
      <c r="C17" s="42"/>
      <c r="D17" s="42">
        <f t="shared" si="0"/>
        <v>0</v>
      </c>
      <c r="E17" s="42">
        <v>0</v>
      </c>
      <c r="F17" s="42"/>
      <c r="G17" s="42"/>
      <c r="H17" s="42">
        <f t="shared" si="1"/>
        <v>0</v>
      </c>
      <c r="I17" s="42"/>
      <c r="J17" s="42"/>
      <c r="K17" s="42"/>
      <c r="L17" s="42">
        <f t="shared" si="3"/>
        <v>0</v>
      </c>
      <c r="M17" s="12"/>
      <c r="N17" s="42">
        <f>SUMIF([9]Statements!$BX$5:$BX$1305,$A$3,[9]Statements!$CG$5:$CG$1305)</f>
        <v>64204.5</v>
      </c>
      <c r="O17" s="42">
        <f>SUMIF([9]Statements!$BX$5:$BX$1305,$A$3,[9]Statements!$CH$5:$CH$1305)</f>
        <v>0</v>
      </c>
      <c r="P17" s="42">
        <v>0</v>
      </c>
    </row>
    <row r="18" spans="1:16" x14ac:dyDescent="0.2">
      <c r="A18" t="s">
        <v>26</v>
      </c>
      <c r="B18" s="42">
        <f>SUMIF([10]Statements!$A$5:$A$1305,$A$3,[10]Statements!$BB$5:$BB$1305)-5</f>
        <v>735234.84999999963</v>
      </c>
      <c r="C18" s="42"/>
      <c r="D18" s="42">
        <f t="shared" si="0"/>
        <v>735234.84999999963</v>
      </c>
      <c r="E18" s="42">
        <v>0</v>
      </c>
      <c r="F18" s="42">
        <f>'[1]JP Morgan'!$I$13</f>
        <v>0</v>
      </c>
      <c r="G18" s="42"/>
      <c r="H18" s="42">
        <f t="shared" si="1"/>
        <v>0</v>
      </c>
      <c r="I18" s="42"/>
      <c r="J18" s="42"/>
      <c r="K18" s="42"/>
      <c r="L18" s="42">
        <f t="shared" si="3"/>
        <v>735234.84999999963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f>SUMIF([11]Statements!$A$5:$A$1305,$A$3,[11]Statements!$BB$5:$BB$1305)</f>
        <v>0</v>
      </c>
      <c r="C19" s="42"/>
      <c r="D19" s="42">
        <f t="shared" si="0"/>
        <v>0</v>
      </c>
      <c r="E19" s="42">
        <v>0</v>
      </c>
      <c r="F19" s="42">
        <f>'[1]Man Financial'!$I$13</f>
        <v>0</v>
      </c>
      <c r="G19" s="42"/>
      <c r="H19" s="42">
        <f t="shared" si="1"/>
        <v>0</v>
      </c>
      <c r="I19" s="42"/>
      <c r="J19" s="42"/>
      <c r="K19" s="42"/>
      <c r="L19" s="42">
        <f t="shared" si="3"/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f>SUMIF([12]Statements!$A$5:$A$1305,$A$3,[12]Statements!$DB$5:$DB$1305)-67725</f>
        <v>82035399.660000056</v>
      </c>
      <c r="C20" s="43"/>
      <c r="D20" s="42">
        <f t="shared" si="0"/>
        <v>82035399.660000056</v>
      </c>
      <c r="E20" s="43">
        <v>0</v>
      </c>
      <c r="F20" s="43">
        <f>[1]PARIBAS!$J$19</f>
        <v>7856805</v>
      </c>
      <c r="G20" s="43"/>
      <c r="H20" s="42">
        <f t="shared" si="1"/>
        <v>7856805</v>
      </c>
      <c r="I20" s="43"/>
      <c r="J20" s="43"/>
      <c r="K20" s="43"/>
      <c r="L20" s="42">
        <f t="shared" si="3"/>
        <v>74178594.660000056</v>
      </c>
      <c r="M20" s="12"/>
      <c r="N20" s="34"/>
      <c r="O20" s="34"/>
      <c r="P20" s="43">
        <f>SUMIF([12]Statements!$A$5:$A$1305,$A$3,[12]Statements!$DJ$5:$DJ$1305)</f>
        <v>2535090</v>
      </c>
    </row>
    <row r="21" spans="1:16" x14ac:dyDescent="0.2">
      <c r="A21" t="s">
        <v>13</v>
      </c>
      <c r="B21" s="42">
        <f>SUMIF([13]Statements!$A$5:$A$1305,$A$3,[13]Statements!$EQ$5:$EQ$1305)+1112541.5</f>
        <v>1.1421211063861847E-2</v>
      </c>
      <c r="C21" s="42"/>
      <c r="D21" s="42">
        <f t="shared" si="0"/>
        <v>1.1421211063861847E-2</v>
      </c>
      <c r="E21" s="42">
        <v>0</v>
      </c>
      <c r="F21" s="42">
        <f>'[1]PRUDENTIAL '!$I$11</f>
        <v>0</v>
      </c>
      <c r="G21" s="42"/>
      <c r="H21" s="42">
        <f t="shared" si="1"/>
        <v>0</v>
      </c>
      <c r="I21" s="42"/>
      <c r="J21" s="42"/>
      <c r="K21" s="42"/>
      <c r="L21" s="42">
        <f t="shared" ref="L21:L26" si="4">B21+E21-F21+J21</f>
        <v>1.1421211063861847E-2</v>
      </c>
      <c r="M21" s="12"/>
      <c r="N21" s="34"/>
      <c r="O21" s="34"/>
      <c r="P21" s="42">
        <f>SUMIF([13]Statements!$A$5:$A$1305,$A$3,[13]Statements!$EC$5:$EC$1305)</f>
        <v>0</v>
      </c>
    </row>
    <row r="22" spans="1:16" x14ac:dyDescent="0.2">
      <c r="A22" t="s">
        <v>14</v>
      </c>
      <c r="B22" s="42">
        <f>SUMIF([14]Statements!$A$5:$A$1305,$A$3,[14]Statements!$BC$5:$BC$1305)-835.5</f>
        <v>0.25900000694036862</v>
      </c>
      <c r="C22" s="42"/>
      <c r="D22" s="42">
        <f t="shared" si="0"/>
        <v>0.25900000694036862</v>
      </c>
      <c r="E22" s="42">
        <v>0</v>
      </c>
      <c r="F22" s="42">
        <f>[1]REFCO!$K$12</f>
        <v>0</v>
      </c>
      <c r="G22" s="42"/>
      <c r="H22" s="42">
        <f t="shared" si="1"/>
        <v>0</v>
      </c>
      <c r="I22" s="42"/>
      <c r="J22" s="42"/>
      <c r="K22" s="42"/>
      <c r="L22" s="42">
        <f t="shared" si="4"/>
        <v>0.25900000694036862</v>
      </c>
      <c r="M22" s="12"/>
      <c r="N22" s="34"/>
      <c r="O22" s="34"/>
      <c r="P22" s="42">
        <f>SUMIF([14]Statements!$A$5:$A$1305,$A$3,[14]Statements!$BB$5:$BB$1305)</f>
        <v>0</v>
      </c>
    </row>
    <row r="23" spans="1:16" x14ac:dyDescent="0.2">
      <c r="A23" t="s">
        <v>18</v>
      </c>
      <c r="B23" s="42">
        <f>SUMIF([15]Statements!$A$5:$A$1305,$A$3,[15]Statements!$BN$5:$BN$1305)+1</f>
        <v>-0.32000000000698492</v>
      </c>
      <c r="C23" s="42"/>
      <c r="D23" s="42">
        <f t="shared" si="0"/>
        <v>-0.32000000000698492</v>
      </c>
      <c r="E23" s="42">
        <v>0</v>
      </c>
      <c r="F23" s="42">
        <f>'[1]R J O''Brien'!$K$17</f>
        <v>0</v>
      </c>
      <c r="G23" s="42"/>
      <c r="H23" s="42">
        <f t="shared" si="1"/>
        <v>0</v>
      </c>
      <c r="I23" s="42"/>
      <c r="J23" s="42"/>
      <c r="K23" s="42"/>
      <c r="L23" s="42">
        <f t="shared" si="4"/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f>SUMIF([16]Statements!$A$5:$A$1305,$A$3,[16]Statements!$CK$5:$CK$1305)-39516</f>
        <v>0.18000000000029104</v>
      </c>
      <c r="C24" s="42"/>
      <c r="D24" s="42">
        <f t="shared" si="0"/>
        <v>0.18000000000029104</v>
      </c>
      <c r="E24" s="42">
        <v>0</v>
      </c>
      <c r="F24" s="42">
        <f>[1]SAUL!$I$13</f>
        <v>0</v>
      </c>
      <c r="G24" s="42"/>
      <c r="H24" s="42">
        <f t="shared" si="1"/>
        <v>0</v>
      </c>
      <c r="I24" s="42"/>
      <c r="J24" s="42"/>
      <c r="K24" s="42"/>
      <c r="L24" s="42">
        <f t="shared" si="4"/>
        <v>0.18000000000029104</v>
      </c>
      <c r="M24" s="12"/>
      <c r="N24" s="34"/>
      <c r="O24" s="34"/>
      <c r="P24" s="42">
        <f>SUMIF([16]Statements!$A$5:$A$1305,$A$3,[16]Statements!$CD$5:$CD$1305)</f>
        <v>0</v>
      </c>
    </row>
    <row r="25" spans="1:16" ht="12" customHeight="1" x14ac:dyDescent="0.2">
      <c r="A25" s="18" t="s">
        <v>41</v>
      </c>
      <c r="B25" s="42">
        <f>SUMIF([17]Statements!$A$5:$A$1305,$A$3,[17]Statements!$CP$5:$CP$1305)</f>
        <v>53592.459999991581</v>
      </c>
      <c r="C25" s="42"/>
      <c r="D25" s="42">
        <f t="shared" si="0"/>
        <v>53592.459999991581</v>
      </c>
      <c r="E25" s="43">
        <v>0</v>
      </c>
      <c r="F25" s="43">
        <f>'[1]Smith Barney'!ReqTotal</f>
        <v>0</v>
      </c>
      <c r="G25" s="43">
        <f>IF('[1]Smith Barney'!CurrentLoanValue&lt;50000000,IF('[1]Smith Barney'!CurrentLoanValue&gt;'[1]Smith Barney'!K16,'[1]Smith Barney'!K16,'[1]Smith Barney'!CurrentLoanValue),50000000)</f>
        <v>0</v>
      </c>
      <c r="H25" s="43">
        <f t="shared" si="1"/>
        <v>0</v>
      </c>
      <c r="I25" s="43"/>
      <c r="J25" s="43">
        <f>SUMIF('[1]WIRE WORKSHEET'!$B$4:$B$36,A2,'[1]WIRE WORKSHEET'!$BF$4:$BF$36)</f>
        <v>0</v>
      </c>
      <c r="K25" s="43"/>
      <c r="L25" s="42">
        <f t="shared" si="4"/>
        <v>53592.459999991581</v>
      </c>
      <c r="M25" s="12"/>
      <c r="N25" s="34"/>
      <c r="O25" s="34"/>
      <c r="P25" s="42">
        <f>SUMIF([17]Statements!$A$5:$A$1305,$A$3,[17]Statements!$CX$5:$CX$1305)</f>
        <v>0</v>
      </c>
    </row>
    <row r="26" spans="1:16" ht="12" customHeight="1" x14ac:dyDescent="0.2">
      <c r="A26" s="18" t="s">
        <v>42</v>
      </c>
      <c r="B26" s="42">
        <f>SUMIF([18]Statements!$A$5:$A$1305,$A$3,[18]Statements!$CP$5:$CP$1305)</f>
        <v>0</v>
      </c>
      <c r="C26" s="42"/>
      <c r="D26" s="42">
        <f t="shared" si="0"/>
        <v>0</v>
      </c>
      <c r="E26" s="43">
        <v>0</v>
      </c>
      <c r="F26" s="43">
        <f>'[1]Smith Barney-Fin'!$K$16</f>
        <v>0</v>
      </c>
      <c r="G26" s="43"/>
      <c r="H26" s="43">
        <f t="shared" si="1"/>
        <v>0</v>
      </c>
      <c r="I26" s="43"/>
      <c r="J26" s="43"/>
      <c r="K26" s="43"/>
      <c r="L26" s="42">
        <f t="shared" si="4"/>
        <v>0</v>
      </c>
      <c r="M26" s="12"/>
      <c r="N26" s="34"/>
      <c r="O26" s="34"/>
      <c r="P26" s="42">
        <f>SUMIF([18]Statements!$A$5:$A$1305,$A$3,[18]Statements!$CX$5:$CX$1305)</f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f>SUM(B7:B26)</f>
        <v>128014391.04910381</v>
      </c>
      <c r="C28" s="46">
        <f>SUM(C7:C26)</f>
        <v>0</v>
      </c>
      <c r="D28" s="46">
        <f>SUM(D7:D26)</f>
        <v>128014391.04910381</v>
      </c>
      <c r="E28" s="46">
        <f t="shared" ref="E28:L28" si="5">SUM(E7:E26)</f>
        <v>-30829260</v>
      </c>
      <c r="F28" s="46">
        <f t="shared" si="5"/>
        <v>10462720.949999999</v>
      </c>
      <c r="G28" s="46">
        <f t="shared" si="5"/>
        <v>0</v>
      </c>
      <c r="H28" s="46">
        <f t="shared" si="5"/>
        <v>10462720.949999999</v>
      </c>
      <c r="I28" s="46"/>
      <c r="J28" s="46">
        <f t="shared" si="5"/>
        <v>0</v>
      </c>
      <c r="K28" s="46"/>
      <c r="L28" s="46">
        <f t="shared" si="5"/>
        <v>86722410.099103823</v>
      </c>
      <c r="M28" s="28"/>
      <c r="N28" s="46">
        <f>SUM(N7:N27)</f>
        <v>64204.5</v>
      </c>
      <c r="O28" s="46">
        <f>SUM(O7:O27)</f>
        <v>0</v>
      </c>
      <c r="P28" s="46">
        <f>SUM(P7:P27)</f>
        <v>8003128.7037499994</v>
      </c>
    </row>
    <row r="29" spans="1:16" s="17" customFormat="1" hidden="1" x14ac:dyDescent="0.2">
      <c r="A29" s="22" t="s">
        <v>25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f>+B28+SUM(B30:B31)</f>
        <v>128014391.04910381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f>B28+E28-F28+J28</f>
        <v>86722410.099103808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f>G25</f>
        <v>0</v>
      </c>
      <c r="E36" s="55">
        <f>C36+D36</f>
        <v>0</v>
      </c>
      <c r="F36" s="56">
        <f>+B36-E36</f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3" sqref="L33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1.7109375" customWidth="1"/>
    <col min="15" max="15" width="10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37229</v>
      </c>
      <c r="M2" s="3"/>
    </row>
    <row r="3" spans="1:17" ht="18" x14ac:dyDescent="0.25">
      <c r="A3" s="5">
        <v>37228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3675968.0321894446</v>
      </c>
      <c r="C12" s="42"/>
      <c r="D12" s="42">
        <v>3675968.0321894446</v>
      </c>
      <c r="E12" s="42">
        <v>0</v>
      </c>
      <c r="F12" s="42">
        <v>2163136.5499999998</v>
      </c>
      <c r="G12" s="42"/>
      <c r="H12" s="42">
        <v>2163136.5499999998</v>
      </c>
      <c r="I12" s="42"/>
      <c r="J12" s="42"/>
      <c r="K12" s="42"/>
      <c r="L12" s="42">
        <v>1512831.4821894448</v>
      </c>
      <c r="M12" s="12"/>
      <c r="N12" s="34"/>
      <c r="O12" s="34"/>
      <c r="P12" s="42">
        <v>-1950107.1870000002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30188823.945999801</v>
      </c>
      <c r="C14" s="42"/>
      <c r="D14" s="42">
        <v>30188823.945999801</v>
      </c>
      <c r="E14" s="42">
        <v>-22068750</v>
      </c>
      <c r="F14" s="42">
        <v>2588994</v>
      </c>
      <c r="G14" s="43"/>
      <c r="H14" s="42">
        <v>2588994</v>
      </c>
      <c r="I14" s="43"/>
      <c r="J14" s="43"/>
      <c r="K14" s="43"/>
      <c r="L14" s="42">
        <v>5531079.9459998012</v>
      </c>
      <c r="M14" s="12"/>
      <c r="N14" s="34"/>
      <c r="O14" s="34"/>
      <c r="P14" s="42">
        <v>3617814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0</v>
      </c>
      <c r="O17" s="34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90196629.660000041</v>
      </c>
      <c r="C20" s="43"/>
      <c r="D20" s="42">
        <v>90196629.660000041</v>
      </c>
      <c r="E20" s="43">
        <v>0</v>
      </c>
      <c r="F20" s="43">
        <v>21436672</v>
      </c>
      <c r="G20" s="43"/>
      <c r="H20" s="42">
        <v>21436672</v>
      </c>
      <c r="I20" s="43"/>
      <c r="J20" s="43"/>
      <c r="K20" s="43"/>
      <c r="L20" s="42">
        <v>68759957.660000041</v>
      </c>
      <c r="M20" s="12"/>
      <c r="N20" s="34"/>
      <c r="O20" s="34"/>
      <c r="P20" s="43">
        <v>-3723290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127374735.32220156</v>
      </c>
      <c r="C28" s="46">
        <v>0</v>
      </c>
      <c r="D28" s="46">
        <v>127374735.32220156</v>
      </c>
      <c r="E28" s="46">
        <v>-22068750</v>
      </c>
      <c r="F28" s="46">
        <v>26188802.550000001</v>
      </c>
      <c r="G28" s="46">
        <v>0</v>
      </c>
      <c r="H28" s="46">
        <v>26188802.550000001</v>
      </c>
      <c r="I28" s="46"/>
      <c r="J28" s="46">
        <v>0</v>
      </c>
      <c r="K28" s="46"/>
      <c r="L28" s="46">
        <v>79117182.772201583</v>
      </c>
      <c r="M28" s="28"/>
      <c r="N28" s="27">
        <v>0</v>
      </c>
      <c r="O28" s="27">
        <v>0</v>
      </c>
      <c r="P28" s="46">
        <v>-2055583.1870000002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127374735.32220156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79117182.772201568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37230</v>
      </c>
      <c r="M2" s="3"/>
    </row>
    <row r="3" spans="1:17" ht="18" x14ac:dyDescent="0.25">
      <c r="A3" s="5">
        <v>37229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3695967.9232304092</v>
      </c>
      <c r="C12" s="42"/>
      <c r="D12" s="42">
        <v>3695967.9232304092</v>
      </c>
      <c r="E12" s="42">
        <v>0</v>
      </c>
      <c r="F12" s="42">
        <v>2158535.8199999998</v>
      </c>
      <c r="G12" s="42"/>
      <c r="H12" s="42">
        <v>2158535.8199999998</v>
      </c>
      <c r="I12" s="42"/>
      <c r="J12" s="42"/>
      <c r="K12" s="42"/>
      <c r="L12" s="42">
        <v>1537432.1032304093</v>
      </c>
      <c r="M12" s="12"/>
      <c r="N12" s="34"/>
      <c r="O12" s="34"/>
      <c r="P12" s="42">
        <v>-1932825.8549999997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36258832.445999779</v>
      </c>
      <c r="C14" s="42"/>
      <c r="D14" s="42">
        <v>36258832.445999779</v>
      </c>
      <c r="E14" s="42">
        <v>-28519380</v>
      </c>
      <c r="F14" s="42">
        <v>895448</v>
      </c>
      <c r="G14" s="43"/>
      <c r="H14" s="42">
        <v>895448</v>
      </c>
      <c r="I14" s="43"/>
      <c r="J14" s="43"/>
      <c r="K14" s="43"/>
      <c r="L14" s="42">
        <v>6844004.4459997788</v>
      </c>
      <c r="M14" s="12"/>
      <c r="N14" s="34"/>
      <c r="O14" s="34"/>
      <c r="P14" s="42">
        <v>7552010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86335049.660000056</v>
      </c>
      <c r="C20" s="43"/>
      <c r="D20" s="42">
        <v>86335049.660000056</v>
      </c>
      <c r="E20" s="43">
        <v>0</v>
      </c>
      <c r="F20" s="43">
        <v>10764197</v>
      </c>
      <c r="G20" s="43"/>
      <c r="H20" s="42">
        <v>10764197</v>
      </c>
      <c r="I20" s="43"/>
      <c r="J20" s="43"/>
      <c r="K20" s="43"/>
      <c r="L20" s="42">
        <v>75570852.660000056</v>
      </c>
      <c r="M20" s="12"/>
      <c r="N20" s="34"/>
      <c r="O20" s="34"/>
      <c r="P20" s="43">
        <v>-47750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129603163.71324252</v>
      </c>
      <c r="C28" s="46">
        <v>0</v>
      </c>
      <c r="D28" s="46">
        <v>129603163.71324252</v>
      </c>
      <c r="E28" s="46">
        <v>-28519380</v>
      </c>
      <c r="F28" s="46">
        <v>13818180.82</v>
      </c>
      <c r="G28" s="46">
        <v>0</v>
      </c>
      <c r="H28" s="46">
        <v>13818180.82</v>
      </c>
      <c r="I28" s="46"/>
      <c r="J28" s="46">
        <v>0</v>
      </c>
      <c r="K28" s="46"/>
      <c r="L28" s="46">
        <v>87265602.893242523</v>
      </c>
      <c r="M28" s="28"/>
      <c r="N28" s="46">
        <v>64204.5</v>
      </c>
      <c r="O28" s="46">
        <v>0</v>
      </c>
      <c r="P28" s="46">
        <v>5571434.1450000005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129603163.71324252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87265602.893242508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9" sqref="A19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37231</v>
      </c>
      <c r="M2" s="3"/>
    </row>
    <row r="3" spans="1:17" ht="18" x14ac:dyDescent="0.25">
      <c r="A3" s="5">
        <v>37230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4082982.2090916871</v>
      </c>
      <c r="C12" s="42"/>
      <c r="D12" s="42">
        <v>4082982.2090916871</v>
      </c>
      <c r="E12" s="42">
        <v>0</v>
      </c>
      <c r="F12" s="42">
        <v>2075741.95</v>
      </c>
      <c r="G12" s="42"/>
      <c r="H12" s="42">
        <v>2075741.95</v>
      </c>
      <c r="I12" s="42"/>
      <c r="J12" s="42"/>
      <c r="K12" s="42"/>
      <c r="L12" s="42">
        <v>2007240.2590916872</v>
      </c>
      <c r="M12" s="12"/>
      <c r="N12" s="34"/>
      <c r="O12" s="34"/>
      <c r="P12" s="42">
        <v>-1553591.2962500001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38582105.995999783</v>
      </c>
      <c r="C14" s="42"/>
      <c r="D14" s="42">
        <v>38582105.995999783</v>
      </c>
      <c r="E14" s="42">
        <v>-30829260</v>
      </c>
      <c r="F14" s="42">
        <v>530174</v>
      </c>
      <c r="G14" s="43"/>
      <c r="H14" s="42">
        <v>530174</v>
      </c>
      <c r="I14" s="43"/>
      <c r="J14" s="43"/>
      <c r="K14" s="43"/>
      <c r="L14" s="42">
        <v>7222671.9959997833</v>
      </c>
      <c r="M14" s="12"/>
      <c r="N14" s="34"/>
      <c r="O14" s="34"/>
      <c r="P14" s="42">
        <v>7021630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82035399.660000056</v>
      </c>
      <c r="C20" s="43"/>
      <c r="D20" s="42">
        <v>82035399.660000056</v>
      </c>
      <c r="E20" s="43">
        <v>0</v>
      </c>
      <c r="F20" s="43">
        <v>7856805</v>
      </c>
      <c r="G20" s="43"/>
      <c r="H20" s="42">
        <v>7856805</v>
      </c>
      <c r="I20" s="43"/>
      <c r="J20" s="43"/>
      <c r="K20" s="43"/>
      <c r="L20" s="42">
        <v>74178594.660000056</v>
      </c>
      <c r="M20" s="12"/>
      <c r="N20" s="34"/>
      <c r="O20" s="34"/>
      <c r="P20" s="43">
        <v>2535090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128014391.04910381</v>
      </c>
      <c r="C28" s="46">
        <v>0</v>
      </c>
      <c r="D28" s="46">
        <v>128014391.04910381</v>
      </c>
      <c r="E28" s="46">
        <v>-30829260</v>
      </c>
      <c r="F28" s="46">
        <v>10462720.949999999</v>
      </c>
      <c r="G28" s="46">
        <v>0</v>
      </c>
      <c r="H28" s="46">
        <v>10462720.949999999</v>
      </c>
      <c r="I28" s="46"/>
      <c r="J28" s="46">
        <v>0</v>
      </c>
      <c r="K28" s="46"/>
      <c r="L28" s="46">
        <v>86722410.099103823</v>
      </c>
      <c r="M28" s="28"/>
      <c r="N28" s="46">
        <v>64204.5</v>
      </c>
      <c r="O28" s="46">
        <v>0</v>
      </c>
      <c r="P28" s="46">
        <v>8003128.7037499994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128014391.04910381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86722410.099103808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Template</vt:lpstr>
      <vt:lpstr>1203</vt:lpstr>
      <vt:lpstr>1204</vt:lpstr>
      <vt:lpstr>1205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Jan Havlíček</cp:lastModifiedBy>
  <cp:lastPrinted>2001-12-06T16:31:21Z</cp:lastPrinted>
  <dcterms:created xsi:type="dcterms:W3CDTF">2000-04-03T19:03:47Z</dcterms:created>
  <dcterms:modified xsi:type="dcterms:W3CDTF">2023-09-16T22:53:18Z</dcterms:modified>
</cp:coreProperties>
</file>