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FAC37D-4B47-4A6F-B7A3-861071BD5FA0}" xr6:coauthVersionLast="47" xr6:coauthVersionMax="47" xr10:uidLastSave="{00000000-0000-0000-0000-000000000000}"/>
  <bookViews>
    <workbookView xWindow="-120" yWindow="-120" windowWidth="38640" windowHeight="15720" tabRatio="913" activeTab="19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transfer.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<sst xmlns="http://schemas.openxmlformats.org/spreadsheetml/2006/main" count="1019" uniqueCount="67">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</sst>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  <cell r="BB33">
            <v>0</v>
          </cell>
          <cell r="BF33">
            <v>0</v>
          </cell>
        </row>
        <row r="34">
          <cell r="B34">
            <v>37225</v>
          </cell>
          <cell r="BB34">
            <v>0</v>
          </cell>
          <cell r="BF34">
            <v>-4107510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-32599800</v>
          </cell>
        </row>
        <row r="22">
          <cell r="J22">
            <v>10380508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12">
          <cell r="K12">
            <v>330480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136782414.80000001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2164846.1</v>
          </cell>
        </row>
      </sheetData>
      <sheetData sheetId="21">
        <row r="16">
          <cell r="K16">
            <v>1081766</v>
          </cell>
        </row>
        <row r="17">
          <cell r="K17">
            <v>1081766</v>
          </cell>
        </row>
        <row r="47">
          <cell r="I47">
            <v>1081766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4366192.9099999946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3831984.3664085232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5547935.4846982509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-2735610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5989480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35182068.315999798</v>
          </cell>
          <cell r="CX1223">
            <v>720451.17000000924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35182068.315999798</v>
          </cell>
          <cell r="CX1265">
            <v>720451.17000000924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172570140.07999998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2308317.659999996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2308317.659999996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40" sqref="L4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239387.8660000246</v>
      </c>
      <c r="C8" s="68"/>
      <c r="D8" s="68">
        <f t="shared" ref="D8:D26" si="0">B8-C8</f>
        <v>239387.8660000246</v>
      </c>
      <c r="E8" s="68">
        <v>0</v>
      </c>
      <c r="F8" s="68">
        <f>'[1]ABN-AMRO'!$K$12</f>
        <v>0</v>
      </c>
      <c r="G8" s="69"/>
      <c r="H8" s="68">
        <f t="shared" ref="H8:H26" si="1">F8-G8</f>
        <v>0</v>
      </c>
      <c r="I8" s="68"/>
      <c r="J8" s="68"/>
      <c r="K8" s="68"/>
      <c r="L8" s="68">
        <f t="shared" ref="L8:L13" si="2">B8+E8-F8+J8</f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SUMIF([15]Statements!$A$5:$A$1305,$A$3,[15]Statements!$FF$5:$FF$1305)+11241+71</f>
        <v>3843296.3664085232</v>
      </c>
      <c r="C12" s="68"/>
      <c r="D12" s="68">
        <f t="shared" si="0"/>
        <v>3843296.3664085232</v>
      </c>
      <c r="E12" s="68">
        <v>0</v>
      </c>
      <c r="F12" s="68">
        <f>'[1]CARR FUTURES'!$I$12</f>
        <v>2164846.1</v>
      </c>
      <c r="G12" s="68"/>
      <c r="H12" s="68">
        <f t="shared" si="1"/>
        <v>2164846.1</v>
      </c>
      <c r="I12" s="68"/>
      <c r="J12" s="68"/>
      <c r="K12" s="68"/>
      <c r="L12" s="68">
        <f t="shared" si="2"/>
        <v>1678450.2664085231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29258.320000004023</v>
      </c>
      <c r="C13" s="68"/>
      <c r="D13" s="68">
        <f t="shared" si="0"/>
        <v>29258.320000004023</v>
      </c>
      <c r="E13" s="68">
        <v>0</v>
      </c>
      <c r="F13" s="68">
        <f>'[1]CREDIT SUISSE FIRST BOSTON'!$I$12</f>
        <v>0</v>
      </c>
      <c r="G13" s="68"/>
      <c r="H13" s="68">
        <f t="shared" si="1"/>
        <v>0</v>
      </c>
      <c r="I13" s="68"/>
      <c r="J13" s="68"/>
      <c r="K13" s="68"/>
      <c r="L13" s="68">
        <f t="shared" si="2"/>
        <v>29258.320000004023</v>
      </c>
      <c r="M13" s="12"/>
      <c r="N13" s="46"/>
      <c r="O13" s="46"/>
    </row>
    <row r="14" spans="1:17" x14ac:dyDescent="0.2">
      <c r="A14" t="s">
        <v>66</v>
      </c>
      <c r="B14" s="68">
        <f>SUMIF([16]Statements!$A$5:$A$1305,$A$3,[16]Statements!$CT$5:$CT$1305)-SUMIF([16]Statements!$A$5:$A$1305,$A$3,[16]Statements!$CX$5:$CX$1305)-5</f>
        <v>40320248.145999789</v>
      </c>
      <c r="C14" s="68"/>
      <c r="D14" s="68">
        <f t="shared" si="0"/>
        <v>40320248.145999789</v>
      </c>
      <c r="E14" s="68">
        <f>+'[1]EDF MANN'!$J$20</f>
        <v>-32599800</v>
      </c>
      <c r="F14" s="68">
        <f>'[1]EDF MANN'!$J$22</f>
        <v>10380508</v>
      </c>
      <c r="G14" s="69"/>
      <c r="H14" s="68">
        <f t="shared" si="1"/>
        <v>10380508</v>
      </c>
      <c r="I14" s="69"/>
      <c r="J14" s="69"/>
      <c r="K14" s="69"/>
      <c r="L14" s="68">
        <f t="shared" ref="L14:L20" si="3">B14+E14-F14+J14</f>
        <v>-2660059.8540002108</v>
      </c>
      <c r="M14" s="12"/>
      <c r="N14" s="46"/>
      <c r="O14" s="46"/>
    </row>
    <row r="15" spans="1:17" x14ac:dyDescent="0.2">
      <c r="A15" t="s">
        <v>65</v>
      </c>
      <c r="B15" s="70">
        <f>SUMIF([5]Statements!$A$5:$A$1305,$A$3,[5]Statements!$BB$5:$BB$1305)-3</f>
        <v>2238427.159999996</v>
      </c>
      <c r="C15" s="70"/>
      <c r="D15" s="68">
        <f t="shared" si="0"/>
        <v>2238427.159999996</v>
      </c>
      <c r="E15" s="70">
        <v>0</v>
      </c>
      <c r="F15" s="70">
        <f>[1]Fimat!$K$12</f>
        <v>330480</v>
      </c>
      <c r="G15" s="54"/>
      <c r="H15" s="54">
        <f t="shared" si="1"/>
        <v>330480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1907947.159999996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</f>
        <v>-2131.6814089999825</v>
      </c>
      <c r="C16" s="68"/>
      <c r="D16" s="68">
        <f t="shared" si="0"/>
        <v>-2131.6814089999825</v>
      </c>
      <c r="E16" s="68">
        <v>0</v>
      </c>
      <c r="F16" s="68">
        <f>'[1]HSBC-US$'!$J$17</f>
        <v>0</v>
      </c>
      <c r="G16" s="68"/>
      <c r="H16" s="68">
        <f t="shared" si="1"/>
        <v>0</v>
      </c>
      <c r="I16" s="68"/>
      <c r="J16" s="68"/>
      <c r="K16" s="68"/>
      <c r="L16" s="68">
        <f t="shared" si="3"/>
        <v>-2131.6814089999825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64204.5</v>
      </c>
      <c r="O17" s="46">
        <f>SUMIF([6]Statements!$BX$5:$BX$1305,$A$3,[6]Statements!$CH$5:$CH$1305)</f>
        <v>0</v>
      </c>
    </row>
    <row r="18" spans="1:15" x14ac:dyDescent="0.2">
      <c r="A18" t="s">
        <v>35</v>
      </c>
      <c r="B18" s="68">
        <f>SUMIF([7]Statements!$A$5:$A$1305,$A$3,[7]Statements!$BB$5:$BB$1305)-5</f>
        <v>735234.84999999963</v>
      </c>
      <c r="C18" s="68"/>
      <c r="D18" s="68">
        <f t="shared" si="0"/>
        <v>735234.84999999963</v>
      </c>
      <c r="E18" s="68">
        <v>0</v>
      </c>
      <c r="F18" s="68">
        <f>'[1]JP Morgan'!$I$13</f>
        <v>0</v>
      </c>
      <c r="G18" s="68"/>
      <c r="H18" s="68">
        <f t="shared" si="1"/>
        <v>0</v>
      </c>
      <c r="I18" s="68"/>
      <c r="J18" s="68"/>
      <c r="K18" s="68"/>
      <c r="L18" s="68">
        <f t="shared" si="3"/>
        <v>735234.84999999963</v>
      </c>
      <c r="M18" s="12"/>
      <c r="N18" s="46"/>
      <c r="O18" s="46"/>
    </row>
    <row r="19" spans="1:15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">
      <c r="A20" s="18" t="s">
        <v>13</v>
      </c>
      <c r="B20" s="68">
        <f>SUMIF([17]Statements!$A$5:$A$1305,$A$3,[17]Statements!$DB$5:$DB$1305)-67725</f>
        <v>161159385.07999998</v>
      </c>
      <c r="C20" s="69"/>
      <c r="D20" s="68">
        <f t="shared" si="0"/>
        <v>161159385.07999998</v>
      </c>
      <c r="E20" s="69">
        <v>0</v>
      </c>
      <c r="F20" s="69">
        <f>[1]PARIBAS!$J$19</f>
        <v>136782414.80000001</v>
      </c>
      <c r="G20" s="69"/>
      <c r="H20" s="68">
        <f t="shared" si="1"/>
        <v>136782414.80000001</v>
      </c>
      <c r="I20" s="69"/>
      <c r="J20" s="69"/>
      <c r="K20" s="69"/>
      <c r="L20" s="68">
        <f t="shared" si="3"/>
        <v>24376970.279999971</v>
      </c>
      <c r="M20" s="12"/>
      <c r="N20" s="46"/>
      <c r="O20" s="46"/>
    </row>
    <row r="21" spans="1:15" x14ac:dyDescent="0.2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">
      <c r="A23" t="s">
        <v>27</v>
      </c>
      <c r="B23" s="68">
        <f>SUMIF([10]Statements!$A$5:$A$1305,$A$3,[10]Statements!$BN$5:$BN$1305)+1</f>
        <v>-0.32000000000698492</v>
      </c>
      <c r="C23" s="68"/>
      <c r="D23" s="68">
        <f t="shared" si="0"/>
        <v>-0.32000000000698492</v>
      </c>
      <c r="E23" s="68">
        <v>0</v>
      </c>
      <c r="F23" s="68">
        <f>'[1]R J O''Brien'!$K$17</f>
        <v>0</v>
      </c>
      <c r="G23" s="68"/>
      <c r="H23" s="68">
        <f t="shared" si="1"/>
        <v>0</v>
      </c>
      <c r="I23" s="68"/>
      <c r="J23" s="68"/>
      <c r="K23" s="68"/>
      <c r="L23" s="68">
        <f t="shared" si="4"/>
        <v>-0.32000000000698492</v>
      </c>
      <c r="M23" s="12"/>
      <c r="N23" s="46"/>
      <c r="O23" s="46"/>
    </row>
    <row r="24" spans="1:15" x14ac:dyDescent="0.2">
      <c r="A24" t="s">
        <v>12</v>
      </c>
      <c r="B24" s="68">
        <f>SUMIF([11]Statements!$A$5:$A$1305,$A$3,[11]Statements!$CK$5:$CK$1305)-39516</f>
        <v>0.17999999999301508</v>
      </c>
      <c r="C24" s="68"/>
      <c r="D24" s="68">
        <f t="shared" si="0"/>
        <v>0.17999999999301508</v>
      </c>
      <c r="E24" s="68">
        <v>0</v>
      </c>
      <c r="F24" s="68">
        <f>[1]SAUL!$I$13</f>
        <v>0</v>
      </c>
      <c r="G24" s="68"/>
      <c r="H24" s="68">
        <f t="shared" si="1"/>
        <v>0</v>
      </c>
      <c r="I24" s="68"/>
      <c r="J24" s="68"/>
      <c r="K24" s="68"/>
      <c r="L24" s="68">
        <f t="shared" si="4"/>
        <v>0.17999999999301508</v>
      </c>
      <c r="M24" s="12"/>
      <c r="N24" s="46"/>
      <c r="O24" s="46"/>
    </row>
    <row r="25" spans="1:15" ht="12" customHeight="1" x14ac:dyDescent="0.2">
      <c r="A25" s="18" t="s">
        <v>62</v>
      </c>
      <c r="B25" s="68">
        <f>SUMIF([12]Statements!$A$5:$A$1305,$A$3,[12]Statements!$CP$5:$CP$1305)</f>
        <v>4942661.1099999938</v>
      </c>
      <c r="C25" s="68"/>
      <c r="D25" s="68">
        <f t="shared" si="0"/>
        <v>4942661.1099999938</v>
      </c>
      <c r="E25" s="69">
        <v>0</v>
      </c>
      <c r="F25" s="69">
        <f>'[1]Smith Barney'!ReqTotal</f>
        <v>1081766</v>
      </c>
      <c r="G25" s="69">
        <f>IF('[1]Smith Barney'!CurrentLoanValue&lt;50000000,IF('[1]Smith Barney'!CurrentLoanValue&gt;'[1]Smith Barney'!K16,'[1]Smith Barney'!K16,'[1]Smith Barney'!CurrentLoanValue),50000000)</f>
        <v>1081766</v>
      </c>
      <c r="H25" s="69">
        <f t="shared" si="1"/>
        <v>0</v>
      </c>
      <c r="I25" s="69"/>
      <c r="J25" s="69">
        <f>SUMIF('[1]WIRE WORKSHEET'!$B$4:$B$36,A2,'[1]WIRE WORKSHEET'!$BF$4:$BF$36)</f>
        <v>-4107510</v>
      </c>
      <c r="K25" s="69"/>
      <c r="L25" s="68">
        <f t="shared" si="4"/>
        <v>-246614.89000000618</v>
      </c>
      <c r="M25" s="12"/>
      <c r="N25" s="46"/>
      <c r="O25" s="46"/>
    </row>
    <row r="26" spans="1:15" ht="12" customHeight="1" x14ac:dyDescent="0.2">
      <c r="A26" s="18" t="s">
        <v>63</v>
      </c>
      <c r="B26" s="68">
        <f>SUMIF([13]Statements!$A$5:$A$1305,$A$3,[13]Statements!$CP$5:$CP$1305)</f>
        <v>353081.49000000022</v>
      </c>
      <c r="C26" s="68"/>
      <c r="D26" s="68">
        <f t="shared" si="0"/>
        <v>353081.49000000022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>
        <f t="shared" si="4"/>
        <v>353081.49000000022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SUM(B7:B26)</f>
        <v>213858848.85642058</v>
      </c>
      <c r="C28" s="72">
        <f>SUM(C7:C26)</f>
        <v>0</v>
      </c>
      <c r="D28" s="72">
        <f>SUM(D7:D26)</f>
        <v>213858848.85642058</v>
      </c>
      <c r="E28" s="72">
        <f t="shared" ref="E28:L28" si="5">SUM(E7:E26)</f>
        <v>-32599800</v>
      </c>
      <c r="F28" s="72">
        <f t="shared" si="5"/>
        <v>150740014.90000001</v>
      </c>
      <c r="G28" s="72">
        <f t="shared" si="5"/>
        <v>1081766</v>
      </c>
      <c r="H28" s="72">
        <f t="shared" si="5"/>
        <v>149658248.90000001</v>
      </c>
      <c r="I28" s="72"/>
      <c r="J28" s="72">
        <f t="shared" si="5"/>
        <v>-4107510</v>
      </c>
      <c r="K28" s="72"/>
      <c r="L28" s="72">
        <f t="shared" si="5"/>
        <v>26411523.956420556</v>
      </c>
      <c r="M28" s="40"/>
      <c r="N28" s="39">
        <f>SUM(N7:N27)</f>
        <v>64204.5</v>
      </c>
      <c r="O28" s="39">
        <f>SUM(O7:O27)</f>
        <v>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f>+B28+SUM(B30:B31)</f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26411523.956420571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1081766</v>
      </c>
      <c r="E36" s="83">
        <f>C36+D36</f>
        <v>1081766</v>
      </c>
      <c r="F36" s="84">
        <f>+B36-E36</f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H36" sqref="H3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2001-11-30T22:28:37Z</cp:lastPrinted>
  <dcterms:created xsi:type="dcterms:W3CDTF">2000-04-03T19:03:47Z</dcterms:created>
  <dcterms:modified xsi:type="dcterms:W3CDTF">2023-09-16T22:55:42Z</dcterms:modified>
</cp:coreProperties>
</file>