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D93296-F84F-4E0D-AAD4-3647F6667067}" xr6:coauthVersionLast="47" xr6:coauthVersionMax="47" xr10:uidLastSave="{00000000-0000-0000-0000-000000000000}"/>
  <bookViews>
    <workbookView xWindow="-120" yWindow="-120" windowWidth="38640" windowHeight="15720"/>
  </bookViews>
  <sheets>
    <sheet name="East Power Consolidated" sheetId="14" r:id="rId1"/>
    <sheet name="Ercot Trading" sheetId="13" r:id="rId2"/>
    <sheet name="Ercot Origination" sheetId="12" r:id="rId3"/>
    <sheet name="Southeast Trading" sheetId="11" r:id="rId4"/>
    <sheet name="Southeast Origination" sheetId="10" r:id="rId5"/>
    <sheet name="Midwest Trading" sheetId="9" r:id="rId6"/>
    <sheet name="Midwest Origination" sheetId="8" r:id="rId7"/>
    <sheet name="Northeast Trading" sheetId="7" r:id="rId8"/>
    <sheet name="Northeast Origination" sheetId="6" r:id="rId9"/>
    <sheet name="Management Book" sheetId="5" r:id="rId10"/>
    <sheet name="Structuring_Fund" sheetId="4" r:id="rId11"/>
    <sheet name="Services" sheetId="1" r:id="rId12"/>
    <sheet name="Options" sheetId="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0">'East Power Consolidated'!$B$1:$E$28</definedName>
    <definedName name="_xlnm.Print_Area" localSheetId="2">'Ercot Origination'!$B$1:$G$40</definedName>
    <definedName name="_xlnm.Print_Area" localSheetId="1">'Ercot Trading'!$B$1:$G$41</definedName>
    <definedName name="_xlnm.Print_Area" localSheetId="9">'Management Book'!$B$1:$G$43</definedName>
    <definedName name="_xlnm.Print_Area" localSheetId="6">'Midwest Origination'!$B$1:$G$40</definedName>
    <definedName name="_xlnm.Print_Area" localSheetId="5">'Midwest Trading'!$B$1:$G$39</definedName>
    <definedName name="_xlnm.Print_Area" localSheetId="8">'Northeast Origination'!$B$1:$G$40</definedName>
    <definedName name="_xlnm.Print_Area" localSheetId="7">'Northeast Trading'!$B$1:$G$42</definedName>
    <definedName name="_xlnm.Print_Area" localSheetId="12">Options!$B$1:$G$39</definedName>
    <definedName name="_xlnm.Print_Area" localSheetId="11">Services!$B$1:$G$39</definedName>
    <definedName name="_xlnm.Print_Area" localSheetId="4">'Southeast Origination'!$B$1:$G$40</definedName>
    <definedName name="_xlnm.Print_Area" localSheetId="3">'Southeast Trading'!$B$1:$G$40</definedName>
    <definedName name="_xlnm.Print_Area" localSheetId="10">Structuring_Fund!$B$1:$G$41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" l="1"/>
  <c r="B3" i="14"/>
  <c r="C8" i="14"/>
  <c r="E8" i="14"/>
  <c r="G8" i="14"/>
  <c r="C9" i="14"/>
  <c r="E9" i="14"/>
  <c r="G9" i="14"/>
  <c r="C10" i="14"/>
  <c r="E10" i="14"/>
  <c r="G10" i="14"/>
  <c r="C11" i="14"/>
  <c r="E11" i="14"/>
  <c r="G11" i="14"/>
  <c r="C12" i="14"/>
  <c r="E12" i="14"/>
  <c r="G12" i="14"/>
  <c r="C13" i="14"/>
  <c r="E13" i="14"/>
  <c r="G13" i="14"/>
  <c r="C14" i="14"/>
  <c r="E14" i="14"/>
  <c r="G14" i="14"/>
  <c r="C15" i="14"/>
  <c r="E15" i="14"/>
  <c r="G15" i="14"/>
  <c r="C16" i="14"/>
  <c r="E16" i="14"/>
  <c r="G16" i="14"/>
  <c r="C17" i="14"/>
  <c r="E17" i="14"/>
  <c r="G17" i="14"/>
  <c r="C18" i="14"/>
  <c r="E18" i="14"/>
  <c r="G18" i="14"/>
  <c r="C19" i="14"/>
  <c r="E19" i="14"/>
  <c r="G19" i="14"/>
  <c r="C20" i="14"/>
  <c r="E20" i="14"/>
  <c r="G20" i="14"/>
  <c r="C21" i="14"/>
  <c r="E21" i="14"/>
  <c r="G21" i="14"/>
  <c r="C22" i="14"/>
  <c r="E22" i="14"/>
  <c r="G22" i="14"/>
  <c r="C23" i="14"/>
  <c r="E23" i="14"/>
  <c r="G23" i="14"/>
  <c r="E25" i="14"/>
  <c r="E27" i="14"/>
  <c r="E29" i="14"/>
  <c r="B1" i="12"/>
  <c r="B2" i="12"/>
  <c r="B3" i="12"/>
  <c r="C8" i="12"/>
  <c r="E8" i="12"/>
  <c r="E9" i="12"/>
  <c r="G9" i="12"/>
  <c r="C10" i="12"/>
  <c r="E10" i="12"/>
  <c r="G10" i="12"/>
  <c r="C11" i="12"/>
  <c r="E11" i="12"/>
  <c r="G11" i="12"/>
  <c r="C12" i="12"/>
  <c r="E12" i="12"/>
  <c r="G12" i="12"/>
  <c r="C13" i="12"/>
  <c r="E13" i="12"/>
  <c r="G13" i="12"/>
  <c r="C14" i="12"/>
  <c r="E14" i="12"/>
  <c r="G14" i="12"/>
  <c r="C15" i="12"/>
  <c r="E15" i="12"/>
  <c r="G15" i="12"/>
  <c r="C16" i="12"/>
  <c r="E16" i="12"/>
  <c r="G16" i="12"/>
  <c r="C17" i="12"/>
  <c r="E17" i="12"/>
  <c r="G17" i="12"/>
  <c r="C18" i="12"/>
  <c r="E18" i="12"/>
  <c r="G18" i="12"/>
  <c r="C19" i="12"/>
  <c r="E19" i="12"/>
  <c r="G19" i="12"/>
  <c r="C20" i="12"/>
  <c r="E20" i="12"/>
  <c r="G20" i="12"/>
  <c r="C21" i="12"/>
  <c r="E21" i="12"/>
  <c r="G21" i="12"/>
  <c r="C22" i="12"/>
  <c r="E22" i="12"/>
  <c r="G22" i="12"/>
  <c r="C23" i="12"/>
  <c r="E23" i="12"/>
  <c r="G23" i="12"/>
  <c r="G24" i="12"/>
  <c r="E29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43" i="12"/>
  <c r="B1" i="13"/>
  <c r="B2" i="13"/>
  <c r="B3" i="13"/>
  <c r="C8" i="13"/>
  <c r="E8" i="13"/>
  <c r="G8" i="13"/>
  <c r="E9" i="13"/>
  <c r="G9" i="13"/>
  <c r="C10" i="13"/>
  <c r="E10" i="13"/>
  <c r="G10" i="13"/>
  <c r="C11" i="13"/>
  <c r="E11" i="13"/>
  <c r="G11" i="13"/>
  <c r="C12" i="13"/>
  <c r="E12" i="13"/>
  <c r="G12" i="13"/>
  <c r="C13" i="13"/>
  <c r="E13" i="13"/>
  <c r="G13" i="13"/>
  <c r="C14" i="13"/>
  <c r="E14" i="13"/>
  <c r="G14" i="13"/>
  <c r="C15" i="13"/>
  <c r="E15" i="13"/>
  <c r="G15" i="13"/>
  <c r="C16" i="13"/>
  <c r="E16" i="13"/>
  <c r="G16" i="13"/>
  <c r="C17" i="13"/>
  <c r="E17" i="13"/>
  <c r="G17" i="13"/>
  <c r="C18" i="13"/>
  <c r="E18" i="13"/>
  <c r="G18" i="13"/>
  <c r="C19" i="13"/>
  <c r="E19" i="13"/>
  <c r="G19" i="13"/>
  <c r="C20" i="13"/>
  <c r="E20" i="13"/>
  <c r="G20" i="13"/>
  <c r="C21" i="13"/>
  <c r="E21" i="13"/>
  <c r="G21" i="13"/>
  <c r="C22" i="13"/>
  <c r="E22" i="13"/>
  <c r="G22" i="13"/>
  <c r="C23" i="13"/>
  <c r="E23" i="13"/>
  <c r="G23" i="13"/>
  <c r="E25" i="13"/>
  <c r="E29" i="13"/>
  <c r="C31" i="13"/>
  <c r="E31" i="13"/>
  <c r="C32" i="13"/>
  <c r="E32" i="13"/>
  <c r="C33" i="13"/>
  <c r="E33" i="13"/>
  <c r="C34" i="13"/>
  <c r="E34" i="13"/>
  <c r="C35" i="13"/>
  <c r="E35" i="13"/>
  <c r="C36" i="13"/>
  <c r="E36" i="13"/>
  <c r="C37" i="13"/>
  <c r="E37" i="13"/>
  <c r="C38" i="13"/>
  <c r="E38" i="13"/>
  <c r="C39" i="13"/>
  <c r="E39" i="13"/>
  <c r="E40" i="13"/>
  <c r="C43" i="13"/>
  <c r="B1" i="5"/>
  <c r="B2" i="5"/>
  <c r="B3" i="5"/>
  <c r="C8" i="5"/>
  <c r="E8" i="5"/>
  <c r="G8" i="5"/>
  <c r="E9" i="5"/>
  <c r="G9" i="5"/>
  <c r="C10" i="5"/>
  <c r="E10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E39" i="5"/>
  <c r="C40" i="5"/>
  <c r="E40" i="5"/>
  <c r="C41" i="5"/>
  <c r="E41" i="5"/>
  <c r="C42" i="5"/>
  <c r="E42" i="5"/>
  <c r="C45" i="5"/>
  <c r="B1" i="8"/>
  <c r="B2" i="8"/>
  <c r="B3" i="8"/>
  <c r="C8" i="8"/>
  <c r="E8" i="8"/>
  <c r="G8" i="8"/>
  <c r="E9" i="8"/>
  <c r="G9" i="8"/>
  <c r="C10" i="8"/>
  <c r="E10" i="8"/>
  <c r="G10" i="8"/>
  <c r="C11" i="8"/>
  <c r="E11" i="8"/>
  <c r="G11" i="8"/>
  <c r="C12" i="8"/>
  <c r="E12" i="8"/>
  <c r="G12" i="8"/>
  <c r="C13" i="8"/>
  <c r="E13" i="8"/>
  <c r="G13" i="8"/>
  <c r="C14" i="8"/>
  <c r="E14" i="8"/>
  <c r="G14" i="8"/>
  <c r="C15" i="8"/>
  <c r="E15" i="8"/>
  <c r="G15" i="8"/>
  <c r="C16" i="8"/>
  <c r="E16" i="8"/>
  <c r="G16" i="8"/>
  <c r="C17" i="8"/>
  <c r="E17" i="8"/>
  <c r="G17" i="8"/>
  <c r="C18" i="8"/>
  <c r="E18" i="8"/>
  <c r="G18" i="8"/>
  <c r="C19" i="8"/>
  <c r="E19" i="8"/>
  <c r="G19" i="8"/>
  <c r="C20" i="8"/>
  <c r="E20" i="8"/>
  <c r="G20" i="8"/>
  <c r="C21" i="8"/>
  <c r="E21" i="8"/>
  <c r="G21" i="8"/>
  <c r="C22" i="8"/>
  <c r="E22" i="8"/>
  <c r="G22" i="8"/>
  <c r="C23" i="8"/>
  <c r="E23" i="8"/>
  <c r="G23" i="8"/>
  <c r="E29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C39" i="8"/>
  <c r="C43" i="8"/>
  <c r="B1" i="9"/>
  <c r="B2" i="9"/>
  <c r="B3" i="9"/>
  <c r="C8" i="9"/>
  <c r="E8" i="9"/>
  <c r="G8" i="9"/>
  <c r="E9" i="9"/>
  <c r="G9" i="9"/>
  <c r="C10" i="9"/>
  <c r="E10" i="9"/>
  <c r="G10" i="9"/>
  <c r="C11" i="9"/>
  <c r="E11" i="9"/>
  <c r="G11" i="9"/>
  <c r="C12" i="9"/>
  <c r="E12" i="9"/>
  <c r="G12" i="9"/>
  <c r="C13" i="9"/>
  <c r="E13" i="9"/>
  <c r="G13" i="9"/>
  <c r="C14" i="9"/>
  <c r="E14" i="9"/>
  <c r="G14" i="9"/>
  <c r="C15" i="9"/>
  <c r="E15" i="9"/>
  <c r="G15" i="9"/>
  <c r="C16" i="9"/>
  <c r="E16" i="9"/>
  <c r="G16" i="9"/>
  <c r="C17" i="9"/>
  <c r="E17" i="9"/>
  <c r="G17" i="9"/>
  <c r="C18" i="9"/>
  <c r="E18" i="9"/>
  <c r="G18" i="9"/>
  <c r="C19" i="9"/>
  <c r="E19" i="9"/>
  <c r="G19" i="9"/>
  <c r="C20" i="9"/>
  <c r="E20" i="9"/>
  <c r="G20" i="9"/>
  <c r="C21" i="9"/>
  <c r="E21" i="9"/>
  <c r="G21" i="9"/>
  <c r="C22" i="9"/>
  <c r="E22" i="9"/>
  <c r="G22" i="9"/>
  <c r="C23" i="9"/>
  <c r="E23" i="9"/>
  <c r="G23" i="9"/>
  <c r="E25" i="9"/>
  <c r="E29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43" i="9"/>
  <c r="B1" i="6"/>
  <c r="B2" i="6"/>
  <c r="B3" i="6"/>
  <c r="C8" i="6"/>
  <c r="E8" i="6"/>
  <c r="G8" i="6"/>
  <c r="E9" i="6"/>
  <c r="G9" i="6"/>
  <c r="C10" i="6"/>
  <c r="E10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9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C43" i="6"/>
  <c r="B1" i="7"/>
  <c r="B2" i="7"/>
  <c r="B3" i="7"/>
  <c r="C8" i="7"/>
  <c r="E8" i="7"/>
  <c r="G8" i="7"/>
  <c r="E9" i="7"/>
  <c r="G9" i="7"/>
  <c r="C10" i="7"/>
  <c r="E10" i="7"/>
  <c r="G10" i="7"/>
  <c r="C11" i="7"/>
  <c r="E11" i="7"/>
  <c r="G11" i="7"/>
  <c r="C12" i="7"/>
  <c r="E12" i="7"/>
  <c r="G12" i="7"/>
  <c r="C13" i="7"/>
  <c r="E13" i="7"/>
  <c r="G13" i="7"/>
  <c r="C14" i="7"/>
  <c r="E14" i="7"/>
  <c r="G14" i="7"/>
  <c r="C15" i="7"/>
  <c r="E15" i="7"/>
  <c r="G15" i="7"/>
  <c r="C16" i="7"/>
  <c r="E16" i="7"/>
  <c r="G16" i="7"/>
  <c r="C17" i="7"/>
  <c r="E17" i="7"/>
  <c r="G17" i="7"/>
  <c r="C18" i="7"/>
  <c r="E18" i="7"/>
  <c r="G18" i="7"/>
  <c r="C19" i="7"/>
  <c r="E19" i="7"/>
  <c r="G19" i="7"/>
  <c r="C20" i="7"/>
  <c r="E20" i="7"/>
  <c r="G20" i="7"/>
  <c r="C21" i="7"/>
  <c r="E21" i="7"/>
  <c r="G21" i="7"/>
  <c r="C22" i="7"/>
  <c r="E22" i="7"/>
  <c r="G22" i="7"/>
  <c r="C23" i="7"/>
  <c r="E23" i="7"/>
  <c r="G23" i="7"/>
  <c r="E25" i="7"/>
  <c r="E27" i="7"/>
  <c r="E29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44" i="7"/>
  <c r="B1" i="2"/>
  <c r="B2" i="2"/>
  <c r="B3" i="2"/>
  <c r="C8" i="2"/>
  <c r="E8" i="2"/>
  <c r="G8" i="2"/>
  <c r="E9" i="2"/>
  <c r="G9" i="2"/>
  <c r="C10" i="2"/>
  <c r="E10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E29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43" i="2"/>
  <c r="B1" i="1"/>
  <c r="B2" i="1"/>
  <c r="B3" i="1"/>
  <c r="C8" i="1"/>
  <c r="E8" i="1"/>
  <c r="G8" i="1"/>
  <c r="E9" i="1"/>
  <c r="G9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43" i="1"/>
  <c r="B1" i="10"/>
  <c r="B2" i="10"/>
  <c r="B3" i="10"/>
  <c r="C8" i="10"/>
  <c r="E8" i="10"/>
  <c r="G8" i="10"/>
  <c r="E9" i="10"/>
  <c r="G9" i="10"/>
  <c r="C10" i="10"/>
  <c r="E10" i="10"/>
  <c r="G10" i="10"/>
  <c r="C11" i="10"/>
  <c r="E11" i="10"/>
  <c r="G11" i="10"/>
  <c r="C12" i="10"/>
  <c r="E12" i="10"/>
  <c r="G12" i="10"/>
  <c r="C13" i="10"/>
  <c r="E13" i="10"/>
  <c r="G13" i="10"/>
  <c r="C14" i="10"/>
  <c r="E14" i="10"/>
  <c r="G14" i="10"/>
  <c r="C15" i="10"/>
  <c r="E15" i="10"/>
  <c r="G15" i="10"/>
  <c r="C16" i="10"/>
  <c r="E16" i="10"/>
  <c r="G16" i="10"/>
  <c r="C17" i="10"/>
  <c r="E17" i="10"/>
  <c r="G17" i="10"/>
  <c r="C18" i="10"/>
  <c r="E18" i="10"/>
  <c r="G18" i="10"/>
  <c r="C19" i="10"/>
  <c r="E19" i="10"/>
  <c r="G19" i="10"/>
  <c r="C20" i="10"/>
  <c r="E20" i="10"/>
  <c r="G20" i="10"/>
  <c r="C21" i="10"/>
  <c r="E21" i="10"/>
  <c r="G21" i="10"/>
  <c r="C22" i="10"/>
  <c r="E22" i="10"/>
  <c r="G22" i="10"/>
  <c r="C23" i="10"/>
  <c r="E23" i="10"/>
  <c r="G23" i="10"/>
  <c r="E29" i="10"/>
  <c r="C31" i="10"/>
  <c r="E31" i="10"/>
  <c r="C32" i="10"/>
  <c r="E32" i="10"/>
  <c r="C33" i="10"/>
  <c r="E33" i="10"/>
  <c r="C34" i="10"/>
  <c r="E34" i="10"/>
  <c r="C35" i="10"/>
  <c r="E35" i="10"/>
  <c r="C36" i="10"/>
  <c r="E36" i="10"/>
  <c r="C37" i="10"/>
  <c r="E37" i="10"/>
  <c r="C38" i="10"/>
  <c r="E38" i="10"/>
  <c r="C43" i="10"/>
  <c r="B1" i="11"/>
  <c r="B2" i="11"/>
  <c r="B3" i="11"/>
  <c r="C8" i="11"/>
  <c r="E8" i="11"/>
  <c r="G8" i="11"/>
  <c r="E9" i="11"/>
  <c r="G9" i="11"/>
  <c r="C10" i="11"/>
  <c r="E10" i="11"/>
  <c r="G10" i="11"/>
  <c r="C11" i="11"/>
  <c r="E11" i="11"/>
  <c r="G11" i="11"/>
  <c r="C12" i="11"/>
  <c r="E12" i="11"/>
  <c r="G12" i="11"/>
  <c r="C13" i="11"/>
  <c r="E13" i="11"/>
  <c r="G13" i="11"/>
  <c r="C14" i="11"/>
  <c r="E14" i="11"/>
  <c r="G14" i="11"/>
  <c r="C15" i="11"/>
  <c r="E15" i="11"/>
  <c r="G15" i="11"/>
  <c r="C16" i="11"/>
  <c r="E16" i="11"/>
  <c r="G16" i="11"/>
  <c r="C17" i="11"/>
  <c r="E17" i="11"/>
  <c r="G17" i="11"/>
  <c r="C18" i="11"/>
  <c r="E18" i="11"/>
  <c r="G18" i="11"/>
  <c r="C19" i="11"/>
  <c r="E19" i="11"/>
  <c r="G19" i="11"/>
  <c r="C20" i="11"/>
  <c r="E20" i="11"/>
  <c r="G20" i="11"/>
  <c r="C21" i="11"/>
  <c r="E21" i="11"/>
  <c r="G21" i="11"/>
  <c r="C22" i="11"/>
  <c r="E22" i="11"/>
  <c r="G22" i="11"/>
  <c r="C23" i="11"/>
  <c r="E23" i="11"/>
  <c r="G23" i="11"/>
  <c r="E25" i="11"/>
  <c r="E29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43" i="11"/>
  <c r="B1" i="4"/>
  <c r="B2" i="4"/>
  <c r="B3" i="4"/>
  <c r="C8" i="4"/>
  <c r="E8" i="4"/>
  <c r="G8" i="4"/>
  <c r="E9" i="4"/>
  <c r="G9" i="4"/>
  <c r="C10" i="4"/>
  <c r="E10" i="4"/>
  <c r="G10" i="4"/>
  <c r="C11" i="4"/>
  <c r="E11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E39" i="4"/>
  <c r="E40" i="4"/>
</calcChain>
</file>

<file path=xl/sharedStrings.xml><?xml version="1.0" encoding="utf-8"?>
<sst xmlns="http://schemas.openxmlformats.org/spreadsheetml/2006/main" count="691" uniqueCount="69">
  <si>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</si>
  <si>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</si>
  <si>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</si>
  <si>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</si>
  <si>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</si>
  <si>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</si>
  <si>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</si>
  <si>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</si>
  <si>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</si>
  <si>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</si>
  <si>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</si>
  <si>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</si>
  <si>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</si>
  <si>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</si>
  <si>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</si>
  <si>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</si>
  <si>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</si>
  <si>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</si>
  <si>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</si>
  <si>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</si>
  <si>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</si>
  <si>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</si>
  <si>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</si>
  <si>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</si>
  <si>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</si>
  <si>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</si>
  <si>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</si>
  <si>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</si>
  <si>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</si>
  <si>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</si>
  <si>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</si>
  <si>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</si>
  <si>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</si>
  <si>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</si>
  <si>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</si>
  <si>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</si>
  <si>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</si>
  <si>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</si>
  <si>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</si>
  <si>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</si>
  <si>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</si>
  <si>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</si>
  <si>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</si>
  <si>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</si>
  <si>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</si>
  <si>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</si>
  <si>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</si>
  <si>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</si>
  <si>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Analysts &amp; Associates</t>
  </si>
  <si>
    <t>Masters Golf Tournament</t>
  </si>
  <si>
    <t>Power System Software Consulting</t>
  </si>
  <si>
    <t>Relocation exp</t>
  </si>
  <si>
    <t>TAC Group</t>
  </si>
  <si>
    <t>Astros Tickets/Team Outing</t>
  </si>
  <si>
    <t>Bond Payments</t>
  </si>
  <si>
    <t>Internal Consulting Support - CABC</t>
  </si>
  <si>
    <t>Boondoggles</t>
  </si>
  <si>
    <t>Relocation</t>
  </si>
  <si>
    <t>Boondoggle</t>
  </si>
  <si>
    <t>Employee Placement Fee</t>
  </si>
  <si>
    <t>Edgecomb W/O</t>
  </si>
  <si>
    <t>Relocation Exp</t>
  </si>
  <si>
    <t>Computer Servers</t>
  </si>
  <si>
    <t>Project Costs</t>
  </si>
  <si>
    <t>East Power</t>
  </si>
  <si>
    <t>Headcount</t>
  </si>
  <si>
    <t>%</t>
  </si>
  <si>
    <t>of Total</t>
  </si>
  <si>
    <t>Analyst &amp; Associate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</si>
</sst>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1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 applyAlignment="1">
      <alignment horizontal="center"/>
    </xf>
    <xf numFmtId="9" fontId="6" fillId="0" borderId="0" xfId="5" applyFont="1" applyProtection="1"/>
    <xf numFmtId="9" fontId="6" fillId="0" borderId="1" xfId="5" applyFont="1" applyBorder="1"/>
    <xf numFmtId="165" fontId="0" fillId="0" borderId="1" xfId="0" applyNumberFormat="1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rcot%20Orig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utheast%20Ori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utheast%20Trad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ructuring_Fundamentals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rcot%20Trad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nagement%20Book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idwest%20Ori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idwest%20Trad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east%20Ori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rtheast%20Trad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ption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rvic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Ercot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405134.33999999997</v>
          </cell>
        </row>
        <row r="26">
          <cell r="BA26">
            <v>100933.45</v>
          </cell>
        </row>
        <row r="27">
          <cell r="BA27">
            <v>17122.72</v>
          </cell>
        </row>
        <row r="28">
          <cell r="BA28">
            <v>127699.51999999999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2489.4699999999998</v>
          </cell>
        </row>
        <row r="33">
          <cell r="BA33">
            <v>2719</v>
          </cell>
        </row>
        <row r="34">
          <cell r="BA34">
            <v>0</v>
          </cell>
        </row>
        <row r="35">
          <cell r="BA35">
            <v>300</v>
          </cell>
        </row>
        <row r="36">
          <cell r="BA36">
            <v>129.24</v>
          </cell>
        </row>
        <row r="37">
          <cell r="BA37">
            <v>1267.8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21771.19</v>
          </cell>
        </row>
        <row r="41">
          <cell r="BA41">
            <v>27624</v>
          </cell>
        </row>
        <row r="42">
          <cell r="BA42">
            <v>56703.48</v>
          </cell>
        </row>
        <row r="43">
          <cell r="BA43">
            <v>0</v>
          </cell>
        </row>
        <row r="44">
          <cell r="BA44">
            <v>54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Southeast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609061.72000000009</v>
          </cell>
        </row>
        <row r="26">
          <cell r="BA26">
            <v>138110</v>
          </cell>
        </row>
        <row r="27">
          <cell r="BA27">
            <v>43971.199999999997</v>
          </cell>
        </row>
        <row r="28">
          <cell r="BA28">
            <v>272272.65000000002</v>
          </cell>
        </row>
        <row r="29">
          <cell r="BA29">
            <v>986513.84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310145.13999999996</v>
          </cell>
        </row>
        <row r="33">
          <cell r="BA33">
            <v>6445.68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54297.13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29085.249999999996</v>
          </cell>
        </row>
        <row r="41">
          <cell r="BA41">
            <v>36371.75</v>
          </cell>
        </row>
        <row r="42">
          <cell r="BA42">
            <v>230453.03</v>
          </cell>
        </row>
        <row r="43">
          <cell r="BA43">
            <v>29708.35</v>
          </cell>
        </row>
        <row r="44">
          <cell r="BA44">
            <v>81.47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Southeast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872168.45000000007</v>
          </cell>
        </row>
        <row r="26">
          <cell r="BA26">
            <v>165073.78</v>
          </cell>
        </row>
        <row r="27">
          <cell r="BA27">
            <v>44114.159999999989</v>
          </cell>
        </row>
        <row r="28">
          <cell r="BA28">
            <v>43025.299999999996</v>
          </cell>
        </row>
        <row r="29">
          <cell r="BA29">
            <v>31742.32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28750</v>
          </cell>
        </row>
        <row r="33">
          <cell r="BA33">
            <v>433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14417.72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18986.289999999997</v>
          </cell>
        </row>
        <row r="41">
          <cell r="BA41">
            <v>31726.589999999997</v>
          </cell>
        </row>
        <row r="42">
          <cell r="BA42">
            <v>130908.9</v>
          </cell>
        </row>
        <row r="43">
          <cell r="BA43">
            <v>0</v>
          </cell>
        </row>
        <row r="44">
          <cell r="BA44">
            <v>123.97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Structuring/Fundamentals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1248140.56</v>
          </cell>
        </row>
        <row r="26">
          <cell r="BA26">
            <v>276633.59000000003</v>
          </cell>
        </row>
        <row r="27">
          <cell r="BA27">
            <v>140603.93</v>
          </cell>
        </row>
        <row r="28">
          <cell r="BA28">
            <v>78714.61</v>
          </cell>
        </row>
        <row r="29">
          <cell r="BA29">
            <v>16676.939999999999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1029598.62</v>
          </cell>
        </row>
        <row r="33">
          <cell r="BA33">
            <v>12308.900000000001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289152.54000000004</v>
          </cell>
        </row>
        <row r="38">
          <cell r="BA38">
            <v>40.01</v>
          </cell>
        </row>
        <row r="39">
          <cell r="BA39">
            <v>0</v>
          </cell>
        </row>
        <row r="40">
          <cell r="BA40">
            <v>39888.629999999997</v>
          </cell>
        </row>
        <row r="41">
          <cell r="BA41">
            <v>110468.86999999998</v>
          </cell>
        </row>
        <row r="42">
          <cell r="BA42">
            <v>711371.17</v>
          </cell>
        </row>
        <row r="43">
          <cell r="BA43">
            <v>0</v>
          </cell>
        </row>
        <row r="44">
          <cell r="BA44">
            <v>172.09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Ercot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514066.2300000001</v>
          </cell>
        </row>
        <row r="26">
          <cell r="BA26">
            <v>101915.64</v>
          </cell>
        </row>
        <row r="27">
          <cell r="BA27">
            <v>35923.870000000003</v>
          </cell>
        </row>
        <row r="28">
          <cell r="BA28">
            <v>15703.859999999999</v>
          </cell>
        </row>
        <row r="29">
          <cell r="BA29">
            <v>9798.02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0</v>
          </cell>
        </row>
        <row r="33">
          <cell r="BA33">
            <v>6868.09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145477.97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17422.34</v>
          </cell>
        </row>
        <row r="41">
          <cell r="BA41">
            <v>27016.04</v>
          </cell>
        </row>
        <row r="42">
          <cell r="BA42">
            <v>109727.29000000001</v>
          </cell>
        </row>
        <row r="43">
          <cell r="BA43">
            <v>0</v>
          </cell>
        </row>
        <row r="44">
          <cell r="BA44">
            <v>81.42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Management Book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1203187.82</v>
          </cell>
        </row>
        <row r="26">
          <cell r="BA26">
            <v>261830.69000000003</v>
          </cell>
        </row>
        <row r="27">
          <cell r="BA27">
            <v>338934.1</v>
          </cell>
        </row>
        <row r="28">
          <cell r="BA28">
            <v>342989.99000000005</v>
          </cell>
        </row>
        <row r="29">
          <cell r="BA29">
            <v>100780.77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1555966.4000000001</v>
          </cell>
        </row>
        <row r="33">
          <cell r="BA33">
            <v>63983.180000000008</v>
          </cell>
        </row>
        <row r="34">
          <cell r="BA34">
            <v>0</v>
          </cell>
        </row>
        <row r="35">
          <cell r="BA35">
            <v>5000</v>
          </cell>
        </row>
        <row r="36">
          <cell r="BA36">
            <v>88591.84</v>
          </cell>
        </row>
        <row r="37">
          <cell r="BA37">
            <v>145239</v>
          </cell>
        </row>
        <row r="38">
          <cell r="BA38">
            <v>36.85</v>
          </cell>
        </row>
        <row r="39">
          <cell r="BA39">
            <v>1937996.74</v>
          </cell>
        </row>
        <row r="40">
          <cell r="BA40">
            <v>1107725.4300000002</v>
          </cell>
        </row>
        <row r="41">
          <cell r="BA41">
            <v>379987.44</v>
          </cell>
        </row>
        <row r="42">
          <cell r="BA42">
            <v>808093.21</v>
          </cell>
        </row>
        <row r="43">
          <cell r="BA43">
            <v>0</v>
          </cell>
        </row>
        <row r="44">
          <cell r="BA44">
            <v>252.43</v>
          </cell>
        </row>
        <row r="45">
          <cell r="BA45">
            <v>26956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Midwest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744669.81</v>
          </cell>
        </row>
        <row r="26">
          <cell r="BA26">
            <v>137226.63999999998</v>
          </cell>
        </row>
        <row r="27">
          <cell r="BA27">
            <v>43773.069999999992</v>
          </cell>
        </row>
        <row r="28">
          <cell r="BA28">
            <v>114815.44999999998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242.05</v>
          </cell>
        </row>
        <row r="33">
          <cell r="BA33">
            <v>9557.0800000000017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158.21</v>
          </cell>
        </row>
        <row r="37">
          <cell r="BA37">
            <v>9885.14</v>
          </cell>
        </row>
        <row r="38">
          <cell r="BA38">
            <v>20.9</v>
          </cell>
        </row>
        <row r="39">
          <cell r="BA39">
            <v>0</v>
          </cell>
        </row>
        <row r="40">
          <cell r="BA40">
            <v>18344.88</v>
          </cell>
        </row>
        <row r="41">
          <cell r="BA41">
            <v>34560.49</v>
          </cell>
        </row>
        <row r="42">
          <cell r="BA42">
            <v>121827.45999999999</v>
          </cell>
        </row>
        <row r="43">
          <cell r="BA43">
            <v>0</v>
          </cell>
        </row>
        <row r="44">
          <cell r="BA44">
            <v>106.7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Midwest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898658.07000000007</v>
          </cell>
        </row>
        <row r="26">
          <cell r="BA26">
            <v>181186.2</v>
          </cell>
        </row>
        <row r="27">
          <cell r="BA27">
            <v>16314.75</v>
          </cell>
        </row>
        <row r="28">
          <cell r="BA28">
            <v>47380.489999999991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12093.23</v>
          </cell>
        </row>
        <row r="33">
          <cell r="BA33">
            <v>578.04999999999995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5658.16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25630.500000000004</v>
          </cell>
        </row>
        <row r="41">
          <cell r="BA41">
            <v>30375.8</v>
          </cell>
        </row>
        <row r="42">
          <cell r="BA42">
            <v>155579.62</v>
          </cell>
        </row>
        <row r="43">
          <cell r="BA43">
            <v>0</v>
          </cell>
        </row>
        <row r="44">
          <cell r="BA44">
            <v>144.88000000000002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Northeast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806063.48999999987</v>
          </cell>
        </row>
        <row r="26">
          <cell r="BA26">
            <v>153163.92000000001</v>
          </cell>
        </row>
        <row r="27">
          <cell r="BA27">
            <v>39620.5</v>
          </cell>
        </row>
        <row r="28">
          <cell r="BA28">
            <v>246249.58999999997</v>
          </cell>
        </row>
        <row r="29">
          <cell r="BA29">
            <v>107291.84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20336.080000000002</v>
          </cell>
        </row>
        <row r="33">
          <cell r="BA33">
            <v>2960.7799999999997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1975.2800000000002</v>
          </cell>
        </row>
        <row r="38">
          <cell r="BA38">
            <v>17.420000000000002</v>
          </cell>
        </row>
        <row r="39">
          <cell r="BA39">
            <v>0</v>
          </cell>
        </row>
        <row r="40">
          <cell r="BA40">
            <v>21681.279999999999</v>
          </cell>
        </row>
        <row r="41">
          <cell r="BA41">
            <v>44521.96</v>
          </cell>
        </row>
        <row r="42">
          <cell r="BA42">
            <v>187081.08</v>
          </cell>
        </row>
        <row r="43">
          <cell r="BA43">
            <v>0</v>
          </cell>
        </row>
        <row r="44">
          <cell r="BA44">
            <v>105.32000000000001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Northeast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1331642.27</v>
          </cell>
        </row>
        <row r="26">
          <cell r="BA26">
            <v>230448.42</v>
          </cell>
        </row>
        <row r="27">
          <cell r="BA27">
            <v>25845.53</v>
          </cell>
        </row>
        <row r="28">
          <cell r="BA28">
            <v>61565.93</v>
          </cell>
        </row>
        <row r="29">
          <cell r="BA29">
            <v>104572.90999999999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26250</v>
          </cell>
        </row>
        <row r="33">
          <cell r="BA33">
            <v>333.47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14862.380000000001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61367.970000000008</v>
          </cell>
        </row>
        <row r="41">
          <cell r="BA41">
            <v>42996.390000000007</v>
          </cell>
        </row>
        <row r="42">
          <cell r="BA42">
            <v>192893.47</v>
          </cell>
        </row>
        <row r="43">
          <cell r="BA43">
            <v>0</v>
          </cell>
        </row>
        <row r="44">
          <cell r="BA44">
            <v>168.95999999999998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Options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335626.89</v>
          </cell>
        </row>
        <row r="26">
          <cell r="BA26">
            <v>47594.109999999993</v>
          </cell>
        </row>
        <row r="27">
          <cell r="BA27">
            <v>6351.6799999999994</v>
          </cell>
        </row>
        <row r="28">
          <cell r="BA28">
            <v>16883.02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0</v>
          </cell>
        </row>
        <row r="33">
          <cell r="BA33">
            <v>632.9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238.97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17872.72</v>
          </cell>
        </row>
        <row r="41">
          <cell r="BA41">
            <v>5293.28</v>
          </cell>
        </row>
        <row r="42">
          <cell r="BA42">
            <v>48614.79</v>
          </cell>
        </row>
        <row r="43">
          <cell r="BA43">
            <v>0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Services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197185.15000000002</v>
          </cell>
        </row>
        <row r="26">
          <cell r="BA26">
            <v>40348.020000000004</v>
          </cell>
        </row>
        <row r="27">
          <cell r="BA27">
            <v>11786.189999999999</v>
          </cell>
        </row>
        <row r="28">
          <cell r="BA28">
            <v>13423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117.39</v>
          </cell>
        </row>
        <row r="33">
          <cell r="BA33">
            <v>0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1247.28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2458.8199999999997</v>
          </cell>
        </row>
        <row r="41">
          <cell r="BA41">
            <v>3601.7999999999997</v>
          </cell>
        </row>
        <row r="42">
          <cell r="BA42">
            <v>7836</v>
          </cell>
        </row>
        <row r="43">
          <cell r="BA43">
            <v>0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">
        <v>64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'Ercot Trading'!C8+'Ercot Origination'!C8+'Southeast Trading'!C8+'Southeast Origination'!C8+'Midwest Trading'!C8+'Midwest Origination'!C8+'Northeast Trading'!C8+'Northeast Origination'!C8+'Management Book'!C8+Structuring_Fund!C8+Services!C8+Options!C8</f>
        <v>6640774.8000000017</v>
      </c>
      <c r="E8" s="7">
        <f>(C8/9)*12</f>
        <v>8854366.4000000022</v>
      </c>
      <c r="G8" s="15">
        <f>E8/$E$23</f>
        <v>0.43574183783159909</v>
      </c>
    </row>
    <row r="9" spans="1:44" x14ac:dyDescent="0.2">
      <c r="A9" s="5"/>
      <c r="B9" s="6" t="s">
        <v>4</v>
      </c>
      <c r="C9" s="7">
        <f>'Ercot Trading'!C9+'Ercot Origination'!C9+'Southeast Trading'!C9+'Southeast Origination'!C9+'Midwest Trading'!C9+'Midwest Origination'!C9+'Northeast Trading'!C9+'Northeast Origination'!C9+'Management Book'!C9+Structuring_Fund!C9+Services!C9+Options!C9</f>
        <v>1460000</v>
      </c>
      <c r="E9" s="7">
        <f>C9</f>
        <v>1460000</v>
      </c>
      <c r="G9" s="15">
        <f t="shared" ref="G9:G22" si="0">E9/$E$23</f>
        <v>7.1849645078402732E-2</v>
      </c>
    </row>
    <row r="10" spans="1:44" x14ac:dyDescent="0.2">
      <c r="A10" s="5"/>
      <c r="B10" s="6" t="s">
        <v>48</v>
      </c>
      <c r="C10" s="7">
        <f>'Ercot Trading'!C10+'Ercot Origination'!C10+'Southeast Trading'!C10+'Southeast Origination'!C10+'Midwest Trading'!C10+'Midwest Origination'!C10+'Northeast Trading'!C10+'Northeast Origination'!C10+'Management Book'!C10+Structuring_Fund!C10+Services!C10+Options!C10</f>
        <v>2652510</v>
      </c>
      <c r="E10" s="7">
        <f t="shared" ref="E10:E22" si="1">(C10/9)*12</f>
        <v>3536680</v>
      </c>
      <c r="G10" s="15">
        <f t="shared" si="0"/>
        <v>0.17404739914786671</v>
      </c>
    </row>
    <row r="11" spans="1:44" x14ac:dyDescent="0.2">
      <c r="A11" s="5" t="s">
        <v>5</v>
      </c>
      <c r="B11" s="6" t="s">
        <v>6</v>
      </c>
      <c r="C11" s="7">
        <f>'Ercot Trading'!C11+'Ercot Origination'!C11+'Southeast Trading'!C11+'Southeast Origination'!C11+'Midwest Trading'!C11+'Midwest Origination'!C11+'Northeast Trading'!C11+'Northeast Origination'!C11+'Management Book'!C11+Structuring_Fund!C11+Services!C11+Options!C11</f>
        <v>1536343.4600000002</v>
      </c>
      <c r="E11" s="7">
        <f t="shared" si="1"/>
        <v>2048457.9466666668</v>
      </c>
      <c r="G11" s="15">
        <f t="shared" si="0"/>
        <v>0.10080888796303675</v>
      </c>
    </row>
    <row r="12" spans="1:44" x14ac:dyDescent="0.2">
      <c r="A12" s="5" t="s">
        <v>7</v>
      </c>
      <c r="B12" s="6" t="s">
        <v>8</v>
      </c>
      <c r="C12" s="7">
        <f>'Ercot Trading'!C12+'Ercot Origination'!C12+'Southeast Trading'!C12+'Southeast Origination'!C12+'Midwest Trading'!C12+'Midwest Origination'!C12+'Northeast Trading'!C12+'Northeast Origination'!C12+'Management Book'!C12+Structuring_Fund!C12+Services!C12+Options!C12</f>
        <v>556457.20000000007</v>
      </c>
      <c r="E12" s="7">
        <f t="shared" si="1"/>
        <v>741942.93333333335</v>
      </c>
      <c r="G12" s="15">
        <f t="shared" si="0"/>
        <v>3.6512559197554126E-2</v>
      </c>
    </row>
    <row r="13" spans="1:44" x14ac:dyDescent="0.2">
      <c r="A13" s="5" t="s">
        <v>9</v>
      </c>
      <c r="B13" s="6" t="s">
        <v>10</v>
      </c>
      <c r="C13" s="7">
        <f>'Ercot Trading'!C13+'Ercot Origination'!C13+'Southeast Trading'!C13+'Southeast Origination'!C13+'Midwest Trading'!C13+'Midwest Origination'!C13+'Northeast Trading'!C13+'Northeast Origination'!C13+'Management Book'!C13+Structuring_Fund!C13+Services!C13+Options!C13</f>
        <v>1014365.41</v>
      </c>
      <c r="E13" s="7">
        <f t="shared" si="1"/>
        <v>1352487.2133333334</v>
      </c>
      <c r="G13" s="15">
        <f t="shared" si="0"/>
        <v>6.6558716610327376E-2</v>
      </c>
    </row>
    <row r="14" spans="1:44" x14ac:dyDescent="0.2">
      <c r="A14" s="5" t="s">
        <v>11</v>
      </c>
      <c r="B14" s="6" t="s">
        <v>12</v>
      </c>
      <c r="C14" s="7">
        <f>'Ercot Trading'!C14+'Ercot Origination'!C14+'Southeast Trading'!C14+'Southeast Origination'!C14+'Midwest Trading'!C14+'Midwest Origination'!C14+'Northeast Trading'!C14+'Northeast Origination'!C14+'Management Book'!C14+Structuring_Fund!C14+Services!C14+Options!C14</f>
        <v>524067.38000000012</v>
      </c>
      <c r="E14" s="7">
        <f t="shared" si="1"/>
        <v>698756.50666666683</v>
      </c>
      <c r="G14" s="15">
        <f t="shared" si="0"/>
        <v>3.4387265068646963E-2</v>
      </c>
    </row>
    <row r="15" spans="1:44" x14ac:dyDescent="0.2">
      <c r="A15" s="5" t="s">
        <v>13</v>
      </c>
      <c r="B15" s="6" t="s">
        <v>14</v>
      </c>
      <c r="C15" s="7">
        <f>'Ercot Trading'!C15+'Ercot Origination'!C15+'Southeast Trading'!C15+'Southeast Origination'!C15+'Midwest Trading'!C15+'Midwest Origination'!C15+'Northeast Trading'!C15+'Northeast Origination'!C15+'Management Book'!C15+Structuring_Fund!C15+Services!C15+Options!C15</f>
        <v>93227.13</v>
      </c>
      <c r="E15" s="7">
        <f t="shared" si="1"/>
        <v>124302.84</v>
      </c>
      <c r="G15" s="15">
        <f t="shared" si="0"/>
        <v>6.1172020111215633E-3</v>
      </c>
    </row>
    <row r="16" spans="1:44" x14ac:dyDescent="0.2">
      <c r="A16" s="5" t="s">
        <v>15</v>
      </c>
      <c r="B16" s="6" t="s">
        <v>16</v>
      </c>
      <c r="C16" s="7">
        <f>'Ercot Trading'!C16+'Ercot Origination'!C16+'Southeast Trading'!C16+'Southeast Origination'!C16+'Midwest Trading'!C16+'Midwest Origination'!C16+'Northeast Trading'!C16+'Northeast Origination'!C16+'Management Book'!C16+Structuring_Fund!C16+Services!C16+Options!C16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'Ercot Trading'!C17+'Ercot Origination'!C17+'Southeast Trading'!C17+'Southeast Origination'!C17+'Midwest Trading'!C17+'Midwest Origination'!C17+'Northeast Trading'!C17+'Northeast Origination'!C17+'Management Book'!C17+Structuring_Fund!C17+Services!C17+Options!C17</f>
        <v>5300</v>
      </c>
      <c r="E17" s="7">
        <f t="shared" si="1"/>
        <v>7066.666666666667</v>
      </c>
      <c r="G17" s="15">
        <f t="shared" si="0"/>
        <v>3.4776540540231463E-4</v>
      </c>
    </row>
    <row r="18" spans="1:7" x14ac:dyDescent="0.2">
      <c r="A18" s="5" t="s">
        <v>19</v>
      </c>
      <c r="B18" s="6" t="s">
        <v>20</v>
      </c>
      <c r="C18" s="7">
        <f>'Ercot Trading'!C18+'Ercot Origination'!C18+'Southeast Trading'!C18+'Southeast Origination'!C18+'Midwest Trading'!C18+'Midwest Origination'!C18+'Northeast Trading'!C18+'Northeast Origination'!C18+'Management Book'!C18+Structuring_Fund!C18+Services!C18+Options!C18</f>
        <v>287.28999999999655</v>
      </c>
      <c r="E18" s="7">
        <f t="shared" si="1"/>
        <v>383.05333333332874</v>
      </c>
      <c r="G18" s="15">
        <f t="shared" si="0"/>
        <v>1.8850853456232031E-5</v>
      </c>
    </row>
    <row r="19" spans="1:7" x14ac:dyDescent="0.2">
      <c r="A19" s="5" t="s">
        <v>21</v>
      </c>
      <c r="B19" s="6" t="s">
        <v>22</v>
      </c>
      <c r="C19" s="7">
        <f>'Ercot Trading'!C19+'Ercot Origination'!C19+'Southeast Trading'!C19+'Southeast Origination'!C19+'Midwest Trading'!C19+'Midwest Origination'!C19+'Northeast Trading'!C19+'Northeast Origination'!C19+'Management Book'!C19+Structuring_Fund!C19+Services!C19+Options!C19</f>
        <v>487149.2</v>
      </c>
      <c r="E19" s="7">
        <f t="shared" si="1"/>
        <v>649532.26666666672</v>
      </c>
      <c r="G19" s="15">
        <f t="shared" si="0"/>
        <v>3.1964837552719484E-2</v>
      </c>
    </row>
    <row r="20" spans="1:7" x14ac:dyDescent="0.2">
      <c r="A20" s="5" t="s">
        <v>23</v>
      </c>
      <c r="B20" s="6" t="s">
        <v>24</v>
      </c>
      <c r="C20" s="7">
        <f>'Ercot Trading'!C20+'Ercot Origination'!C20+'Southeast Trading'!C20+'Southeast Origination'!C20+'Midwest Trading'!C20+'Midwest Origination'!C20+'Northeast Trading'!C20+'Northeast Origination'!C20+'Management Book'!C20+Structuring_Fund!C20+Services!C20+Options!C20</f>
        <v>78.180000000000007</v>
      </c>
      <c r="E20" s="7">
        <f t="shared" si="1"/>
        <v>104.24000000000001</v>
      </c>
      <c r="G20" s="15">
        <f t="shared" si="0"/>
        <v>5.1298678102552751E-6</v>
      </c>
    </row>
    <row r="21" spans="1:7" x14ac:dyDescent="0.2">
      <c r="A21" s="5" t="s">
        <v>25</v>
      </c>
      <c r="B21" s="6" t="s">
        <v>26</v>
      </c>
      <c r="C21" s="7">
        <f>'Ercot Trading'!C21+'Ercot Origination'!C21+'Southeast Trading'!C21+'Southeast Origination'!C21+'Midwest Trading'!C21+'Midwest Origination'!C21+'Northeast Trading'!C21+'Northeast Origination'!C21+'Management Book'!C21+Structuring_Fund!C21+Services!C21+Options!C21</f>
        <v>633408.5</v>
      </c>
      <c r="E21" s="7">
        <f t="shared" si="1"/>
        <v>844544.66666666663</v>
      </c>
      <c r="G21" s="15">
        <f t="shared" si="0"/>
        <v>4.1561804488258865E-2</v>
      </c>
    </row>
    <row r="22" spans="1:7" x14ac:dyDescent="0.2">
      <c r="A22" s="5" t="s">
        <v>27</v>
      </c>
      <c r="B22" s="6" t="s">
        <v>28</v>
      </c>
      <c r="C22" s="7">
        <f>'Ercot Trading'!C22+'Ercot Origination'!C22+'Southeast Trading'!C22+'Southeast Origination'!C22+'Midwest Trading'!C22+'Midwest Origination'!C22+'Northeast Trading'!C22+'Northeast Origination'!C22+'Management Book'!C22+Structuring_Fund!C22+Services!C22+Options!C22</f>
        <v>1190.24</v>
      </c>
      <c r="E22" s="7">
        <f t="shared" si="1"/>
        <v>1586.9866666666667</v>
      </c>
      <c r="G22" s="15">
        <f t="shared" si="0"/>
        <v>7.8098923797368107E-5</v>
      </c>
    </row>
    <row r="23" spans="1:7" x14ac:dyDescent="0.2">
      <c r="A23" s="8" t="s">
        <v>29</v>
      </c>
      <c r="B23" s="9" t="s">
        <v>30</v>
      </c>
      <c r="C23" s="10">
        <f>SUM(C8:C22)</f>
        <v>15605158.790000001</v>
      </c>
      <c r="E23" s="10">
        <f>SUM(E8:E22)</f>
        <v>20320211.720000006</v>
      </c>
      <c r="G23" s="16">
        <f>SUM(G8:G22)</f>
        <v>0.99999999999999978</v>
      </c>
    </row>
    <row r="25" spans="1:7" x14ac:dyDescent="0.2">
      <c r="B25" s="9" t="s">
        <v>65</v>
      </c>
      <c r="C25" s="7"/>
      <c r="E25" s="12">
        <f>'Ercot Trading'!E25+'Ercot Origination'!E25+'Southeast Trading'!E25+'Southeast Origination'!E25+'Midwest Trading'!E25+'Midwest Origination'!E25+'Northeast Trading'!E25+'Northeast Origination'!E25+'Management Book'!E25+Structuring_Fund!E25+Services!E25+Options!E25</f>
        <v>91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f>'Ercot Trading'!E27+'Ercot Origination'!E27+'Southeast Trading'!E27+'Southeast Origination'!E27+'Midwest Trading'!E27+'Midwest Origination'!E27+'Northeast Trading'!E27+'Northeast Origination'!E27+'Management Book'!E27+Structuring_Fund!E27+Services!E27+Options!E27</f>
        <v>50</v>
      </c>
    </row>
    <row r="28" spans="1:7" x14ac:dyDescent="0.2">
      <c r="B28" s="9"/>
    </row>
    <row r="29" spans="1:7" x14ac:dyDescent="0.2">
      <c r="B29" s="9" t="s">
        <v>31</v>
      </c>
      <c r="E29" s="17">
        <f>SUM(E25:E27)</f>
        <v>141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5"/>
  <sheetViews>
    <sheetView workbookViewId="0">
      <selection activeCell="B1" sqref="B1:G1"/>
    </sheetView>
  </sheetViews>
  <sheetFormatPr defaultRowHeight="12.75" x14ac:dyDescent="0.2"/>
  <cols>
    <col min="2" max="2" width="26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'[3]Pull Sheet'!E9</f>
        <v>Management Book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'[3]Team Report'!BA25-C9-631482-76000</f>
        <v>345705.82000000007</v>
      </c>
      <c r="E8" s="7">
        <f>(C8/9)*12</f>
        <v>460941.09333333338</v>
      </c>
      <c r="G8" s="15">
        <f>E8/$E$23</f>
        <v>0.18224100911299881</v>
      </c>
    </row>
    <row r="9" spans="1:44" x14ac:dyDescent="0.2">
      <c r="A9" s="5"/>
      <c r="B9" s="6" t="s">
        <v>4</v>
      </c>
      <c r="C9" s="7">
        <v>150000</v>
      </c>
      <c r="E9" s="7">
        <f>C9</f>
        <v>150000</v>
      </c>
      <c r="G9" s="15">
        <f t="shared" ref="G9:G22" si="0">E9/$E$23</f>
        <v>5.9305086403267274E-2</v>
      </c>
    </row>
    <row r="10" spans="1:44" x14ac:dyDescent="0.2">
      <c r="B10" s="6" t="s">
        <v>48</v>
      </c>
      <c r="C10" s="7">
        <f>76000+13014+25278+13500+18900</f>
        <v>146692</v>
      </c>
      <c r="E10" s="7">
        <f>(C10/9)*12</f>
        <v>195589.33333333334</v>
      </c>
      <c r="G10" s="15">
        <f t="shared" si="0"/>
        <v>7.7329615419271858E-2</v>
      </c>
    </row>
    <row r="11" spans="1:44" x14ac:dyDescent="0.2">
      <c r="A11" s="5" t="s">
        <v>5</v>
      </c>
      <c r="B11" s="6" t="s">
        <v>6</v>
      </c>
      <c r="C11" s="7">
        <f>'[3]Team Report'!BA26-81629-43074-560-535-13014-13500</f>
        <v>109518.69000000003</v>
      </c>
      <c r="E11" s="7">
        <f t="shared" ref="E11:E22" si="1">(C11/9)*12</f>
        <v>146024.92000000004</v>
      </c>
      <c r="G11" s="15">
        <f t="shared" si="0"/>
        <v>5.7733469984201292E-2</v>
      </c>
    </row>
    <row r="12" spans="1:44" x14ac:dyDescent="0.2">
      <c r="A12" s="5" t="s">
        <v>7</v>
      </c>
      <c r="B12" s="6" t="s">
        <v>8</v>
      </c>
      <c r="C12" s="7">
        <f>'[3]Team Report'!BA27-1005-10582-710-163274-10458-7505</f>
        <v>145400.09999999998</v>
      </c>
      <c r="E12" s="7">
        <f t="shared" si="1"/>
        <v>193866.79999999996</v>
      </c>
      <c r="G12" s="15">
        <f t="shared" si="0"/>
        <v>7.664858216483289E-2</v>
      </c>
    </row>
    <row r="13" spans="1:44" x14ac:dyDescent="0.2">
      <c r="A13" s="5" t="s">
        <v>9</v>
      </c>
      <c r="B13" s="6" t="s">
        <v>10</v>
      </c>
      <c r="C13" s="7">
        <f>'[3]Team Report'!BA28-7679-159402-233-196-597-9080</f>
        <v>165802.99000000005</v>
      </c>
      <c r="E13" s="7">
        <f t="shared" si="1"/>
        <v>221070.65333333338</v>
      </c>
      <c r="G13" s="15">
        <f t="shared" si="0"/>
        <v>8.7404094647733882E-2</v>
      </c>
    </row>
    <row r="14" spans="1:44" x14ac:dyDescent="0.2">
      <c r="A14" s="5" t="s">
        <v>11</v>
      </c>
      <c r="B14" s="6" t="s">
        <v>12</v>
      </c>
      <c r="C14" s="7">
        <f>'[3]Team Report'!BA32-23224-887748-C42</f>
        <v>296513.40000000014</v>
      </c>
      <c r="E14" s="7">
        <f t="shared" si="1"/>
        <v>395351.20000000019</v>
      </c>
      <c r="G14" s="15">
        <f t="shared" si="0"/>
        <v>0.15630891383756942</v>
      </c>
    </row>
    <row r="15" spans="1:44" x14ac:dyDescent="0.2">
      <c r="A15" s="5" t="s">
        <v>13</v>
      </c>
      <c r="B15" s="6" t="s">
        <v>14</v>
      </c>
      <c r="C15" s="7">
        <f>'[3]Team Report'!BA33-13593</f>
        <v>50390.180000000008</v>
      </c>
      <c r="E15" s="7">
        <f t="shared" si="1"/>
        <v>67186.906666666677</v>
      </c>
      <c r="G15" s="15">
        <f t="shared" si="0"/>
        <v>2.6563502033566142E-2</v>
      </c>
    </row>
    <row r="16" spans="1:44" x14ac:dyDescent="0.2">
      <c r="A16" s="5" t="s">
        <v>15</v>
      </c>
      <c r="B16" s="6" t="s">
        <v>16</v>
      </c>
      <c r="C16" s="7">
        <f>'[3]Team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'[3]Team Report'!BA35</f>
        <v>5000</v>
      </c>
      <c r="E17" s="7">
        <f t="shared" si="1"/>
        <v>6666.6666666666661</v>
      </c>
      <c r="G17" s="15">
        <f t="shared" si="0"/>
        <v>2.6357816179229895E-3</v>
      </c>
    </row>
    <row r="18" spans="1:7" x14ac:dyDescent="0.2">
      <c r="A18" s="5" t="s">
        <v>19</v>
      </c>
      <c r="B18" s="6" t="s">
        <v>20</v>
      </c>
      <c r="C18" s="7">
        <f>'[3]Team Report'!BA36-87973-619</f>
        <v>-0.16000000000349246</v>
      </c>
      <c r="E18" s="7">
        <f t="shared" si="1"/>
        <v>-0.21333333333798993</v>
      </c>
      <c r="G18" s="15">
        <f t="shared" si="0"/>
        <v>-8.4345011775376745E-8</v>
      </c>
    </row>
    <row r="19" spans="1:7" x14ac:dyDescent="0.2">
      <c r="A19" s="5" t="s">
        <v>21</v>
      </c>
      <c r="B19" s="6" t="s">
        <v>22</v>
      </c>
      <c r="C19" s="7">
        <f>'[3]Team Report'!BA37-5382</f>
        <v>139857</v>
      </c>
      <c r="E19" s="7">
        <f t="shared" si="1"/>
        <v>186476</v>
      </c>
      <c r="G19" s="15">
        <f t="shared" si="0"/>
        <v>7.3726501947571119E-2</v>
      </c>
    </row>
    <row r="20" spans="1:7" x14ac:dyDescent="0.2">
      <c r="A20" s="5" t="s">
        <v>23</v>
      </c>
      <c r="B20" s="6" t="s">
        <v>24</v>
      </c>
      <c r="C20" s="7">
        <f>'[3]Team Report'!BA38-37</f>
        <v>-0.14999999999999858</v>
      </c>
      <c r="E20" s="7">
        <f t="shared" si="1"/>
        <v>-0.19999999999999812</v>
      </c>
      <c r="G20" s="15">
        <f t="shared" si="0"/>
        <v>-7.9073448537688951E-8</v>
      </c>
    </row>
    <row r="21" spans="1:7" x14ac:dyDescent="0.2">
      <c r="A21" s="5" t="s">
        <v>25</v>
      </c>
      <c r="B21" s="6" t="s">
        <v>26</v>
      </c>
      <c r="C21" s="7">
        <f>'[3]Team Report'!BA42-126685-3093-668-51447-3258-25278-18900-C41</f>
        <v>379439.20999999996</v>
      </c>
      <c r="E21" s="7">
        <f t="shared" si="1"/>
        <v>505918.94666666666</v>
      </c>
      <c r="G21" s="15">
        <f t="shared" si="0"/>
        <v>0.20002377896744422</v>
      </c>
    </row>
    <row r="22" spans="1:7" x14ac:dyDescent="0.2">
      <c r="A22" s="5" t="s">
        <v>27</v>
      </c>
      <c r="B22" s="6" t="s">
        <v>28</v>
      </c>
      <c r="C22" s="7">
        <f>'[3]Team Report'!BA44-101</f>
        <v>151.43</v>
      </c>
      <c r="E22" s="7">
        <f t="shared" si="1"/>
        <v>201.90666666666669</v>
      </c>
      <c r="G22" s="15">
        <f t="shared" si="0"/>
        <v>7.9827282080415686E-5</v>
      </c>
    </row>
    <row r="23" spans="1:7" x14ac:dyDescent="0.2">
      <c r="A23" s="8" t="s">
        <v>29</v>
      </c>
      <c r="B23" s="9" t="s">
        <v>30</v>
      </c>
      <c r="C23" s="10">
        <f>SUM(C8:C22)</f>
        <v>1934470.5100000002</v>
      </c>
      <c r="E23" s="10">
        <f>SUM(E8:E22)</f>
        <v>2529294.0133333337</v>
      </c>
      <c r="G23" s="16">
        <f>SUM(G8:G22)</f>
        <v>1</v>
      </c>
    </row>
    <row r="25" spans="1:7" x14ac:dyDescent="0.2">
      <c r="B25" s="9" t="s">
        <v>65</v>
      </c>
      <c r="C25" s="7"/>
      <c r="E25" s="12">
        <v>5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6</v>
      </c>
    </row>
    <row r="31" spans="1:7" x14ac:dyDescent="0.2">
      <c r="A31" s="5" t="s">
        <v>32</v>
      </c>
      <c r="B31" s="6" t="s">
        <v>33</v>
      </c>
      <c r="C31" s="7">
        <f>'[3]Team Report'!BA29-47452</f>
        <v>53328.770000000004</v>
      </c>
      <c r="E31" s="7">
        <f t="shared" ref="E31:E42" si="2">(C31/9)*12</f>
        <v>71105.026666666672</v>
      </c>
    </row>
    <row r="32" spans="1:7" x14ac:dyDescent="0.2">
      <c r="A32" s="5" t="s">
        <v>34</v>
      </c>
      <c r="B32" s="6" t="s">
        <v>35</v>
      </c>
      <c r="C32" s="7">
        <f>'[3]Team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'[3]Team Report'!BA39</f>
        <v>1937996.74</v>
      </c>
      <c r="E34" s="7">
        <f t="shared" si="2"/>
        <v>2583995.6533333333</v>
      </c>
    </row>
    <row r="35" spans="1:5" x14ac:dyDescent="0.2">
      <c r="A35" s="5" t="s">
        <v>40</v>
      </c>
      <c r="B35" s="6" t="s">
        <v>41</v>
      </c>
      <c r="C35" s="7">
        <f>'[3]Team Report'!BA40-3735</f>
        <v>1103990.4300000002</v>
      </c>
      <c r="E35" s="7">
        <f t="shared" si="2"/>
        <v>1471987.2400000002</v>
      </c>
    </row>
    <row r="36" spans="1:5" x14ac:dyDescent="0.2">
      <c r="A36" s="5" t="s">
        <v>42</v>
      </c>
      <c r="B36" s="6" t="s">
        <v>43</v>
      </c>
      <c r="C36" s="7">
        <f>'[3]Team Report'!BA41-42345</f>
        <v>337642.44</v>
      </c>
      <c r="E36" s="7">
        <f t="shared" si="2"/>
        <v>450189.92000000004</v>
      </c>
    </row>
    <row r="37" spans="1:5" x14ac:dyDescent="0.2">
      <c r="A37" s="5" t="s">
        <v>44</v>
      </c>
      <c r="B37" s="6" t="s">
        <v>45</v>
      </c>
      <c r="C37" s="7">
        <f>'[3]Team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'[3]Team Report'!BA45</f>
        <v>26956</v>
      </c>
      <c r="E38" s="7">
        <f t="shared" si="2"/>
        <v>35941.333333333336</v>
      </c>
    </row>
    <row r="39" spans="1:5" x14ac:dyDescent="0.2">
      <c r="B39" s="6" t="s">
        <v>52</v>
      </c>
      <c r="C39" s="7">
        <v>2400317</v>
      </c>
      <c r="E39" s="7">
        <f t="shared" si="2"/>
        <v>3200422.6666666665</v>
      </c>
    </row>
    <row r="40" spans="1:5" x14ac:dyDescent="0.2">
      <c r="B40" s="6" t="s">
        <v>53</v>
      </c>
      <c r="C40" s="7">
        <f>10458+7505+9080</f>
        <v>27043</v>
      </c>
      <c r="E40" s="7">
        <f t="shared" si="2"/>
        <v>36057.333333333336</v>
      </c>
    </row>
    <row r="41" spans="1:5" x14ac:dyDescent="0.2">
      <c r="B41" s="6" t="s">
        <v>54</v>
      </c>
      <c r="C41" s="7">
        <f>100000+24325+75000</f>
        <v>199325</v>
      </c>
      <c r="E41" s="7">
        <f t="shared" si="2"/>
        <v>265766.66666666669</v>
      </c>
    </row>
    <row r="42" spans="1:5" x14ac:dyDescent="0.2">
      <c r="B42" s="6" t="s">
        <v>55</v>
      </c>
      <c r="C42" s="7">
        <f>70000+90000+100000+26600+32000+29881</f>
        <v>348481</v>
      </c>
      <c r="E42" s="7">
        <f t="shared" si="2"/>
        <v>464641.33333333331</v>
      </c>
    </row>
    <row r="43" spans="1:5" x14ac:dyDescent="0.2">
      <c r="C43" s="7"/>
      <c r="E43" s="7"/>
    </row>
    <row r="45" spans="1:5" x14ac:dyDescent="0.2">
      <c r="C45" s="11">
        <f>C23+C31+C32+C33+C34+C35+C36+C37+C38</f>
        <v>5394384.8900000015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5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'[12]Pull Sheet'!E9</f>
        <v>Structuring/Fundamentals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'[12]Team Report'!BA25-C9-166000</f>
        <v>987140.56</v>
      </c>
      <c r="E8" s="7">
        <f>(C8/9)*12</f>
        <v>1316187.4133333333</v>
      </c>
      <c r="G8" s="15">
        <f>E8/$E$23</f>
        <v>0.35054105516334616</v>
      </c>
    </row>
    <row r="9" spans="1:44" x14ac:dyDescent="0.2">
      <c r="A9" s="5"/>
      <c r="B9" s="6" t="s">
        <v>4</v>
      </c>
      <c r="C9" s="7">
        <v>95000</v>
      </c>
      <c r="E9" s="7">
        <f>C9</f>
        <v>95000</v>
      </c>
      <c r="G9" s="15">
        <f t="shared" ref="G9:G22" si="0">E9/$E$23</f>
        <v>2.5301412172131207E-2</v>
      </c>
    </row>
    <row r="10" spans="1:44" x14ac:dyDescent="0.2">
      <c r="B10" s="6" t="s">
        <v>48</v>
      </c>
      <c r="C10" s="7">
        <f>166000+28656+514500+53454+14490</f>
        <v>777100</v>
      </c>
      <c r="E10" s="7">
        <f>(C10/9)*12</f>
        <v>1036133.3333333333</v>
      </c>
      <c r="G10" s="15">
        <f t="shared" si="0"/>
        <v>0.27595406875737766</v>
      </c>
    </row>
    <row r="11" spans="1:44" x14ac:dyDescent="0.2">
      <c r="A11" s="5" t="s">
        <v>5</v>
      </c>
      <c r="B11" s="6" t="s">
        <v>6</v>
      </c>
      <c r="C11" s="7">
        <f>'[12]Team Report'!BA26-28656-14490</f>
        <v>233487.59000000003</v>
      </c>
      <c r="E11" s="7">
        <f t="shared" ref="E11:E22" si="1">(C11/9)*12</f>
        <v>311316.78666666668</v>
      </c>
      <c r="G11" s="15">
        <f t="shared" si="0"/>
        <v>8.2913203532176571E-2</v>
      </c>
    </row>
    <row r="12" spans="1:44" x14ac:dyDescent="0.2">
      <c r="A12" s="5" t="s">
        <v>7</v>
      </c>
      <c r="B12" s="6" t="s">
        <v>8</v>
      </c>
      <c r="C12" s="7">
        <f>'[12]Team Report'!BA27</f>
        <v>140603.93</v>
      </c>
      <c r="E12" s="7">
        <f t="shared" si="1"/>
        <v>187471.90666666665</v>
      </c>
      <c r="G12" s="15">
        <f t="shared" si="0"/>
        <v>4.9929515592301528E-2</v>
      </c>
    </row>
    <row r="13" spans="1:44" x14ac:dyDescent="0.2">
      <c r="A13" s="5" t="s">
        <v>9</v>
      </c>
      <c r="B13" s="6" t="s">
        <v>10</v>
      </c>
      <c r="C13" s="7">
        <f>'[12]Team Report'!BA28</f>
        <v>78714.61</v>
      </c>
      <c r="E13" s="7">
        <f t="shared" si="1"/>
        <v>104952.81333333334</v>
      </c>
      <c r="G13" s="15">
        <f t="shared" si="0"/>
        <v>2.7952151460751733E-2</v>
      </c>
    </row>
    <row r="14" spans="1:44" x14ac:dyDescent="0.2">
      <c r="A14" s="5" t="s">
        <v>11</v>
      </c>
      <c r="B14" s="6" t="s">
        <v>12</v>
      </c>
      <c r="C14" s="7">
        <f>'[12]Team Report'!BA32-C40</f>
        <v>138341.62</v>
      </c>
      <c r="E14" s="7">
        <f t="shared" si="1"/>
        <v>184455.49333333332</v>
      </c>
      <c r="G14" s="15">
        <f t="shared" si="0"/>
        <v>4.91261522551628E-2</v>
      </c>
    </row>
    <row r="15" spans="1:44" x14ac:dyDescent="0.2">
      <c r="A15" s="5" t="s">
        <v>13</v>
      </c>
      <c r="B15" s="6" t="s">
        <v>14</v>
      </c>
      <c r="C15" s="7">
        <f>'[12]Team Report'!BA33</f>
        <v>12308.900000000001</v>
      </c>
      <c r="E15" s="7">
        <f t="shared" si="1"/>
        <v>16411.866666666669</v>
      </c>
      <c r="G15" s="15">
        <f t="shared" si="0"/>
        <v>4.3709831899725734E-3</v>
      </c>
    </row>
    <row r="16" spans="1:44" x14ac:dyDescent="0.2">
      <c r="A16" s="5" t="s">
        <v>15</v>
      </c>
      <c r="B16" s="6" t="s">
        <v>16</v>
      </c>
      <c r="C16" s="7">
        <f>'[12]Team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'[12]Team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'[12]Team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'[12]Team Report'!BA37-C39</f>
        <v>180017.87000000005</v>
      </c>
      <c r="E19" s="7">
        <f t="shared" si="1"/>
        <v>240023.82666666675</v>
      </c>
      <c r="G19" s="15">
        <f t="shared" si="0"/>
        <v>6.392570283816329E-2</v>
      </c>
    </row>
    <row r="20" spans="1:7" x14ac:dyDescent="0.2">
      <c r="A20" s="5" t="s">
        <v>23</v>
      </c>
      <c r="B20" s="6" t="s">
        <v>24</v>
      </c>
      <c r="C20" s="7">
        <f>'[12]Team Report'!BA38</f>
        <v>40.01</v>
      </c>
      <c r="E20" s="7">
        <f t="shared" si="1"/>
        <v>53.346666666666664</v>
      </c>
      <c r="G20" s="15">
        <f t="shared" si="0"/>
        <v>1.4207852645711852E-5</v>
      </c>
    </row>
    <row r="21" spans="1:7" x14ac:dyDescent="0.2">
      <c r="A21" s="5" t="s">
        <v>25</v>
      </c>
      <c r="B21" s="6" t="s">
        <v>26</v>
      </c>
      <c r="C21" s="7">
        <f>'[12]Team Report'!BA42-514500</f>
        <v>196871.17000000004</v>
      </c>
      <c r="E21" s="7">
        <f t="shared" si="1"/>
        <v>262494.89333333343</v>
      </c>
      <c r="G21" s="15">
        <f t="shared" si="0"/>
        <v>6.9910436729539838E-2</v>
      </c>
    </row>
    <row r="22" spans="1:7" x14ac:dyDescent="0.2">
      <c r="A22" s="5" t="s">
        <v>27</v>
      </c>
      <c r="B22" s="6" t="s">
        <v>28</v>
      </c>
      <c r="C22" s="7">
        <f>'[12]Team Report'!BA44</f>
        <v>172.09</v>
      </c>
      <c r="E22" s="7">
        <f t="shared" si="1"/>
        <v>229.45333333333335</v>
      </c>
      <c r="G22" s="15">
        <f t="shared" si="0"/>
        <v>6.1110456430906094E-5</v>
      </c>
    </row>
    <row r="23" spans="1:7" x14ac:dyDescent="0.2">
      <c r="A23" s="8" t="s">
        <v>29</v>
      </c>
      <c r="B23" s="9" t="s">
        <v>30</v>
      </c>
      <c r="C23" s="10">
        <f>SUM(C8:C22)</f>
        <v>2839798.3499999996</v>
      </c>
      <c r="E23" s="10">
        <f>SUM(E8:E22)</f>
        <v>3754731.1333333333</v>
      </c>
      <c r="G23" s="16">
        <f>SUM(G8:G22)</f>
        <v>0.99999999999999989</v>
      </c>
    </row>
    <row r="25" spans="1:7" x14ac:dyDescent="0.2">
      <c r="B25" s="9" t="s">
        <v>65</v>
      </c>
      <c r="C25" s="7"/>
      <c r="E25" s="12">
        <v>15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14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29</v>
      </c>
    </row>
    <row r="31" spans="1:7" x14ac:dyDescent="0.2">
      <c r="A31" s="5" t="s">
        <v>32</v>
      </c>
      <c r="B31" s="6" t="s">
        <v>33</v>
      </c>
      <c r="C31" s="7">
        <f>'[12]Team Report'!BA29</f>
        <v>16676.939999999999</v>
      </c>
      <c r="E31" s="7">
        <f t="shared" ref="E31:E40" si="2">(C31/9)*12</f>
        <v>22235.919999999998</v>
      </c>
    </row>
    <row r="32" spans="1:7" x14ac:dyDescent="0.2">
      <c r="A32" s="5" t="s">
        <v>34</v>
      </c>
      <c r="B32" s="6" t="s">
        <v>35</v>
      </c>
      <c r="C32" s="7">
        <f>'[12]Team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'[12]Team Report'!BA40</f>
        <v>39888.629999999997</v>
      </c>
      <c r="E35" s="7">
        <f t="shared" si="2"/>
        <v>53184.84</v>
      </c>
    </row>
    <row r="36" spans="1:5" x14ac:dyDescent="0.2">
      <c r="A36" s="5" t="s">
        <v>42</v>
      </c>
      <c r="B36" s="6" t="s">
        <v>43</v>
      </c>
      <c r="C36" s="7">
        <f>'[12]Team Report'!BA41</f>
        <v>110468.86999999998</v>
      </c>
      <c r="E36" s="7">
        <f t="shared" si="2"/>
        <v>147291.82666666666</v>
      </c>
    </row>
    <row r="37" spans="1:5" x14ac:dyDescent="0.2">
      <c r="A37" s="5" t="s">
        <v>44</v>
      </c>
      <c r="B37" s="6" t="s">
        <v>45</v>
      </c>
      <c r="C37" s="7">
        <f>'[12]Team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'[12]Team Report'!BA45</f>
        <v>0</v>
      </c>
      <c r="E38" s="7">
        <f t="shared" si="2"/>
        <v>0</v>
      </c>
    </row>
    <row r="39" spans="1:5" x14ac:dyDescent="0.2">
      <c r="B39" s="6" t="s">
        <v>62</v>
      </c>
      <c r="C39" s="7">
        <v>109134.67</v>
      </c>
      <c r="E39" s="7">
        <f t="shared" si="2"/>
        <v>145512.89333333334</v>
      </c>
    </row>
    <row r="40" spans="1:5" x14ac:dyDescent="0.2">
      <c r="B40" s="6" t="s">
        <v>63</v>
      </c>
      <c r="C40" s="7">
        <v>891257</v>
      </c>
      <c r="E40" s="7">
        <f t="shared" si="2"/>
        <v>1188342.6666666667</v>
      </c>
    </row>
    <row r="41" spans="1:5" x14ac:dyDescent="0.2">
      <c r="C41" s="7"/>
      <c r="E41" s="7"/>
    </row>
    <row r="42" spans="1:5" x14ac:dyDescent="0.2">
      <c r="C42" s="7"/>
      <c r="E42" s="7"/>
    </row>
    <row r="44" spans="1:5" x14ac:dyDescent="0.2">
      <c r="C44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85546875" customWidth="1"/>
  </cols>
  <sheetData>
    <row r="1" spans="1:44" ht="18" x14ac:dyDescent="0.25">
      <c r="B1" s="18" t="str">
        <f>'[9]Team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'[9]Pull Sheet'!E9</f>
        <v>Services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'[9]Team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'[9]Team Report'!BA25</f>
        <v>197185.15000000002</v>
      </c>
      <c r="E8" s="7">
        <f>(C8/9)*12</f>
        <v>262913.53333333338</v>
      </c>
      <c r="G8" s="15">
        <f>E8/$E$23</f>
        <v>0.72509727496968768</v>
      </c>
    </row>
    <row r="9" spans="1:44" x14ac:dyDescent="0.2">
      <c r="A9" s="5"/>
      <c r="B9" s="6" t="s">
        <v>4</v>
      </c>
      <c r="C9" s="7">
        <v>0</v>
      </c>
      <c r="E9" s="7">
        <f t="shared" ref="E9:E22" si="0">(C9/9)*12</f>
        <v>0</v>
      </c>
      <c r="G9" s="15">
        <f t="shared" ref="G9:G22" si="1">E9/$E$23</f>
        <v>0</v>
      </c>
    </row>
    <row r="10" spans="1:44" x14ac:dyDescent="0.2">
      <c r="B10" s="6" t="s">
        <v>48</v>
      </c>
      <c r="C10" s="7">
        <v>7800</v>
      </c>
      <c r="E10" s="7">
        <f>(C10/9)*12</f>
        <v>10400</v>
      </c>
      <c r="G10" s="15">
        <f t="shared" si="1"/>
        <v>2.8682478091091358E-2</v>
      </c>
    </row>
    <row r="11" spans="1:44" x14ac:dyDescent="0.2">
      <c r="A11" s="5" t="s">
        <v>5</v>
      </c>
      <c r="B11" s="6" t="s">
        <v>6</v>
      </c>
      <c r="C11" s="7">
        <f>'[9]Team Report'!BA26</f>
        <v>40348.020000000004</v>
      </c>
      <c r="E11" s="7">
        <f t="shared" si="0"/>
        <v>53797.36</v>
      </c>
      <c r="G11" s="15">
        <f t="shared" si="1"/>
        <v>0.14836938457293794</v>
      </c>
    </row>
    <row r="12" spans="1:44" x14ac:dyDescent="0.2">
      <c r="A12" s="5" t="s">
        <v>7</v>
      </c>
      <c r="B12" s="6" t="s">
        <v>8</v>
      </c>
      <c r="C12" s="7">
        <f>'[9]Team Report'!BA27</f>
        <v>11786.189999999999</v>
      </c>
      <c r="E12" s="7">
        <f t="shared" si="0"/>
        <v>15714.919999999998</v>
      </c>
      <c r="G12" s="15">
        <f t="shared" si="1"/>
        <v>4.3340658519543593E-2</v>
      </c>
    </row>
    <row r="13" spans="1:44" x14ac:dyDescent="0.2">
      <c r="A13" s="5" t="s">
        <v>9</v>
      </c>
      <c r="B13" s="6" t="s">
        <v>10</v>
      </c>
      <c r="C13" s="7">
        <f>'[9]Team Report'!BA28</f>
        <v>13423</v>
      </c>
      <c r="E13" s="7">
        <f t="shared" si="0"/>
        <v>17897.333333333332</v>
      </c>
      <c r="G13" s="15">
        <f t="shared" si="1"/>
        <v>4.9359603002143496E-2</v>
      </c>
    </row>
    <row r="14" spans="1:44" x14ac:dyDescent="0.2">
      <c r="A14" s="5" t="s">
        <v>11</v>
      </c>
      <c r="B14" s="6" t="s">
        <v>12</v>
      </c>
      <c r="C14" s="7">
        <f>'[9]Team Report'!BA32</f>
        <v>117.39</v>
      </c>
      <c r="E14" s="7">
        <f t="shared" si="0"/>
        <v>156.51999999999998</v>
      </c>
      <c r="G14" s="15">
        <f t="shared" si="1"/>
        <v>4.3167129527092491E-4</v>
      </c>
    </row>
    <row r="15" spans="1:44" x14ac:dyDescent="0.2">
      <c r="A15" s="5" t="s">
        <v>13</v>
      </c>
      <c r="B15" s="6" t="s">
        <v>14</v>
      </c>
      <c r="C15" s="7">
        <f>'[9]Team Report'!BA33</f>
        <v>0</v>
      </c>
      <c r="E15" s="7">
        <f t="shared" si="0"/>
        <v>0</v>
      </c>
      <c r="G15" s="15">
        <f t="shared" si="1"/>
        <v>0</v>
      </c>
    </row>
    <row r="16" spans="1:44" x14ac:dyDescent="0.2">
      <c r="A16" s="5" t="s">
        <v>15</v>
      </c>
      <c r="B16" s="6" t="s">
        <v>16</v>
      </c>
      <c r="C16" s="7">
        <f>'[9]Team Report'!BA34</f>
        <v>0</v>
      </c>
      <c r="E16" s="7">
        <f t="shared" si="0"/>
        <v>0</v>
      </c>
      <c r="G16" s="15">
        <f t="shared" si="1"/>
        <v>0</v>
      </c>
    </row>
    <row r="17" spans="1:7" x14ac:dyDescent="0.2">
      <c r="A17" s="5" t="s">
        <v>17</v>
      </c>
      <c r="B17" s="6" t="s">
        <v>18</v>
      </c>
      <c r="C17" s="7">
        <f>'[9]Team Report'!BA35</f>
        <v>0</v>
      </c>
      <c r="E17" s="7">
        <f t="shared" si="0"/>
        <v>0</v>
      </c>
      <c r="G17" s="15">
        <f t="shared" si="1"/>
        <v>0</v>
      </c>
    </row>
    <row r="18" spans="1:7" x14ac:dyDescent="0.2">
      <c r="A18" s="5" t="s">
        <v>19</v>
      </c>
      <c r="B18" s="6" t="s">
        <v>20</v>
      </c>
      <c r="C18" s="7">
        <f>'[9]Team Report'!BA36</f>
        <v>0</v>
      </c>
      <c r="E18" s="7">
        <f t="shared" si="0"/>
        <v>0</v>
      </c>
      <c r="G18" s="15">
        <f t="shared" si="1"/>
        <v>0</v>
      </c>
    </row>
    <row r="19" spans="1:7" x14ac:dyDescent="0.2">
      <c r="A19" s="5" t="s">
        <v>21</v>
      </c>
      <c r="B19" s="6" t="s">
        <v>22</v>
      </c>
      <c r="C19" s="7">
        <f>'[9]Team Report'!BA37</f>
        <v>1247.28</v>
      </c>
      <c r="E19" s="7">
        <f t="shared" si="0"/>
        <v>1663.04</v>
      </c>
      <c r="G19" s="15">
        <f t="shared" si="1"/>
        <v>4.5865488812123628E-3</v>
      </c>
    </row>
    <row r="20" spans="1:7" x14ac:dyDescent="0.2">
      <c r="A20" s="5" t="s">
        <v>23</v>
      </c>
      <c r="B20" s="6" t="s">
        <v>24</v>
      </c>
      <c r="C20" s="7">
        <f>'[9]Team Report'!BA38</f>
        <v>0</v>
      </c>
      <c r="E20" s="7">
        <f t="shared" si="0"/>
        <v>0</v>
      </c>
      <c r="G20" s="15">
        <f t="shared" si="1"/>
        <v>0</v>
      </c>
    </row>
    <row r="21" spans="1:7" x14ac:dyDescent="0.2">
      <c r="A21" s="5" t="s">
        <v>25</v>
      </c>
      <c r="B21" s="6" t="s">
        <v>26</v>
      </c>
      <c r="C21" s="7">
        <f>'[9]Team Report'!BA42-C10</f>
        <v>36</v>
      </c>
      <c r="E21" s="7">
        <f t="shared" si="0"/>
        <v>48</v>
      </c>
      <c r="G21" s="15">
        <f t="shared" si="1"/>
        <v>1.3238066811272934E-4</v>
      </c>
    </row>
    <row r="22" spans="1:7" x14ac:dyDescent="0.2">
      <c r="A22" s="5" t="s">
        <v>27</v>
      </c>
      <c r="B22" s="6" t="s">
        <v>28</v>
      </c>
      <c r="C22" s="7">
        <f>'[9]Team Report'!BA44</f>
        <v>0</v>
      </c>
      <c r="E22" s="7">
        <f t="shared" si="0"/>
        <v>0</v>
      </c>
      <c r="G22" s="15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271943.03000000009</v>
      </c>
      <c r="E23" s="10">
        <f>SUM(E8:E22)</f>
        <v>362590.70666666667</v>
      </c>
      <c r="G23" s="16">
        <f>SUM(G8:G22)</f>
        <v>1</v>
      </c>
    </row>
    <row r="25" spans="1:7" x14ac:dyDescent="0.2">
      <c r="B25" s="9" t="s">
        <v>65</v>
      </c>
      <c r="C25" s="7"/>
      <c r="E25" s="12">
        <v>6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7</v>
      </c>
    </row>
    <row r="31" spans="1:7" x14ac:dyDescent="0.2">
      <c r="A31" s="5" t="s">
        <v>32</v>
      </c>
      <c r="B31" s="6" t="s">
        <v>33</v>
      </c>
      <c r="C31" s="7">
        <f>'[9]Team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'[9]Team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'[9]Team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'[9]Team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'[9]Team Report'!BA40</f>
        <v>2458.8199999999997</v>
      </c>
      <c r="E35" s="7">
        <f t="shared" si="2"/>
        <v>3278.4266666666663</v>
      </c>
    </row>
    <row r="36" spans="1:5" x14ac:dyDescent="0.2">
      <c r="A36" s="5" t="s">
        <v>42</v>
      </c>
      <c r="B36" s="6" t="s">
        <v>43</v>
      </c>
      <c r="C36" s="7">
        <f>'[9]Team Report'!BA41</f>
        <v>3601.7999999999997</v>
      </c>
      <c r="E36" s="7">
        <f t="shared" si="2"/>
        <v>4802.3999999999996</v>
      </c>
    </row>
    <row r="37" spans="1:5" x14ac:dyDescent="0.2">
      <c r="A37" s="5" t="s">
        <v>44</v>
      </c>
      <c r="B37" s="6" t="s">
        <v>45</v>
      </c>
      <c r="C37" s="7">
        <f>'[9]Team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'[9]Team Report'!BA45</f>
        <v>0</v>
      </c>
      <c r="E38" s="7">
        <f t="shared" si="2"/>
        <v>0</v>
      </c>
    </row>
    <row r="39" spans="1:5" x14ac:dyDescent="0.2">
      <c r="C39" s="7"/>
      <c r="E39" s="7"/>
    </row>
    <row r="40" spans="1:5" x14ac:dyDescent="0.2">
      <c r="C40" s="7"/>
      <c r="E40" s="7"/>
    </row>
    <row r="43" spans="1:5" x14ac:dyDescent="0.2">
      <c r="C43" s="11">
        <f>C23+C31+C32+C33+C34+C35+C36+C37+C38</f>
        <v>278003.65000000008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4" customWidth="1"/>
    <col min="3" max="3" width="15.85546875" customWidth="1"/>
    <col min="4" max="4" width="2.5703125" customWidth="1"/>
    <col min="5" max="5" width="13.85546875" customWidth="1"/>
    <col min="6" max="6" width="2.42578125" customWidth="1"/>
  </cols>
  <sheetData>
    <row r="1" spans="1:44" ht="18" x14ac:dyDescent="0.25">
      <c r="B1" s="18" t="str">
        <f>'[8]Team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'[8]Pull Sheet'!E9</f>
        <v>Options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'[8]Team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'[8]Team Report'!BA25-C9-10000</f>
        <v>210626.89</v>
      </c>
      <c r="E8" s="7">
        <f>(C8/9)*12</f>
        <v>280835.85333333339</v>
      </c>
      <c r="G8" s="15">
        <f>E8/$E$23</f>
        <v>0.49304929048824747</v>
      </c>
    </row>
    <row r="9" spans="1:44" x14ac:dyDescent="0.2">
      <c r="A9" s="5"/>
      <c r="B9" s="6" t="s">
        <v>4</v>
      </c>
      <c r="C9" s="7">
        <v>115000</v>
      </c>
      <c r="E9" s="7">
        <f>C9</f>
        <v>115000</v>
      </c>
      <c r="G9" s="15">
        <f t="shared" ref="G9:G22" si="0">E9/$E$23</f>
        <v>0.20189967816840165</v>
      </c>
    </row>
    <row r="10" spans="1:44" x14ac:dyDescent="0.2">
      <c r="B10" s="6" t="s">
        <v>48</v>
      </c>
      <c r="C10" s="7">
        <f>10000+1548+44800+2532+720</f>
        <v>59600</v>
      </c>
      <c r="E10" s="7">
        <f>(C10/9)*12</f>
        <v>79466.666666666672</v>
      </c>
      <c r="G10" s="15">
        <f t="shared" si="0"/>
        <v>0.13951560369665786</v>
      </c>
    </row>
    <row r="11" spans="1:44" x14ac:dyDescent="0.2">
      <c r="A11" s="5" t="s">
        <v>5</v>
      </c>
      <c r="B11" s="6" t="s">
        <v>6</v>
      </c>
      <c r="C11" s="7">
        <f>'[8]Team Report'!BA26-1548-720</f>
        <v>45326.109999999993</v>
      </c>
      <c r="E11" s="7">
        <f t="shared" ref="E11:E22" si="1">(C11/9)*12</f>
        <v>60434.813333333324</v>
      </c>
      <c r="G11" s="15">
        <f t="shared" si="0"/>
        <v>0.10610234227971677</v>
      </c>
    </row>
    <row r="12" spans="1:44" x14ac:dyDescent="0.2">
      <c r="A12" s="5" t="s">
        <v>7</v>
      </c>
      <c r="B12" s="6" t="s">
        <v>8</v>
      </c>
      <c r="C12" s="7">
        <f>'[8]Team Report'!BA27</f>
        <v>6351.6799999999994</v>
      </c>
      <c r="E12" s="7">
        <f t="shared" si="1"/>
        <v>8468.9066666666658</v>
      </c>
      <c r="G12" s="15">
        <f t="shared" si="0"/>
        <v>1.4868430699462878E-2</v>
      </c>
    </row>
    <row r="13" spans="1:44" x14ac:dyDescent="0.2">
      <c r="A13" s="5" t="s">
        <v>9</v>
      </c>
      <c r="B13" s="6" t="s">
        <v>10</v>
      </c>
      <c r="C13" s="7">
        <f>'[8]Team Report'!BA28</f>
        <v>16883.02</v>
      </c>
      <c r="E13" s="7">
        <f t="shared" si="1"/>
        <v>22510.693333333333</v>
      </c>
      <c r="G13" s="15">
        <f t="shared" si="0"/>
        <v>3.9520884689978997E-2</v>
      </c>
    </row>
    <row r="14" spans="1:44" x14ac:dyDescent="0.2">
      <c r="A14" s="5" t="s">
        <v>11</v>
      </c>
      <c r="B14" s="6" t="s">
        <v>12</v>
      </c>
      <c r="C14" s="7">
        <f>'[8]Team Report'!BA32</f>
        <v>0</v>
      </c>
      <c r="E14" s="7">
        <f t="shared" si="1"/>
        <v>0</v>
      </c>
      <c r="G14" s="15">
        <f t="shared" si="0"/>
        <v>0</v>
      </c>
    </row>
    <row r="15" spans="1:44" x14ac:dyDescent="0.2">
      <c r="A15" s="5" t="s">
        <v>13</v>
      </c>
      <c r="B15" s="6" t="s">
        <v>14</v>
      </c>
      <c r="C15" s="7">
        <f>'[8]Team Report'!BA33</f>
        <v>632.9</v>
      </c>
      <c r="E15" s="7">
        <f t="shared" si="1"/>
        <v>843.86666666666667</v>
      </c>
      <c r="G15" s="15">
        <f t="shared" si="0"/>
        <v>1.4815339862351467E-3</v>
      </c>
    </row>
    <row r="16" spans="1:44" x14ac:dyDescent="0.2">
      <c r="A16" s="5" t="s">
        <v>15</v>
      </c>
      <c r="B16" s="6" t="s">
        <v>16</v>
      </c>
      <c r="C16" s="7">
        <f>'[8]Team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'[8]Team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'[8]Team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'[8]Team Report'!BA37</f>
        <v>238.97</v>
      </c>
      <c r="E19" s="7">
        <f t="shared" si="1"/>
        <v>318.62666666666667</v>
      </c>
      <c r="G19" s="15">
        <f t="shared" si="0"/>
        <v>5.5939670831191821E-4</v>
      </c>
    </row>
    <row r="20" spans="1:7" x14ac:dyDescent="0.2">
      <c r="A20" s="5" t="s">
        <v>23</v>
      </c>
      <c r="B20" s="6" t="s">
        <v>24</v>
      </c>
      <c r="C20" s="7">
        <f>'[8]Team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'[8]Team Report'!BA42-44800-2532</f>
        <v>1282.7900000000009</v>
      </c>
      <c r="E21" s="7">
        <f t="shared" si="1"/>
        <v>1710.3866666666677</v>
      </c>
      <c r="G21" s="15">
        <f t="shared" si="0"/>
        <v>3.0028392829871782E-3</v>
      </c>
    </row>
    <row r="22" spans="1:7" x14ac:dyDescent="0.2">
      <c r="A22" s="5" t="s">
        <v>27</v>
      </c>
      <c r="B22" s="6" t="s">
        <v>28</v>
      </c>
      <c r="C22" s="7">
        <f>'[8]Team Report'!BA44</f>
        <v>0</v>
      </c>
      <c r="E22" s="7">
        <f t="shared" si="1"/>
        <v>0</v>
      </c>
      <c r="G22" s="15">
        <f t="shared" si="0"/>
        <v>0</v>
      </c>
    </row>
    <row r="23" spans="1:7" x14ac:dyDescent="0.2">
      <c r="A23" s="8" t="s">
        <v>29</v>
      </c>
      <c r="B23" s="9" t="s">
        <v>30</v>
      </c>
      <c r="C23" s="10">
        <f>SUM(C8:C22)</f>
        <v>455942.36</v>
      </c>
      <c r="E23" s="10">
        <f>SUM(E8:E22)</f>
        <v>569589.81333333347</v>
      </c>
      <c r="G23" s="16">
        <f>SUM(G8:G22)</f>
        <v>1</v>
      </c>
    </row>
    <row r="25" spans="1:7" x14ac:dyDescent="0.2">
      <c r="B25" s="9" t="s">
        <v>65</v>
      </c>
      <c r="C25" s="7"/>
      <c r="E25" s="12">
        <v>4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5</v>
      </c>
    </row>
    <row r="31" spans="1:7" x14ac:dyDescent="0.2">
      <c r="A31" s="5" t="s">
        <v>32</v>
      </c>
      <c r="B31" s="6" t="s">
        <v>33</v>
      </c>
      <c r="C31" s="7">
        <f>'[8]Team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'[8]Team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'[8]Team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'[8]Team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'[8]Team Report'!BA40</f>
        <v>17872.72</v>
      </c>
      <c r="E35" s="7">
        <f t="shared" si="2"/>
        <v>23830.293333333335</v>
      </c>
    </row>
    <row r="36" spans="1:5" x14ac:dyDescent="0.2">
      <c r="A36" s="5" t="s">
        <v>42</v>
      </c>
      <c r="B36" s="6" t="s">
        <v>43</v>
      </c>
      <c r="C36" s="7">
        <f>'[8]Team Report'!BA41</f>
        <v>5293.28</v>
      </c>
      <c r="E36" s="7">
        <f t="shared" si="2"/>
        <v>7057.7066666666669</v>
      </c>
    </row>
    <row r="37" spans="1:5" x14ac:dyDescent="0.2">
      <c r="A37" s="5" t="s">
        <v>44</v>
      </c>
      <c r="B37" s="6" t="s">
        <v>45</v>
      </c>
      <c r="C37" s="7">
        <f>'[8]Team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'[8]Team Report'!BA45</f>
        <v>0</v>
      </c>
      <c r="E38" s="7">
        <f t="shared" si="2"/>
        <v>0</v>
      </c>
    </row>
    <row r="43" spans="1:5" x14ac:dyDescent="0.2">
      <c r="C43" s="11">
        <f>C23+C31+C32+C33+C34+C35+C36+C37+C38</f>
        <v>479108.36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4.42578125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'[2]Pull Sheet'!E9</f>
        <v>Ercot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'[2]Team Report'!BA25-C9-21000</f>
        <v>435566.2300000001</v>
      </c>
      <c r="E8" s="7">
        <f>(C8/9)*12</f>
        <v>580754.9733333335</v>
      </c>
      <c r="G8" s="15">
        <f>E8/$E$23</f>
        <v>0.52267788496851819</v>
      </c>
    </row>
    <row r="9" spans="1:44" x14ac:dyDescent="0.2">
      <c r="A9" s="5"/>
      <c r="B9" s="6" t="s">
        <v>4</v>
      </c>
      <c r="C9" s="7">
        <v>57500</v>
      </c>
      <c r="E9" s="7">
        <f>C9</f>
        <v>57500</v>
      </c>
      <c r="G9" s="15">
        <f t="shared" ref="G9:G22" si="0">E9/$E$23</f>
        <v>5.1749842473479496E-2</v>
      </c>
    </row>
    <row r="10" spans="1:44" x14ac:dyDescent="0.2">
      <c r="B10" s="6" t="s">
        <v>48</v>
      </c>
      <c r="C10" s="7">
        <f>21000+3870+103200+6330+1800</f>
        <v>136200</v>
      </c>
      <c r="E10" s="7">
        <f>(C10/9)*12</f>
        <v>181600</v>
      </c>
      <c r="G10" s="15">
        <f t="shared" si="0"/>
        <v>0.16343950249015438</v>
      </c>
    </row>
    <row r="11" spans="1:44" x14ac:dyDescent="0.2">
      <c r="A11" s="5" t="s">
        <v>5</v>
      </c>
      <c r="B11" s="6" t="s">
        <v>6</v>
      </c>
      <c r="C11" s="7">
        <f>'[2]Team Report'!BA26-3870-1800</f>
        <v>96245.64</v>
      </c>
      <c r="E11" s="7">
        <f t="shared" ref="E11:E22" si="1">(C11/9)*12</f>
        <v>128327.51999999999</v>
      </c>
      <c r="G11" s="15">
        <f t="shared" si="0"/>
        <v>0.11549441643499633</v>
      </c>
    </row>
    <row r="12" spans="1:44" x14ac:dyDescent="0.2">
      <c r="A12" s="5" t="s">
        <v>7</v>
      </c>
      <c r="B12" s="6" t="s">
        <v>8</v>
      </c>
      <c r="C12" s="7">
        <f>'[2]Team Report'!BA27</f>
        <v>35923.870000000003</v>
      </c>
      <c r="E12" s="7">
        <f t="shared" si="1"/>
        <v>47898.493333333339</v>
      </c>
      <c r="G12" s="15">
        <f t="shared" si="0"/>
        <v>4.3108512777687097E-2</v>
      </c>
    </row>
    <row r="13" spans="1:44" x14ac:dyDescent="0.2">
      <c r="A13" s="5" t="s">
        <v>9</v>
      </c>
      <c r="B13" s="6" t="s">
        <v>10</v>
      </c>
      <c r="C13" s="7">
        <f>'[2]Team Report'!BA28</f>
        <v>15703.859999999999</v>
      </c>
      <c r="E13" s="7">
        <f t="shared" si="1"/>
        <v>20938.48</v>
      </c>
      <c r="G13" s="15">
        <f t="shared" si="0"/>
        <v>1.8844574637114798E-2</v>
      </c>
    </row>
    <row r="14" spans="1:44" x14ac:dyDescent="0.2">
      <c r="A14" s="5" t="s">
        <v>11</v>
      </c>
      <c r="B14" s="6" t="s">
        <v>12</v>
      </c>
      <c r="C14" s="7">
        <f>'[2]Team Report'!BA32</f>
        <v>0</v>
      </c>
      <c r="E14" s="7">
        <f t="shared" si="1"/>
        <v>0</v>
      </c>
      <c r="G14" s="15">
        <f t="shared" si="0"/>
        <v>0</v>
      </c>
    </row>
    <row r="15" spans="1:44" x14ac:dyDescent="0.2">
      <c r="A15" s="5" t="s">
        <v>13</v>
      </c>
      <c r="B15" s="6" t="s">
        <v>14</v>
      </c>
      <c r="C15" s="7">
        <f>'[2]Team Report'!BA33</f>
        <v>6868.09</v>
      </c>
      <c r="E15" s="7">
        <f t="shared" si="1"/>
        <v>9157.4533333333329</v>
      </c>
      <c r="G15" s="15">
        <f t="shared" si="0"/>
        <v>8.2416829123172115E-3</v>
      </c>
    </row>
    <row r="16" spans="1:44" x14ac:dyDescent="0.2">
      <c r="A16" s="5" t="s">
        <v>15</v>
      </c>
      <c r="B16" s="6" t="s">
        <v>16</v>
      </c>
      <c r="C16" s="7">
        <f>'[2]Team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'[2]Team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'[2]Team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'[2]Team Report'!BA37-C39</f>
        <v>63424.47</v>
      </c>
      <c r="E19" s="7">
        <f t="shared" si="1"/>
        <v>84565.96</v>
      </c>
      <c r="G19" s="15">
        <f t="shared" si="0"/>
        <v>7.610913232380119E-2</v>
      </c>
    </row>
    <row r="20" spans="1:7" x14ac:dyDescent="0.2">
      <c r="A20" s="5" t="s">
        <v>23</v>
      </c>
      <c r="B20" s="6" t="s">
        <v>24</v>
      </c>
      <c r="C20" s="7">
        <f>'[2]Team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'[2]Team Report'!BA42-6330-103200</f>
        <v>197.29000000000815</v>
      </c>
      <c r="E21" s="7">
        <f t="shared" si="1"/>
        <v>263.0533333333442</v>
      </c>
      <c r="G21" s="15">
        <f t="shared" si="0"/>
        <v>2.3674727934129141E-4</v>
      </c>
    </row>
    <row r="22" spans="1:7" x14ac:dyDescent="0.2">
      <c r="A22" s="5" t="s">
        <v>27</v>
      </c>
      <c r="B22" s="6" t="s">
        <v>28</v>
      </c>
      <c r="C22" s="7">
        <f>'[2]Team Report'!BA44</f>
        <v>81.42</v>
      </c>
      <c r="E22" s="7">
        <f t="shared" si="1"/>
        <v>108.56</v>
      </c>
      <c r="G22" s="15">
        <f t="shared" si="0"/>
        <v>9.7703702589929293E-5</v>
      </c>
    </row>
    <row r="23" spans="1:7" x14ac:dyDescent="0.2">
      <c r="A23" s="8" t="s">
        <v>29</v>
      </c>
      <c r="B23" s="9" t="s">
        <v>30</v>
      </c>
      <c r="C23" s="10">
        <f>SUM(C8:C22)</f>
        <v>847710.87000000011</v>
      </c>
      <c r="E23" s="10">
        <f>SUM(E8:E22)</f>
        <v>1111114.4933333336</v>
      </c>
      <c r="G23" s="16">
        <f>SUM(G8:G22)</f>
        <v>0.99999999999999989</v>
      </c>
    </row>
    <row r="25" spans="1:7" x14ac:dyDescent="0.2">
      <c r="B25" s="9" t="s">
        <v>65</v>
      </c>
      <c r="C25" s="7"/>
      <c r="E25" s="12">
        <f>5+2</f>
        <v>7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5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12</v>
      </c>
    </row>
    <row r="31" spans="1:7" x14ac:dyDescent="0.2">
      <c r="A31" s="5" t="s">
        <v>32</v>
      </c>
      <c r="B31" s="6" t="s">
        <v>33</v>
      </c>
      <c r="C31" s="7">
        <f>'[2]Team Report'!BA29</f>
        <v>9798.02</v>
      </c>
      <c r="E31" s="7">
        <f t="shared" ref="E31:E40" si="2">(C31/9)*12</f>
        <v>13064.026666666667</v>
      </c>
    </row>
    <row r="32" spans="1:7" x14ac:dyDescent="0.2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'[2]Team Report'!BA40</f>
        <v>17422.34</v>
      </c>
      <c r="E35" s="7">
        <f t="shared" si="2"/>
        <v>23229.786666666667</v>
      </c>
    </row>
    <row r="36" spans="1:5" x14ac:dyDescent="0.2">
      <c r="A36" s="5" t="s">
        <v>42</v>
      </c>
      <c r="B36" s="6" t="s">
        <v>43</v>
      </c>
      <c r="C36" s="7">
        <f>'[2]Team Report'!BA41</f>
        <v>27016.04</v>
      </c>
      <c r="E36" s="7">
        <f t="shared" si="2"/>
        <v>36021.386666666665</v>
      </c>
    </row>
    <row r="37" spans="1:5" x14ac:dyDescent="0.2">
      <c r="A37" s="5" t="s">
        <v>44</v>
      </c>
      <c r="B37" s="6" t="s">
        <v>45</v>
      </c>
      <c r="C37" s="7">
        <f>'[2]Team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'[2]Team Report'!BA45</f>
        <v>0</v>
      </c>
      <c r="E38" s="7">
        <f t="shared" si="2"/>
        <v>0</v>
      </c>
    </row>
    <row r="39" spans="1:5" x14ac:dyDescent="0.2">
      <c r="B39" s="6" t="s">
        <v>50</v>
      </c>
      <c r="C39" s="7">
        <f>82053.5</f>
        <v>82053.5</v>
      </c>
      <c r="E39" s="7">
        <f t="shared" si="2"/>
        <v>109404.66666666666</v>
      </c>
    </row>
    <row r="40" spans="1:5" x14ac:dyDescent="0.2">
      <c r="B40" s="6" t="s">
        <v>51</v>
      </c>
      <c r="C40" s="7">
        <v>16833.52</v>
      </c>
      <c r="E40" s="7">
        <f t="shared" si="2"/>
        <v>22444.693333333333</v>
      </c>
    </row>
    <row r="43" spans="1:5" x14ac:dyDescent="0.2">
      <c r="C43" s="11">
        <f>C23+C31+C32+C33+C34+C35+C36+C37+C38</f>
        <v>901947.27000000014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'[1]Pull Sheet'!E9</f>
        <v>Ercot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</row>
    <row r="7" spans="1:44" x14ac:dyDescent="0.2">
      <c r="C7" s="4" t="s">
        <v>0</v>
      </c>
      <c r="E7" s="4" t="s">
        <v>1</v>
      </c>
      <c r="G7" s="14" t="s">
        <v>66</v>
      </c>
    </row>
    <row r="8" spans="1:44" x14ac:dyDescent="0.2">
      <c r="A8" s="5" t="s">
        <v>2</v>
      </c>
      <c r="B8" s="6" t="s">
        <v>3</v>
      </c>
      <c r="C8" s="7">
        <f>'[1]Team Report'!BA25-C9-26000</f>
        <v>264134.33999999997</v>
      </c>
      <c r="E8" s="7">
        <f>(C8/9)*12</f>
        <v>352179.11999999994</v>
      </c>
      <c r="G8" s="14" t="s">
        <v>67</v>
      </c>
    </row>
    <row r="9" spans="1:44" x14ac:dyDescent="0.2">
      <c r="A9" s="5"/>
      <c r="B9" s="6" t="s">
        <v>4</v>
      </c>
      <c r="C9" s="7">
        <v>115000</v>
      </c>
      <c r="E9" s="7">
        <f>C9</f>
        <v>115000</v>
      </c>
      <c r="G9" s="15">
        <f>E9/$E$23</f>
        <v>0.13804637916591561</v>
      </c>
    </row>
    <row r="10" spans="1:44" x14ac:dyDescent="0.2">
      <c r="B10" s="6" t="s">
        <v>48</v>
      </c>
      <c r="C10" s="7">
        <f>26000+4032+44800+10199+2340</f>
        <v>87371</v>
      </c>
      <c r="E10" s="7">
        <f>(C10/9)*12</f>
        <v>116494.66666666666</v>
      </c>
      <c r="G10" s="15">
        <f t="shared" ref="G10:G23" si="0">E10/$E$23</f>
        <v>0.13984058196064014</v>
      </c>
    </row>
    <row r="11" spans="1:44" x14ac:dyDescent="0.2">
      <c r="A11" s="5" t="s">
        <v>5</v>
      </c>
      <c r="B11" s="6" t="s">
        <v>6</v>
      </c>
      <c r="C11" s="7">
        <f>'[1]Team Report'!BA26-4032-2340</f>
        <v>94561.45</v>
      </c>
      <c r="E11" s="7">
        <f t="shared" ref="E11:E22" si="1">(C11/9)*12</f>
        <v>126081.93333333332</v>
      </c>
      <c r="G11" s="15">
        <f t="shared" si="0"/>
        <v>0.15134916847743501</v>
      </c>
    </row>
    <row r="12" spans="1:44" x14ac:dyDescent="0.2">
      <c r="A12" s="5" t="s">
        <v>7</v>
      </c>
      <c r="B12" s="6" t="s">
        <v>8</v>
      </c>
      <c r="C12" s="7">
        <f>'[1]Team Report'!BA27</f>
        <v>17122.72</v>
      </c>
      <c r="E12" s="7">
        <f t="shared" si="1"/>
        <v>22830.293333333335</v>
      </c>
      <c r="G12" s="15">
        <f t="shared" si="0"/>
        <v>2.7405559390977469E-2</v>
      </c>
    </row>
    <row r="13" spans="1:44" x14ac:dyDescent="0.2">
      <c r="A13" s="5" t="s">
        <v>9</v>
      </c>
      <c r="B13" s="6" t="s">
        <v>10</v>
      </c>
      <c r="C13" s="7">
        <f>'[1]Team Report'!BA28-C39</f>
        <v>66686.51999999999</v>
      </c>
      <c r="E13" s="7">
        <f t="shared" si="1"/>
        <v>88915.359999999986</v>
      </c>
      <c r="G13" s="15">
        <f t="shared" si="0"/>
        <v>0.10673429130638161</v>
      </c>
    </row>
    <row r="14" spans="1:44" x14ac:dyDescent="0.2">
      <c r="A14" s="5" t="s">
        <v>11</v>
      </c>
      <c r="B14" s="6" t="s">
        <v>12</v>
      </c>
      <c r="C14" s="7">
        <f>'[1]Team Report'!BA32</f>
        <v>2489.4699999999998</v>
      </c>
      <c r="E14" s="7">
        <f t="shared" si="1"/>
        <v>3319.2933333333331</v>
      </c>
      <c r="G14" s="15">
        <f t="shared" si="0"/>
        <v>3.9844906613585151E-3</v>
      </c>
    </row>
    <row r="15" spans="1:44" x14ac:dyDescent="0.2">
      <c r="A15" s="5" t="s">
        <v>13</v>
      </c>
      <c r="B15" s="6" t="s">
        <v>14</v>
      </c>
      <c r="C15" s="7">
        <f>'[1]Team Report'!BA33</f>
        <v>2719</v>
      </c>
      <c r="E15" s="7">
        <f t="shared" si="1"/>
        <v>3625.333333333333</v>
      </c>
      <c r="G15" s="15">
        <f t="shared" si="0"/>
        <v>4.3518620864014439E-3</v>
      </c>
    </row>
    <row r="16" spans="1:44" x14ac:dyDescent="0.2">
      <c r="A16" s="5" t="s">
        <v>15</v>
      </c>
      <c r="B16" s="6" t="s">
        <v>16</v>
      </c>
      <c r="C16" s="7">
        <f>'[1]Team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'[1]Team Report'!BA35</f>
        <v>300</v>
      </c>
      <c r="E17" s="7">
        <f t="shared" si="1"/>
        <v>400</v>
      </c>
      <c r="G17" s="15">
        <f t="shared" si="0"/>
        <v>4.8016131883796737E-4</v>
      </c>
    </row>
    <row r="18" spans="1:7" x14ac:dyDescent="0.2">
      <c r="A18" s="5" t="s">
        <v>19</v>
      </c>
      <c r="B18" s="6" t="s">
        <v>20</v>
      </c>
      <c r="C18" s="7">
        <f>'[1]Team Report'!BA36</f>
        <v>129.24</v>
      </c>
      <c r="E18" s="7">
        <f t="shared" si="1"/>
        <v>172.32000000000002</v>
      </c>
      <c r="G18" s="15">
        <f t="shared" si="0"/>
        <v>2.0685349615539637E-4</v>
      </c>
    </row>
    <row r="19" spans="1:7" x14ac:dyDescent="0.2">
      <c r="A19" s="5" t="s">
        <v>21</v>
      </c>
      <c r="B19" s="6" t="s">
        <v>22</v>
      </c>
      <c r="C19" s="7">
        <f>'[1]Team Report'!BA37</f>
        <v>1267.8</v>
      </c>
      <c r="E19" s="7">
        <f t="shared" si="1"/>
        <v>1690.4</v>
      </c>
      <c r="G19" s="15">
        <f t="shared" si="0"/>
        <v>2.0291617334092502E-3</v>
      </c>
    </row>
    <row r="20" spans="1:7" x14ac:dyDescent="0.2">
      <c r="A20" s="5" t="s">
        <v>23</v>
      </c>
      <c r="B20" s="6" t="s">
        <v>24</v>
      </c>
      <c r="C20" s="7">
        <f>'[1]Team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'[1]Team Report'!BA42-44800-10199</f>
        <v>1704.4800000000032</v>
      </c>
      <c r="E21" s="7">
        <f t="shared" si="1"/>
        <v>2272.6400000000044</v>
      </c>
      <c r="G21" s="15">
        <f t="shared" si="0"/>
        <v>2.7280845491098006E-3</v>
      </c>
    </row>
    <row r="22" spans="1:7" x14ac:dyDescent="0.2">
      <c r="A22" s="5" t="s">
        <v>27</v>
      </c>
      <c r="B22" s="6" t="s">
        <v>28</v>
      </c>
      <c r="C22" s="7">
        <f>'[1]Team Report'!BA44</f>
        <v>54</v>
      </c>
      <c r="E22" s="7">
        <f t="shared" si="1"/>
        <v>72</v>
      </c>
      <c r="G22" s="15">
        <f t="shared" si="0"/>
        <v>8.6429037390834131E-5</v>
      </c>
    </row>
    <row r="23" spans="1:7" x14ac:dyDescent="0.2">
      <c r="A23" s="8" t="s">
        <v>29</v>
      </c>
      <c r="B23" s="9" t="s">
        <v>30</v>
      </c>
      <c r="C23" s="10">
        <f>SUM(C8:C22)</f>
        <v>653540.0199999999</v>
      </c>
      <c r="E23" s="10">
        <f>SUM(E8:E22)</f>
        <v>833053.36</v>
      </c>
      <c r="G23" s="15">
        <f t="shared" si="0"/>
        <v>1</v>
      </c>
    </row>
    <row r="24" spans="1:7" x14ac:dyDescent="0.2">
      <c r="G24" s="16">
        <f>SUM(G9:G23)</f>
        <v>1.5772430231840131</v>
      </c>
    </row>
    <row r="25" spans="1:7" x14ac:dyDescent="0.2">
      <c r="B25" s="9" t="s">
        <v>65</v>
      </c>
      <c r="C25" s="7"/>
      <c r="E25" s="12">
        <v>3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1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4</v>
      </c>
    </row>
    <row r="31" spans="1:7" x14ac:dyDescent="0.2">
      <c r="A31" s="5" t="s">
        <v>32</v>
      </c>
      <c r="B31" s="6" t="s">
        <v>33</v>
      </c>
      <c r="C31" s="7">
        <f>'[1]Team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'[1]Team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'[1]Team Report'!BA40</f>
        <v>21771.19</v>
      </c>
      <c r="E35" s="7">
        <f t="shared" si="2"/>
        <v>29028.253333333334</v>
      </c>
    </row>
    <row r="36" spans="1:5" x14ac:dyDescent="0.2">
      <c r="A36" s="5" t="s">
        <v>42</v>
      </c>
      <c r="B36" s="6" t="s">
        <v>43</v>
      </c>
      <c r="C36" s="7">
        <f>'[1]Team Report'!BA41</f>
        <v>27624</v>
      </c>
      <c r="E36" s="7">
        <f t="shared" si="2"/>
        <v>36832</v>
      </c>
    </row>
    <row r="37" spans="1:5" x14ac:dyDescent="0.2">
      <c r="A37" s="5" t="s">
        <v>44</v>
      </c>
      <c r="B37" s="6" t="s">
        <v>45</v>
      </c>
      <c r="C37" s="7">
        <f>'[1]Team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'[1]Team Report'!BA45</f>
        <v>0</v>
      </c>
      <c r="E38" s="7">
        <f t="shared" si="2"/>
        <v>0</v>
      </c>
    </row>
    <row r="39" spans="1:5" x14ac:dyDescent="0.2">
      <c r="B39" s="6" t="s">
        <v>49</v>
      </c>
      <c r="C39" s="7">
        <v>61013</v>
      </c>
      <c r="E39" s="7">
        <v>61013</v>
      </c>
    </row>
    <row r="43" spans="1:5" x14ac:dyDescent="0.2">
      <c r="C43" s="11">
        <f>C23+C31+C32+C33+C34+C35+C36+C37+C38</f>
        <v>702935.20999999985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7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'[11]Pull Sheet'!E9</f>
        <v>Southeast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'[11]Team Report'!BA25-29000-C9</f>
        <v>713168.45000000007</v>
      </c>
      <c r="E8" s="7">
        <f>(C8/9)*12</f>
        <v>950891.26666666672</v>
      </c>
      <c r="G8" s="15">
        <f>E8/$E$23</f>
        <v>0.56309502243036513</v>
      </c>
    </row>
    <row r="9" spans="1:44" x14ac:dyDescent="0.2">
      <c r="A9" s="5"/>
      <c r="B9" s="6" t="s">
        <v>4</v>
      </c>
      <c r="C9" s="7">
        <v>130000</v>
      </c>
      <c r="E9" s="7">
        <f>C9</f>
        <v>130000</v>
      </c>
      <c r="G9" s="15">
        <f t="shared" ref="G9:G22" si="0">E9/$E$23</f>
        <v>7.6982884880788818E-2</v>
      </c>
    </row>
    <row r="10" spans="1:44" x14ac:dyDescent="0.2">
      <c r="B10" s="6" t="s">
        <v>48</v>
      </c>
      <c r="C10" s="7">
        <f>29000+5112+121200+9678+2025</f>
        <v>167015</v>
      </c>
      <c r="E10" s="7">
        <f>(C10/9)*12</f>
        <v>222686.66666666669</v>
      </c>
      <c r="G10" s="15">
        <f t="shared" si="0"/>
        <v>0.13186970788066613</v>
      </c>
    </row>
    <row r="11" spans="1:44" x14ac:dyDescent="0.2">
      <c r="A11" s="5" t="s">
        <v>5</v>
      </c>
      <c r="B11" s="6" t="s">
        <v>6</v>
      </c>
      <c r="C11" s="7">
        <f>'[11]Team Report'!BA26-5112-2025</f>
        <v>157936.78</v>
      </c>
      <c r="E11" s="7">
        <f t="shared" ref="E11:E22" si="1">(C11/9)*12</f>
        <v>210582.37333333335</v>
      </c>
      <c r="G11" s="15">
        <f t="shared" si="0"/>
        <v>0.12470183541725612</v>
      </c>
    </row>
    <row r="12" spans="1:44" x14ac:dyDescent="0.2">
      <c r="A12" s="5" t="s">
        <v>7</v>
      </c>
      <c r="B12" s="6" t="s">
        <v>8</v>
      </c>
      <c r="C12" s="7">
        <f>'[11]Team Report'!BA27</f>
        <v>44114.159999999989</v>
      </c>
      <c r="E12" s="7">
        <f t="shared" si="1"/>
        <v>58818.879999999983</v>
      </c>
      <c r="G12" s="15">
        <f t="shared" si="0"/>
        <v>3.4831131291207164E-2</v>
      </c>
    </row>
    <row r="13" spans="1:44" x14ac:dyDescent="0.2">
      <c r="A13" s="5" t="s">
        <v>9</v>
      </c>
      <c r="B13" s="6" t="s">
        <v>10</v>
      </c>
      <c r="C13" s="7">
        <f>'[11]Team Report'!BA28</f>
        <v>43025.299999999996</v>
      </c>
      <c r="E13" s="7">
        <f t="shared" si="1"/>
        <v>57367.066666666666</v>
      </c>
      <c r="G13" s="15">
        <f t="shared" si="0"/>
        <v>3.3971402224219523E-2</v>
      </c>
    </row>
    <row r="14" spans="1:44" x14ac:dyDescent="0.2">
      <c r="A14" s="5" t="s">
        <v>11</v>
      </c>
      <c r="B14" s="6" t="s">
        <v>12</v>
      </c>
      <c r="C14" s="7">
        <f>'[11]Team Report'!BA32</f>
        <v>28750</v>
      </c>
      <c r="E14" s="7">
        <f t="shared" si="1"/>
        <v>38333.333333333328</v>
      </c>
      <c r="G14" s="15">
        <f t="shared" si="0"/>
        <v>2.2700081439206959E-2</v>
      </c>
    </row>
    <row r="15" spans="1:44" x14ac:dyDescent="0.2">
      <c r="A15" s="5" t="s">
        <v>13</v>
      </c>
      <c r="B15" s="6" t="s">
        <v>14</v>
      </c>
      <c r="C15" s="7">
        <f>'[11]Team Report'!BA33</f>
        <v>433</v>
      </c>
      <c r="E15" s="7">
        <f t="shared" si="1"/>
        <v>577.33333333333337</v>
      </c>
      <c r="G15" s="15">
        <f t="shared" si="0"/>
        <v>3.4188296567570835E-4</v>
      </c>
    </row>
    <row r="16" spans="1:44" x14ac:dyDescent="0.2">
      <c r="A16" s="5" t="s">
        <v>15</v>
      </c>
      <c r="B16" s="6" t="s">
        <v>16</v>
      </c>
      <c r="C16" s="7">
        <f>'[11]Team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'[11]Team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'[11]Team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'[11]Team Report'!BA37</f>
        <v>14417.72</v>
      </c>
      <c r="E19" s="7">
        <f t="shared" si="1"/>
        <v>19223.626666666667</v>
      </c>
      <c r="G19" s="15">
        <f t="shared" si="0"/>
        <v>1.1383771066702016E-2</v>
      </c>
    </row>
    <row r="20" spans="1:7" x14ac:dyDescent="0.2">
      <c r="A20" s="5" t="s">
        <v>23</v>
      </c>
      <c r="B20" s="6" t="s">
        <v>24</v>
      </c>
      <c r="C20" s="7">
        <f>'[11]Team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'[11]Team Report'!BA42-121200-9678</f>
        <v>30.899999999994179</v>
      </c>
      <c r="E21" s="7">
        <f t="shared" si="1"/>
        <v>41.199999999992237</v>
      </c>
      <c r="G21" s="15">
        <f t="shared" si="0"/>
        <v>2.4397652746830014E-5</v>
      </c>
    </row>
    <row r="22" spans="1:7" x14ac:dyDescent="0.2">
      <c r="A22" s="5" t="s">
        <v>27</v>
      </c>
      <c r="B22" s="6" t="s">
        <v>28</v>
      </c>
      <c r="C22" s="7">
        <f>'[11]Team Report'!BA44</f>
        <v>123.97</v>
      </c>
      <c r="E22" s="7">
        <f t="shared" si="1"/>
        <v>165.29333333333335</v>
      </c>
      <c r="G22" s="15">
        <f t="shared" si="0"/>
        <v>9.7882751165860425E-5</v>
      </c>
    </row>
    <row r="23" spans="1:7" x14ac:dyDescent="0.2">
      <c r="A23" s="8" t="s">
        <v>29</v>
      </c>
      <c r="B23" s="9" t="s">
        <v>30</v>
      </c>
      <c r="C23" s="10">
        <f>SUM(C8:C22)</f>
        <v>1299015.2799999998</v>
      </c>
      <c r="E23" s="10">
        <f>SUM(E8:E22)</f>
        <v>1688687.0399999996</v>
      </c>
      <c r="G23" s="16">
        <f>SUM(G8:G22)</f>
        <v>1.0000000000000004</v>
      </c>
    </row>
    <row r="25" spans="1:7" x14ac:dyDescent="0.2">
      <c r="B25" s="9" t="s">
        <v>65</v>
      </c>
      <c r="C25" s="7"/>
      <c r="E25" s="12">
        <f>5+2</f>
        <v>7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4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11</v>
      </c>
    </row>
    <row r="31" spans="1:7" x14ac:dyDescent="0.2">
      <c r="A31" s="5" t="s">
        <v>32</v>
      </c>
      <c r="B31" s="6" t="s">
        <v>33</v>
      </c>
      <c r="C31" s="7">
        <f>'[11]Team Report'!BA29</f>
        <v>31742.32</v>
      </c>
      <c r="E31" s="7">
        <f t="shared" ref="E31:E38" si="2">(C31/9)*12</f>
        <v>42323.093333333331</v>
      </c>
    </row>
    <row r="32" spans="1:7" x14ac:dyDescent="0.2">
      <c r="A32" s="5" t="s">
        <v>34</v>
      </c>
      <c r="B32" s="6" t="s">
        <v>35</v>
      </c>
      <c r="C32" s="7">
        <f>'[11]Team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'[11]Team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'[11]Team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'[11]Team Report'!BA40</f>
        <v>18986.289999999997</v>
      </c>
      <c r="E35" s="7">
        <f t="shared" si="2"/>
        <v>25315.05333333333</v>
      </c>
    </row>
    <row r="36" spans="1:5" x14ac:dyDescent="0.2">
      <c r="A36" s="5" t="s">
        <v>42</v>
      </c>
      <c r="B36" s="6" t="s">
        <v>43</v>
      </c>
      <c r="C36" s="7">
        <f>'[11]Team Report'!BA41</f>
        <v>31726.589999999997</v>
      </c>
      <c r="E36" s="7">
        <f t="shared" si="2"/>
        <v>42302.119999999995</v>
      </c>
    </row>
    <row r="37" spans="1:5" x14ac:dyDescent="0.2">
      <c r="A37" s="5" t="s">
        <v>44</v>
      </c>
      <c r="B37" s="6" t="s">
        <v>45</v>
      </c>
      <c r="C37" s="7">
        <f>'[11]Team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'[11]Team Report'!BA45</f>
        <v>0</v>
      </c>
      <c r="E38" s="7">
        <f t="shared" si="2"/>
        <v>0</v>
      </c>
    </row>
    <row r="39" spans="1:5" x14ac:dyDescent="0.2">
      <c r="B39" s="6" t="s">
        <v>61</v>
      </c>
      <c r="C39" s="7">
        <v>64113</v>
      </c>
      <c r="E39" s="7"/>
    </row>
    <row r="43" spans="1:5" x14ac:dyDescent="0.2">
      <c r="C43" s="11">
        <f>C23+C31+C32+C33+C34+C35+C36+C37+C38</f>
        <v>1381470.48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2.28515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'[10]Team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'[10]Pull Sheet'!E9</f>
        <v>Southeast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'[10]Team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'[10]Team Report'!BA25-C9-100500</f>
        <v>501061.72000000009</v>
      </c>
      <c r="E8" s="7">
        <f>(C8/9)*12</f>
        <v>668082.29333333345</v>
      </c>
      <c r="G8" s="15">
        <f>E8/$E$23</f>
        <v>0.36361464840232971</v>
      </c>
    </row>
    <row r="9" spans="1:44" x14ac:dyDescent="0.2">
      <c r="A9" s="5"/>
      <c r="B9" s="6" t="s">
        <v>4</v>
      </c>
      <c r="C9" s="7">
        <v>7500</v>
      </c>
      <c r="E9" s="7">
        <f>C9</f>
        <v>7500</v>
      </c>
      <c r="G9" s="15">
        <f t="shared" ref="G9:G22" si="0">E9/$E$23</f>
        <v>4.0819969189885511E-3</v>
      </c>
    </row>
    <row r="10" spans="1:44" x14ac:dyDescent="0.2">
      <c r="B10" s="6" t="s">
        <v>48</v>
      </c>
      <c r="C10" s="7">
        <f>100500+16200+184800+35055+9045</f>
        <v>345600</v>
      </c>
      <c r="E10" s="7">
        <f t="shared" ref="E10:E22" si="1">(C10/9)*12</f>
        <v>460800</v>
      </c>
      <c r="G10" s="15">
        <f t="shared" si="0"/>
        <v>0.25079789070265662</v>
      </c>
    </row>
    <row r="11" spans="1:44" x14ac:dyDescent="0.2">
      <c r="A11" s="5" t="s">
        <v>5</v>
      </c>
      <c r="B11" s="6" t="s">
        <v>6</v>
      </c>
      <c r="C11" s="7">
        <f>'[10]Team Report'!BA26-16200-9045</f>
        <v>112865</v>
      </c>
      <c r="E11" s="7">
        <f t="shared" si="1"/>
        <v>150486.66666666666</v>
      </c>
      <c r="G11" s="15">
        <f t="shared" si="0"/>
        <v>8.1904814624292055E-2</v>
      </c>
    </row>
    <row r="12" spans="1:44" x14ac:dyDescent="0.2">
      <c r="A12" s="5" t="s">
        <v>7</v>
      </c>
      <c r="B12" s="6" t="s">
        <v>8</v>
      </c>
      <c r="C12" s="7">
        <f>'[10]Team Report'!BA27</f>
        <v>43971.199999999997</v>
      </c>
      <c r="E12" s="7">
        <f t="shared" si="1"/>
        <v>58628.266666666663</v>
      </c>
      <c r="G12" s="15">
        <f t="shared" si="0"/>
        <v>3.1909387186529664E-2</v>
      </c>
    </row>
    <row r="13" spans="1:44" x14ac:dyDescent="0.2">
      <c r="A13" s="5" t="s">
        <v>9</v>
      </c>
      <c r="B13" s="6" t="s">
        <v>10</v>
      </c>
      <c r="C13" s="7">
        <f>'[10]Team Report'!BA28</f>
        <v>272272.65000000002</v>
      </c>
      <c r="E13" s="7">
        <f t="shared" si="1"/>
        <v>363030.20000000007</v>
      </c>
      <c r="G13" s="15">
        <f t="shared" si="0"/>
        <v>0.19758508771997305</v>
      </c>
    </row>
    <row r="14" spans="1:44" x14ac:dyDescent="0.2">
      <c r="A14" s="5" t="s">
        <v>11</v>
      </c>
      <c r="B14" s="6" t="s">
        <v>12</v>
      </c>
      <c r="C14" s="7">
        <f>'[10]Team Report'!BA32-C39</f>
        <v>25184.139999999956</v>
      </c>
      <c r="E14" s="7">
        <f t="shared" si="1"/>
        <v>33578.853333333274</v>
      </c>
      <c r="G14" s="15">
        <f t="shared" si="0"/>
        <v>1.8275836779977982E-2</v>
      </c>
    </row>
    <row r="15" spans="1:44" x14ac:dyDescent="0.2">
      <c r="A15" s="5" t="s">
        <v>13</v>
      </c>
      <c r="B15" s="6" t="s">
        <v>14</v>
      </c>
      <c r="C15" s="7">
        <f>'[10]Team Report'!BA33</f>
        <v>6445.68</v>
      </c>
      <c r="E15" s="7">
        <f t="shared" si="1"/>
        <v>8594.2400000000016</v>
      </c>
      <c r="G15" s="15">
        <f t="shared" si="0"/>
        <v>4.6775548268064232E-3</v>
      </c>
    </row>
    <row r="16" spans="1:44" x14ac:dyDescent="0.2">
      <c r="A16" s="5" t="s">
        <v>15</v>
      </c>
      <c r="B16" s="6" t="s">
        <v>16</v>
      </c>
      <c r="C16" s="7">
        <f>'[10]Team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'[10]Team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'[10]Team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'[10]Team Report'!BA37</f>
        <v>54297.13</v>
      </c>
      <c r="E19" s="7">
        <f t="shared" si="1"/>
        <v>72396.173333333325</v>
      </c>
      <c r="G19" s="15">
        <f t="shared" si="0"/>
        <v>3.9402794199097035E-2</v>
      </c>
    </row>
    <row r="20" spans="1:7" x14ac:dyDescent="0.2">
      <c r="A20" s="5" t="s">
        <v>23</v>
      </c>
      <c r="B20" s="6" t="s">
        <v>24</v>
      </c>
      <c r="C20" s="7">
        <f>'[10]Team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'[10]Team Report'!BA42-184800-35055</f>
        <v>10598.029999999999</v>
      </c>
      <c r="E21" s="7">
        <f t="shared" si="1"/>
        <v>14130.706666666665</v>
      </c>
      <c r="G21" s="15">
        <f t="shared" si="0"/>
        <v>7.690866810195241E-3</v>
      </c>
    </row>
    <row r="22" spans="1:7" x14ac:dyDescent="0.2">
      <c r="A22" s="5" t="s">
        <v>27</v>
      </c>
      <c r="B22" s="6" t="s">
        <v>28</v>
      </c>
      <c r="C22" s="7">
        <f>'[10]Team Report'!BA44</f>
        <v>81.47</v>
      </c>
      <c r="E22" s="7">
        <f t="shared" si="1"/>
        <v>108.62666666666667</v>
      </c>
      <c r="G22" s="15">
        <f t="shared" si="0"/>
        <v>5.9121829153777293E-5</v>
      </c>
    </row>
    <row r="23" spans="1:7" x14ac:dyDescent="0.2">
      <c r="A23" s="8" t="s">
        <v>29</v>
      </c>
      <c r="B23" s="9" t="s">
        <v>30</v>
      </c>
      <c r="C23" s="10">
        <f>SUM(C8:C22)</f>
        <v>1379877.0199999998</v>
      </c>
      <c r="E23" s="10">
        <f>SUM(E8:E22)</f>
        <v>1837336.0266666666</v>
      </c>
      <c r="G23" s="16">
        <f>SUM(G8:G22)</f>
        <v>1.0000000000000002</v>
      </c>
    </row>
    <row r="25" spans="1:7" x14ac:dyDescent="0.2">
      <c r="B25" s="9" t="s">
        <v>65</v>
      </c>
      <c r="C25" s="7"/>
      <c r="E25" s="12">
        <v>6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5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11</v>
      </c>
    </row>
    <row r="31" spans="1:7" x14ac:dyDescent="0.2">
      <c r="A31" s="5" t="s">
        <v>32</v>
      </c>
      <c r="B31" s="6" t="s">
        <v>33</v>
      </c>
      <c r="C31" s="7">
        <f>'[10]Team Report'!BA29</f>
        <v>986513.84</v>
      </c>
      <c r="E31" s="7">
        <f t="shared" ref="E31:E38" si="2">(C31/9)*12</f>
        <v>1315351.7866666666</v>
      </c>
    </row>
    <row r="32" spans="1:7" x14ac:dyDescent="0.2">
      <c r="A32" s="5" t="s">
        <v>34</v>
      </c>
      <c r="B32" s="6" t="s">
        <v>35</v>
      </c>
      <c r="C32" s="7">
        <f>'[10]Team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'[10]Team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'[10]Team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'[10]Team Report'!BA40</f>
        <v>29085.249999999996</v>
      </c>
      <c r="E35" s="7">
        <f t="shared" si="2"/>
        <v>38780.333333333328</v>
      </c>
    </row>
    <row r="36" spans="1:5" x14ac:dyDescent="0.2">
      <c r="A36" s="5" t="s">
        <v>42</v>
      </c>
      <c r="B36" s="6" t="s">
        <v>43</v>
      </c>
      <c r="C36" s="7">
        <f>'[10]Team Report'!BA41</f>
        <v>36371.75</v>
      </c>
      <c r="E36" s="7">
        <f t="shared" si="2"/>
        <v>48495.666666666672</v>
      </c>
    </row>
    <row r="37" spans="1:5" x14ac:dyDescent="0.2">
      <c r="A37" s="5" t="s">
        <v>44</v>
      </c>
      <c r="B37" s="6" t="s">
        <v>45</v>
      </c>
      <c r="C37" s="7">
        <f>'[10]Team Report'!BA43</f>
        <v>29708.35</v>
      </c>
      <c r="E37" s="7">
        <f t="shared" si="2"/>
        <v>39611.133333333331</v>
      </c>
    </row>
    <row r="38" spans="1:5" x14ac:dyDescent="0.2">
      <c r="A38" s="5" t="s">
        <v>46</v>
      </c>
      <c r="B38" s="6" t="s">
        <v>47</v>
      </c>
      <c r="C38" s="7">
        <f>'[10]Team Report'!BA45</f>
        <v>0</v>
      </c>
      <c r="E38" s="7">
        <f t="shared" si="2"/>
        <v>0</v>
      </c>
    </row>
    <row r="39" spans="1:5" x14ac:dyDescent="0.2">
      <c r="B39" s="6" t="s">
        <v>60</v>
      </c>
      <c r="C39" s="7">
        <v>284961</v>
      </c>
      <c r="E39" s="7"/>
    </row>
    <row r="43" spans="1:5" x14ac:dyDescent="0.2">
      <c r="C43" s="11">
        <f>C23+C31+C32+C33+C34+C35+C36+C37+C38</f>
        <v>2461556.21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'[5]Team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'[5]Pull Sheet'!E9</f>
        <v>Midwest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'[5]Team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'[5]Team Report'!BA25-C9-56348</f>
        <v>742310.07000000007</v>
      </c>
      <c r="E8" s="7">
        <f>(C8/9)*12</f>
        <v>989746.76</v>
      </c>
      <c r="G8" s="15">
        <f>E8/$E$23</f>
        <v>0.57952341930261464</v>
      </c>
    </row>
    <row r="9" spans="1:44" x14ac:dyDescent="0.2">
      <c r="A9" s="5"/>
      <c r="B9" s="6" t="s">
        <v>4</v>
      </c>
      <c r="C9" s="7">
        <v>100000</v>
      </c>
      <c r="E9" s="7">
        <f>C9</f>
        <v>100000</v>
      </c>
      <c r="G9" s="15">
        <f t="shared" ref="G9:G22" si="0">E9/$E$23</f>
        <v>5.8552696783025049E-2</v>
      </c>
    </row>
    <row r="10" spans="1:44" x14ac:dyDescent="0.2">
      <c r="B10" s="6" t="s">
        <v>48</v>
      </c>
      <c r="C10" s="7">
        <f>56348+7902+137200+15558+4140</f>
        <v>221148</v>
      </c>
      <c r="E10" s="7">
        <f t="shared" ref="E10:E22" si="1">(C10/9)*12</f>
        <v>294864</v>
      </c>
      <c r="G10" s="15">
        <f t="shared" si="0"/>
        <v>0.17265082384229899</v>
      </c>
    </row>
    <row r="11" spans="1:44" x14ac:dyDescent="0.2">
      <c r="A11" s="5" t="s">
        <v>5</v>
      </c>
      <c r="B11" s="6" t="s">
        <v>6</v>
      </c>
      <c r="C11" s="7">
        <f>'[5]Team Report'!BA26-7902-4140</f>
        <v>169144.2</v>
      </c>
      <c r="E11" s="7">
        <f t="shared" si="1"/>
        <v>225525.60000000003</v>
      </c>
      <c r="G11" s="15">
        <f t="shared" si="0"/>
        <v>0.13205132073609796</v>
      </c>
    </row>
    <row r="12" spans="1:44" x14ac:dyDescent="0.2">
      <c r="A12" s="5" t="s">
        <v>7</v>
      </c>
      <c r="B12" s="6" t="s">
        <v>8</v>
      </c>
      <c r="C12" s="7">
        <f>'[5]Team Report'!BA27</f>
        <v>16314.75</v>
      </c>
      <c r="E12" s="7">
        <f t="shared" si="1"/>
        <v>21753</v>
      </c>
      <c r="G12" s="15">
        <f t="shared" si="0"/>
        <v>1.2736968131211439E-2</v>
      </c>
    </row>
    <row r="13" spans="1:44" x14ac:dyDescent="0.2">
      <c r="A13" s="5" t="s">
        <v>9</v>
      </c>
      <c r="B13" s="6" t="s">
        <v>10</v>
      </c>
      <c r="C13" s="7">
        <f>'[5]Team Report'!BA28-C39</f>
        <v>35684.489999999991</v>
      </c>
      <c r="E13" s="7">
        <f t="shared" si="1"/>
        <v>47579.319999999985</v>
      </c>
      <c r="G13" s="15">
        <f t="shared" si="0"/>
        <v>2.7858974971025185E-2</v>
      </c>
    </row>
    <row r="14" spans="1:44" x14ac:dyDescent="0.2">
      <c r="A14" s="5" t="s">
        <v>11</v>
      </c>
      <c r="B14" s="6" t="s">
        <v>12</v>
      </c>
      <c r="C14" s="7">
        <f>'[5]Team Report'!BA32</f>
        <v>12093.23</v>
      </c>
      <c r="E14" s="7">
        <f t="shared" si="1"/>
        <v>16124.306666666667</v>
      </c>
      <c r="G14" s="15">
        <f t="shared" si="0"/>
        <v>9.441216390898427E-3</v>
      </c>
    </row>
    <row r="15" spans="1:44" x14ac:dyDescent="0.2">
      <c r="A15" s="5" t="s">
        <v>13</v>
      </c>
      <c r="B15" s="6" t="s">
        <v>14</v>
      </c>
      <c r="C15" s="7">
        <f>'[5]Team Report'!BA33</f>
        <v>578.04999999999995</v>
      </c>
      <c r="E15" s="7">
        <f t="shared" si="1"/>
        <v>770.73333333333335</v>
      </c>
      <c r="G15" s="15">
        <f t="shared" si="0"/>
        <v>4.512851516723684E-4</v>
      </c>
    </row>
    <row r="16" spans="1:44" x14ac:dyDescent="0.2">
      <c r="A16" s="5" t="s">
        <v>15</v>
      </c>
      <c r="B16" s="6" t="s">
        <v>16</v>
      </c>
      <c r="C16" s="7">
        <f>'[5]Team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'[5]Team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'[5]Team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'[5]Team Report'!BA37</f>
        <v>5658.16</v>
      </c>
      <c r="E19" s="7">
        <f t="shared" si="1"/>
        <v>7544.2133333333331</v>
      </c>
      <c r="G19" s="15">
        <f t="shared" si="0"/>
        <v>4.4173403577312132E-3</v>
      </c>
    </row>
    <row r="20" spans="1:7" x14ac:dyDescent="0.2">
      <c r="A20" s="5" t="s">
        <v>23</v>
      </c>
      <c r="B20" s="6" t="s">
        <v>24</v>
      </c>
      <c r="C20" s="7">
        <f>'[5]Team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'[5]Team Report'!BA42-137200-15558</f>
        <v>2821.6199999999953</v>
      </c>
      <c r="E21" s="7">
        <f t="shared" si="1"/>
        <v>3762.1599999999935</v>
      </c>
      <c r="G21" s="15">
        <f t="shared" si="0"/>
        <v>2.2028461372922514E-3</v>
      </c>
    </row>
    <row r="22" spans="1:7" x14ac:dyDescent="0.2">
      <c r="A22" s="5" t="s">
        <v>27</v>
      </c>
      <c r="B22" s="6" t="s">
        <v>28</v>
      </c>
      <c r="C22" s="7">
        <f>'[5]Team Report'!BA44</f>
        <v>144.88000000000002</v>
      </c>
      <c r="E22" s="7">
        <f t="shared" si="1"/>
        <v>193.17333333333335</v>
      </c>
      <c r="G22" s="15">
        <f t="shared" si="0"/>
        <v>1.1310819613232894E-4</v>
      </c>
    </row>
    <row r="23" spans="1:7" x14ac:dyDescent="0.2">
      <c r="A23" s="8" t="s">
        <v>29</v>
      </c>
      <c r="B23" s="9" t="s">
        <v>30</v>
      </c>
      <c r="C23" s="10">
        <f>SUM(C8:C22)</f>
        <v>1305897.4499999997</v>
      </c>
      <c r="E23" s="10">
        <f>SUM(E8:E22)</f>
        <v>1707863.2666666668</v>
      </c>
      <c r="G23" s="16">
        <f>SUM(G8:G22)</f>
        <v>0.99999999999999978</v>
      </c>
    </row>
    <row r="25" spans="1:7" x14ac:dyDescent="0.2">
      <c r="B25" s="9" t="s">
        <v>65</v>
      </c>
      <c r="C25" s="7"/>
      <c r="E25" s="12">
        <f>8+2</f>
        <v>10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2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12</v>
      </c>
    </row>
    <row r="31" spans="1:7" x14ac:dyDescent="0.2">
      <c r="A31" s="5" t="s">
        <v>32</v>
      </c>
      <c r="B31" s="6" t="s">
        <v>33</v>
      </c>
      <c r="C31" s="7">
        <f>'[5]Team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'[5]Team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'[5]Team Report'!BA40</f>
        <v>25630.500000000004</v>
      </c>
      <c r="E35" s="7">
        <f t="shared" si="2"/>
        <v>34174.000000000007</v>
      </c>
    </row>
    <row r="36" spans="1:5" x14ac:dyDescent="0.2">
      <c r="A36" s="5" t="s">
        <v>42</v>
      </c>
      <c r="B36" s="6" t="s">
        <v>43</v>
      </c>
      <c r="C36" s="7">
        <f>'[5]Team Report'!BA41</f>
        <v>30375.8</v>
      </c>
      <c r="E36" s="7">
        <f t="shared" si="2"/>
        <v>40501.066666666666</v>
      </c>
    </row>
    <row r="37" spans="1:5" x14ac:dyDescent="0.2">
      <c r="A37" s="5" t="s">
        <v>44</v>
      </c>
      <c r="B37" s="6" t="s">
        <v>45</v>
      </c>
      <c r="C37" s="7">
        <f>'[5]Team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'[5]Team Report'!BA45</f>
        <v>0</v>
      </c>
      <c r="E38" s="7">
        <f t="shared" si="2"/>
        <v>0</v>
      </c>
    </row>
    <row r="39" spans="1:5" x14ac:dyDescent="0.2">
      <c r="B39" s="6" t="s">
        <v>57</v>
      </c>
      <c r="C39" s="7">
        <v>11696</v>
      </c>
      <c r="E39" s="7"/>
    </row>
    <row r="43" spans="1:5" x14ac:dyDescent="0.2">
      <c r="C43" s="11">
        <f>C23+C31+C32+C33+C34+C35+C36+C37+C38</f>
        <v>1361903.7499999998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8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'[4]Team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'[4]Pull Sheet'!E9</f>
        <v>Midwest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'[4]Team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'[4]Team Report'!BA25-67500</f>
        <v>677169.81</v>
      </c>
      <c r="E8" s="7">
        <f>(C8/9)*12</f>
        <v>902893.08000000007</v>
      </c>
      <c r="G8" s="15">
        <f>E8/$E$23</f>
        <v>0.50809697860827596</v>
      </c>
    </row>
    <row r="9" spans="1:44" x14ac:dyDescent="0.2">
      <c r="A9" s="5"/>
      <c r="B9" s="6" t="s">
        <v>4</v>
      </c>
      <c r="C9" s="7">
        <v>250000</v>
      </c>
      <c r="E9" s="7">
        <f>C9</f>
        <v>250000</v>
      </c>
      <c r="G9" s="15">
        <f t="shared" ref="G9:G22" si="0">E9/$E$23</f>
        <v>0.14068581038639591</v>
      </c>
    </row>
    <row r="10" spans="1:44" x14ac:dyDescent="0.2">
      <c r="B10" s="6" t="s">
        <v>48</v>
      </c>
      <c r="C10" s="7">
        <f>67500+11232+89300+14517+5805</f>
        <v>188354</v>
      </c>
      <c r="E10" s="7">
        <f>(C10/9)*12</f>
        <v>251138.66666666669</v>
      </c>
      <c r="G10" s="15">
        <f t="shared" si="0"/>
        <v>0.14132658735743581</v>
      </c>
    </row>
    <row r="11" spans="1:44" x14ac:dyDescent="0.2">
      <c r="A11" s="5" t="s">
        <v>5</v>
      </c>
      <c r="B11" s="6" t="s">
        <v>6</v>
      </c>
      <c r="C11" s="7">
        <f>'[4]Team Report'!BA26-11232-5805</f>
        <v>120189.63999999998</v>
      </c>
      <c r="E11" s="7">
        <f t="shared" ref="E11:E22" si="1">(C11/9)*12</f>
        <v>160252.8533333333</v>
      </c>
      <c r="G11" s="15">
        <f t="shared" si="0"/>
        <v>9.0181210151728974E-2</v>
      </c>
    </row>
    <row r="12" spans="1:44" x14ac:dyDescent="0.2">
      <c r="A12" s="5" t="s">
        <v>7</v>
      </c>
      <c r="B12" s="6" t="s">
        <v>8</v>
      </c>
      <c r="C12" s="7">
        <f>'[4]Team Report'!BA27-6712.5-7658</f>
        <v>29402.569999999992</v>
      </c>
      <c r="E12" s="7">
        <f t="shared" si="1"/>
        <v>39203.426666666652</v>
      </c>
      <c r="G12" s="15">
        <f t="shared" si="0"/>
        <v>2.2061463402094566E-2</v>
      </c>
    </row>
    <row r="13" spans="1:44" x14ac:dyDescent="0.2">
      <c r="A13" s="5" t="s">
        <v>9</v>
      </c>
      <c r="B13" s="6" t="s">
        <v>10</v>
      </c>
      <c r="C13" s="7">
        <f>'[4]Team Report'!BA28-22655</f>
        <v>92160.449999999983</v>
      </c>
      <c r="E13" s="7">
        <f t="shared" si="1"/>
        <v>122880.59999999998</v>
      </c>
      <c r="G13" s="15">
        <f t="shared" si="0"/>
        <v>6.9150227167066231E-2</v>
      </c>
    </row>
    <row r="14" spans="1:44" x14ac:dyDescent="0.2">
      <c r="A14" s="5" t="s">
        <v>11</v>
      </c>
      <c r="B14" s="6" t="s">
        <v>12</v>
      </c>
      <c r="C14" s="7">
        <f>'[4]Team Report'!BA32</f>
        <v>242.05</v>
      </c>
      <c r="E14" s="7">
        <f t="shared" si="1"/>
        <v>322.73333333333335</v>
      </c>
      <c r="G14" s="15">
        <f t="shared" si="0"/>
        <v>1.8161600215481135E-4</v>
      </c>
    </row>
    <row r="15" spans="1:44" x14ac:dyDescent="0.2">
      <c r="A15" s="5" t="s">
        <v>13</v>
      </c>
      <c r="B15" s="6" t="s">
        <v>14</v>
      </c>
      <c r="C15" s="7">
        <f>'[4]Team Report'!BA33</f>
        <v>9557.0800000000017</v>
      </c>
      <c r="E15" s="7">
        <f t="shared" si="1"/>
        <v>12742.773333333334</v>
      </c>
      <c r="G15" s="15">
        <f t="shared" si="0"/>
        <v>7.1709095718806223E-3</v>
      </c>
    </row>
    <row r="16" spans="1:44" x14ac:dyDescent="0.2">
      <c r="A16" s="5" t="s">
        <v>15</v>
      </c>
      <c r="B16" s="6" t="s">
        <v>16</v>
      </c>
      <c r="C16" s="7">
        <f>'[4]Team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'[4]Team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'[4]Team Report'!BA36</f>
        <v>158.21</v>
      </c>
      <c r="E18" s="7">
        <f t="shared" si="1"/>
        <v>210.94666666666669</v>
      </c>
      <c r="G18" s="15">
        <f t="shared" si="0"/>
        <v>1.1870881099323572E-4</v>
      </c>
    </row>
    <row r="19" spans="1:7" x14ac:dyDescent="0.2">
      <c r="A19" s="5" t="s">
        <v>21</v>
      </c>
      <c r="B19" s="6" t="s">
        <v>22</v>
      </c>
      <c r="C19" s="7">
        <f>'[4]Team Report'!BA37</f>
        <v>9885.14</v>
      </c>
      <c r="E19" s="7">
        <f t="shared" si="1"/>
        <v>13180.186666666665</v>
      </c>
      <c r="G19" s="15">
        <f t="shared" si="0"/>
        <v>7.4170609689758792E-3</v>
      </c>
    </row>
    <row r="20" spans="1:7" x14ac:dyDescent="0.2">
      <c r="A20" s="5" t="s">
        <v>23</v>
      </c>
      <c r="B20" s="6" t="s">
        <v>24</v>
      </c>
      <c r="C20" s="7">
        <f>'[4]Team Report'!BA38</f>
        <v>20.9</v>
      </c>
      <c r="E20" s="7">
        <f t="shared" si="1"/>
        <v>27.866666666666664</v>
      </c>
      <c r="G20" s="15">
        <f t="shared" si="0"/>
        <v>1.568177833107026E-5</v>
      </c>
    </row>
    <row r="21" spans="1:7" x14ac:dyDescent="0.2">
      <c r="A21" s="5" t="s">
        <v>25</v>
      </c>
      <c r="B21" s="6" t="s">
        <v>26</v>
      </c>
      <c r="C21" s="7">
        <f>'[4]Team Report'!BA42-89300-14517</f>
        <v>18010.459999999992</v>
      </c>
      <c r="E21" s="7">
        <f t="shared" si="1"/>
        <v>24013.946666666656</v>
      </c>
      <c r="G21" s="15">
        <f t="shared" si="0"/>
        <v>1.3513686189502756E-2</v>
      </c>
    </row>
    <row r="22" spans="1:7" x14ac:dyDescent="0.2">
      <c r="A22" s="5" t="s">
        <v>27</v>
      </c>
      <c r="B22" s="6" t="s">
        <v>28</v>
      </c>
      <c r="C22" s="7">
        <f>'[4]Team Report'!BA44</f>
        <v>106.7</v>
      </c>
      <c r="E22" s="7">
        <f t="shared" si="1"/>
        <v>142.26666666666668</v>
      </c>
      <c r="G22" s="15">
        <f t="shared" si="0"/>
        <v>8.0059605163885041E-5</v>
      </c>
    </row>
    <row r="23" spans="1:7" x14ac:dyDescent="0.2">
      <c r="A23" s="8" t="s">
        <v>29</v>
      </c>
      <c r="B23" s="9" t="s">
        <v>30</v>
      </c>
      <c r="C23" s="10">
        <f>SUM(C8:C22)</f>
        <v>1395257.0099999998</v>
      </c>
      <c r="E23" s="10">
        <f>SUM(E8:E22)</f>
        <v>1777009.3466666671</v>
      </c>
      <c r="G23" s="16">
        <f>SUM(G8:G22)</f>
        <v>0.99999999999999967</v>
      </c>
    </row>
    <row r="25" spans="1:7" x14ac:dyDescent="0.2">
      <c r="B25" s="9" t="s">
        <v>65</v>
      </c>
      <c r="C25" s="7"/>
      <c r="E25" s="12">
        <v>7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3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10</v>
      </c>
    </row>
    <row r="31" spans="1:7" x14ac:dyDescent="0.2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'[4]Team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'[4]Team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'[4]Team Report'!BA40</f>
        <v>18344.88</v>
      </c>
      <c r="E35" s="7">
        <f t="shared" si="2"/>
        <v>24459.840000000004</v>
      </c>
    </row>
    <row r="36" spans="1:5" x14ac:dyDescent="0.2">
      <c r="A36" s="5" t="s">
        <v>42</v>
      </c>
      <c r="B36" s="6" t="s">
        <v>43</v>
      </c>
      <c r="C36" s="7">
        <f>'[4]Team Report'!BA41</f>
        <v>34560.49</v>
      </c>
      <c r="E36" s="7">
        <f t="shared" si="2"/>
        <v>46080.653333333328</v>
      </c>
    </row>
    <row r="37" spans="1:5" x14ac:dyDescent="0.2">
      <c r="A37" s="5" t="s">
        <v>44</v>
      </c>
      <c r="B37" s="6" t="s">
        <v>45</v>
      </c>
      <c r="C37" s="7">
        <f>'[4]Team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39" spans="1:5" x14ac:dyDescent="0.2">
      <c r="B39" s="6" t="s">
        <v>56</v>
      </c>
      <c r="C39" s="7">
        <f>6712+7658+22655</f>
        <v>37025</v>
      </c>
      <c r="E39" s="7">
        <v>37025</v>
      </c>
    </row>
    <row r="43" spans="1:5" x14ac:dyDescent="0.2">
      <c r="C43" s="11">
        <f>C23+C31+C32+C33+C34+C35+C36+C37+C38</f>
        <v>1448162.3799999997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0.42578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'[7]Team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'[7]Pull Sheet'!E9</f>
        <v>Northeast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'[7]Team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'[7]Team Report'!BA25-C9-38000</f>
        <v>903642.27</v>
      </c>
      <c r="E8" s="7">
        <f>(C8/9)*12</f>
        <v>1204856.3600000001</v>
      </c>
      <c r="G8" s="15">
        <f>E8/$E$23</f>
        <v>0.52756759401950604</v>
      </c>
    </row>
    <row r="9" spans="1:44" x14ac:dyDescent="0.2">
      <c r="A9" s="5"/>
      <c r="B9" s="6" t="s">
        <v>4</v>
      </c>
      <c r="C9" s="7">
        <v>390000</v>
      </c>
      <c r="E9" s="7">
        <f>C9</f>
        <v>390000</v>
      </c>
      <c r="G9" s="15">
        <f t="shared" ref="G9:G22" si="0">E9/$E$23</f>
        <v>0.17076837413848014</v>
      </c>
    </row>
    <row r="10" spans="1:44" x14ac:dyDescent="0.2">
      <c r="B10" s="6" t="s">
        <v>48</v>
      </c>
      <c r="C10" s="7">
        <f>38000+6534+171400+13026+3420</f>
        <v>232380</v>
      </c>
      <c r="E10" s="7">
        <f>(C10/9)*12</f>
        <v>309840</v>
      </c>
      <c r="G10" s="15">
        <f t="shared" si="0"/>
        <v>0.13566890523863254</v>
      </c>
    </row>
    <row r="11" spans="1:44" x14ac:dyDescent="0.2">
      <c r="A11" s="5" t="s">
        <v>5</v>
      </c>
      <c r="B11" s="6" t="s">
        <v>6</v>
      </c>
      <c r="C11" s="7">
        <f>'[7]Team Report'!BA26-6354-3420</f>
        <v>220674.42</v>
      </c>
      <c r="E11" s="7">
        <f t="shared" ref="E11:E22" si="1">(C11/9)*12</f>
        <v>294232.56</v>
      </c>
      <c r="G11" s="15">
        <f t="shared" si="0"/>
        <v>0.1288349125379559</v>
      </c>
    </row>
    <row r="12" spans="1:44" x14ac:dyDescent="0.2">
      <c r="A12" s="5" t="s">
        <v>7</v>
      </c>
      <c r="B12" s="6" t="s">
        <v>8</v>
      </c>
      <c r="C12" s="7">
        <f>'[7]Team Report'!BA27</f>
        <v>25845.53</v>
      </c>
      <c r="E12" s="7">
        <f t="shared" si="1"/>
        <v>34460.706666666665</v>
      </c>
      <c r="G12" s="15">
        <f t="shared" si="0"/>
        <v>1.508922781828141E-2</v>
      </c>
    </row>
    <row r="13" spans="1:44" x14ac:dyDescent="0.2">
      <c r="A13" s="5" t="s">
        <v>9</v>
      </c>
      <c r="B13" s="6" t="s">
        <v>10</v>
      </c>
      <c r="C13" s="7">
        <f>'[7]Team Report'!BA28-C39-C40</f>
        <v>13971.93</v>
      </c>
      <c r="E13" s="7">
        <f t="shared" si="1"/>
        <v>18629.240000000002</v>
      </c>
      <c r="G13" s="15">
        <f t="shared" si="0"/>
        <v>8.1571410929116416E-3</v>
      </c>
    </row>
    <row r="14" spans="1:44" x14ac:dyDescent="0.2">
      <c r="A14" s="5" t="s">
        <v>11</v>
      </c>
      <c r="B14" s="6" t="s">
        <v>12</v>
      </c>
      <c r="C14" s="7">
        <f>'[7]Team Report'!BA32-C41</f>
        <v>0</v>
      </c>
      <c r="E14" s="7">
        <f t="shared" si="1"/>
        <v>0</v>
      </c>
      <c r="G14" s="15">
        <f t="shared" si="0"/>
        <v>0</v>
      </c>
    </row>
    <row r="15" spans="1:44" x14ac:dyDescent="0.2">
      <c r="A15" s="5" t="s">
        <v>13</v>
      </c>
      <c r="B15" s="6" t="s">
        <v>14</v>
      </c>
      <c r="C15" s="7">
        <f>'[7]Team Report'!BA33</f>
        <v>333.47</v>
      </c>
      <c r="E15" s="7">
        <f t="shared" si="1"/>
        <v>444.62666666666672</v>
      </c>
      <c r="G15" s="15">
        <f t="shared" si="0"/>
        <v>1.9468762298789394E-4</v>
      </c>
    </row>
    <row r="16" spans="1:44" x14ac:dyDescent="0.2">
      <c r="A16" s="5" t="s">
        <v>15</v>
      </c>
      <c r="B16" s="6" t="s">
        <v>16</v>
      </c>
      <c r="C16" s="7">
        <f>'[7]Team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'[7]Team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'[7]Team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'[7]Team Report'!BA37</f>
        <v>14862.380000000001</v>
      </c>
      <c r="E19" s="7">
        <f t="shared" si="1"/>
        <v>19816.506666666668</v>
      </c>
      <c r="G19" s="15">
        <f t="shared" si="0"/>
        <v>8.6770067296692809E-3</v>
      </c>
    </row>
    <row r="20" spans="1:7" x14ac:dyDescent="0.2">
      <c r="A20" s="5" t="s">
        <v>23</v>
      </c>
      <c r="B20" s="6" t="s">
        <v>24</v>
      </c>
      <c r="C20" s="7">
        <f>'[7]Team Report'!BA38</f>
        <v>0</v>
      </c>
      <c r="E20" s="7">
        <f t="shared" si="1"/>
        <v>0</v>
      </c>
      <c r="G20" s="15">
        <f t="shared" si="0"/>
        <v>0</v>
      </c>
    </row>
    <row r="21" spans="1:7" x14ac:dyDescent="0.2">
      <c r="A21" s="5" t="s">
        <v>25</v>
      </c>
      <c r="B21" s="6" t="s">
        <v>26</v>
      </c>
      <c r="C21" s="7">
        <f>'[7]Team Report'!BA42-171400-13026</f>
        <v>8467.4700000000012</v>
      </c>
      <c r="E21" s="7">
        <f t="shared" si="1"/>
        <v>11289.960000000003</v>
      </c>
      <c r="G21" s="15">
        <f t="shared" si="0"/>
        <v>4.943507982790963E-3</v>
      </c>
    </row>
    <row r="22" spans="1:7" x14ac:dyDescent="0.2">
      <c r="A22" s="5" t="s">
        <v>27</v>
      </c>
      <c r="B22" s="6" t="s">
        <v>28</v>
      </c>
      <c r="C22" s="7">
        <f>'[7]Team Report'!BA44</f>
        <v>168.95999999999998</v>
      </c>
      <c r="E22" s="7">
        <f t="shared" si="1"/>
        <v>225.27999999999997</v>
      </c>
      <c r="G22" s="15">
        <f t="shared" si="0"/>
        <v>9.864281878440205E-5</v>
      </c>
    </row>
    <row r="23" spans="1:7" x14ac:dyDescent="0.2">
      <c r="A23" s="8" t="s">
        <v>29</v>
      </c>
      <c r="B23" s="9" t="s">
        <v>30</v>
      </c>
      <c r="C23" s="10">
        <f>SUM(C8:C22)</f>
        <v>1810346.4299999997</v>
      </c>
      <c r="E23" s="10">
        <f>SUM(E8:E22)</f>
        <v>2283795.2399999998</v>
      </c>
      <c r="G23" s="16">
        <f>SUM(G8:G22)</f>
        <v>1.0000000000000002</v>
      </c>
    </row>
    <row r="25" spans="1:7" x14ac:dyDescent="0.2">
      <c r="B25" s="9" t="s">
        <v>65</v>
      </c>
      <c r="C25" s="7"/>
      <c r="E25" s="12">
        <f>8+4</f>
        <v>12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f>5+3</f>
        <v>8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20</v>
      </c>
    </row>
    <row r="31" spans="1:7" x14ac:dyDescent="0.2">
      <c r="A31" s="5" t="s">
        <v>32</v>
      </c>
      <c r="B31" s="6" t="s">
        <v>33</v>
      </c>
      <c r="C31" s="7">
        <f>'[7]Team Report'!BA29</f>
        <v>104572.90999999999</v>
      </c>
      <c r="E31" s="7">
        <f t="shared" ref="E31:E38" si="2">(C31/9)*12</f>
        <v>139430.54666666663</v>
      </c>
    </row>
    <row r="32" spans="1:7" x14ac:dyDescent="0.2">
      <c r="A32" s="5" t="s">
        <v>34</v>
      </c>
      <c r="B32" s="6" t="s">
        <v>35</v>
      </c>
      <c r="C32" s="7">
        <f>'[7]Team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'[7]Team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'[7]Team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'[7]Team Report'!BA40</f>
        <v>61367.970000000008</v>
      </c>
      <c r="E35" s="7">
        <f t="shared" si="2"/>
        <v>81823.960000000006</v>
      </c>
    </row>
    <row r="36" spans="1:5" x14ac:dyDescent="0.2">
      <c r="A36" s="5" t="s">
        <v>42</v>
      </c>
      <c r="B36" s="6" t="s">
        <v>43</v>
      </c>
      <c r="C36" s="7">
        <f>'[7]Team Report'!BA41</f>
        <v>42996.390000000007</v>
      </c>
      <c r="E36" s="7">
        <f t="shared" si="2"/>
        <v>57328.520000000004</v>
      </c>
    </row>
    <row r="37" spans="1:5" x14ac:dyDescent="0.2">
      <c r="A37" s="5" t="s">
        <v>44</v>
      </c>
      <c r="B37" s="6" t="s">
        <v>45</v>
      </c>
      <c r="C37" s="7">
        <f>'[7]Team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'[7]Team Report'!BA45</f>
        <v>0</v>
      </c>
      <c r="E38" s="7">
        <f t="shared" si="2"/>
        <v>0</v>
      </c>
    </row>
    <row r="39" spans="1:5" x14ac:dyDescent="0.2">
      <c r="B39" s="6" t="s">
        <v>58</v>
      </c>
      <c r="C39" s="7">
        <v>21273</v>
      </c>
      <c r="E39" s="7"/>
    </row>
    <row r="40" spans="1:5" x14ac:dyDescent="0.2">
      <c r="B40" s="6" t="s">
        <v>57</v>
      </c>
      <c r="C40" s="7">
        <v>26321</v>
      </c>
      <c r="E40" s="7"/>
    </row>
    <row r="41" spans="1:5" x14ac:dyDescent="0.2">
      <c r="B41" s="6" t="s">
        <v>59</v>
      </c>
      <c r="C41" s="7">
        <v>26250</v>
      </c>
      <c r="E41" s="7"/>
    </row>
    <row r="44" spans="1:5" x14ac:dyDescent="0.2">
      <c r="C44" s="11">
        <f>C23+C31+C32+C33+C34+C35+C36+C37+C38</f>
        <v>2019283.6999999995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0.42578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'[6]Team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'[6]Pull Sheet'!E9</f>
        <v>Northeast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'[6]Team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4" t="s">
        <v>66</v>
      </c>
    </row>
    <row r="7" spans="1:44" x14ac:dyDescent="0.2">
      <c r="C7" s="4" t="s">
        <v>0</v>
      </c>
      <c r="E7" s="4" t="s">
        <v>1</v>
      </c>
      <c r="G7" s="14" t="s">
        <v>67</v>
      </c>
    </row>
    <row r="8" spans="1:44" x14ac:dyDescent="0.2">
      <c r="A8" s="5" t="s">
        <v>2</v>
      </c>
      <c r="B8" s="6" t="s">
        <v>3</v>
      </c>
      <c r="C8" s="7">
        <f>'[6]Team Report'!BA25-C9-93000</f>
        <v>663063.48999999987</v>
      </c>
      <c r="E8" s="7">
        <f>(C8/9)*12</f>
        <v>884084.65333333309</v>
      </c>
      <c r="G8" s="15">
        <f>E8/$E$23</f>
        <v>0.47400259637047698</v>
      </c>
    </row>
    <row r="9" spans="1:44" x14ac:dyDescent="0.2">
      <c r="A9" s="5"/>
      <c r="B9" s="6" t="s">
        <v>4</v>
      </c>
      <c r="C9" s="7">
        <v>50000</v>
      </c>
      <c r="E9" s="7">
        <f>C9</f>
        <v>50000</v>
      </c>
      <c r="G9" s="15">
        <f t="shared" ref="G9:G22" si="0">E9/$E$23</f>
        <v>2.6807534469878429E-2</v>
      </c>
    </row>
    <row r="10" spans="1:44" x14ac:dyDescent="0.2">
      <c r="B10" s="6" t="s">
        <v>48</v>
      </c>
      <c r="C10" s="7">
        <f>93000+15498+141200+31932+1620</f>
        <v>283250</v>
      </c>
      <c r="E10" s="7">
        <f>(C10/9)*12</f>
        <v>377666.66666666669</v>
      </c>
      <c r="G10" s="15">
        <f t="shared" si="0"/>
        <v>0.20248624369581508</v>
      </c>
    </row>
    <row r="11" spans="1:44" x14ac:dyDescent="0.2">
      <c r="A11" s="5" t="s">
        <v>5</v>
      </c>
      <c r="B11" s="6" t="s">
        <v>6</v>
      </c>
      <c r="C11" s="7">
        <f>'[6]Team Report'!BA26-15498-1620</f>
        <v>136045.92000000001</v>
      </c>
      <c r="E11" s="7">
        <f t="shared" ref="E11:E22" si="1">(C11/9)*12</f>
        <v>181394.56000000003</v>
      </c>
      <c r="G11" s="15">
        <f t="shared" si="0"/>
        <v>9.7254818396968631E-2</v>
      </c>
    </row>
    <row r="12" spans="1:44" x14ac:dyDescent="0.2">
      <c r="A12" s="5" t="s">
        <v>7</v>
      </c>
      <c r="B12" s="6" t="s">
        <v>8</v>
      </c>
      <c r="C12" s="7">
        <f>'[6]Team Report'!BA27</f>
        <v>39620.5</v>
      </c>
      <c r="E12" s="7">
        <f t="shared" si="1"/>
        <v>52827.333333333328</v>
      </c>
      <c r="G12" s="15">
        <f t="shared" si="0"/>
        <v>2.8323411185701818E-2</v>
      </c>
    </row>
    <row r="13" spans="1:44" x14ac:dyDescent="0.2">
      <c r="A13" s="5" t="s">
        <v>9</v>
      </c>
      <c r="B13" s="6" t="s">
        <v>10</v>
      </c>
      <c r="C13" s="7">
        <f>'[6]Team Report'!BA28-C39</f>
        <v>200036.58999999997</v>
      </c>
      <c r="E13" s="7">
        <f t="shared" si="1"/>
        <v>266715.45333333331</v>
      </c>
      <c r="G13" s="15">
        <f t="shared" si="0"/>
        <v>0.14299967417765169</v>
      </c>
    </row>
    <row r="14" spans="1:44" x14ac:dyDescent="0.2">
      <c r="A14" s="5" t="s">
        <v>11</v>
      </c>
      <c r="B14" s="6" t="s">
        <v>12</v>
      </c>
      <c r="C14" s="7">
        <f>'[6]Team Report'!BA32</f>
        <v>20336.080000000002</v>
      </c>
      <c r="E14" s="7">
        <f t="shared" si="1"/>
        <v>27114.773333333338</v>
      </c>
      <c r="G14" s="15">
        <f t="shared" si="0"/>
        <v>1.4537604415525478E-2</v>
      </c>
    </row>
    <row r="15" spans="1:44" x14ac:dyDescent="0.2">
      <c r="A15" s="5" t="s">
        <v>13</v>
      </c>
      <c r="B15" s="6" t="s">
        <v>14</v>
      </c>
      <c r="C15" s="7">
        <f>'[6]Team Report'!BA33</f>
        <v>2960.7799999999997</v>
      </c>
      <c r="E15" s="7">
        <f t="shared" si="1"/>
        <v>3947.706666666666</v>
      </c>
      <c r="G15" s="15">
        <f t="shared" si="0"/>
        <v>2.1165656508727103E-3</v>
      </c>
    </row>
    <row r="16" spans="1:44" x14ac:dyDescent="0.2">
      <c r="A16" s="5" t="s">
        <v>15</v>
      </c>
      <c r="B16" s="6" t="s">
        <v>16</v>
      </c>
      <c r="C16" s="7">
        <f>'[6]Team Report'!BA34</f>
        <v>0</v>
      </c>
      <c r="E16" s="7">
        <f t="shared" si="1"/>
        <v>0</v>
      </c>
      <c r="G16" s="15">
        <f t="shared" si="0"/>
        <v>0</v>
      </c>
    </row>
    <row r="17" spans="1:7" x14ac:dyDescent="0.2">
      <c r="A17" s="5" t="s">
        <v>17</v>
      </c>
      <c r="B17" s="6" t="s">
        <v>18</v>
      </c>
      <c r="C17" s="7">
        <f>'[6]Team Report'!BA35</f>
        <v>0</v>
      </c>
      <c r="E17" s="7">
        <f t="shared" si="1"/>
        <v>0</v>
      </c>
      <c r="G17" s="15">
        <f t="shared" si="0"/>
        <v>0</v>
      </c>
    </row>
    <row r="18" spans="1:7" x14ac:dyDescent="0.2">
      <c r="A18" s="5" t="s">
        <v>19</v>
      </c>
      <c r="B18" s="6" t="s">
        <v>20</v>
      </c>
      <c r="C18" s="7">
        <f>'[6]Team Report'!BA36</f>
        <v>0</v>
      </c>
      <c r="E18" s="7">
        <f t="shared" si="1"/>
        <v>0</v>
      </c>
      <c r="G18" s="15">
        <f t="shared" si="0"/>
        <v>0</v>
      </c>
    </row>
    <row r="19" spans="1:7" x14ac:dyDescent="0.2">
      <c r="A19" s="5" t="s">
        <v>21</v>
      </c>
      <c r="B19" s="6" t="s">
        <v>22</v>
      </c>
      <c r="C19" s="7">
        <f>'[6]Team Report'!BA37</f>
        <v>1975.2800000000002</v>
      </c>
      <c r="E19" s="7">
        <f t="shared" si="1"/>
        <v>2633.7066666666669</v>
      </c>
      <c r="G19" s="15">
        <f t="shared" si="0"/>
        <v>1.4120636450043059E-3</v>
      </c>
    </row>
    <row r="20" spans="1:7" x14ac:dyDescent="0.2">
      <c r="A20" s="5" t="s">
        <v>23</v>
      </c>
      <c r="B20" s="6" t="s">
        <v>24</v>
      </c>
      <c r="C20" s="7">
        <f>'[6]Team Report'!BA38</f>
        <v>17.420000000000002</v>
      </c>
      <c r="E20" s="7">
        <f t="shared" si="1"/>
        <v>23.226666666666667</v>
      </c>
      <c r="G20" s="15">
        <f t="shared" si="0"/>
        <v>1.245299334574086E-5</v>
      </c>
    </row>
    <row r="21" spans="1:7" x14ac:dyDescent="0.2">
      <c r="A21" s="5" t="s">
        <v>25</v>
      </c>
      <c r="B21" s="6" t="s">
        <v>26</v>
      </c>
      <c r="C21" s="7">
        <f>'[6]Team Report'!BA42-141200-31932</f>
        <v>13949.079999999987</v>
      </c>
      <c r="E21" s="7">
        <f t="shared" si="1"/>
        <v>18598.773333333316</v>
      </c>
      <c r="G21" s="15">
        <f t="shared" si="0"/>
        <v>9.9717451446157714E-3</v>
      </c>
    </row>
    <row r="22" spans="1:7" x14ac:dyDescent="0.2">
      <c r="A22" s="5" t="s">
        <v>27</v>
      </c>
      <c r="B22" s="6" t="s">
        <v>28</v>
      </c>
      <c r="C22" s="7">
        <f>'[6]Team Report'!BA44</f>
        <v>105.32000000000001</v>
      </c>
      <c r="E22" s="7">
        <f t="shared" si="1"/>
        <v>140.42666666666668</v>
      </c>
      <c r="G22" s="15">
        <f t="shared" si="0"/>
        <v>7.5289854143135903E-5</v>
      </c>
    </row>
    <row r="23" spans="1:7" x14ac:dyDescent="0.2">
      <c r="A23" s="8" t="s">
        <v>29</v>
      </c>
      <c r="B23" s="9" t="s">
        <v>30</v>
      </c>
      <c r="C23" s="10">
        <f>SUM(C8:C22)</f>
        <v>1411360.4600000002</v>
      </c>
      <c r="E23" s="10">
        <f>SUM(E8:E22)</f>
        <v>1865147.2800000003</v>
      </c>
      <c r="G23" s="16">
        <f>SUM(G8:G22)</f>
        <v>0.99999999999999967</v>
      </c>
    </row>
    <row r="25" spans="1:7" x14ac:dyDescent="0.2">
      <c r="B25" s="9" t="s">
        <v>65</v>
      </c>
      <c r="C25" s="7"/>
      <c r="E25" s="12">
        <v>9</v>
      </c>
    </row>
    <row r="26" spans="1:7" x14ac:dyDescent="0.2">
      <c r="C26" s="7"/>
      <c r="E26" s="7"/>
    </row>
    <row r="27" spans="1:7" x14ac:dyDescent="0.2">
      <c r="B27" s="9" t="s">
        <v>68</v>
      </c>
      <c r="C27" s="7"/>
      <c r="E27" s="12">
        <v>5</v>
      </c>
    </row>
    <row r="28" spans="1:7" x14ac:dyDescent="0.2">
      <c r="B28" s="9"/>
      <c r="C28" s="7"/>
      <c r="E28" s="13"/>
    </row>
    <row r="29" spans="1:7" x14ac:dyDescent="0.2">
      <c r="B29" s="9" t="s">
        <v>31</v>
      </c>
      <c r="C29" s="7"/>
      <c r="E29" s="12">
        <f>SUM(E25:E27)</f>
        <v>14</v>
      </c>
    </row>
    <row r="31" spans="1:7" x14ac:dyDescent="0.2">
      <c r="A31" s="5" t="s">
        <v>32</v>
      </c>
      <c r="B31" s="6" t="s">
        <v>33</v>
      </c>
      <c r="C31" s="7">
        <f>'[6]Team Report'!BA29</f>
        <v>107291.84</v>
      </c>
      <c r="E31" s="7">
        <f t="shared" ref="E31:E38" si="2">(C31/9)*12</f>
        <v>143055.78666666665</v>
      </c>
    </row>
    <row r="32" spans="1:7" x14ac:dyDescent="0.2">
      <c r="A32" s="5" t="s">
        <v>34</v>
      </c>
      <c r="B32" s="6" t="s">
        <v>35</v>
      </c>
      <c r="C32" s="7">
        <f>'[6]Team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'[6]Team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'[6]Team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'[6]Team Report'!BA40</f>
        <v>21681.279999999999</v>
      </c>
      <c r="E35" s="7">
        <f t="shared" si="2"/>
        <v>28908.373333333329</v>
      </c>
    </row>
    <row r="36" spans="1:5" x14ac:dyDescent="0.2">
      <c r="A36" s="5" t="s">
        <v>42</v>
      </c>
      <c r="B36" s="6" t="s">
        <v>43</v>
      </c>
      <c r="C36" s="7">
        <f>'[6]Team Report'!BA41</f>
        <v>44521.96</v>
      </c>
      <c r="E36" s="7">
        <f t="shared" si="2"/>
        <v>59362.613333333327</v>
      </c>
    </row>
    <row r="37" spans="1:5" x14ac:dyDescent="0.2">
      <c r="A37" s="5" t="s">
        <v>44</v>
      </c>
      <c r="B37" s="6" t="s">
        <v>45</v>
      </c>
      <c r="C37" s="7">
        <f>'[6]Team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'[6]Team Report'!BA45</f>
        <v>0</v>
      </c>
      <c r="E38" s="7">
        <f t="shared" si="2"/>
        <v>0</v>
      </c>
    </row>
    <row r="39" spans="1:5" x14ac:dyDescent="0.2">
      <c r="B39" s="6" t="s">
        <v>58</v>
      </c>
      <c r="C39" s="7">
        <f>6198+4500+35515</f>
        <v>46213</v>
      </c>
      <c r="E39" s="7"/>
    </row>
    <row r="40" spans="1:5" x14ac:dyDescent="0.2">
      <c r="C40" s="7"/>
      <c r="E40" s="7"/>
    </row>
    <row r="43" spans="1:5" x14ac:dyDescent="0.2">
      <c r="C43" s="11">
        <f>C23+C31+C32+C33+C34+C35+C36+C37+C38</f>
        <v>1584855.5400000003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East Power Consolidated</vt:lpstr>
      <vt:lpstr>Ercot Trading</vt:lpstr>
      <vt:lpstr>Ercot Origination</vt:lpstr>
      <vt:lpstr>Southeast Trading</vt:lpstr>
      <vt:lpstr>Southeast Origination</vt:lpstr>
      <vt:lpstr>Midwest Trading</vt:lpstr>
      <vt:lpstr>Midwest Origination</vt:lpstr>
      <vt:lpstr>Northeast Trading</vt:lpstr>
      <vt:lpstr>Northeast Origination</vt:lpstr>
      <vt:lpstr>Management Book</vt:lpstr>
      <vt:lpstr>Structuring_Fund</vt:lpstr>
      <vt:lpstr>Services</vt:lpstr>
      <vt:lpstr>Options</vt:lpstr>
      <vt:lpstr>'East Power Consolidated'!Print_Area</vt:lpstr>
      <vt:lpstr>'Ercot Origination'!Print_Area</vt:lpstr>
      <vt:lpstr>'Ercot Trading'!Print_Area</vt:lpstr>
      <vt:lpstr>'Management Book'!Print_Area</vt:lpstr>
      <vt:lpstr>'Midwest Origination'!Print_Area</vt:lpstr>
      <vt:lpstr>'Midwest Trading'!Print_Area</vt:lpstr>
      <vt:lpstr>'Northeast Origination'!Print_Area</vt:lpstr>
      <vt:lpstr>'Northeast Trading'!Print_Area</vt:lpstr>
      <vt:lpstr>Options!Print_Area</vt:lpstr>
      <vt:lpstr>Services!Print_Area</vt:lpstr>
      <vt:lpstr>'Southeast Origination'!Print_Area</vt:lpstr>
      <vt:lpstr>'Southeast Trading'!Print_Area</vt:lpstr>
      <vt:lpstr>Structuring_Fund!Print_Area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2001-12-01T23:52:22Z</cp:lastPrinted>
  <dcterms:created xsi:type="dcterms:W3CDTF">2001-12-01T21:00:54Z</dcterms:created>
  <dcterms:modified xsi:type="dcterms:W3CDTF">2023-09-16T22:56:44Z</dcterms:modified>
</cp:coreProperties>
</file>