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D0B027D-E383-473B-8DBE-BC1CE0A1C692}" xr6:coauthVersionLast="47" xr6:coauthVersionMax="47" xr10:uidLastSave="{00000000-0000-0000-0000-000000000000}"/>
  <bookViews>
    <workbookView xWindow="-120" yWindow="-120" windowWidth="38640" windowHeight="15720"/>
  </bookViews>
  <sheets>
    <sheet name="Summary 2002 Revised" sheetId="46" r:id="rId1"/>
    <sheet name="Summary 2002" sheetId="44" state="hidden" r:id="rId2"/>
    <sheet name="Texas-Trading w-o AA" sheetId="96" r:id="rId3"/>
    <sheet name="East-Trading w-o AA" sheetId="88" r:id="rId4"/>
    <sheet name="Central-Trading w-o AA" sheetId="74" r:id="rId5"/>
    <sheet name="West-Trading w-o AA" sheetId="82" r:id="rId6"/>
    <sheet name="Financial w-o AA" sheetId="78" r:id="rId7"/>
    <sheet name="Texas - Orig" sheetId="68" r:id="rId8"/>
    <sheet name="East - Orig" sheetId="87" r:id="rId9"/>
    <sheet name="Central Gas - Orig" sheetId="70" r:id="rId10"/>
    <sheet name="West - Orig" sheetId="83" r:id="rId11"/>
    <sheet name="Derivatives w-o  AA-Mex" sheetId="102" r:id="rId12"/>
    <sheet name="Derivatives w-o  AA" sheetId="86" state="hidden" r:id="rId13"/>
    <sheet name="Mexico" sheetId="84" state="hidden" r:id="rId14"/>
    <sheet name="East-Trading AA" sheetId="89" state="hidden" r:id="rId15"/>
    <sheet name="West-Trading AA" sheetId="81" state="hidden" r:id="rId16"/>
    <sheet name="Texas-Trading AA" sheetId="97" state="hidden" r:id="rId17"/>
    <sheet name="Financial - AA" sheetId="79" state="hidden" r:id="rId18"/>
    <sheet name="Derivatives AA" sheetId="85" state="hidden" r:id="rId19"/>
    <sheet name="Central - Trading AA" sheetId="75" state="hidden" r:id="rId20"/>
    <sheet name="Financial Gas" sheetId="66" state="hidden" r:id="rId21"/>
    <sheet name="East Power" sheetId="27" state="hidden" r:id="rId22"/>
    <sheet name="Crude w-o AA" sheetId="100" r:id="rId23"/>
    <sheet name="Management" sheetId="107" r:id="rId24"/>
    <sheet name="Ercot" sheetId="108" r:id="rId25"/>
    <sheet name="Northeast" sheetId="109" r:id="rId26"/>
    <sheet name="Midwest" sheetId="110" r:id="rId27"/>
    <sheet name="Southeast" sheetId="111" r:id="rId28"/>
    <sheet name="Options" sheetId="112" r:id="rId29"/>
    <sheet name="East Power Origination" sheetId="114" r:id="rId30"/>
    <sheet name="West Power Trading" sheetId="90" r:id="rId31"/>
    <sheet name="West Power Origination" sheetId="92" r:id="rId32"/>
    <sheet name="Canada Trading" sheetId="61" r:id="rId33"/>
    <sheet name="Canada Origination" sheetId="62" r:id="rId34"/>
    <sheet name="Office of the Chair" sheetId="21" state="hidden" r:id="rId35"/>
    <sheet name="OOC w-o Adm" sheetId="103" r:id="rId36"/>
    <sheet name="East Power A&amp;A" sheetId="113" r:id="rId37"/>
    <sheet name="Gas A&amp;A" sheetId="98" r:id="rId38"/>
    <sheet name="Crude AA" sheetId="101" state="hidden" r:id="rId39"/>
    <sheet name="West Power A&amp;A" sheetId="91" r:id="rId40"/>
    <sheet name="Canada A&amp;A" sheetId="63" r:id="rId41"/>
    <sheet name="OOC Admin" sheetId="104" r:id="rId42"/>
    <sheet name="Natural Gas Admin" sheetId="50" r:id="rId43"/>
    <sheet name="East Power Admins" sheetId="55" r:id="rId44"/>
    <sheet name="West Power Admins" sheetId="93" r:id="rId45"/>
    <sheet name="Canada" sheetId="5" state="hidden" r:id="rId46"/>
    <sheet name="Canada Admins" sheetId="64" state="hidden" r:id="rId47"/>
    <sheet name="Reg Affairs" sheetId="9" r:id="rId48"/>
    <sheet name="Fundies-All" sheetId="41" r:id="rId49"/>
    <sheet name="Struct" sheetId="40" r:id="rId50"/>
    <sheet name="Weather" sheetId="30" r:id="rId51"/>
    <sheet name="SAP" sheetId="15" state="hidden" r:id="rId52"/>
    <sheet name="EOPs" sheetId="28" state="hidden" r:id="rId53"/>
    <sheet name="Gas Risk" sheetId="115" r:id="rId54"/>
    <sheet name="Gas Vol Mgmt" sheetId="116" r:id="rId55"/>
    <sheet name="Gas Logistics" sheetId="117" r:id="rId56"/>
    <sheet name="Gas Settlemnt" sheetId="118" r:id="rId57"/>
    <sheet name="Pwr Risk" sheetId="119" r:id="rId58"/>
    <sheet name="Pwr Vol Mgmt" sheetId="120" r:id="rId59"/>
    <sheet name="Power Logistics (2)" sheetId="121" state="hidden" r:id="rId60"/>
    <sheet name="Power Logistics" sheetId="99" r:id="rId61"/>
    <sheet name="Pwr Settlemt" sheetId="122" r:id="rId62"/>
    <sheet name="Documentation" sheetId="123" r:id="rId63"/>
    <sheet name="Managemt" sheetId="124" r:id="rId64"/>
    <sheet name="IT Dev-EOL" sheetId="42" r:id="rId65"/>
    <sheet name="IT Infra" sheetId="16" r:id="rId66"/>
    <sheet name="EOL Support" sheetId="19" r:id="rId67"/>
    <sheet name="Canada Support" sheetId="14" r:id="rId68"/>
    <sheet name="Credit" sheetId="12" r:id="rId69"/>
    <sheet name="Research" sheetId="31" state="hidden" r:id="rId70"/>
    <sheet name="Mkt Risk - Combined" sheetId="11" state="hidden" r:id="rId71"/>
    <sheet name="Mkt Risk " sheetId="105" r:id="rId72"/>
    <sheet name="Research1" sheetId="106" r:id="rId73"/>
    <sheet name="Fin Ops" sheetId="7" r:id="rId74"/>
    <sheet name="Cash Ops" sheetId="8" r:id="rId75"/>
    <sheet name="Tax" sheetId="6" r:id="rId76"/>
    <sheet name="HR" sheetId="13" r:id="rId77"/>
    <sheet name="Legal" sheetId="20" r:id="rId78"/>
    <sheet name="IT Dev" sheetId="17" state="hidden" r:id="rId79"/>
    <sheet name="IT EOL" sheetId="18" state="hidden" r:id="rId80"/>
    <sheet name="IT All" sheetId="43" state="hidden" r:id="rId81"/>
    <sheet name="Fundies-Hou" sheetId="29" state="hidden" r:id="rId82"/>
    <sheet name="Competitive Ana" sheetId="10" state="hidden" r:id="rId83"/>
    <sheet name="Gas - Fund" sheetId="34" state="hidden" r:id="rId84"/>
    <sheet name="East - Fund" sheetId="38" state="hidden" r:id="rId85"/>
    <sheet name="West - Fund" sheetId="36" state="hidden" r:id="rId86"/>
    <sheet name="West - Struct" sheetId="37" state="hidden" r:id="rId87"/>
    <sheet name="Gas - Struct" sheetId="35" state="hidden" r:id="rId88"/>
    <sheet name="East - Struct" sheetId="39" state="hidden" r:id="rId89"/>
  </sheets>
  <externalReferences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</externalReferences>
  <definedNames>
    <definedName name="_xlnm.Print_Area" localSheetId="45">Canada!$B$1:$L$39</definedName>
    <definedName name="_xlnm.Print_Area" localSheetId="40">'Canada A&amp;A'!$B$1:$L$39</definedName>
    <definedName name="_xlnm.Print_Area" localSheetId="46">'Canada Admins'!$B$1:$L$39</definedName>
    <definedName name="_xlnm.Print_Area" localSheetId="33">'Canada Origination'!$B$1:$L$39</definedName>
    <definedName name="_xlnm.Print_Area" localSheetId="67">'Canada Support'!$A$1:$N$51</definedName>
    <definedName name="_xlnm.Print_Area" localSheetId="32">'Canada Trading'!$B$1:$L$39</definedName>
    <definedName name="_xlnm.Print_Area" localSheetId="74">'Cash Ops'!$B$1:$H$29</definedName>
    <definedName name="_xlnm.Print_Area" localSheetId="19">'Central - Trading AA'!$B$1:$L$34</definedName>
    <definedName name="_xlnm.Print_Area" localSheetId="9">'Central Gas - Orig'!$B$1:$L$34</definedName>
    <definedName name="_xlnm.Print_Area" localSheetId="4">'Central-Trading w-o AA'!$B$1:$L$34</definedName>
    <definedName name="_xlnm.Print_Area" localSheetId="82">'Competitive Ana'!$B$1:$L$43</definedName>
    <definedName name="_xlnm.Print_Area" localSheetId="68">Credit!$A$1:$M$40</definedName>
    <definedName name="_xlnm.Print_Area" localSheetId="38">'Crude AA'!$B$1:$L$34</definedName>
    <definedName name="_xlnm.Print_Area" localSheetId="22">'Crude w-o AA'!$B$1:$L$34</definedName>
    <definedName name="_xlnm.Print_Area" localSheetId="18">'Derivatives AA'!$B$1:$L$40</definedName>
    <definedName name="_xlnm.Print_Area" localSheetId="12">'Derivatives w-o  AA'!$B$1:$L$40</definedName>
    <definedName name="_xlnm.Print_Area" localSheetId="11">'Derivatives w-o  AA-Mex'!$B$1:$L$40</definedName>
    <definedName name="_xlnm.Print_Area" localSheetId="84">'East - Fund'!$B$1:$H$29</definedName>
    <definedName name="_xlnm.Print_Area" localSheetId="8">'East - Orig'!$B$1:$L$34</definedName>
    <definedName name="_xlnm.Print_Area" localSheetId="88">'East - Struct'!$B$1:$H$29</definedName>
    <definedName name="_xlnm.Print_Area" localSheetId="21">'East Power'!$B$1:$H$29</definedName>
    <definedName name="_xlnm.Print_Area" localSheetId="36">'East Power A&amp;A'!$B$1:$H$29</definedName>
    <definedName name="_xlnm.Print_Area" localSheetId="43">'East Power Admins'!$B$1:$H$29</definedName>
    <definedName name="_xlnm.Print_Area" localSheetId="29">'East Power Origination'!$B$1:$H$29</definedName>
    <definedName name="_xlnm.Print_Area" localSheetId="14">'East-Trading AA'!$B$1:$L$34</definedName>
    <definedName name="_xlnm.Print_Area" localSheetId="3">'East-Trading w-o AA'!$B$1:$L$34</definedName>
    <definedName name="_xlnm.Print_Area" localSheetId="66">'EOL Support'!$A$1:$P$39</definedName>
    <definedName name="_xlnm.Print_Area" localSheetId="52">EOPs!$A$1:$M$39</definedName>
    <definedName name="_xlnm.Print_Area" localSheetId="73">'Fin Ops'!$B$1:$H$29</definedName>
    <definedName name="_xlnm.Print_Area" localSheetId="17">'Financial - AA'!$B$1:$P$34</definedName>
    <definedName name="_xlnm.Print_Area" localSheetId="20">'Financial Gas'!$B$1:$P$34</definedName>
    <definedName name="_xlnm.Print_Area" localSheetId="6">'Financial w-o AA'!$B$1:$P$34</definedName>
    <definedName name="_xlnm.Print_Area" localSheetId="48">'Fundies-All'!$B$1:$L$34</definedName>
    <definedName name="_xlnm.Print_Area" localSheetId="81">'Fundies-Hou'!$B$1:$L$34</definedName>
    <definedName name="_xlnm.Print_Area" localSheetId="83">'Gas - Fund'!$B$1:$L$34</definedName>
    <definedName name="_xlnm.Print_Area" localSheetId="87">'Gas - Struct'!$B$1:$L$34</definedName>
    <definedName name="_xlnm.Print_Area" localSheetId="37">'Gas A&amp;A'!$B$1:$L$34</definedName>
    <definedName name="_xlnm.Print_Area" localSheetId="76">HR!$B$1:$L$40</definedName>
    <definedName name="_xlnm.Print_Area" localSheetId="80">'IT All'!$B$1:$O$49</definedName>
    <definedName name="_xlnm.Print_Area" localSheetId="78">'IT Dev'!$B$1:$O$49</definedName>
    <definedName name="_xlnm.Print_Area" localSheetId="64">'IT Dev-EOL'!$B$1:$BA$49</definedName>
    <definedName name="_xlnm.Print_Area" localSheetId="79">'IT EOL'!$B$1:$M$39</definedName>
    <definedName name="_xlnm.Print_Area" localSheetId="65">'IT Infra'!$B$1:$BA$47</definedName>
    <definedName name="_xlnm.Print_Area" localSheetId="77">Legal!$B$1:$F$29</definedName>
    <definedName name="_xlnm.Print_Area" localSheetId="13">Mexico!$B$1:$L$34</definedName>
    <definedName name="_xlnm.Print_Area" localSheetId="71">'Mkt Risk '!$B$1:$M$41</definedName>
    <definedName name="_xlnm.Print_Area" localSheetId="70">'Mkt Risk - Combined'!$B$1:$M$41</definedName>
    <definedName name="_xlnm.Print_Area" localSheetId="42">'Natural Gas Admin'!$B$1:$L$34</definedName>
    <definedName name="_xlnm.Print_Area" localSheetId="34">'Office of the Chair'!$B$1:$M$40</definedName>
    <definedName name="_xlnm.Print_Area" localSheetId="41">'OOC Admin'!$B$1:$M$40</definedName>
    <definedName name="_xlnm.Print_Area" localSheetId="35">'OOC w-o Adm'!$B$1:$M$40</definedName>
    <definedName name="_xlnm.Print_Area" localSheetId="47">'Reg Affairs'!$B$1:$L$39</definedName>
    <definedName name="_xlnm.Print_Area" localSheetId="69">Research!$B$1:$M$41</definedName>
    <definedName name="_xlnm.Print_Area" localSheetId="72">Research1!$B$1:$M$41</definedName>
    <definedName name="_xlnm.Print_Area" localSheetId="51">SAP!$B$1:$M$40</definedName>
    <definedName name="_xlnm.Print_Area" localSheetId="49">Struct!$B$1:$O$35</definedName>
    <definedName name="_xlnm.Print_Area" localSheetId="1">'Summary 2002'!$A$1:$T$89</definedName>
    <definedName name="_xlnm.Print_Area" localSheetId="0">'Summary 2002 Revised'!$A$1:$T$156</definedName>
    <definedName name="_xlnm.Print_Area" localSheetId="75">Tax!$B$1:$F$29</definedName>
    <definedName name="_xlnm.Print_Area" localSheetId="7">'Texas - Orig'!$B$1:$L$34</definedName>
    <definedName name="_xlnm.Print_Area" localSheetId="16">'Texas-Trading AA'!$B$1:$L$34</definedName>
    <definedName name="_xlnm.Print_Area" localSheetId="2">'Texas-Trading w-o AA'!$B$1:$L$34</definedName>
    <definedName name="_xlnm.Print_Area" localSheetId="50">Weather!$B$1:$L$34</definedName>
    <definedName name="_xlnm.Print_Area" localSheetId="85">'West - Fund'!$B$1:$O$35</definedName>
    <definedName name="_xlnm.Print_Area" localSheetId="10">'West - Orig'!$B$1:$L$34</definedName>
    <definedName name="_xlnm.Print_Area" localSheetId="86">'West - Struct'!$B$1:$O$35</definedName>
    <definedName name="_xlnm.Print_Area" localSheetId="39">'West Power A&amp;A'!$B$1:$G$35</definedName>
    <definedName name="_xlnm.Print_Area" localSheetId="44">'West Power Admins'!$B$1:$U$35</definedName>
    <definedName name="_xlnm.Print_Area" localSheetId="31">'West Power Origination'!$B$1:$V$35</definedName>
    <definedName name="_xlnm.Print_Area" localSheetId="30">'West Power Trading'!$B$1:$U$35</definedName>
    <definedName name="_xlnm.Print_Area" localSheetId="15">'West-Trading AA'!$B$1:$L$34</definedName>
    <definedName name="_xlnm.Print_Area" localSheetId="5">'West-Trading w-o AA'!$B$1:$L$34</definedName>
    <definedName name="SAPFuncF4Help" localSheetId="45" hidden="1">Main.SAPF4Help()</definedName>
    <definedName name="SAPFuncF4Help" localSheetId="40" hidden="1">Main.SAPF4Help()</definedName>
    <definedName name="SAPFuncF4Help" localSheetId="46" hidden="1">Main.SAPF4Help()</definedName>
    <definedName name="SAPFuncF4Help" localSheetId="33" hidden="1">Main.SAPF4Help()</definedName>
    <definedName name="SAPFuncF4Help" localSheetId="67" hidden="1">Main.SAPF4Help()</definedName>
    <definedName name="SAPFuncF4Help" localSheetId="32" hidden="1">Main.SAPF4Help()</definedName>
    <definedName name="SAPFuncF4Help" localSheetId="74" hidden="1">Main.SAPF4Help()</definedName>
    <definedName name="SAPFuncF4Help" localSheetId="19" hidden="1">Main.SAPF4Help()</definedName>
    <definedName name="SAPFuncF4Help" localSheetId="9" hidden="1">Main.SAPF4Help()</definedName>
    <definedName name="SAPFuncF4Help" localSheetId="4" hidden="1">Main.SAPF4Help()</definedName>
    <definedName name="SAPFuncF4Help" localSheetId="82" hidden="1">Main.SAPF4Help()</definedName>
    <definedName name="SAPFuncF4Help" localSheetId="68" hidden="1">Main.SAPF4Help()</definedName>
    <definedName name="SAPFuncF4Help" localSheetId="38" hidden="1">Main.SAPF4Help()</definedName>
    <definedName name="SAPFuncF4Help" localSheetId="22" hidden="1">Main.SAPF4Help()</definedName>
    <definedName name="SAPFuncF4Help" localSheetId="18" hidden="1">Main.SAPF4Help()</definedName>
    <definedName name="SAPFuncF4Help" localSheetId="12" hidden="1">Main.SAPF4Help()</definedName>
    <definedName name="SAPFuncF4Help" localSheetId="11" hidden="1">Main.SAPF4Help()</definedName>
    <definedName name="SAPFuncF4Help" localSheetId="62" hidden="1">Main.SAPF4Help()</definedName>
    <definedName name="SAPFuncF4Help" localSheetId="84" hidden="1">Main.SAPF4Help()</definedName>
    <definedName name="SAPFuncF4Help" localSheetId="8" hidden="1">Main.SAPF4Help()</definedName>
    <definedName name="SAPFuncF4Help" localSheetId="36" hidden="1">Main.SAPF4Help()</definedName>
    <definedName name="SAPFuncF4Help" localSheetId="43" hidden="1">Main.SAPF4Help()</definedName>
    <definedName name="SAPFuncF4Help" localSheetId="29" hidden="1">Main.SAPF4Help()</definedName>
    <definedName name="SAPFuncF4Help" localSheetId="14" hidden="1">Main.SAPF4Help()</definedName>
    <definedName name="SAPFuncF4Help" localSheetId="3" hidden="1">Main.SAPF4Help()</definedName>
    <definedName name="SAPFuncF4Help" localSheetId="66" hidden="1">Main.SAPF4Help()</definedName>
    <definedName name="SAPFuncF4Help" localSheetId="52" hidden="1">Main.SAPF4Help()</definedName>
    <definedName name="SAPFuncF4Help" localSheetId="17" hidden="1">Main.SAPF4Help()</definedName>
    <definedName name="SAPFuncF4Help" localSheetId="20" hidden="1">Main.SAPF4Help()</definedName>
    <definedName name="SAPFuncF4Help" localSheetId="6" hidden="1">Main.SAPF4Help()</definedName>
    <definedName name="SAPFuncF4Help" localSheetId="48" hidden="1">Main.SAPF4Help()</definedName>
    <definedName name="SAPFuncF4Help" localSheetId="81" hidden="1">Main.SAPF4Help()</definedName>
    <definedName name="SAPFuncF4Help" localSheetId="83" hidden="1">Main.SAPF4Help()</definedName>
    <definedName name="SAPFuncF4Help" localSheetId="37" hidden="1">Main.SAPF4Help()</definedName>
    <definedName name="SAPFuncF4Help" localSheetId="55" hidden="1">Main.SAPF4Help()</definedName>
    <definedName name="SAPFuncF4Help" localSheetId="53" hidden="1">Main.SAPF4Help()</definedName>
    <definedName name="SAPFuncF4Help" localSheetId="56" hidden="1">Main.SAPF4Help()</definedName>
    <definedName name="SAPFuncF4Help" localSheetId="54" hidden="1">Main.SAPF4Help()</definedName>
    <definedName name="SAPFuncF4Help" localSheetId="76" hidden="1">Main.SAPF4Help()</definedName>
    <definedName name="SAPFuncF4Help" localSheetId="80" hidden="1">Main.SAPF4Help()</definedName>
    <definedName name="SAPFuncF4Help" localSheetId="78" hidden="1">Main.SAPF4Help()</definedName>
    <definedName name="SAPFuncF4Help" localSheetId="64" hidden="1">Main.SAPF4Help()</definedName>
    <definedName name="SAPFuncF4Help" localSheetId="79" hidden="1">Main.SAPF4Help()</definedName>
    <definedName name="SAPFuncF4Help" localSheetId="65" hidden="1">Main.SAPF4Help()</definedName>
    <definedName name="SAPFuncF4Help" localSheetId="77" hidden="1">Main.SAPF4Help()</definedName>
    <definedName name="SAPFuncF4Help" localSheetId="63" hidden="1">Main.SAPF4Help()</definedName>
    <definedName name="SAPFuncF4Help" localSheetId="13" hidden="1">Main.SAPF4Help()</definedName>
    <definedName name="SAPFuncF4Help" localSheetId="71" hidden="1">Main.SAPF4Help()</definedName>
    <definedName name="SAPFuncF4Help" localSheetId="70" hidden="1">Main.SAPF4Help()</definedName>
    <definedName name="SAPFuncF4Help" localSheetId="42" hidden="1">Main.SAPF4Help()</definedName>
    <definedName name="SAPFuncF4Help" localSheetId="34" hidden="1">Main.SAPF4Help()</definedName>
    <definedName name="SAPFuncF4Help" localSheetId="41" hidden="1">Main.SAPF4Help()</definedName>
    <definedName name="SAPFuncF4Help" localSheetId="35" hidden="1">Main.SAPF4Help()</definedName>
    <definedName name="SAPFuncF4Help" localSheetId="57" hidden="1">Main.SAPF4Help()</definedName>
    <definedName name="SAPFuncF4Help" localSheetId="61" hidden="1">Main.SAPF4Help()</definedName>
    <definedName name="SAPFuncF4Help" localSheetId="58" hidden="1">Main.SAPF4Help()</definedName>
    <definedName name="SAPFuncF4Help" localSheetId="47" hidden="1">Main.SAPF4Help()</definedName>
    <definedName name="SAPFuncF4Help" localSheetId="69" hidden="1">Main.SAPF4Help()</definedName>
    <definedName name="SAPFuncF4Help" localSheetId="72" hidden="1">Main.SAPF4Help()</definedName>
    <definedName name="SAPFuncF4Help" localSheetId="51" hidden="1">Main.SAPF4Help()</definedName>
    <definedName name="SAPFuncF4Help" localSheetId="49" hidden="1">Main.SAPF4Help()</definedName>
    <definedName name="SAPFuncF4Help" localSheetId="1" hidden="1">Main.SAPF4Help()</definedName>
    <definedName name="SAPFuncF4Help" localSheetId="0" hidden="1">Main.SAPF4Help()</definedName>
    <definedName name="SAPFuncF4Help" localSheetId="75" hidden="1">Main.SAPF4Help()</definedName>
    <definedName name="SAPFuncF4Help" localSheetId="7" hidden="1">Main.SAPF4Help()</definedName>
    <definedName name="SAPFuncF4Help" localSheetId="16" hidden="1">Main.SAPF4Help()</definedName>
    <definedName name="SAPFuncF4Help" localSheetId="2" hidden="1">Main.SAPF4Help()</definedName>
    <definedName name="SAPFuncF4Help" localSheetId="50" hidden="1">Main.SAPF4Help()</definedName>
    <definedName name="SAPFuncF4Help" localSheetId="85" hidden="1">Main.SAPF4Help()</definedName>
    <definedName name="SAPFuncF4Help" localSheetId="10" hidden="1">Main.SAPF4Help()</definedName>
    <definedName name="SAPFuncF4Help" localSheetId="86" hidden="1">Main.SAPF4Help()</definedName>
    <definedName name="SAPFuncF4Help" localSheetId="39" hidden="1">Main.SAPF4Help()</definedName>
    <definedName name="SAPFuncF4Help" localSheetId="44" hidden="1">Main.SAPF4Help()</definedName>
    <definedName name="SAPFuncF4Help" localSheetId="31" hidden="1">Main.SAPF4Help()</definedName>
    <definedName name="SAPFuncF4Help" localSheetId="30" hidden="1">Main.SAPF4Help()</definedName>
    <definedName name="SAPFuncF4Help" localSheetId="15" hidden="1">Main.SAPF4Help()</definedName>
    <definedName name="SAPFuncF4Help" localSheetId="5" hidden="1">Main.SAPF4Help()</definedName>
    <definedName name="SAPFuncF4Help" hidden="1">Main.SAPF4Help()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5" l="1"/>
  <c r="C8" i="5"/>
  <c r="E8" i="5"/>
  <c r="G8" i="5"/>
  <c r="K8" i="5"/>
  <c r="O8" i="5"/>
  <c r="C9" i="5"/>
  <c r="E9" i="5"/>
  <c r="O9" i="5"/>
  <c r="G10" i="5"/>
  <c r="O10" i="5"/>
  <c r="C11" i="5"/>
  <c r="E11" i="5"/>
  <c r="I11" i="5"/>
  <c r="J11" i="5"/>
  <c r="K11" i="5"/>
  <c r="O11" i="5"/>
  <c r="C12" i="5"/>
  <c r="E12" i="5"/>
  <c r="G12" i="5"/>
  <c r="O12" i="5"/>
  <c r="C13" i="5"/>
  <c r="E13" i="5"/>
  <c r="G13" i="5"/>
  <c r="K13" i="5"/>
  <c r="O13" i="5"/>
  <c r="C14" i="5"/>
  <c r="E14" i="5"/>
  <c r="G14" i="5"/>
  <c r="O14" i="5"/>
  <c r="C15" i="5"/>
  <c r="E15" i="5"/>
  <c r="G15" i="5"/>
  <c r="O15" i="5"/>
  <c r="C16" i="5"/>
  <c r="E16" i="5"/>
  <c r="G16" i="5"/>
  <c r="K16" i="5"/>
  <c r="O16" i="5"/>
  <c r="C17" i="5"/>
  <c r="E17" i="5"/>
  <c r="G17" i="5"/>
  <c r="K17" i="5"/>
  <c r="O17" i="5"/>
  <c r="C18" i="5"/>
  <c r="E18" i="5"/>
  <c r="G18" i="5"/>
  <c r="K18" i="5"/>
  <c r="O18" i="5"/>
  <c r="C19" i="5"/>
  <c r="E19" i="5"/>
  <c r="G19" i="5"/>
  <c r="K19" i="5"/>
  <c r="O19" i="5"/>
  <c r="C20" i="5"/>
  <c r="E20" i="5"/>
  <c r="G20" i="5"/>
  <c r="K20" i="5"/>
  <c r="O20" i="5"/>
  <c r="C21" i="5"/>
  <c r="E21" i="5"/>
  <c r="G21" i="5"/>
  <c r="J21" i="5"/>
  <c r="K21" i="5"/>
  <c r="O21" i="5"/>
  <c r="C22" i="5"/>
  <c r="E22" i="5"/>
  <c r="G22" i="5"/>
  <c r="K22" i="5"/>
  <c r="O22" i="5"/>
  <c r="C23" i="5"/>
  <c r="E23" i="5"/>
  <c r="G23" i="5"/>
  <c r="J23" i="5"/>
  <c r="K23" i="5"/>
  <c r="O23" i="5"/>
  <c r="K24" i="5"/>
  <c r="E25" i="5"/>
  <c r="G25" i="5"/>
  <c r="K25" i="5"/>
  <c r="O25" i="5"/>
  <c r="J26" i="5"/>
  <c r="K26" i="5"/>
  <c r="E27" i="5"/>
  <c r="G27" i="5"/>
  <c r="K27" i="5"/>
  <c r="O27" i="5"/>
  <c r="J28" i="5"/>
  <c r="K28" i="5"/>
  <c r="E29" i="5"/>
  <c r="G29" i="5"/>
  <c r="G34" i="5"/>
  <c r="H34" i="5"/>
  <c r="I34" i="5"/>
  <c r="J34" i="5"/>
  <c r="K34" i="5"/>
  <c r="B1" i="63"/>
  <c r="C8" i="63"/>
  <c r="E8" i="63"/>
  <c r="K8" i="63"/>
  <c r="O8" i="63"/>
  <c r="C9" i="63"/>
  <c r="E9" i="63"/>
  <c r="O9" i="63"/>
  <c r="G10" i="63"/>
  <c r="O10" i="63"/>
  <c r="C11" i="63"/>
  <c r="E11" i="63"/>
  <c r="G11" i="63"/>
  <c r="I11" i="63"/>
  <c r="J11" i="63"/>
  <c r="K11" i="63"/>
  <c r="O11" i="63"/>
  <c r="C12" i="63"/>
  <c r="E12" i="63"/>
  <c r="G12" i="63"/>
  <c r="O12" i="63"/>
  <c r="C13" i="63"/>
  <c r="E13" i="63"/>
  <c r="G13" i="63"/>
  <c r="K13" i="63"/>
  <c r="O13" i="63"/>
  <c r="C14" i="63"/>
  <c r="E14" i="63"/>
  <c r="G14" i="63"/>
  <c r="O14" i="63"/>
  <c r="C15" i="63"/>
  <c r="E15" i="63"/>
  <c r="G15" i="63"/>
  <c r="O15" i="63"/>
  <c r="C16" i="63"/>
  <c r="E16" i="63"/>
  <c r="G16" i="63"/>
  <c r="K16" i="63"/>
  <c r="O16" i="63"/>
  <c r="C17" i="63"/>
  <c r="E17" i="63"/>
  <c r="G17" i="63"/>
  <c r="K17" i="63"/>
  <c r="O17" i="63"/>
  <c r="C18" i="63"/>
  <c r="E18" i="63"/>
  <c r="G18" i="63"/>
  <c r="K18" i="63"/>
  <c r="O18" i="63"/>
  <c r="C19" i="63"/>
  <c r="E19" i="63"/>
  <c r="G19" i="63"/>
  <c r="K19" i="63"/>
  <c r="O19" i="63"/>
  <c r="C20" i="63"/>
  <c r="E20" i="63"/>
  <c r="G20" i="63"/>
  <c r="K20" i="63"/>
  <c r="O20" i="63"/>
  <c r="C21" i="63"/>
  <c r="E21" i="63"/>
  <c r="G21" i="63"/>
  <c r="J21" i="63"/>
  <c r="K21" i="63"/>
  <c r="O21" i="63"/>
  <c r="C22" i="63"/>
  <c r="E22" i="63"/>
  <c r="G22" i="63"/>
  <c r="K22" i="63"/>
  <c r="O22" i="63"/>
  <c r="C23" i="63"/>
  <c r="E23" i="63"/>
  <c r="G23" i="63"/>
  <c r="K23" i="63"/>
  <c r="O23" i="63"/>
  <c r="K24" i="63"/>
  <c r="E25" i="63"/>
  <c r="G25" i="63"/>
  <c r="K25" i="63"/>
  <c r="O25" i="63"/>
  <c r="K26" i="63"/>
  <c r="E27" i="63"/>
  <c r="G27" i="63"/>
  <c r="K27" i="63"/>
  <c r="O27" i="63"/>
  <c r="J28" i="63"/>
  <c r="K28" i="63"/>
  <c r="E29" i="63"/>
  <c r="G29" i="63"/>
  <c r="G34" i="63"/>
  <c r="H34" i="63"/>
  <c r="I34" i="63"/>
  <c r="J34" i="63"/>
  <c r="K34" i="63"/>
  <c r="B1" i="64"/>
  <c r="C8" i="64"/>
  <c r="E8" i="64"/>
  <c r="G8" i="64"/>
  <c r="K8" i="64"/>
  <c r="O8" i="64"/>
  <c r="C9" i="64"/>
  <c r="E9" i="64"/>
  <c r="O9" i="64"/>
  <c r="G10" i="64"/>
  <c r="O10" i="64"/>
  <c r="C11" i="64"/>
  <c r="E11" i="64"/>
  <c r="I11" i="64"/>
  <c r="J11" i="64"/>
  <c r="K11" i="64"/>
  <c r="O11" i="64"/>
  <c r="C12" i="64"/>
  <c r="E12" i="64"/>
  <c r="G12" i="64"/>
  <c r="O12" i="64"/>
  <c r="C13" i="64"/>
  <c r="E13" i="64"/>
  <c r="G13" i="64"/>
  <c r="K13" i="64"/>
  <c r="O13" i="64"/>
  <c r="C14" i="64"/>
  <c r="E14" i="64"/>
  <c r="G14" i="64"/>
  <c r="O14" i="64"/>
  <c r="C15" i="64"/>
  <c r="E15" i="64"/>
  <c r="G15" i="64"/>
  <c r="O15" i="64"/>
  <c r="C16" i="64"/>
  <c r="E16" i="64"/>
  <c r="G16" i="64"/>
  <c r="K16" i="64"/>
  <c r="O16" i="64"/>
  <c r="C17" i="64"/>
  <c r="E17" i="64"/>
  <c r="G17" i="64"/>
  <c r="K17" i="64"/>
  <c r="O17" i="64"/>
  <c r="C18" i="64"/>
  <c r="E18" i="64"/>
  <c r="G18" i="64"/>
  <c r="K18" i="64"/>
  <c r="O18" i="64"/>
  <c r="C19" i="64"/>
  <c r="E19" i="64"/>
  <c r="G19" i="64"/>
  <c r="K19" i="64"/>
  <c r="O19" i="64"/>
  <c r="C20" i="64"/>
  <c r="E20" i="64"/>
  <c r="G20" i="64"/>
  <c r="K20" i="64"/>
  <c r="O20" i="64"/>
  <c r="C21" i="64"/>
  <c r="E21" i="64"/>
  <c r="G21" i="64"/>
  <c r="K21" i="64"/>
  <c r="O21" i="64"/>
  <c r="C22" i="64"/>
  <c r="E22" i="64"/>
  <c r="G22" i="64"/>
  <c r="K22" i="64"/>
  <c r="O22" i="64"/>
  <c r="C23" i="64"/>
  <c r="E23" i="64"/>
  <c r="G23" i="64"/>
  <c r="K23" i="64"/>
  <c r="O23" i="64"/>
  <c r="K24" i="64"/>
  <c r="E25" i="64"/>
  <c r="G25" i="64"/>
  <c r="K25" i="64"/>
  <c r="O25" i="64"/>
  <c r="K26" i="64"/>
  <c r="E27" i="64"/>
  <c r="G27" i="64"/>
  <c r="K27" i="64"/>
  <c r="O27" i="64"/>
  <c r="J28" i="64"/>
  <c r="K28" i="64"/>
  <c r="E29" i="64"/>
  <c r="G29" i="64"/>
  <c r="G34" i="64"/>
  <c r="H34" i="64"/>
  <c r="I34" i="64"/>
  <c r="J34" i="64"/>
  <c r="K34" i="64"/>
  <c r="B1" i="62"/>
  <c r="C8" i="62"/>
  <c r="E8" i="62"/>
  <c r="G8" i="62"/>
  <c r="K8" i="62"/>
  <c r="O8" i="62"/>
  <c r="C9" i="62"/>
  <c r="E9" i="62"/>
  <c r="O9" i="62"/>
  <c r="G10" i="62"/>
  <c r="O10" i="62"/>
  <c r="C11" i="62"/>
  <c r="E11" i="62"/>
  <c r="G11" i="62"/>
  <c r="I11" i="62"/>
  <c r="J11" i="62"/>
  <c r="K11" i="62"/>
  <c r="O11" i="62"/>
  <c r="C12" i="62"/>
  <c r="E12" i="62"/>
  <c r="G12" i="62"/>
  <c r="O12" i="62"/>
  <c r="C13" i="62"/>
  <c r="E13" i="62"/>
  <c r="G13" i="62"/>
  <c r="K13" i="62"/>
  <c r="O13" i="62"/>
  <c r="C14" i="62"/>
  <c r="E14" i="62"/>
  <c r="G14" i="62"/>
  <c r="O14" i="62"/>
  <c r="C15" i="62"/>
  <c r="E15" i="62"/>
  <c r="G15" i="62"/>
  <c r="O15" i="62"/>
  <c r="C16" i="62"/>
  <c r="E16" i="62"/>
  <c r="G16" i="62"/>
  <c r="K16" i="62"/>
  <c r="O16" i="62"/>
  <c r="C17" i="62"/>
  <c r="E17" i="62"/>
  <c r="G17" i="62"/>
  <c r="K17" i="62"/>
  <c r="O17" i="62"/>
  <c r="C18" i="62"/>
  <c r="E18" i="62"/>
  <c r="G18" i="62"/>
  <c r="K18" i="62"/>
  <c r="O18" i="62"/>
  <c r="C19" i="62"/>
  <c r="E19" i="62"/>
  <c r="G19" i="62"/>
  <c r="K19" i="62"/>
  <c r="O19" i="62"/>
  <c r="C20" i="62"/>
  <c r="E20" i="62"/>
  <c r="G20" i="62"/>
  <c r="K20" i="62"/>
  <c r="O20" i="62"/>
  <c r="C21" i="62"/>
  <c r="E21" i="62"/>
  <c r="G21" i="62"/>
  <c r="K21" i="62"/>
  <c r="O21" i="62"/>
  <c r="C22" i="62"/>
  <c r="E22" i="62"/>
  <c r="G22" i="62"/>
  <c r="K22" i="62"/>
  <c r="O22" i="62"/>
  <c r="C23" i="62"/>
  <c r="E23" i="62"/>
  <c r="G23" i="62"/>
  <c r="K23" i="62"/>
  <c r="O23" i="62"/>
  <c r="K24" i="62"/>
  <c r="E25" i="62"/>
  <c r="K25" i="62"/>
  <c r="O25" i="62"/>
  <c r="K26" i="62"/>
  <c r="E27" i="62"/>
  <c r="G27" i="62"/>
  <c r="K27" i="62"/>
  <c r="O27" i="62"/>
  <c r="J28" i="62"/>
  <c r="K28" i="62"/>
  <c r="E29" i="62"/>
  <c r="G29" i="62"/>
  <c r="G34" i="62"/>
  <c r="H34" i="62"/>
  <c r="I34" i="62"/>
  <c r="J34" i="62"/>
  <c r="K34" i="62"/>
  <c r="B1" i="14"/>
  <c r="B2" i="14"/>
  <c r="C8" i="14"/>
  <c r="E8" i="14"/>
  <c r="F8" i="14"/>
  <c r="M8" i="14"/>
  <c r="O8" i="14"/>
  <c r="E9" i="14"/>
  <c r="F9" i="14"/>
  <c r="O9" i="14"/>
  <c r="E10" i="14"/>
  <c r="F10" i="14"/>
  <c r="O10" i="14"/>
  <c r="C11" i="14"/>
  <c r="E11" i="14"/>
  <c r="F11" i="14"/>
  <c r="K11" i="14"/>
  <c r="L11" i="14"/>
  <c r="M11" i="14"/>
  <c r="O11" i="14"/>
  <c r="C12" i="14"/>
  <c r="E12" i="14"/>
  <c r="F12" i="14"/>
  <c r="O12" i="14"/>
  <c r="C13" i="14"/>
  <c r="E13" i="14"/>
  <c r="F13" i="14"/>
  <c r="M13" i="14"/>
  <c r="O13" i="14"/>
  <c r="C14" i="14"/>
  <c r="E14" i="14"/>
  <c r="O14" i="14"/>
  <c r="C15" i="14"/>
  <c r="E15" i="14"/>
  <c r="F15" i="14"/>
  <c r="O15" i="14"/>
  <c r="C16" i="14"/>
  <c r="E16" i="14"/>
  <c r="F16" i="14"/>
  <c r="M16" i="14"/>
  <c r="O16" i="14"/>
  <c r="C17" i="14"/>
  <c r="E17" i="14"/>
  <c r="F17" i="14"/>
  <c r="M17" i="14"/>
  <c r="O17" i="14"/>
  <c r="C18" i="14"/>
  <c r="E18" i="14"/>
  <c r="F18" i="14"/>
  <c r="L18" i="14"/>
  <c r="M18" i="14"/>
  <c r="O18" i="14"/>
  <c r="C19" i="14"/>
  <c r="E19" i="14"/>
  <c r="F19" i="14"/>
  <c r="M19" i="14"/>
  <c r="O19" i="14"/>
  <c r="C20" i="14"/>
  <c r="E20" i="14"/>
  <c r="F20" i="14"/>
  <c r="M20" i="14"/>
  <c r="O20" i="14"/>
  <c r="C21" i="14"/>
  <c r="E21" i="14"/>
  <c r="F21" i="14"/>
  <c r="M21" i="14"/>
  <c r="O21" i="14"/>
  <c r="C22" i="14"/>
  <c r="E22" i="14"/>
  <c r="F22" i="14"/>
  <c r="L22" i="14"/>
  <c r="M22" i="14"/>
  <c r="O22" i="14"/>
  <c r="C23" i="14"/>
  <c r="E23" i="14"/>
  <c r="F23" i="14"/>
  <c r="O23" i="14"/>
  <c r="M25" i="14"/>
  <c r="O25" i="14"/>
  <c r="M26" i="14"/>
  <c r="M27" i="14"/>
  <c r="O27" i="14"/>
  <c r="L28" i="14"/>
  <c r="M28" i="14"/>
  <c r="E29" i="14"/>
  <c r="F29" i="14"/>
  <c r="C31" i="14"/>
  <c r="E31" i="14"/>
  <c r="M31" i="14"/>
  <c r="C32" i="14"/>
  <c r="E32" i="14"/>
  <c r="M32" i="14"/>
  <c r="C33" i="14"/>
  <c r="E33" i="14"/>
  <c r="L33" i="14"/>
  <c r="M33" i="14"/>
  <c r="C34" i="14"/>
  <c r="E34" i="14"/>
  <c r="M34" i="14"/>
  <c r="C35" i="14"/>
  <c r="E35" i="14"/>
  <c r="M35" i="14"/>
  <c r="C36" i="14"/>
  <c r="E36" i="14"/>
  <c r="M36" i="14"/>
  <c r="C37" i="14"/>
  <c r="E37" i="14"/>
  <c r="L37" i="14"/>
  <c r="M37" i="14"/>
  <c r="C38" i="14"/>
  <c r="E38" i="14"/>
  <c r="M40" i="14"/>
  <c r="C41" i="14"/>
  <c r="L41" i="14"/>
  <c r="M41" i="14"/>
  <c r="M42" i="14"/>
  <c r="L43" i="14"/>
  <c r="M43" i="14"/>
  <c r="M46" i="14"/>
  <c r="A47" i="14"/>
  <c r="B47" i="14"/>
  <c r="C47" i="14"/>
  <c r="E47" i="14"/>
  <c r="G47" i="14"/>
  <c r="L47" i="14"/>
  <c r="M47" i="14"/>
  <c r="M49" i="14"/>
  <c r="M50" i="14"/>
  <c r="L51" i="14"/>
  <c r="M51" i="14"/>
  <c r="B1" i="61"/>
  <c r="C8" i="61"/>
  <c r="E8" i="61"/>
  <c r="G8" i="61"/>
  <c r="K8" i="61"/>
  <c r="O8" i="61"/>
  <c r="C9" i="61"/>
  <c r="E9" i="61"/>
  <c r="O9" i="61"/>
  <c r="G10" i="61"/>
  <c r="O10" i="61"/>
  <c r="C11" i="61"/>
  <c r="E11" i="61"/>
  <c r="G11" i="61"/>
  <c r="I11" i="61"/>
  <c r="J11" i="61"/>
  <c r="K11" i="61"/>
  <c r="O11" i="61"/>
  <c r="C12" i="61"/>
  <c r="E12" i="61"/>
  <c r="G12" i="61"/>
  <c r="O12" i="61"/>
  <c r="C13" i="61"/>
  <c r="E13" i="61"/>
  <c r="G13" i="61"/>
  <c r="K13" i="61"/>
  <c r="O13" i="61"/>
  <c r="C14" i="61"/>
  <c r="E14" i="61"/>
  <c r="G14" i="61"/>
  <c r="O14" i="61"/>
  <c r="C15" i="61"/>
  <c r="E15" i="61"/>
  <c r="G15" i="61"/>
  <c r="O15" i="61"/>
  <c r="C16" i="61"/>
  <c r="E16" i="61"/>
  <c r="G16" i="61"/>
  <c r="K16" i="61"/>
  <c r="O16" i="61"/>
  <c r="C17" i="61"/>
  <c r="E17" i="61"/>
  <c r="G17" i="61"/>
  <c r="K17" i="61"/>
  <c r="O17" i="61"/>
  <c r="C18" i="61"/>
  <c r="E18" i="61"/>
  <c r="G18" i="61"/>
  <c r="K18" i="61"/>
  <c r="O18" i="61"/>
  <c r="C19" i="61"/>
  <c r="E19" i="61"/>
  <c r="G19" i="61"/>
  <c r="K19" i="61"/>
  <c r="O19" i="61"/>
  <c r="C20" i="61"/>
  <c r="E20" i="61"/>
  <c r="G20" i="61"/>
  <c r="K20" i="61"/>
  <c r="O20" i="61"/>
  <c r="C21" i="61"/>
  <c r="E21" i="61"/>
  <c r="G21" i="61"/>
  <c r="K21" i="61"/>
  <c r="O21" i="61"/>
  <c r="C22" i="61"/>
  <c r="E22" i="61"/>
  <c r="G22" i="61"/>
  <c r="K22" i="61"/>
  <c r="O22" i="61"/>
  <c r="C23" i="61"/>
  <c r="E23" i="61"/>
  <c r="G23" i="61"/>
  <c r="K23" i="61"/>
  <c r="O23" i="61"/>
  <c r="K24" i="61"/>
  <c r="E25" i="61"/>
  <c r="K25" i="61"/>
  <c r="O25" i="61"/>
  <c r="K26" i="61"/>
  <c r="E27" i="61"/>
  <c r="G27" i="61"/>
  <c r="K27" i="61"/>
  <c r="O27" i="61"/>
  <c r="J28" i="61"/>
  <c r="K28" i="61"/>
  <c r="E29" i="61"/>
  <c r="G29" i="61"/>
  <c r="G34" i="61"/>
  <c r="H34" i="61"/>
  <c r="I34" i="61"/>
  <c r="J34" i="61"/>
  <c r="K34" i="61"/>
  <c r="B1" i="8"/>
  <c r="C8" i="8"/>
  <c r="E8" i="8"/>
  <c r="F8" i="8"/>
  <c r="V8" i="8"/>
  <c r="E9" i="8"/>
  <c r="L9" i="8"/>
  <c r="M9" i="8"/>
  <c r="Q9" i="8"/>
  <c r="R9" i="8"/>
  <c r="V9" i="8"/>
  <c r="E10" i="8"/>
  <c r="V10" i="8"/>
  <c r="C11" i="8"/>
  <c r="E11" i="8"/>
  <c r="F11" i="8"/>
  <c r="V11" i="8"/>
  <c r="C12" i="8"/>
  <c r="E12" i="8"/>
  <c r="F12" i="8"/>
  <c r="K12" i="8"/>
  <c r="L12" i="8"/>
  <c r="M12" i="8"/>
  <c r="P12" i="8"/>
  <c r="Q12" i="8"/>
  <c r="R12" i="8"/>
  <c r="V12" i="8"/>
  <c r="C13" i="8"/>
  <c r="E13" i="8"/>
  <c r="F13" i="8"/>
  <c r="V13" i="8"/>
  <c r="E14" i="8"/>
  <c r="M14" i="8"/>
  <c r="R14" i="8"/>
  <c r="V14" i="8"/>
  <c r="C15" i="8"/>
  <c r="E15" i="8"/>
  <c r="F15" i="8"/>
  <c r="V15" i="8"/>
  <c r="C16" i="8"/>
  <c r="E16" i="8"/>
  <c r="F16" i="8"/>
  <c r="M16" i="8"/>
  <c r="N16" i="8"/>
  <c r="V16" i="8"/>
  <c r="C17" i="8"/>
  <c r="E17" i="8"/>
  <c r="F17" i="8"/>
  <c r="K17" i="8"/>
  <c r="M17" i="8"/>
  <c r="P17" i="8"/>
  <c r="R17" i="8"/>
  <c r="V17" i="8"/>
  <c r="C18" i="8"/>
  <c r="E18" i="8"/>
  <c r="F18" i="8"/>
  <c r="K18" i="8"/>
  <c r="M18" i="8"/>
  <c r="P18" i="8"/>
  <c r="R18" i="8"/>
  <c r="V18" i="8"/>
  <c r="C19" i="8"/>
  <c r="E19" i="8"/>
  <c r="F19" i="8"/>
  <c r="M19" i="8"/>
  <c r="R19" i="8"/>
  <c r="V19" i="8"/>
  <c r="C20" i="8"/>
  <c r="E20" i="8"/>
  <c r="F20" i="8"/>
  <c r="M20" i="8"/>
  <c r="R20" i="8"/>
  <c r="V20" i="8"/>
  <c r="C21" i="8"/>
  <c r="E21" i="8"/>
  <c r="F21" i="8"/>
  <c r="M21" i="8"/>
  <c r="R21" i="8"/>
  <c r="V21" i="8"/>
  <c r="C22" i="8"/>
  <c r="E22" i="8"/>
  <c r="F22" i="8"/>
  <c r="M22" i="8"/>
  <c r="R22" i="8"/>
  <c r="V22" i="8"/>
  <c r="C23" i="8"/>
  <c r="E23" i="8"/>
  <c r="F23" i="8"/>
  <c r="M23" i="8"/>
  <c r="R23" i="8"/>
  <c r="V23" i="8"/>
  <c r="M24" i="8"/>
  <c r="R24" i="8"/>
  <c r="F25" i="8"/>
  <c r="M25" i="8"/>
  <c r="R25" i="8"/>
  <c r="V25" i="8"/>
  <c r="M26" i="8"/>
  <c r="R26" i="8"/>
  <c r="M27" i="8"/>
  <c r="R27" i="8"/>
  <c r="V27" i="8"/>
  <c r="L28" i="8"/>
  <c r="M28" i="8"/>
  <c r="Q28" i="8"/>
  <c r="R28" i="8"/>
  <c r="E29" i="8"/>
  <c r="F29" i="8"/>
  <c r="C31" i="8"/>
  <c r="E31" i="8"/>
  <c r="C32" i="8"/>
  <c r="E32" i="8"/>
  <c r="M32" i="8"/>
  <c r="R32" i="8"/>
  <c r="C33" i="8"/>
  <c r="E33" i="8"/>
  <c r="C34" i="8"/>
  <c r="E34" i="8"/>
  <c r="C35" i="8"/>
  <c r="E35" i="8"/>
  <c r="C36" i="8"/>
  <c r="E36" i="8"/>
  <c r="C37" i="8"/>
  <c r="E37" i="8"/>
  <c r="J37" i="8"/>
  <c r="L37" i="8"/>
  <c r="M37" i="8"/>
  <c r="O37" i="8"/>
  <c r="C38" i="8"/>
  <c r="E38" i="8"/>
  <c r="J43" i="8"/>
  <c r="M43" i="8"/>
  <c r="O43" i="8"/>
  <c r="C46" i="8"/>
  <c r="B1" i="75"/>
  <c r="C8" i="75"/>
  <c r="E8" i="75"/>
  <c r="G8" i="75"/>
  <c r="L8" i="75"/>
  <c r="C9" i="75"/>
  <c r="G9" i="75"/>
  <c r="C10" i="75"/>
  <c r="E10" i="75"/>
  <c r="G10" i="75"/>
  <c r="H10" i="75"/>
  <c r="C11" i="75"/>
  <c r="E11" i="75"/>
  <c r="G11" i="75"/>
  <c r="H11" i="75"/>
  <c r="J11" i="75"/>
  <c r="K11" i="75"/>
  <c r="L11" i="75"/>
  <c r="C12" i="75"/>
  <c r="E12" i="75"/>
  <c r="G12" i="75"/>
  <c r="H12" i="75"/>
  <c r="C13" i="75"/>
  <c r="E13" i="75"/>
  <c r="G13" i="75"/>
  <c r="L13" i="75"/>
  <c r="C14" i="75"/>
  <c r="E14" i="75"/>
  <c r="G14" i="75"/>
  <c r="H14" i="75"/>
  <c r="C15" i="75"/>
  <c r="E15" i="75"/>
  <c r="G15" i="75"/>
  <c r="H15" i="75"/>
  <c r="C16" i="75"/>
  <c r="E16" i="75"/>
  <c r="G16" i="75"/>
  <c r="H16" i="75"/>
  <c r="K16" i="75"/>
  <c r="L16" i="75"/>
  <c r="C17" i="75"/>
  <c r="E17" i="75"/>
  <c r="G17" i="75"/>
  <c r="H17" i="75"/>
  <c r="L17" i="75"/>
  <c r="C18" i="75"/>
  <c r="E18" i="75"/>
  <c r="G18" i="75"/>
  <c r="H18" i="75"/>
  <c r="L18" i="75"/>
  <c r="C19" i="75"/>
  <c r="E19" i="75"/>
  <c r="G19" i="75"/>
  <c r="H19" i="75"/>
  <c r="L19" i="75"/>
  <c r="C20" i="75"/>
  <c r="E20" i="75"/>
  <c r="G20" i="75"/>
  <c r="H20" i="75"/>
  <c r="L20" i="75"/>
  <c r="C21" i="75"/>
  <c r="E21" i="75"/>
  <c r="G21" i="75"/>
  <c r="H21" i="75"/>
  <c r="L21" i="75"/>
  <c r="C22" i="75"/>
  <c r="E22" i="75"/>
  <c r="G22" i="75"/>
  <c r="L22" i="75"/>
  <c r="C23" i="75"/>
  <c r="E23" i="75"/>
  <c r="G23" i="75"/>
  <c r="H23" i="75"/>
  <c r="L23" i="75"/>
  <c r="L24" i="75"/>
  <c r="E25" i="75"/>
  <c r="H25" i="75"/>
  <c r="L25" i="75"/>
  <c r="L26" i="75"/>
  <c r="E27" i="75"/>
  <c r="H27" i="75"/>
  <c r="L27" i="75"/>
  <c r="K28" i="75"/>
  <c r="L28" i="75"/>
  <c r="E29" i="75"/>
  <c r="H29" i="75"/>
  <c r="L30" i="75"/>
  <c r="H34" i="75"/>
  <c r="I34" i="75"/>
  <c r="J34" i="75"/>
  <c r="K34" i="75"/>
  <c r="L34" i="75"/>
  <c r="B1" i="70"/>
  <c r="C8" i="70"/>
  <c r="E8" i="70"/>
  <c r="G8" i="70"/>
  <c r="H8" i="70"/>
  <c r="L8" i="70"/>
  <c r="C9" i="70"/>
  <c r="G9" i="70"/>
  <c r="C10" i="70"/>
  <c r="E10" i="70"/>
  <c r="G10" i="70"/>
  <c r="H10" i="70"/>
  <c r="C11" i="70"/>
  <c r="E11" i="70"/>
  <c r="G11" i="70"/>
  <c r="H11" i="70"/>
  <c r="J11" i="70"/>
  <c r="K11" i="70"/>
  <c r="L11" i="70"/>
  <c r="C12" i="70"/>
  <c r="E12" i="70"/>
  <c r="G12" i="70"/>
  <c r="H12" i="70"/>
  <c r="C13" i="70"/>
  <c r="E13" i="70"/>
  <c r="G13" i="70"/>
  <c r="H13" i="70"/>
  <c r="L13" i="70"/>
  <c r="C14" i="70"/>
  <c r="E14" i="70"/>
  <c r="G14" i="70"/>
  <c r="H14" i="70"/>
  <c r="C15" i="70"/>
  <c r="E15" i="70"/>
  <c r="G15" i="70"/>
  <c r="H15" i="70"/>
  <c r="C16" i="70"/>
  <c r="E16" i="70"/>
  <c r="G16" i="70"/>
  <c r="H16" i="70"/>
  <c r="K16" i="70"/>
  <c r="L16" i="70"/>
  <c r="C17" i="70"/>
  <c r="E17" i="70"/>
  <c r="G17" i="70"/>
  <c r="H17" i="70"/>
  <c r="L17" i="70"/>
  <c r="C18" i="70"/>
  <c r="E18" i="70"/>
  <c r="G18" i="70"/>
  <c r="H18" i="70"/>
  <c r="L18" i="70"/>
  <c r="C19" i="70"/>
  <c r="E19" i="70"/>
  <c r="G19" i="70"/>
  <c r="L19" i="70"/>
  <c r="C20" i="70"/>
  <c r="E20" i="70"/>
  <c r="G20" i="70"/>
  <c r="H20" i="70"/>
  <c r="L20" i="70"/>
  <c r="C21" i="70"/>
  <c r="E21" i="70"/>
  <c r="G21" i="70"/>
  <c r="H21" i="70"/>
  <c r="L21" i="70"/>
  <c r="C22" i="70"/>
  <c r="E22" i="70"/>
  <c r="G22" i="70"/>
  <c r="L22" i="70"/>
  <c r="C23" i="70"/>
  <c r="E23" i="70"/>
  <c r="G23" i="70"/>
  <c r="H23" i="70"/>
  <c r="K23" i="70"/>
  <c r="L23" i="70"/>
  <c r="K24" i="70"/>
  <c r="L24" i="70"/>
  <c r="E25" i="70"/>
  <c r="H25" i="70"/>
  <c r="L25" i="70"/>
  <c r="L26" i="70"/>
  <c r="E27" i="70"/>
  <c r="H27" i="70"/>
  <c r="L27" i="70"/>
  <c r="K28" i="70"/>
  <c r="L28" i="70"/>
  <c r="E29" i="70"/>
  <c r="H29" i="70"/>
  <c r="L30" i="70"/>
  <c r="H34" i="70"/>
  <c r="I34" i="70"/>
  <c r="J34" i="70"/>
  <c r="K34" i="70"/>
  <c r="L34" i="70"/>
  <c r="B1" i="74"/>
  <c r="C8" i="74"/>
  <c r="E8" i="74"/>
  <c r="G8" i="74"/>
  <c r="H8" i="74"/>
  <c r="L8" i="74"/>
  <c r="C9" i="74"/>
  <c r="G9" i="74"/>
  <c r="C10" i="74"/>
  <c r="E10" i="74"/>
  <c r="G10" i="74"/>
  <c r="H10" i="74"/>
  <c r="C11" i="74"/>
  <c r="E11" i="74"/>
  <c r="G11" i="74"/>
  <c r="H11" i="74"/>
  <c r="J11" i="74"/>
  <c r="K11" i="74"/>
  <c r="L11" i="74"/>
  <c r="C12" i="74"/>
  <c r="E12" i="74"/>
  <c r="G12" i="74"/>
  <c r="H12" i="74"/>
  <c r="C13" i="74"/>
  <c r="E13" i="74"/>
  <c r="G13" i="74"/>
  <c r="L13" i="74"/>
  <c r="C14" i="74"/>
  <c r="E14" i="74"/>
  <c r="G14" i="74"/>
  <c r="H14" i="74"/>
  <c r="C15" i="74"/>
  <c r="E15" i="74"/>
  <c r="G15" i="74"/>
  <c r="H15" i="74"/>
  <c r="C16" i="74"/>
  <c r="E16" i="74"/>
  <c r="G16" i="74"/>
  <c r="H16" i="74"/>
  <c r="K16" i="74"/>
  <c r="L16" i="74"/>
  <c r="C17" i="74"/>
  <c r="E17" i="74"/>
  <c r="G17" i="74"/>
  <c r="H17" i="74"/>
  <c r="L17" i="74"/>
  <c r="C18" i="74"/>
  <c r="E18" i="74"/>
  <c r="G18" i="74"/>
  <c r="H18" i="74"/>
  <c r="L18" i="74"/>
  <c r="C19" i="74"/>
  <c r="E19" i="74"/>
  <c r="G19" i="74"/>
  <c r="H19" i="74"/>
  <c r="L19" i="74"/>
  <c r="C20" i="74"/>
  <c r="E20" i="74"/>
  <c r="G20" i="74"/>
  <c r="H20" i="74"/>
  <c r="L20" i="74"/>
  <c r="C21" i="74"/>
  <c r="E21" i="74"/>
  <c r="G21" i="74"/>
  <c r="H21" i="74"/>
  <c r="L21" i="74"/>
  <c r="C22" i="74"/>
  <c r="E22" i="74"/>
  <c r="G22" i="74"/>
  <c r="L22" i="74"/>
  <c r="C23" i="74"/>
  <c r="E23" i="74"/>
  <c r="G23" i="74"/>
  <c r="H23" i="74"/>
  <c r="L23" i="74"/>
  <c r="L24" i="74"/>
  <c r="E25" i="74"/>
  <c r="H25" i="74"/>
  <c r="L25" i="74"/>
  <c r="L26" i="74"/>
  <c r="E27" i="74"/>
  <c r="H27" i="74"/>
  <c r="L27" i="74"/>
  <c r="K28" i="74"/>
  <c r="L28" i="74"/>
  <c r="E29" i="74"/>
  <c r="H29" i="74"/>
  <c r="L30" i="74"/>
  <c r="H34" i="74"/>
  <c r="I34" i="74"/>
  <c r="J34" i="74"/>
  <c r="K34" i="74"/>
  <c r="L34" i="74"/>
  <c r="B1" i="10"/>
  <c r="B2" i="10"/>
  <c r="C8" i="10"/>
  <c r="E8" i="10"/>
  <c r="F8" i="10"/>
  <c r="O8" i="10"/>
  <c r="E9" i="10"/>
  <c r="F9" i="10"/>
  <c r="K9" i="10"/>
  <c r="L9" i="10"/>
  <c r="O9" i="10"/>
  <c r="E10" i="10"/>
  <c r="F10" i="10"/>
  <c r="O10" i="10"/>
  <c r="C11" i="10"/>
  <c r="E11" i="10"/>
  <c r="F11" i="10"/>
  <c r="O11" i="10"/>
  <c r="C12" i="10"/>
  <c r="E12" i="10"/>
  <c r="F12" i="10"/>
  <c r="J12" i="10"/>
  <c r="K12" i="10"/>
  <c r="L12" i="10"/>
  <c r="O12" i="10"/>
  <c r="C13" i="10"/>
  <c r="E13" i="10"/>
  <c r="F13" i="10"/>
  <c r="O13" i="10"/>
  <c r="C14" i="10"/>
  <c r="E14" i="10"/>
  <c r="F14" i="10"/>
  <c r="L14" i="10"/>
  <c r="O14" i="10"/>
  <c r="C15" i="10"/>
  <c r="E15" i="10"/>
  <c r="F15" i="10"/>
  <c r="O15" i="10"/>
  <c r="C16" i="10"/>
  <c r="E16" i="10"/>
  <c r="F16" i="10"/>
  <c r="O16" i="10"/>
  <c r="C17" i="10"/>
  <c r="E17" i="10"/>
  <c r="F17" i="10"/>
  <c r="J17" i="10"/>
  <c r="K17" i="10"/>
  <c r="L17" i="10"/>
  <c r="O17" i="10"/>
  <c r="C18" i="10"/>
  <c r="E18" i="10"/>
  <c r="F18" i="10"/>
  <c r="L18" i="10"/>
  <c r="O18" i="10"/>
  <c r="C19" i="10"/>
  <c r="E19" i="10"/>
  <c r="F19" i="10"/>
  <c r="L19" i="10"/>
  <c r="O19" i="10"/>
  <c r="C20" i="10"/>
  <c r="E20" i="10"/>
  <c r="F20" i="10"/>
  <c r="L20" i="10"/>
  <c r="O20" i="10"/>
  <c r="C21" i="10"/>
  <c r="E21" i="10"/>
  <c r="F21" i="10"/>
  <c r="L21" i="10"/>
  <c r="O21" i="10"/>
  <c r="C22" i="10"/>
  <c r="E22" i="10"/>
  <c r="F22" i="10"/>
  <c r="L22" i="10"/>
  <c r="O22" i="10"/>
  <c r="C23" i="10"/>
  <c r="E23" i="10"/>
  <c r="F23" i="10"/>
  <c r="L23" i="10"/>
  <c r="O23" i="10"/>
  <c r="L24" i="10"/>
  <c r="F25" i="10"/>
  <c r="L25" i="10"/>
  <c r="O25" i="10"/>
  <c r="L26" i="10"/>
  <c r="L27" i="10"/>
  <c r="O27" i="10"/>
  <c r="K28" i="10"/>
  <c r="L28" i="10"/>
  <c r="E29" i="10"/>
  <c r="F29" i="10"/>
  <c r="K29" i="10"/>
  <c r="L29" i="10"/>
  <c r="C31" i="10"/>
  <c r="E31" i="10"/>
  <c r="C32" i="10"/>
  <c r="E32" i="10"/>
  <c r="C33" i="10"/>
  <c r="E33" i="10"/>
  <c r="L33" i="10"/>
  <c r="C34" i="10"/>
  <c r="E34" i="10"/>
  <c r="C35" i="10"/>
  <c r="E35" i="10"/>
  <c r="C36" i="10"/>
  <c r="E36" i="10"/>
  <c r="C37" i="10"/>
  <c r="E37" i="10"/>
  <c r="C38" i="10"/>
  <c r="E38" i="10"/>
  <c r="G40" i="10"/>
  <c r="I40" i="10"/>
  <c r="J40" i="10"/>
  <c r="K40" i="10"/>
  <c r="L40" i="10"/>
  <c r="C41" i="10"/>
  <c r="B1" i="12"/>
  <c r="G8" i="12"/>
  <c r="O8" i="12"/>
  <c r="E9" i="12"/>
  <c r="K9" i="12"/>
  <c r="L9" i="12"/>
  <c r="O9" i="12"/>
  <c r="E10" i="12"/>
  <c r="G10" i="12"/>
  <c r="O10" i="12"/>
  <c r="E11" i="12"/>
  <c r="G11" i="12"/>
  <c r="O11" i="12"/>
  <c r="E12" i="12"/>
  <c r="G12" i="12"/>
  <c r="J12" i="12"/>
  <c r="K12" i="12"/>
  <c r="L12" i="12"/>
  <c r="O12" i="12"/>
  <c r="E13" i="12"/>
  <c r="G13" i="12"/>
  <c r="O13" i="12"/>
  <c r="E14" i="12"/>
  <c r="G14" i="12"/>
  <c r="L14" i="12"/>
  <c r="O14" i="12"/>
  <c r="E15" i="12"/>
  <c r="G15" i="12"/>
  <c r="O15" i="12"/>
  <c r="C16" i="12"/>
  <c r="E16" i="12"/>
  <c r="G16" i="12"/>
  <c r="O16" i="12"/>
  <c r="C17" i="12"/>
  <c r="E17" i="12"/>
  <c r="G17" i="12"/>
  <c r="L17" i="12"/>
  <c r="O17" i="12"/>
  <c r="E18" i="12"/>
  <c r="G18" i="12"/>
  <c r="L18" i="12"/>
  <c r="O18" i="12"/>
  <c r="E19" i="12"/>
  <c r="G19" i="12"/>
  <c r="L19" i="12"/>
  <c r="O19" i="12"/>
  <c r="E20" i="12"/>
  <c r="G20" i="12"/>
  <c r="L20" i="12"/>
  <c r="O20" i="12"/>
  <c r="C21" i="12"/>
  <c r="E21" i="12"/>
  <c r="G21" i="12"/>
  <c r="L21" i="12"/>
  <c r="O21" i="12"/>
  <c r="E22" i="12"/>
  <c r="G22" i="12"/>
  <c r="L22" i="12"/>
  <c r="O22" i="12"/>
  <c r="E23" i="12"/>
  <c r="G23" i="12"/>
  <c r="L23" i="12"/>
  <c r="O23" i="12"/>
  <c r="C24" i="12"/>
  <c r="E24" i="12"/>
  <c r="G24" i="12"/>
  <c r="L24" i="12"/>
  <c r="O24" i="12"/>
  <c r="L25" i="12"/>
  <c r="G26" i="12"/>
  <c r="L26" i="12"/>
  <c r="L27" i="12"/>
  <c r="G28" i="12"/>
  <c r="L28" i="12"/>
  <c r="K29" i="12"/>
  <c r="L29" i="12"/>
  <c r="E30" i="12"/>
  <c r="G30" i="12"/>
  <c r="O30" i="12"/>
  <c r="C32" i="12"/>
  <c r="E32" i="12"/>
  <c r="C33" i="12"/>
  <c r="E33" i="12"/>
  <c r="L33" i="12"/>
  <c r="C34" i="12"/>
  <c r="E34" i="12"/>
  <c r="C35" i="12"/>
  <c r="E35" i="12"/>
  <c r="C36" i="12"/>
  <c r="E36" i="12"/>
  <c r="C37" i="12"/>
  <c r="E37" i="12"/>
  <c r="C38" i="12"/>
  <c r="E38" i="12"/>
  <c r="C39" i="12"/>
  <c r="E39" i="12"/>
  <c r="H40" i="12"/>
  <c r="I40" i="12"/>
  <c r="J40" i="12"/>
  <c r="K40" i="12"/>
  <c r="L40" i="12"/>
  <c r="C45" i="12"/>
  <c r="B1" i="101"/>
  <c r="C8" i="101"/>
  <c r="E8" i="101"/>
  <c r="G8" i="101"/>
  <c r="L8" i="101"/>
  <c r="C9" i="101"/>
  <c r="G9" i="101"/>
  <c r="C10" i="101"/>
  <c r="E10" i="101"/>
  <c r="G10" i="101"/>
  <c r="H10" i="101"/>
  <c r="C11" i="101"/>
  <c r="E11" i="101"/>
  <c r="G11" i="101"/>
  <c r="H11" i="101"/>
  <c r="J11" i="101"/>
  <c r="K11" i="101"/>
  <c r="L11" i="101"/>
  <c r="C12" i="101"/>
  <c r="E12" i="101"/>
  <c r="G12" i="101"/>
  <c r="H12" i="101"/>
  <c r="C13" i="101"/>
  <c r="E13" i="101"/>
  <c r="G13" i="101"/>
  <c r="H13" i="101"/>
  <c r="L13" i="101"/>
  <c r="C14" i="101"/>
  <c r="E14" i="101"/>
  <c r="G14" i="101"/>
  <c r="H14" i="101"/>
  <c r="C15" i="101"/>
  <c r="E15" i="101"/>
  <c r="G15" i="101"/>
  <c r="H15" i="101"/>
  <c r="C16" i="101"/>
  <c r="E16" i="101"/>
  <c r="G16" i="101"/>
  <c r="H16" i="101"/>
  <c r="K16" i="101"/>
  <c r="L16" i="101"/>
  <c r="C17" i="101"/>
  <c r="E17" i="101"/>
  <c r="G17" i="101"/>
  <c r="H17" i="101"/>
  <c r="L17" i="101"/>
  <c r="C18" i="101"/>
  <c r="E18" i="101"/>
  <c r="G18" i="101"/>
  <c r="H18" i="101"/>
  <c r="L18" i="101"/>
  <c r="C19" i="101"/>
  <c r="E19" i="101"/>
  <c r="G19" i="101"/>
  <c r="H19" i="101"/>
  <c r="L19" i="101"/>
  <c r="C20" i="101"/>
  <c r="E20" i="101"/>
  <c r="G20" i="101"/>
  <c r="H20" i="101"/>
  <c r="L20" i="101"/>
  <c r="C21" i="101"/>
  <c r="E21" i="101"/>
  <c r="G21" i="101"/>
  <c r="H21" i="101"/>
  <c r="L21" i="101"/>
  <c r="C22" i="101"/>
  <c r="E22" i="101"/>
  <c r="G22" i="101"/>
  <c r="L22" i="101"/>
  <c r="C23" i="101"/>
  <c r="E23" i="101"/>
  <c r="G23" i="101"/>
  <c r="H23" i="101"/>
  <c r="L23" i="101"/>
  <c r="L24" i="101"/>
  <c r="E25" i="101"/>
  <c r="H25" i="101"/>
  <c r="L25" i="101"/>
  <c r="L26" i="101"/>
  <c r="E27" i="101"/>
  <c r="H27" i="101"/>
  <c r="L27" i="101"/>
  <c r="K28" i="101"/>
  <c r="L28" i="101"/>
  <c r="E29" i="101"/>
  <c r="H29" i="101"/>
  <c r="L30" i="101"/>
  <c r="H34" i="101"/>
  <c r="I34" i="101"/>
  <c r="J34" i="101"/>
  <c r="K34" i="101"/>
  <c r="L34" i="101"/>
  <c r="B1" i="100"/>
  <c r="C8" i="100"/>
  <c r="E8" i="100"/>
  <c r="G8" i="100"/>
  <c r="H8" i="100"/>
  <c r="L8" i="100"/>
  <c r="C9" i="100"/>
  <c r="G9" i="100"/>
  <c r="C10" i="100"/>
  <c r="E10" i="100"/>
  <c r="G10" i="100"/>
  <c r="H10" i="100"/>
  <c r="C11" i="100"/>
  <c r="E11" i="100"/>
  <c r="G11" i="100"/>
  <c r="H11" i="100"/>
  <c r="J11" i="100"/>
  <c r="K11" i="100"/>
  <c r="L11" i="100"/>
  <c r="C12" i="100"/>
  <c r="E12" i="100"/>
  <c r="G12" i="100"/>
  <c r="H12" i="100"/>
  <c r="C13" i="100"/>
  <c r="E13" i="100"/>
  <c r="G13" i="100"/>
  <c r="H13" i="100"/>
  <c r="L13" i="100"/>
  <c r="C14" i="100"/>
  <c r="E14" i="100"/>
  <c r="G14" i="100"/>
  <c r="H14" i="100"/>
  <c r="C15" i="100"/>
  <c r="E15" i="100"/>
  <c r="G15" i="100"/>
  <c r="H15" i="100"/>
  <c r="C16" i="100"/>
  <c r="E16" i="100"/>
  <c r="G16" i="100"/>
  <c r="H16" i="100"/>
  <c r="K16" i="100"/>
  <c r="L16" i="100"/>
  <c r="C17" i="100"/>
  <c r="E17" i="100"/>
  <c r="G17" i="100"/>
  <c r="H17" i="100"/>
  <c r="L17" i="100"/>
  <c r="C18" i="100"/>
  <c r="E18" i="100"/>
  <c r="G18" i="100"/>
  <c r="H18" i="100"/>
  <c r="L18" i="100"/>
  <c r="C19" i="100"/>
  <c r="E19" i="100"/>
  <c r="G19" i="100"/>
  <c r="H19" i="100"/>
  <c r="L19" i="100"/>
  <c r="C20" i="100"/>
  <c r="E20" i="100"/>
  <c r="G20" i="100"/>
  <c r="H20" i="100"/>
  <c r="L20" i="100"/>
  <c r="C21" i="100"/>
  <c r="E21" i="100"/>
  <c r="G21" i="100"/>
  <c r="H21" i="100"/>
  <c r="L21" i="100"/>
  <c r="C22" i="100"/>
  <c r="E22" i="100"/>
  <c r="G22" i="100"/>
  <c r="L22" i="100"/>
  <c r="C23" i="100"/>
  <c r="E23" i="100"/>
  <c r="G23" i="100"/>
  <c r="H23" i="100"/>
  <c r="L23" i="100"/>
  <c r="L24" i="100"/>
  <c r="E25" i="100"/>
  <c r="H25" i="100"/>
  <c r="L25" i="100"/>
  <c r="L26" i="100"/>
  <c r="E27" i="100"/>
  <c r="H27" i="100"/>
  <c r="L27" i="100"/>
  <c r="K28" i="100"/>
  <c r="L28" i="100"/>
  <c r="E29" i="100"/>
  <c r="H29" i="100"/>
  <c r="L30" i="100"/>
  <c r="H34" i="100"/>
  <c r="I34" i="100"/>
  <c r="J34" i="100"/>
  <c r="K34" i="100"/>
  <c r="L34" i="100"/>
  <c r="B1" i="85"/>
  <c r="C8" i="85"/>
  <c r="E8" i="85"/>
  <c r="G8" i="85"/>
  <c r="L8" i="85"/>
  <c r="C9" i="85"/>
  <c r="G9" i="85"/>
  <c r="C10" i="85"/>
  <c r="E10" i="85"/>
  <c r="G10" i="85"/>
  <c r="C11" i="85"/>
  <c r="E11" i="85"/>
  <c r="G11" i="85"/>
  <c r="H11" i="85"/>
  <c r="J11" i="85"/>
  <c r="K11" i="85"/>
  <c r="L11" i="85"/>
  <c r="C12" i="85"/>
  <c r="E12" i="85"/>
  <c r="G12" i="85"/>
  <c r="C13" i="85"/>
  <c r="E13" i="85"/>
  <c r="G13" i="85"/>
  <c r="L13" i="85"/>
  <c r="C14" i="85"/>
  <c r="E14" i="85"/>
  <c r="G14" i="85"/>
  <c r="C15" i="85"/>
  <c r="E15" i="85"/>
  <c r="G15" i="85"/>
  <c r="C16" i="85"/>
  <c r="E16" i="85"/>
  <c r="G16" i="85"/>
  <c r="K16" i="85"/>
  <c r="L16" i="85"/>
  <c r="C17" i="85"/>
  <c r="E17" i="85"/>
  <c r="G17" i="85"/>
  <c r="L17" i="85"/>
  <c r="C18" i="85"/>
  <c r="E18" i="85"/>
  <c r="G18" i="85"/>
  <c r="L18" i="85"/>
  <c r="C19" i="85"/>
  <c r="E19" i="85"/>
  <c r="G19" i="85"/>
  <c r="L19" i="85"/>
  <c r="C20" i="85"/>
  <c r="E20" i="85"/>
  <c r="G20" i="85"/>
  <c r="L20" i="85"/>
  <c r="C21" i="85"/>
  <c r="E21" i="85"/>
  <c r="G21" i="85"/>
  <c r="L21" i="85"/>
  <c r="C22" i="85"/>
  <c r="E22" i="85"/>
  <c r="G22" i="85"/>
  <c r="L22" i="85"/>
  <c r="C23" i="85"/>
  <c r="E23" i="85"/>
  <c r="G23" i="85"/>
  <c r="H23" i="85"/>
  <c r="K23" i="85"/>
  <c r="L23" i="85"/>
  <c r="K24" i="85"/>
  <c r="L24" i="85"/>
  <c r="E25" i="85"/>
  <c r="L25" i="85"/>
  <c r="L26" i="85"/>
  <c r="E27" i="85"/>
  <c r="L27" i="85"/>
  <c r="K28" i="85"/>
  <c r="L28" i="85"/>
  <c r="E29" i="85"/>
  <c r="H29" i="85"/>
  <c r="L30" i="85"/>
  <c r="H34" i="85"/>
  <c r="I34" i="85"/>
  <c r="J34" i="85"/>
  <c r="K34" i="85"/>
  <c r="L34" i="85"/>
  <c r="B1" i="86"/>
  <c r="C8" i="86"/>
  <c r="E8" i="86"/>
  <c r="G8" i="86"/>
  <c r="L8" i="86"/>
  <c r="C9" i="86"/>
  <c r="G9" i="86"/>
  <c r="C10" i="86"/>
  <c r="E10" i="86"/>
  <c r="G10" i="86"/>
  <c r="C11" i="86"/>
  <c r="E11" i="86"/>
  <c r="G11" i="86"/>
  <c r="H11" i="86"/>
  <c r="J11" i="86"/>
  <c r="K11" i="86"/>
  <c r="L11" i="86"/>
  <c r="C12" i="86"/>
  <c r="E12" i="86"/>
  <c r="G12" i="86"/>
  <c r="C13" i="86"/>
  <c r="E13" i="86"/>
  <c r="G13" i="86"/>
  <c r="L13" i="86"/>
  <c r="C14" i="86"/>
  <c r="E14" i="86"/>
  <c r="G14" i="86"/>
  <c r="C15" i="86"/>
  <c r="E15" i="86"/>
  <c r="G15" i="86"/>
  <c r="C16" i="86"/>
  <c r="E16" i="86"/>
  <c r="G16" i="86"/>
  <c r="K16" i="86"/>
  <c r="L16" i="86"/>
  <c r="C17" i="86"/>
  <c r="E17" i="86"/>
  <c r="G17" i="86"/>
  <c r="L17" i="86"/>
  <c r="C18" i="86"/>
  <c r="E18" i="86"/>
  <c r="G18" i="86"/>
  <c r="L18" i="86"/>
  <c r="C19" i="86"/>
  <c r="E19" i="86"/>
  <c r="G19" i="86"/>
  <c r="L19" i="86"/>
  <c r="C20" i="86"/>
  <c r="E20" i="86"/>
  <c r="G20" i="86"/>
  <c r="L20" i="86"/>
  <c r="C21" i="86"/>
  <c r="E21" i="86"/>
  <c r="G21" i="86"/>
  <c r="L21" i="86"/>
  <c r="C22" i="86"/>
  <c r="E22" i="86"/>
  <c r="G22" i="86"/>
  <c r="L22" i="86"/>
  <c r="C23" i="86"/>
  <c r="E23" i="86"/>
  <c r="G23" i="86"/>
  <c r="H23" i="86"/>
  <c r="K23" i="86"/>
  <c r="L23" i="86"/>
  <c r="K24" i="86"/>
  <c r="L24" i="86"/>
  <c r="E25" i="86"/>
  <c r="L25" i="86"/>
  <c r="L26" i="86"/>
  <c r="E27" i="86"/>
  <c r="L27" i="86"/>
  <c r="K28" i="86"/>
  <c r="L28" i="86"/>
  <c r="E29" i="86"/>
  <c r="H29" i="86"/>
  <c r="L30" i="86"/>
  <c r="H34" i="86"/>
  <c r="I34" i="86"/>
  <c r="J34" i="86"/>
  <c r="K34" i="86"/>
  <c r="L34" i="86"/>
  <c r="B1" i="102"/>
  <c r="C8" i="102"/>
  <c r="E8" i="102"/>
  <c r="G8" i="102"/>
  <c r="H8" i="102"/>
  <c r="L8" i="102"/>
  <c r="C9" i="102"/>
  <c r="G9" i="102"/>
  <c r="H9" i="102"/>
  <c r="C10" i="102"/>
  <c r="E10" i="102"/>
  <c r="G10" i="102"/>
  <c r="H10" i="102"/>
  <c r="C11" i="102"/>
  <c r="E11" i="102"/>
  <c r="G11" i="102"/>
  <c r="H11" i="102"/>
  <c r="J11" i="102"/>
  <c r="K11" i="102"/>
  <c r="L11" i="102"/>
  <c r="C12" i="102"/>
  <c r="E12" i="102"/>
  <c r="G12" i="102"/>
  <c r="H12" i="102"/>
  <c r="C13" i="102"/>
  <c r="E13" i="102"/>
  <c r="G13" i="102"/>
  <c r="H13" i="102"/>
  <c r="L13" i="102"/>
  <c r="C14" i="102"/>
  <c r="E14" i="102"/>
  <c r="G14" i="102"/>
  <c r="H14" i="102"/>
  <c r="C15" i="102"/>
  <c r="E15" i="102"/>
  <c r="G15" i="102"/>
  <c r="H15" i="102"/>
  <c r="C16" i="102"/>
  <c r="E16" i="102"/>
  <c r="G16" i="102"/>
  <c r="H16" i="102"/>
  <c r="K16" i="102"/>
  <c r="L16" i="102"/>
  <c r="C17" i="102"/>
  <c r="E17" i="102"/>
  <c r="G17" i="102"/>
  <c r="H17" i="102"/>
  <c r="L17" i="102"/>
  <c r="C18" i="102"/>
  <c r="E18" i="102"/>
  <c r="G18" i="102"/>
  <c r="H18" i="102"/>
  <c r="L18" i="102"/>
  <c r="C19" i="102"/>
  <c r="E19" i="102"/>
  <c r="G19" i="102"/>
  <c r="H19" i="102"/>
  <c r="L19" i="102"/>
  <c r="C20" i="102"/>
  <c r="E20" i="102"/>
  <c r="G20" i="102"/>
  <c r="H20" i="102"/>
  <c r="L20" i="102"/>
  <c r="C21" i="102"/>
  <c r="E21" i="102"/>
  <c r="G21" i="102"/>
  <c r="H21" i="102"/>
  <c r="L21" i="102"/>
  <c r="C22" i="102"/>
  <c r="E22" i="102"/>
  <c r="G22" i="102"/>
  <c r="L22" i="102"/>
  <c r="C23" i="102"/>
  <c r="E23" i="102"/>
  <c r="G23" i="102"/>
  <c r="H23" i="102"/>
  <c r="K23" i="102"/>
  <c r="L23" i="102"/>
  <c r="K24" i="102"/>
  <c r="L24" i="102"/>
  <c r="E25" i="102"/>
  <c r="H25" i="102"/>
  <c r="L25" i="102"/>
  <c r="L26" i="102"/>
  <c r="E27" i="102"/>
  <c r="H27" i="102"/>
  <c r="L27" i="102"/>
  <c r="K28" i="102"/>
  <c r="L28" i="102"/>
  <c r="E29" i="102"/>
  <c r="H29" i="102"/>
  <c r="L30" i="102"/>
  <c r="H34" i="102"/>
  <c r="I34" i="102"/>
  <c r="J34" i="102"/>
  <c r="K34" i="102"/>
  <c r="L34" i="102"/>
  <c r="B1" i="123"/>
  <c r="C8" i="123"/>
  <c r="E8" i="123"/>
  <c r="H8" i="123"/>
  <c r="Q8" i="123"/>
  <c r="E9" i="123"/>
  <c r="H9" i="123"/>
  <c r="K9" i="123"/>
  <c r="L9" i="123"/>
  <c r="Q9" i="123"/>
  <c r="E10" i="123"/>
  <c r="H10" i="123"/>
  <c r="Q10" i="123"/>
  <c r="C11" i="123"/>
  <c r="E11" i="123"/>
  <c r="H11" i="123"/>
  <c r="Q11" i="123"/>
  <c r="C12" i="123"/>
  <c r="E12" i="123"/>
  <c r="H12" i="123"/>
  <c r="J12" i="123"/>
  <c r="K12" i="123"/>
  <c r="L12" i="123"/>
  <c r="Q12" i="123"/>
  <c r="C13" i="123"/>
  <c r="E13" i="123"/>
  <c r="H13" i="123"/>
  <c r="Q13" i="123"/>
  <c r="E14" i="123"/>
  <c r="H14" i="123"/>
  <c r="L14" i="123"/>
  <c r="P14" i="123"/>
  <c r="Q14" i="123"/>
  <c r="C15" i="123"/>
  <c r="E15" i="123"/>
  <c r="H15" i="123"/>
  <c r="Q15" i="123"/>
  <c r="C16" i="123"/>
  <c r="E16" i="123"/>
  <c r="H16" i="123"/>
  <c r="Q16" i="123"/>
  <c r="C17" i="123"/>
  <c r="E17" i="123"/>
  <c r="H17" i="123"/>
  <c r="K17" i="123"/>
  <c r="L17" i="123"/>
  <c r="Q17" i="123"/>
  <c r="C18" i="123"/>
  <c r="E18" i="123"/>
  <c r="H18" i="123"/>
  <c r="K18" i="123"/>
  <c r="L18" i="123"/>
  <c r="Q18" i="123"/>
  <c r="C19" i="123"/>
  <c r="H19" i="123"/>
  <c r="K19" i="123"/>
  <c r="L19" i="123"/>
  <c r="Q19" i="123"/>
  <c r="C20" i="123"/>
  <c r="E20" i="123"/>
  <c r="H20" i="123"/>
  <c r="K20" i="123"/>
  <c r="L20" i="123"/>
  <c r="Q20" i="123"/>
  <c r="C21" i="123"/>
  <c r="E21" i="123"/>
  <c r="H21" i="123"/>
  <c r="K21" i="123"/>
  <c r="L21" i="123"/>
  <c r="Q21" i="123"/>
  <c r="C22" i="123"/>
  <c r="E22" i="123"/>
  <c r="H22" i="123"/>
  <c r="K22" i="123"/>
  <c r="L22" i="123"/>
  <c r="Q22" i="123"/>
  <c r="C23" i="123"/>
  <c r="E23" i="123"/>
  <c r="H23" i="123"/>
  <c r="K23" i="123"/>
  <c r="L23" i="123"/>
  <c r="Q23" i="123"/>
  <c r="K24" i="123"/>
  <c r="L24" i="123"/>
  <c r="K25" i="123"/>
  <c r="L25" i="123"/>
  <c r="Q25" i="123"/>
  <c r="K26" i="123"/>
  <c r="L26" i="123"/>
  <c r="K27" i="123"/>
  <c r="L27" i="123"/>
  <c r="Q27" i="123"/>
  <c r="L28" i="123"/>
  <c r="E29" i="123"/>
  <c r="H29" i="123"/>
  <c r="K29" i="123"/>
  <c r="L29" i="123"/>
  <c r="C31" i="123"/>
  <c r="E31" i="123"/>
  <c r="C32" i="123"/>
  <c r="E32" i="123"/>
  <c r="C33" i="123"/>
  <c r="E33" i="123"/>
  <c r="L33" i="123"/>
  <c r="C34" i="123"/>
  <c r="E34" i="123"/>
  <c r="C35" i="123"/>
  <c r="E35" i="123"/>
  <c r="C36" i="123"/>
  <c r="E36" i="123"/>
  <c r="C37" i="123"/>
  <c r="E37" i="123"/>
  <c r="C38" i="123"/>
  <c r="E38" i="123"/>
  <c r="C44" i="123"/>
  <c r="B1" i="38"/>
  <c r="C8" i="38"/>
  <c r="E8" i="38"/>
  <c r="F8" i="38"/>
  <c r="H8" i="38"/>
  <c r="M8" i="38"/>
  <c r="N8" i="38"/>
  <c r="C9" i="38"/>
  <c r="E9" i="38"/>
  <c r="H9" i="38"/>
  <c r="N9" i="38"/>
  <c r="C10" i="38"/>
  <c r="E10" i="38"/>
  <c r="F10" i="38"/>
  <c r="H10" i="38"/>
  <c r="N10" i="38"/>
  <c r="C11" i="38"/>
  <c r="E11" i="38"/>
  <c r="F11" i="38"/>
  <c r="H11" i="38"/>
  <c r="K11" i="38"/>
  <c r="L11" i="38"/>
  <c r="M11" i="38"/>
  <c r="N11" i="38"/>
  <c r="C12" i="38"/>
  <c r="E12" i="38"/>
  <c r="F12" i="38"/>
  <c r="H12" i="38"/>
  <c r="N12" i="38"/>
  <c r="C13" i="38"/>
  <c r="E13" i="38"/>
  <c r="F13" i="38"/>
  <c r="H13" i="38"/>
  <c r="M13" i="38"/>
  <c r="N13" i="38"/>
  <c r="C14" i="38"/>
  <c r="E14" i="38"/>
  <c r="H14" i="38"/>
  <c r="N14" i="38"/>
  <c r="C15" i="38"/>
  <c r="E15" i="38"/>
  <c r="F15" i="38"/>
  <c r="H15" i="38"/>
  <c r="N15" i="38"/>
  <c r="C16" i="38"/>
  <c r="E16" i="38"/>
  <c r="F16" i="38"/>
  <c r="H16" i="38"/>
  <c r="L16" i="38"/>
  <c r="M16" i="38"/>
  <c r="N16" i="38"/>
  <c r="C17" i="38"/>
  <c r="E17" i="38"/>
  <c r="F17" i="38"/>
  <c r="H17" i="38"/>
  <c r="L17" i="38"/>
  <c r="M17" i="38"/>
  <c r="N17" i="38"/>
  <c r="C18" i="38"/>
  <c r="E18" i="38"/>
  <c r="F18" i="38"/>
  <c r="H18" i="38"/>
  <c r="L18" i="38"/>
  <c r="M18" i="38"/>
  <c r="N18" i="38"/>
  <c r="C19" i="38"/>
  <c r="E19" i="38"/>
  <c r="F19" i="38"/>
  <c r="H19" i="38"/>
  <c r="L19" i="38"/>
  <c r="M19" i="38"/>
  <c r="N19" i="38"/>
  <c r="C20" i="38"/>
  <c r="E20" i="38"/>
  <c r="F20" i="38"/>
  <c r="H20" i="38"/>
  <c r="M20" i="38"/>
  <c r="N20" i="38"/>
  <c r="C21" i="38"/>
  <c r="E21" i="38"/>
  <c r="F21" i="38"/>
  <c r="H21" i="38"/>
  <c r="M21" i="38"/>
  <c r="N21" i="38"/>
  <c r="C22" i="38"/>
  <c r="E22" i="38"/>
  <c r="F22" i="38"/>
  <c r="H22" i="38"/>
  <c r="M22" i="38"/>
  <c r="N22" i="38"/>
  <c r="C23" i="38"/>
  <c r="E23" i="38"/>
  <c r="F23" i="38"/>
  <c r="H23" i="38"/>
  <c r="L23" i="38"/>
  <c r="M23" i="38"/>
  <c r="N23" i="38"/>
  <c r="L24" i="38"/>
  <c r="M24" i="38"/>
  <c r="E25" i="38"/>
  <c r="F25" i="38"/>
  <c r="L25" i="38"/>
  <c r="M25" i="38"/>
  <c r="L26" i="38"/>
  <c r="M26" i="38"/>
  <c r="E27" i="38"/>
  <c r="F27" i="38"/>
  <c r="L27" i="38"/>
  <c r="M27" i="38"/>
  <c r="N27" i="38"/>
  <c r="L28" i="38"/>
  <c r="M28" i="38"/>
  <c r="E29" i="38"/>
  <c r="F29" i="38"/>
  <c r="N29" i="38"/>
  <c r="I34" i="38"/>
  <c r="J34" i="38"/>
  <c r="K34" i="38"/>
  <c r="L34" i="38"/>
  <c r="M34" i="38"/>
  <c r="B1" i="87"/>
  <c r="C8" i="87"/>
  <c r="E8" i="87"/>
  <c r="G8" i="87"/>
  <c r="L8" i="87"/>
  <c r="C9" i="87"/>
  <c r="G9" i="87"/>
  <c r="C10" i="87"/>
  <c r="E10" i="87"/>
  <c r="G10" i="87"/>
  <c r="C11" i="87"/>
  <c r="E11" i="87"/>
  <c r="G11" i="87"/>
  <c r="J11" i="87"/>
  <c r="K11" i="87"/>
  <c r="L11" i="87"/>
  <c r="C12" i="87"/>
  <c r="E12" i="87"/>
  <c r="G12" i="87"/>
  <c r="C13" i="87"/>
  <c r="E13" i="87"/>
  <c r="G13" i="87"/>
  <c r="L13" i="87"/>
  <c r="C14" i="87"/>
  <c r="E14" i="87"/>
  <c r="G14" i="87"/>
  <c r="C15" i="87"/>
  <c r="E15" i="87"/>
  <c r="G15" i="87"/>
  <c r="C16" i="87"/>
  <c r="E16" i="87"/>
  <c r="G16" i="87"/>
  <c r="K16" i="87"/>
  <c r="L16" i="87"/>
  <c r="C17" i="87"/>
  <c r="E17" i="87"/>
  <c r="G17" i="87"/>
  <c r="L17" i="87"/>
  <c r="C18" i="87"/>
  <c r="E18" i="87"/>
  <c r="G18" i="87"/>
  <c r="L18" i="87"/>
  <c r="C19" i="87"/>
  <c r="E19" i="87"/>
  <c r="G19" i="87"/>
  <c r="L19" i="87"/>
  <c r="C20" i="87"/>
  <c r="E20" i="87"/>
  <c r="G20" i="87"/>
  <c r="L20" i="87"/>
  <c r="C21" i="87"/>
  <c r="E21" i="87"/>
  <c r="G21" i="87"/>
  <c r="L21" i="87"/>
  <c r="C22" i="87"/>
  <c r="E22" i="87"/>
  <c r="G22" i="87"/>
  <c r="L22" i="87"/>
  <c r="C23" i="87"/>
  <c r="E23" i="87"/>
  <c r="G23" i="87"/>
  <c r="H23" i="87"/>
  <c r="L23" i="87"/>
  <c r="K24" i="87"/>
  <c r="L24" i="87"/>
  <c r="E25" i="87"/>
  <c r="H25" i="87"/>
  <c r="L25" i="87"/>
  <c r="L26" i="87"/>
  <c r="E27" i="87"/>
  <c r="H27" i="87"/>
  <c r="L27" i="87"/>
  <c r="K28" i="87"/>
  <c r="L28" i="87"/>
  <c r="E29" i="87"/>
  <c r="H29" i="87"/>
  <c r="L30" i="87"/>
  <c r="H34" i="87"/>
  <c r="I34" i="87"/>
  <c r="J34" i="87"/>
  <c r="K34" i="87"/>
  <c r="L34" i="87"/>
  <c r="B1" i="39"/>
  <c r="C8" i="39"/>
  <c r="E8" i="39"/>
  <c r="F8" i="39"/>
  <c r="H8" i="39"/>
  <c r="M8" i="39"/>
  <c r="N8" i="39"/>
  <c r="C9" i="39"/>
  <c r="E9" i="39"/>
  <c r="H9" i="39"/>
  <c r="N9" i="39"/>
  <c r="C10" i="39"/>
  <c r="E10" i="39"/>
  <c r="F10" i="39"/>
  <c r="H10" i="39"/>
  <c r="N10" i="39"/>
  <c r="C11" i="39"/>
  <c r="E11" i="39"/>
  <c r="F11" i="39"/>
  <c r="H11" i="39"/>
  <c r="K11" i="39"/>
  <c r="L11" i="39"/>
  <c r="M11" i="39"/>
  <c r="N11" i="39"/>
  <c r="C12" i="39"/>
  <c r="E12" i="39"/>
  <c r="F12" i="39"/>
  <c r="H12" i="39"/>
  <c r="N12" i="39"/>
  <c r="C13" i="39"/>
  <c r="E13" i="39"/>
  <c r="F13" i="39"/>
  <c r="H13" i="39"/>
  <c r="M13" i="39"/>
  <c r="N13" i="39"/>
  <c r="C14" i="39"/>
  <c r="E14" i="39"/>
  <c r="F14" i="39"/>
  <c r="H14" i="39"/>
  <c r="N14" i="39"/>
  <c r="C15" i="39"/>
  <c r="E15" i="39"/>
  <c r="F15" i="39"/>
  <c r="H15" i="39"/>
  <c r="N15" i="39"/>
  <c r="C16" i="39"/>
  <c r="E16" i="39"/>
  <c r="F16" i="39"/>
  <c r="H16" i="39"/>
  <c r="L16" i="39"/>
  <c r="M16" i="39"/>
  <c r="N16" i="39"/>
  <c r="C17" i="39"/>
  <c r="E17" i="39"/>
  <c r="F17" i="39"/>
  <c r="H17" i="39"/>
  <c r="L17" i="39"/>
  <c r="M17" i="39"/>
  <c r="N17" i="39"/>
  <c r="C18" i="39"/>
  <c r="E18" i="39"/>
  <c r="F18" i="39"/>
  <c r="H18" i="39"/>
  <c r="L18" i="39"/>
  <c r="M18" i="39"/>
  <c r="N18" i="39"/>
  <c r="C19" i="39"/>
  <c r="E19" i="39"/>
  <c r="F19" i="39"/>
  <c r="H19" i="39"/>
  <c r="L19" i="39"/>
  <c r="M19" i="39"/>
  <c r="N19" i="39"/>
  <c r="C20" i="39"/>
  <c r="E20" i="39"/>
  <c r="F20" i="39"/>
  <c r="H20" i="39"/>
  <c r="L20" i="39"/>
  <c r="M20" i="39"/>
  <c r="N20" i="39"/>
  <c r="C21" i="39"/>
  <c r="E21" i="39"/>
  <c r="F21" i="39"/>
  <c r="H21" i="39"/>
  <c r="L21" i="39"/>
  <c r="M21" i="39"/>
  <c r="N21" i="39"/>
  <c r="C22" i="39"/>
  <c r="E22" i="39"/>
  <c r="F22" i="39"/>
  <c r="H22" i="39"/>
  <c r="L22" i="39"/>
  <c r="M22" i="39"/>
  <c r="N22" i="39"/>
  <c r="C23" i="39"/>
  <c r="E23" i="39"/>
  <c r="F23" i="39"/>
  <c r="H23" i="39"/>
  <c r="L23" i="39"/>
  <c r="M23" i="39"/>
  <c r="N23" i="39"/>
  <c r="M24" i="39"/>
  <c r="E25" i="39"/>
  <c r="F25" i="39"/>
  <c r="L25" i="39"/>
  <c r="M25" i="39"/>
  <c r="L26" i="39"/>
  <c r="M26" i="39"/>
  <c r="E27" i="39"/>
  <c r="F27" i="39"/>
  <c r="L27" i="39"/>
  <c r="M27" i="39"/>
  <c r="N27" i="39"/>
  <c r="L28" i="39"/>
  <c r="M28" i="39"/>
  <c r="E29" i="39"/>
  <c r="F29" i="39"/>
  <c r="N29" i="39"/>
  <c r="I34" i="39"/>
  <c r="J34" i="39"/>
  <c r="K34" i="39"/>
  <c r="L34" i="39"/>
  <c r="M34" i="39"/>
  <c r="B1" i="27"/>
  <c r="C8" i="27"/>
  <c r="E8" i="27"/>
  <c r="F8" i="27"/>
  <c r="H8" i="27"/>
  <c r="M8" i="27"/>
  <c r="O8" i="27"/>
  <c r="C9" i="27"/>
  <c r="E9" i="27"/>
  <c r="F9" i="27"/>
  <c r="H9" i="27"/>
  <c r="O9" i="27"/>
  <c r="C10" i="27"/>
  <c r="E10" i="27"/>
  <c r="F10" i="27"/>
  <c r="H10" i="27"/>
  <c r="O10" i="27"/>
  <c r="C11" i="27"/>
  <c r="E11" i="27"/>
  <c r="F11" i="27"/>
  <c r="H11" i="27"/>
  <c r="K11" i="27"/>
  <c r="L11" i="27"/>
  <c r="M11" i="27"/>
  <c r="O11" i="27"/>
  <c r="C12" i="27"/>
  <c r="E12" i="27"/>
  <c r="F12" i="27"/>
  <c r="H12" i="27"/>
  <c r="O12" i="27"/>
  <c r="C13" i="27"/>
  <c r="E13" i="27"/>
  <c r="F13" i="27"/>
  <c r="H13" i="27"/>
  <c r="M13" i="27"/>
  <c r="O13" i="27"/>
  <c r="C14" i="27"/>
  <c r="E14" i="27"/>
  <c r="F14" i="27"/>
  <c r="H14" i="27"/>
  <c r="O14" i="27"/>
  <c r="C15" i="27"/>
  <c r="E15" i="27"/>
  <c r="F15" i="27"/>
  <c r="H15" i="27"/>
  <c r="O15" i="27"/>
  <c r="C16" i="27"/>
  <c r="E16" i="27"/>
  <c r="F16" i="27"/>
  <c r="H16" i="27"/>
  <c r="M16" i="27"/>
  <c r="O16" i="27"/>
  <c r="C17" i="27"/>
  <c r="E17" i="27"/>
  <c r="F17" i="27"/>
  <c r="H17" i="27"/>
  <c r="M17" i="27"/>
  <c r="O17" i="27"/>
  <c r="C18" i="27"/>
  <c r="E18" i="27"/>
  <c r="F18" i="27"/>
  <c r="H18" i="27"/>
  <c r="L18" i="27"/>
  <c r="M18" i="27"/>
  <c r="O18" i="27"/>
  <c r="C19" i="27"/>
  <c r="E19" i="27"/>
  <c r="F19" i="27"/>
  <c r="H19" i="27"/>
  <c r="M19" i="27"/>
  <c r="O19" i="27"/>
  <c r="C20" i="27"/>
  <c r="E20" i="27"/>
  <c r="F20" i="27"/>
  <c r="H20" i="27"/>
  <c r="L20" i="27"/>
  <c r="M20" i="27"/>
  <c r="O20" i="27"/>
  <c r="C21" i="27"/>
  <c r="E21" i="27"/>
  <c r="F21" i="27"/>
  <c r="H21" i="27"/>
  <c r="L21" i="27"/>
  <c r="M21" i="27"/>
  <c r="O21" i="27"/>
  <c r="C22" i="27"/>
  <c r="E22" i="27"/>
  <c r="F22" i="27"/>
  <c r="H22" i="27"/>
  <c r="L22" i="27"/>
  <c r="M22" i="27"/>
  <c r="O22" i="27"/>
  <c r="C23" i="27"/>
  <c r="E23" i="27"/>
  <c r="F23" i="27"/>
  <c r="H23" i="27"/>
  <c r="L23" i="27"/>
  <c r="M23" i="27"/>
  <c r="O23" i="27"/>
  <c r="L24" i="27"/>
  <c r="M24" i="27"/>
  <c r="E25" i="27"/>
  <c r="F25" i="27"/>
  <c r="L25" i="27"/>
  <c r="M25" i="27"/>
  <c r="O25" i="27"/>
  <c r="L26" i="27"/>
  <c r="M26" i="27"/>
  <c r="E27" i="27"/>
  <c r="F27" i="27"/>
  <c r="M27" i="27"/>
  <c r="O27" i="27"/>
  <c r="L28" i="27"/>
  <c r="M28" i="27"/>
  <c r="E29" i="27"/>
  <c r="F29" i="27"/>
  <c r="I34" i="27"/>
  <c r="J34" i="27"/>
  <c r="K34" i="27"/>
  <c r="L34" i="27"/>
  <c r="M34" i="27"/>
  <c r="B1" i="113"/>
  <c r="C8" i="113"/>
  <c r="E8" i="113"/>
  <c r="F8" i="113"/>
  <c r="H8" i="113"/>
  <c r="M8" i="113"/>
  <c r="O8" i="113"/>
  <c r="C9" i="113"/>
  <c r="E9" i="113"/>
  <c r="H9" i="113"/>
  <c r="O9" i="113"/>
  <c r="C10" i="113"/>
  <c r="E10" i="113"/>
  <c r="F10" i="113"/>
  <c r="H10" i="113"/>
  <c r="O10" i="113"/>
  <c r="C11" i="113"/>
  <c r="E11" i="113"/>
  <c r="F11" i="113"/>
  <c r="H11" i="113"/>
  <c r="K11" i="113"/>
  <c r="L11" i="113"/>
  <c r="M11" i="113"/>
  <c r="O11" i="113"/>
  <c r="C12" i="113"/>
  <c r="E12" i="113"/>
  <c r="F12" i="113"/>
  <c r="H12" i="113"/>
  <c r="O12" i="113"/>
  <c r="C13" i="113"/>
  <c r="E13" i="113"/>
  <c r="F13" i="113"/>
  <c r="H13" i="113"/>
  <c r="M13" i="113"/>
  <c r="O13" i="113"/>
  <c r="C14" i="113"/>
  <c r="E14" i="113"/>
  <c r="F14" i="113"/>
  <c r="H14" i="113"/>
  <c r="O14" i="113"/>
  <c r="C15" i="113"/>
  <c r="E15" i="113"/>
  <c r="F15" i="113"/>
  <c r="H15" i="113"/>
  <c r="O15" i="113"/>
  <c r="C16" i="113"/>
  <c r="E16" i="113"/>
  <c r="F16" i="113"/>
  <c r="H16" i="113"/>
  <c r="M16" i="113"/>
  <c r="O16" i="113"/>
  <c r="C17" i="113"/>
  <c r="E17" i="113"/>
  <c r="F17" i="113"/>
  <c r="H17" i="113"/>
  <c r="M17" i="113"/>
  <c r="O17" i="113"/>
  <c r="C18" i="113"/>
  <c r="E18" i="113"/>
  <c r="F18" i="113"/>
  <c r="H18" i="113"/>
  <c r="M18" i="113"/>
  <c r="O18" i="113"/>
  <c r="C19" i="113"/>
  <c r="E19" i="113"/>
  <c r="F19" i="113"/>
  <c r="H19" i="113"/>
  <c r="M19" i="113"/>
  <c r="O19" i="113"/>
  <c r="C20" i="113"/>
  <c r="E20" i="113"/>
  <c r="F20" i="113"/>
  <c r="H20" i="113"/>
  <c r="M20" i="113"/>
  <c r="O20" i="113"/>
  <c r="C21" i="113"/>
  <c r="E21" i="113"/>
  <c r="F21" i="113"/>
  <c r="H21" i="113"/>
  <c r="L21" i="113"/>
  <c r="M21" i="113"/>
  <c r="O21" i="113"/>
  <c r="C22" i="113"/>
  <c r="E22" i="113"/>
  <c r="F22" i="113"/>
  <c r="H22" i="113"/>
  <c r="M22" i="113"/>
  <c r="O22" i="113"/>
  <c r="C23" i="113"/>
  <c r="E23" i="113"/>
  <c r="F23" i="113"/>
  <c r="H23" i="113"/>
  <c r="M23" i="113"/>
  <c r="O23" i="113"/>
  <c r="M24" i="113"/>
  <c r="E25" i="113"/>
  <c r="F25" i="113"/>
  <c r="M25" i="113"/>
  <c r="O25" i="113"/>
  <c r="M26" i="113"/>
  <c r="E27" i="113"/>
  <c r="F27" i="113"/>
  <c r="M27" i="113"/>
  <c r="O27" i="113"/>
  <c r="L28" i="113"/>
  <c r="M28" i="113"/>
  <c r="E29" i="113"/>
  <c r="F29" i="113"/>
  <c r="I34" i="113"/>
  <c r="J34" i="113"/>
  <c r="K34" i="113"/>
  <c r="L34" i="113"/>
  <c r="M34" i="113"/>
  <c r="B1" i="55"/>
  <c r="C8" i="55"/>
  <c r="E8" i="55"/>
  <c r="F8" i="55"/>
  <c r="H8" i="55"/>
  <c r="M8" i="55"/>
  <c r="O8" i="55"/>
  <c r="C9" i="55"/>
  <c r="E9" i="55"/>
  <c r="H9" i="55"/>
  <c r="O9" i="55"/>
  <c r="C10" i="55"/>
  <c r="E10" i="55"/>
  <c r="F10" i="55"/>
  <c r="H10" i="55"/>
  <c r="O10" i="55"/>
  <c r="C11" i="55"/>
  <c r="E11" i="55"/>
  <c r="F11" i="55"/>
  <c r="H11" i="55"/>
  <c r="K11" i="55"/>
  <c r="L11" i="55"/>
  <c r="M11" i="55"/>
  <c r="O11" i="55"/>
  <c r="C12" i="55"/>
  <c r="E12" i="55"/>
  <c r="F12" i="55"/>
  <c r="H12" i="55"/>
  <c r="O12" i="55"/>
  <c r="C13" i="55"/>
  <c r="E13" i="55"/>
  <c r="F13" i="55"/>
  <c r="H13" i="55"/>
  <c r="M13" i="55"/>
  <c r="O13" i="55"/>
  <c r="C14" i="55"/>
  <c r="E14" i="55"/>
  <c r="F14" i="55"/>
  <c r="H14" i="55"/>
  <c r="O14" i="55"/>
  <c r="C15" i="55"/>
  <c r="E15" i="55"/>
  <c r="F15" i="55"/>
  <c r="H15" i="55"/>
  <c r="O15" i="55"/>
  <c r="C16" i="55"/>
  <c r="E16" i="55"/>
  <c r="F16" i="55"/>
  <c r="H16" i="55"/>
  <c r="M16" i="55"/>
  <c r="O16" i="55"/>
  <c r="C17" i="55"/>
  <c r="E17" i="55"/>
  <c r="F17" i="55"/>
  <c r="H17" i="55"/>
  <c r="M17" i="55"/>
  <c r="O17" i="55"/>
  <c r="C18" i="55"/>
  <c r="E18" i="55"/>
  <c r="F18" i="55"/>
  <c r="H18" i="55"/>
  <c r="M18" i="55"/>
  <c r="O18" i="55"/>
  <c r="C19" i="55"/>
  <c r="E19" i="55"/>
  <c r="F19" i="55"/>
  <c r="H19" i="55"/>
  <c r="M19" i="55"/>
  <c r="O19" i="55"/>
  <c r="C20" i="55"/>
  <c r="E20" i="55"/>
  <c r="F20" i="55"/>
  <c r="H20" i="55"/>
  <c r="M20" i="55"/>
  <c r="O20" i="55"/>
  <c r="C21" i="55"/>
  <c r="E21" i="55"/>
  <c r="F21" i="55"/>
  <c r="H21" i="55"/>
  <c r="M21" i="55"/>
  <c r="O21" i="55"/>
  <c r="C22" i="55"/>
  <c r="E22" i="55"/>
  <c r="F22" i="55"/>
  <c r="H22" i="55"/>
  <c r="M22" i="55"/>
  <c r="O22" i="55"/>
  <c r="C23" i="55"/>
  <c r="E23" i="55"/>
  <c r="F23" i="55"/>
  <c r="H23" i="55"/>
  <c r="M23" i="55"/>
  <c r="O23" i="55"/>
  <c r="M24" i="55"/>
  <c r="E25" i="55"/>
  <c r="F25" i="55"/>
  <c r="M25" i="55"/>
  <c r="O25" i="55"/>
  <c r="M26" i="55"/>
  <c r="E27" i="55"/>
  <c r="F27" i="55"/>
  <c r="M27" i="55"/>
  <c r="O27" i="55"/>
  <c r="L28" i="55"/>
  <c r="M28" i="55"/>
  <c r="E29" i="55"/>
  <c r="F29" i="55"/>
  <c r="I34" i="55"/>
  <c r="J34" i="55"/>
  <c r="K34" i="55"/>
  <c r="L34" i="55"/>
  <c r="M34" i="55"/>
  <c r="B1" i="114"/>
  <c r="C8" i="114"/>
  <c r="E8" i="114"/>
  <c r="F8" i="114"/>
  <c r="H8" i="114"/>
  <c r="M8" i="114"/>
  <c r="O8" i="114"/>
  <c r="C9" i="114"/>
  <c r="E9" i="114"/>
  <c r="H9" i="114"/>
  <c r="O9" i="114"/>
  <c r="C10" i="114"/>
  <c r="E10" i="114"/>
  <c r="F10" i="114"/>
  <c r="H10" i="114"/>
  <c r="O10" i="114"/>
  <c r="C11" i="114"/>
  <c r="E11" i="114"/>
  <c r="F11" i="114"/>
  <c r="H11" i="114"/>
  <c r="K11" i="114"/>
  <c r="L11" i="114"/>
  <c r="M11" i="114"/>
  <c r="O11" i="114"/>
  <c r="C12" i="114"/>
  <c r="E12" i="114"/>
  <c r="F12" i="114"/>
  <c r="H12" i="114"/>
  <c r="O12" i="114"/>
  <c r="C13" i="114"/>
  <c r="E13" i="114"/>
  <c r="F13" i="114"/>
  <c r="H13" i="114"/>
  <c r="M13" i="114"/>
  <c r="O13" i="114"/>
  <c r="C14" i="114"/>
  <c r="E14" i="114"/>
  <c r="F14" i="114"/>
  <c r="H14" i="114"/>
  <c r="O14" i="114"/>
  <c r="C15" i="114"/>
  <c r="E15" i="114"/>
  <c r="F15" i="114"/>
  <c r="H15" i="114"/>
  <c r="O15" i="114"/>
  <c r="C16" i="114"/>
  <c r="E16" i="114"/>
  <c r="F16" i="114"/>
  <c r="H16" i="114"/>
  <c r="M16" i="114"/>
  <c r="O16" i="114"/>
  <c r="C17" i="114"/>
  <c r="E17" i="114"/>
  <c r="F17" i="114"/>
  <c r="H17" i="114"/>
  <c r="M17" i="114"/>
  <c r="O17" i="114"/>
  <c r="C18" i="114"/>
  <c r="E18" i="114"/>
  <c r="F18" i="114"/>
  <c r="H18" i="114"/>
  <c r="M18" i="114"/>
  <c r="O18" i="114"/>
  <c r="C19" i="114"/>
  <c r="E19" i="114"/>
  <c r="F19" i="114"/>
  <c r="H19" i="114"/>
  <c r="M19" i="114"/>
  <c r="O19" i="114"/>
  <c r="C20" i="114"/>
  <c r="E20" i="114"/>
  <c r="F20" i="114"/>
  <c r="H20" i="114"/>
  <c r="M20" i="114"/>
  <c r="O20" i="114"/>
  <c r="C21" i="114"/>
  <c r="E21" i="114"/>
  <c r="F21" i="114"/>
  <c r="H21" i="114"/>
  <c r="M21" i="114"/>
  <c r="O21" i="114"/>
  <c r="C22" i="114"/>
  <c r="E22" i="114"/>
  <c r="F22" i="114"/>
  <c r="H22" i="114"/>
  <c r="M22" i="114"/>
  <c r="O22" i="114"/>
  <c r="C23" i="114"/>
  <c r="E23" i="114"/>
  <c r="F23" i="114"/>
  <c r="H23" i="114"/>
  <c r="M23" i="114"/>
  <c r="O23" i="114"/>
  <c r="M24" i="114"/>
  <c r="E25" i="114"/>
  <c r="F25" i="114"/>
  <c r="M25" i="114"/>
  <c r="O25" i="114"/>
  <c r="M26" i="114"/>
  <c r="E27" i="114"/>
  <c r="F27" i="114"/>
  <c r="L27" i="114"/>
  <c r="M27" i="114"/>
  <c r="O27" i="114"/>
  <c r="L28" i="114"/>
  <c r="M28" i="114"/>
  <c r="E29" i="114"/>
  <c r="F29" i="114"/>
  <c r="I34" i="114"/>
  <c r="J34" i="114"/>
  <c r="K34" i="114"/>
  <c r="L34" i="114"/>
  <c r="M34" i="114"/>
  <c r="B1" i="89"/>
  <c r="C8" i="89"/>
  <c r="E8" i="89"/>
  <c r="G8" i="89"/>
  <c r="L8" i="89"/>
  <c r="C9" i="89"/>
  <c r="G9" i="89"/>
  <c r="C10" i="89"/>
  <c r="E10" i="89"/>
  <c r="G10" i="89"/>
  <c r="C11" i="89"/>
  <c r="E11" i="89"/>
  <c r="G11" i="89"/>
  <c r="H11" i="89"/>
  <c r="J11" i="89"/>
  <c r="K11" i="89"/>
  <c r="L11" i="89"/>
  <c r="C12" i="89"/>
  <c r="E12" i="89"/>
  <c r="G12" i="89"/>
  <c r="C13" i="89"/>
  <c r="E13" i="89"/>
  <c r="G13" i="89"/>
  <c r="L13" i="89"/>
  <c r="C14" i="89"/>
  <c r="E14" i="89"/>
  <c r="G14" i="89"/>
  <c r="C15" i="89"/>
  <c r="E15" i="89"/>
  <c r="G15" i="89"/>
  <c r="C16" i="89"/>
  <c r="E16" i="89"/>
  <c r="G16" i="89"/>
  <c r="K16" i="89"/>
  <c r="L16" i="89"/>
  <c r="C17" i="89"/>
  <c r="E17" i="89"/>
  <c r="G17" i="89"/>
  <c r="L17" i="89"/>
  <c r="C18" i="89"/>
  <c r="E18" i="89"/>
  <c r="G18" i="89"/>
  <c r="L18" i="89"/>
  <c r="C19" i="89"/>
  <c r="E19" i="89"/>
  <c r="G19" i="89"/>
  <c r="L19" i="89"/>
  <c r="C20" i="89"/>
  <c r="E20" i="89"/>
  <c r="G20" i="89"/>
  <c r="L20" i="89"/>
  <c r="C21" i="89"/>
  <c r="E21" i="89"/>
  <c r="G21" i="89"/>
  <c r="L21" i="89"/>
  <c r="C22" i="89"/>
  <c r="E22" i="89"/>
  <c r="G22" i="89"/>
  <c r="L22" i="89"/>
  <c r="C23" i="89"/>
  <c r="E23" i="89"/>
  <c r="G23" i="89"/>
  <c r="H23" i="89"/>
  <c r="L23" i="89"/>
  <c r="L24" i="89"/>
  <c r="E25" i="89"/>
  <c r="L25" i="89"/>
  <c r="L26" i="89"/>
  <c r="E27" i="89"/>
  <c r="H27" i="89"/>
  <c r="L27" i="89"/>
  <c r="K28" i="89"/>
  <c r="L28" i="89"/>
  <c r="E29" i="89"/>
  <c r="H29" i="89"/>
  <c r="L30" i="89"/>
  <c r="H34" i="89"/>
  <c r="I34" i="89"/>
  <c r="J34" i="89"/>
  <c r="K34" i="89"/>
  <c r="L34" i="89"/>
  <c r="B1" i="88"/>
  <c r="C8" i="88"/>
  <c r="E8" i="88"/>
  <c r="G8" i="88"/>
  <c r="L8" i="88"/>
  <c r="C9" i="88"/>
  <c r="G9" i="88"/>
  <c r="C10" i="88"/>
  <c r="E10" i="88"/>
  <c r="G10" i="88"/>
  <c r="C11" i="88"/>
  <c r="E11" i="88"/>
  <c r="G11" i="88"/>
  <c r="H11" i="88"/>
  <c r="J11" i="88"/>
  <c r="K11" i="88"/>
  <c r="L11" i="88"/>
  <c r="C12" i="88"/>
  <c r="E12" i="88"/>
  <c r="G12" i="88"/>
  <c r="C13" i="88"/>
  <c r="E13" i="88"/>
  <c r="G13" i="88"/>
  <c r="L13" i="88"/>
  <c r="C14" i="88"/>
  <c r="E14" i="88"/>
  <c r="G14" i="88"/>
  <c r="C15" i="88"/>
  <c r="E15" i="88"/>
  <c r="G15" i="88"/>
  <c r="C16" i="88"/>
  <c r="E16" i="88"/>
  <c r="G16" i="88"/>
  <c r="K16" i="88"/>
  <c r="L16" i="88"/>
  <c r="C17" i="88"/>
  <c r="E17" i="88"/>
  <c r="G17" i="88"/>
  <c r="L17" i="88"/>
  <c r="C18" i="88"/>
  <c r="E18" i="88"/>
  <c r="G18" i="88"/>
  <c r="L18" i="88"/>
  <c r="C19" i="88"/>
  <c r="E19" i="88"/>
  <c r="G19" i="88"/>
  <c r="L19" i="88"/>
  <c r="C20" i="88"/>
  <c r="E20" i="88"/>
  <c r="G20" i="88"/>
  <c r="L20" i="88"/>
  <c r="C21" i="88"/>
  <c r="E21" i="88"/>
  <c r="G21" i="88"/>
  <c r="L21" i="88"/>
  <c r="C22" i="88"/>
  <c r="E22" i="88"/>
  <c r="G22" i="88"/>
  <c r="L22" i="88"/>
  <c r="C23" i="88"/>
  <c r="E23" i="88"/>
  <c r="G23" i="88"/>
  <c r="H23" i="88"/>
  <c r="L23" i="88"/>
  <c r="L24" i="88"/>
  <c r="E25" i="88"/>
  <c r="H25" i="88"/>
  <c r="L25" i="88"/>
  <c r="L26" i="88"/>
  <c r="E27" i="88"/>
  <c r="L27" i="88"/>
  <c r="K28" i="88"/>
  <c r="L28" i="88"/>
  <c r="E29" i="88"/>
  <c r="H29" i="88"/>
  <c r="L30" i="88"/>
  <c r="H34" i="88"/>
  <c r="I34" i="88"/>
  <c r="J34" i="88"/>
  <c r="K34" i="88"/>
  <c r="L34" i="88"/>
  <c r="B1" i="19"/>
  <c r="C8" i="19"/>
  <c r="E8" i="19"/>
  <c r="G8" i="19"/>
  <c r="O8" i="19"/>
  <c r="E9" i="19"/>
  <c r="G9" i="19"/>
  <c r="M9" i="19"/>
  <c r="N9" i="19"/>
  <c r="O9" i="19"/>
  <c r="E10" i="19"/>
  <c r="O10" i="19"/>
  <c r="C11" i="19"/>
  <c r="E11" i="19"/>
  <c r="G11" i="19"/>
  <c r="O11" i="19"/>
  <c r="C12" i="19"/>
  <c r="E12" i="19"/>
  <c r="G12" i="19"/>
  <c r="L12" i="19"/>
  <c r="M12" i="19"/>
  <c r="N12" i="19"/>
  <c r="O12" i="19"/>
  <c r="C13" i="19"/>
  <c r="E13" i="19"/>
  <c r="G13" i="19"/>
  <c r="O13" i="19"/>
  <c r="E14" i="19"/>
  <c r="N14" i="19"/>
  <c r="O14" i="19"/>
  <c r="C15" i="19"/>
  <c r="E15" i="19"/>
  <c r="G15" i="19"/>
  <c r="O15" i="19"/>
  <c r="C16" i="19"/>
  <c r="E16" i="19"/>
  <c r="O16" i="19"/>
  <c r="C17" i="19"/>
  <c r="E17" i="19"/>
  <c r="N17" i="19"/>
  <c r="O17" i="19"/>
  <c r="C18" i="19"/>
  <c r="E18" i="19"/>
  <c r="G18" i="19"/>
  <c r="N18" i="19"/>
  <c r="O18" i="19"/>
  <c r="C19" i="19"/>
  <c r="E19" i="19"/>
  <c r="G19" i="19"/>
  <c r="N19" i="19"/>
  <c r="O19" i="19"/>
  <c r="C20" i="19"/>
  <c r="E20" i="19"/>
  <c r="N20" i="19"/>
  <c r="O20" i="19"/>
  <c r="C21" i="19"/>
  <c r="E21" i="19"/>
  <c r="G21" i="19"/>
  <c r="N21" i="19"/>
  <c r="O21" i="19"/>
  <c r="C22" i="19"/>
  <c r="E22" i="19"/>
  <c r="N22" i="19"/>
  <c r="O22" i="19"/>
  <c r="C23" i="19"/>
  <c r="E23" i="19"/>
  <c r="G23" i="19"/>
  <c r="N23" i="19"/>
  <c r="O23" i="19"/>
  <c r="N24" i="19"/>
  <c r="G25" i="19"/>
  <c r="N25" i="19"/>
  <c r="O25" i="19"/>
  <c r="N26" i="19"/>
  <c r="G27" i="19"/>
  <c r="N27" i="19"/>
  <c r="O27" i="19"/>
  <c r="M28" i="19"/>
  <c r="N28" i="19"/>
  <c r="E29" i="19"/>
  <c r="G29" i="19"/>
  <c r="C31" i="19"/>
  <c r="E31" i="19"/>
  <c r="C32" i="19"/>
  <c r="E32" i="19"/>
  <c r="N32" i="19"/>
  <c r="C33" i="19"/>
  <c r="E33" i="19"/>
  <c r="C34" i="19"/>
  <c r="E34" i="19"/>
  <c r="C35" i="19"/>
  <c r="E35" i="19"/>
  <c r="C36" i="19"/>
  <c r="E36" i="19"/>
  <c r="C37" i="19"/>
  <c r="E37" i="19"/>
  <c r="C38" i="19"/>
  <c r="E38" i="19"/>
  <c r="C44" i="19"/>
  <c r="B1" i="28"/>
  <c r="C8" i="28"/>
  <c r="E8" i="28"/>
  <c r="H8" i="28"/>
  <c r="Q8" i="28"/>
  <c r="E9" i="28"/>
  <c r="K9" i="28"/>
  <c r="L9" i="28"/>
  <c r="Q9" i="28"/>
  <c r="E10" i="28"/>
  <c r="H10" i="28"/>
  <c r="Q10" i="28"/>
  <c r="C11" i="28"/>
  <c r="E11" i="28"/>
  <c r="H11" i="28"/>
  <c r="Q11" i="28"/>
  <c r="C12" i="28"/>
  <c r="E12" i="28"/>
  <c r="H12" i="28"/>
  <c r="J12" i="28"/>
  <c r="K12" i="28"/>
  <c r="L12" i="28"/>
  <c r="Q12" i="28"/>
  <c r="C13" i="28"/>
  <c r="E13" i="28"/>
  <c r="H13" i="28"/>
  <c r="Q13" i="28"/>
  <c r="E14" i="28"/>
  <c r="H14" i="28"/>
  <c r="L14" i="28"/>
  <c r="P14" i="28"/>
  <c r="Q14" i="28"/>
  <c r="C15" i="28"/>
  <c r="E15" i="28"/>
  <c r="H15" i="28"/>
  <c r="Q15" i="28"/>
  <c r="C16" i="28"/>
  <c r="E16" i="28"/>
  <c r="H16" i="28"/>
  <c r="Q16" i="28"/>
  <c r="C17" i="28"/>
  <c r="E17" i="28"/>
  <c r="H17" i="28"/>
  <c r="K17" i="28"/>
  <c r="L17" i="28"/>
  <c r="Q17" i="28"/>
  <c r="C18" i="28"/>
  <c r="E18" i="28"/>
  <c r="H18" i="28"/>
  <c r="K18" i="28"/>
  <c r="L18" i="28"/>
  <c r="Q18" i="28"/>
  <c r="C19" i="28"/>
  <c r="H19" i="28"/>
  <c r="K19" i="28"/>
  <c r="L19" i="28"/>
  <c r="Q19" i="28"/>
  <c r="C20" i="28"/>
  <c r="E20" i="28"/>
  <c r="H20" i="28"/>
  <c r="K20" i="28"/>
  <c r="L20" i="28"/>
  <c r="Q20" i="28"/>
  <c r="C21" i="28"/>
  <c r="E21" i="28"/>
  <c r="K21" i="28"/>
  <c r="L21" i="28"/>
  <c r="Q21" i="28"/>
  <c r="C22" i="28"/>
  <c r="E22" i="28"/>
  <c r="K22" i="28"/>
  <c r="L22" i="28"/>
  <c r="Q22" i="28"/>
  <c r="C23" i="28"/>
  <c r="E23" i="28"/>
  <c r="H23" i="28"/>
  <c r="K23" i="28"/>
  <c r="L23" i="28"/>
  <c r="Q23" i="28"/>
  <c r="K24" i="28"/>
  <c r="L24" i="28"/>
  <c r="K25" i="28"/>
  <c r="L25" i="28"/>
  <c r="Q25" i="28"/>
  <c r="K26" i="28"/>
  <c r="L26" i="28"/>
  <c r="H27" i="28"/>
  <c r="K27" i="28"/>
  <c r="L27" i="28"/>
  <c r="Q27" i="28"/>
  <c r="L28" i="28"/>
  <c r="E29" i="28"/>
  <c r="H29" i="28"/>
  <c r="K29" i="28"/>
  <c r="L29" i="28"/>
  <c r="C31" i="28"/>
  <c r="E31" i="28"/>
  <c r="C32" i="28"/>
  <c r="E32" i="28"/>
  <c r="C33" i="28"/>
  <c r="E33" i="28"/>
  <c r="L33" i="28"/>
  <c r="C34" i="28"/>
  <c r="E34" i="28"/>
  <c r="C35" i="28"/>
  <c r="E35" i="28"/>
  <c r="C36" i="28"/>
  <c r="E36" i="28"/>
  <c r="C37" i="28"/>
  <c r="E37" i="28"/>
  <c r="C38" i="28"/>
  <c r="E38" i="28"/>
  <c r="C44" i="28"/>
  <c r="B1" i="108"/>
  <c r="C8" i="108"/>
  <c r="E8" i="108"/>
  <c r="F8" i="108"/>
  <c r="H8" i="108"/>
  <c r="M8" i="108"/>
  <c r="O8" i="108"/>
  <c r="C9" i="108"/>
  <c r="E9" i="108"/>
  <c r="H9" i="108"/>
  <c r="O9" i="108"/>
  <c r="C10" i="108"/>
  <c r="E10" i="108"/>
  <c r="F10" i="108"/>
  <c r="H10" i="108"/>
  <c r="O10" i="108"/>
  <c r="C11" i="108"/>
  <c r="E11" i="108"/>
  <c r="F11" i="108"/>
  <c r="H11" i="108"/>
  <c r="K11" i="108"/>
  <c r="L11" i="108"/>
  <c r="M11" i="108"/>
  <c r="O11" i="108"/>
  <c r="C12" i="108"/>
  <c r="E12" i="108"/>
  <c r="F12" i="108"/>
  <c r="H12" i="108"/>
  <c r="O12" i="108"/>
  <c r="C13" i="108"/>
  <c r="E13" i="108"/>
  <c r="F13" i="108"/>
  <c r="H13" i="108"/>
  <c r="M13" i="108"/>
  <c r="O13" i="108"/>
  <c r="C14" i="108"/>
  <c r="E14" i="108"/>
  <c r="F14" i="108"/>
  <c r="H14" i="108"/>
  <c r="O14" i="108"/>
  <c r="C15" i="108"/>
  <c r="E15" i="108"/>
  <c r="F15" i="108"/>
  <c r="H15" i="108"/>
  <c r="O15" i="108"/>
  <c r="C16" i="108"/>
  <c r="E16" i="108"/>
  <c r="F16" i="108"/>
  <c r="H16" i="108"/>
  <c r="M16" i="108"/>
  <c r="O16" i="108"/>
  <c r="C17" i="108"/>
  <c r="E17" i="108"/>
  <c r="F17" i="108"/>
  <c r="H17" i="108"/>
  <c r="M17" i="108"/>
  <c r="O17" i="108"/>
  <c r="C18" i="108"/>
  <c r="E18" i="108"/>
  <c r="F18" i="108"/>
  <c r="H18" i="108"/>
  <c r="M18" i="108"/>
  <c r="O18" i="108"/>
  <c r="C19" i="108"/>
  <c r="E19" i="108"/>
  <c r="F19" i="108"/>
  <c r="H19" i="108"/>
  <c r="M19" i="108"/>
  <c r="O19" i="108"/>
  <c r="C20" i="108"/>
  <c r="E20" i="108"/>
  <c r="H20" i="108"/>
  <c r="M20" i="108"/>
  <c r="O20" i="108"/>
  <c r="C21" i="108"/>
  <c r="E21" i="108"/>
  <c r="F21" i="108"/>
  <c r="H21" i="108"/>
  <c r="M21" i="108"/>
  <c r="O21" i="108"/>
  <c r="C22" i="108"/>
  <c r="E22" i="108"/>
  <c r="F22" i="108"/>
  <c r="H22" i="108"/>
  <c r="M22" i="108"/>
  <c r="O22" i="108"/>
  <c r="C23" i="108"/>
  <c r="E23" i="108"/>
  <c r="F23" i="108"/>
  <c r="H23" i="108"/>
  <c r="M23" i="108"/>
  <c r="O23" i="108"/>
  <c r="M24" i="108"/>
  <c r="E25" i="108"/>
  <c r="F25" i="108"/>
  <c r="M25" i="108"/>
  <c r="O25" i="108"/>
  <c r="M26" i="108"/>
  <c r="E27" i="108"/>
  <c r="F27" i="108"/>
  <c r="M27" i="108"/>
  <c r="O27" i="108"/>
  <c r="L28" i="108"/>
  <c r="M28" i="108"/>
  <c r="E29" i="108"/>
  <c r="F29" i="108"/>
  <c r="I34" i="108"/>
  <c r="J34" i="108"/>
  <c r="K34" i="108"/>
  <c r="L34" i="108"/>
  <c r="M34" i="108"/>
  <c r="B1" i="7"/>
  <c r="C8" i="7"/>
  <c r="E8" i="7"/>
  <c r="F8" i="7"/>
  <c r="V8" i="7"/>
  <c r="E9" i="7"/>
  <c r="L9" i="7"/>
  <c r="M9" i="7"/>
  <c r="Q9" i="7"/>
  <c r="R9" i="7"/>
  <c r="V9" i="7"/>
  <c r="E10" i="7"/>
  <c r="F10" i="7"/>
  <c r="V10" i="7"/>
  <c r="C11" i="7"/>
  <c r="E11" i="7"/>
  <c r="F11" i="7"/>
  <c r="V11" i="7"/>
  <c r="C12" i="7"/>
  <c r="E12" i="7"/>
  <c r="F12" i="7"/>
  <c r="K12" i="7"/>
  <c r="L12" i="7"/>
  <c r="M12" i="7"/>
  <c r="P12" i="7"/>
  <c r="Q12" i="7"/>
  <c r="R12" i="7"/>
  <c r="V12" i="7"/>
  <c r="C13" i="7"/>
  <c r="E13" i="7"/>
  <c r="F13" i="7"/>
  <c r="V13" i="7"/>
  <c r="E14" i="7"/>
  <c r="F14" i="7"/>
  <c r="M14" i="7"/>
  <c r="R14" i="7"/>
  <c r="V14" i="7"/>
  <c r="C15" i="7"/>
  <c r="E15" i="7"/>
  <c r="F15" i="7"/>
  <c r="V15" i="7"/>
  <c r="C16" i="7"/>
  <c r="E16" i="7"/>
  <c r="F16" i="7"/>
  <c r="I16" i="7"/>
  <c r="M16" i="7"/>
  <c r="N16" i="7"/>
  <c r="V16" i="7"/>
  <c r="C17" i="7"/>
  <c r="E17" i="7"/>
  <c r="F17" i="7"/>
  <c r="K17" i="7"/>
  <c r="M17" i="7"/>
  <c r="P17" i="7"/>
  <c r="R17" i="7"/>
  <c r="V17" i="7"/>
  <c r="C18" i="7"/>
  <c r="E18" i="7"/>
  <c r="F18" i="7"/>
  <c r="K18" i="7"/>
  <c r="M18" i="7"/>
  <c r="P18" i="7"/>
  <c r="R18" i="7"/>
  <c r="V18" i="7"/>
  <c r="C19" i="7"/>
  <c r="E19" i="7"/>
  <c r="F19" i="7"/>
  <c r="M19" i="7"/>
  <c r="R19" i="7"/>
  <c r="V19" i="7"/>
  <c r="C20" i="7"/>
  <c r="E20" i="7"/>
  <c r="F20" i="7"/>
  <c r="M20" i="7"/>
  <c r="R20" i="7"/>
  <c r="V20" i="7"/>
  <c r="C21" i="7"/>
  <c r="E21" i="7"/>
  <c r="F21" i="7"/>
  <c r="M21" i="7"/>
  <c r="R21" i="7"/>
  <c r="V21" i="7"/>
  <c r="C22" i="7"/>
  <c r="E22" i="7"/>
  <c r="F22" i="7"/>
  <c r="M22" i="7"/>
  <c r="R22" i="7"/>
  <c r="V22" i="7"/>
  <c r="C23" i="7"/>
  <c r="E23" i="7"/>
  <c r="F23" i="7"/>
  <c r="M23" i="7"/>
  <c r="R23" i="7"/>
  <c r="V23" i="7"/>
  <c r="M24" i="7"/>
  <c r="R24" i="7"/>
  <c r="F25" i="7"/>
  <c r="M25" i="7"/>
  <c r="R25" i="7"/>
  <c r="V25" i="7"/>
  <c r="M26" i="7"/>
  <c r="R26" i="7"/>
  <c r="M27" i="7"/>
  <c r="R27" i="7"/>
  <c r="V27" i="7"/>
  <c r="L28" i="7"/>
  <c r="M28" i="7"/>
  <c r="Q28" i="7"/>
  <c r="R28" i="7"/>
  <c r="E29" i="7"/>
  <c r="F29" i="7"/>
  <c r="C31" i="7"/>
  <c r="E31" i="7"/>
  <c r="C32" i="7"/>
  <c r="E32" i="7"/>
  <c r="M32" i="7"/>
  <c r="R32" i="7"/>
  <c r="C33" i="7"/>
  <c r="E33" i="7"/>
  <c r="C34" i="7"/>
  <c r="E34" i="7"/>
  <c r="C35" i="7"/>
  <c r="E35" i="7"/>
  <c r="C36" i="7"/>
  <c r="E36" i="7"/>
  <c r="C37" i="7"/>
  <c r="E37" i="7"/>
  <c r="J37" i="7"/>
  <c r="L37" i="7"/>
  <c r="M37" i="7"/>
  <c r="O37" i="7"/>
  <c r="C38" i="7"/>
  <c r="E38" i="7"/>
  <c r="J43" i="7"/>
  <c r="M43" i="7"/>
  <c r="O43" i="7"/>
  <c r="C46" i="7"/>
  <c r="B1" i="79"/>
  <c r="C8" i="79"/>
  <c r="E8" i="79"/>
  <c r="G8" i="79"/>
  <c r="L8" i="79"/>
  <c r="C9" i="79"/>
  <c r="G9" i="79"/>
  <c r="C10" i="79"/>
  <c r="E10" i="79"/>
  <c r="G10" i="79"/>
  <c r="H10" i="79"/>
  <c r="C11" i="79"/>
  <c r="E11" i="79"/>
  <c r="G11" i="79"/>
  <c r="H11" i="79"/>
  <c r="J11" i="79"/>
  <c r="K11" i="79"/>
  <c r="L11" i="79"/>
  <c r="C12" i="79"/>
  <c r="E12" i="79"/>
  <c r="G12" i="79"/>
  <c r="H12" i="79"/>
  <c r="C13" i="79"/>
  <c r="E13" i="79"/>
  <c r="G13" i="79"/>
  <c r="H13" i="79"/>
  <c r="L13" i="79"/>
  <c r="C14" i="79"/>
  <c r="E14" i="79"/>
  <c r="G14" i="79"/>
  <c r="H14" i="79"/>
  <c r="C15" i="79"/>
  <c r="E15" i="79"/>
  <c r="G15" i="79"/>
  <c r="H15" i="79"/>
  <c r="C16" i="79"/>
  <c r="E16" i="79"/>
  <c r="G16" i="79"/>
  <c r="H16" i="79"/>
  <c r="K16" i="79"/>
  <c r="L16" i="79"/>
  <c r="C17" i="79"/>
  <c r="E17" i="79"/>
  <c r="G17" i="79"/>
  <c r="H17" i="79"/>
  <c r="L17" i="79"/>
  <c r="C18" i="79"/>
  <c r="E18" i="79"/>
  <c r="G18" i="79"/>
  <c r="H18" i="79"/>
  <c r="L18" i="79"/>
  <c r="C19" i="79"/>
  <c r="E19" i="79"/>
  <c r="G19" i="79"/>
  <c r="H19" i="79"/>
  <c r="L19" i="79"/>
  <c r="C20" i="79"/>
  <c r="E20" i="79"/>
  <c r="G20" i="79"/>
  <c r="H20" i="79"/>
  <c r="L20" i="79"/>
  <c r="C21" i="79"/>
  <c r="E21" i="79"/>
  <c r="G21" i="79"/>
  <c r="H21" i="79"/>
  <c r="L21" i="79"/>
  <c r="C22" i="79"/>
  <c r="E22" i="79"/>
  <c r="G22" i="79"/>
  <c r="L22" i="79"/>
  <c r="C23" i="79"/>
  <c r="E23" i="79"/>
  <c r="G23" i="79"/>
  <c r="H23" i="79"/>
  <c r="L23" i="79"/>
  <c r="L24" i="79"/>
  <c r="E25" i="79"/>
  <c r="H25" i="79"/>
  <c r="L25" i="79"/>
  <c r="L26" i="79"/>
  <c r="E27" i="79"/>
  <c r="H27" i="79"/>
  <c r="L27" i="79"/>
  <c r="K28" i="79"/>
  <c r="L28" i="79"/>
  <c r="E29" i="79"/>
  <c r="H29" i="79"/>
  <c r="L30" i="79"/>
  <c r="H34" i="79"/>
  <c r="I34" i="79"/>
  <c r="J34" i="79"/>
  <c r="K34" i="79"/>
  <c r="L34" i="79"/>
  <c r="B1" i="66"/>
  <c r="C8" i="66"/>
  <c r="E8" i="66"/>
  <c r="G8" i="66"/>
  <c r="H8" i="66"/>
  <c r="L8" i="66"/>
  <c r="C9" i="66"/>
  <c r="G9" i="66"/>
  <c r="C10" i="66"/>
  <c r="E10" i="66"/>
  <c r="G10" i="66"/>
  <c r="H10" i="66"/>
  <c r="C11" i="66"/>
  <c r="E11" i="66"/>
  <c r="G11" i="66"/>
  <c r="H11" i="66"/>
  <c r="J11" i="66"/>
  <c r="K11" i="66"/>
  <c r="L11" i="66"/>
  <c r="C12" i="66"/>
  <c r="E12" i="66"/>
  <c r="G12" i="66"/>
  <c r="H12" i="66"/>
  <c r="C13" i="66"/>
  <c r="E13" i="66"/>
  <c r="G13" i="66"/>
  <c r="H13" i="66"/>
  <c r="L13" i="66"/>
  <c r="C14" i="66"/>
  <c r="E14" i="66"/>
  <c r="G14" i="66"/>
  <c r="H14" i="66"/>
  <c r="C15" i="66"/>
  <c r="E15" i="66"/>
  <c r="G15" i="66"/>
  <c r="H15" i="66"/>
  <c r="C16" i="66"/>
  <c r="E16" i="66"/>
  <c r="G16" i="66"/>
  <c r="H16" i="66"/>
  <c r="K16" i="66"/>
  <c r="L16" i="66"/>
  <c r="C17" i="66"/>
  <c r="E17" i="66"/>
  <c r="G17" i="66"/>
  <c r="H17" i="66"/>
  <c r="L17" i="66"/>
  <c r="C18" i="66"/>
  <c r="E18" i="66"/>
  <c r="G18" i="66"/>
  <c r="H18" i="66"/>
  <c r="L18" i="66"/>
  <c r="C19" i="66"/>
  <c r="E19" i="66"/>
  <c r="G19" i="66"/>
  <c r="H19" i="66"/>
  <c r="L19" i="66"/>
  <c r="C20" i="66"/>
  <c r="E20" i="66"/>
  <c r="G20" i="66"/>
  <c r="H20" i="66"/>
  <c r="L20" i="66"/>
  <c r="C21" i="66"/>
  <c r="E21" i="66"/>
  <c r="G21" i="66"/>
  <c r="H21" i="66"/>
  <c r="L21" i="66"/>
  <c r="C22" i="66"/>
  <c r="E22" i="66"/>
  <c r="G22" i="66"/>
  <c r="L22" i="66"/>
  <c r="C23" i="66"/>
  <c r="E23" i="66"/>
  <c r="G23" i="66"/>
  <c r="H23" i="66"/>
  <c r="L23" i="66"/>
  <c r="L24" i="66"/>
  <c r="E25" i="66"/>
  <c r="H25" i="66"/>
  <c r="L25" i="66"/>
  <c r="L26" i="66"/>
  <c r="E27" i="66"/>
  <c r="H27" i="66"/>
  <c r="L27" i="66"/>
  <c r="K28" i="66"/>
  <c r="L28" i="66"/>
  <c r="E29" i="66"/>
  <c r="H29" i="66"/>
  <c r="L30" i="66"/>
  <c r="H34" i="66"/>
  <c r="I34" i="66"/>
  <c r="J34" i="66"/>
  <c r="K34" i="66"/>
  <c r="L34" i="66"/>
  <c r="B1" i="78"/>
  <c r="C8" i="78"/>
  <c r="E8" i="78"/>
  <c r="G8" i="78"/>
  <c r="H8" i="78"/>
  <c r="L8" i="78"/>
  <c r="C9" i="78"/>
  <c r="G9" i="78"/>
  <c r="C10" i="78"/>
  <c r="E10" i="78"/>
  <c r="G10" i="78"/>
  <c r="H10" i="78"/>
  <c r="C11" i="78"/>
  <c r="E11" i="78"/>
  <c r="G11" i="78"/>
  <c r="H11" i="78"/>
  <c r="J11" i="78"/>
  <c r="K11" i="78"/>
  <c r="L11" i="78"/>
  <c r="C12" i="78"/>
  <c r="E12" i="78"/>
  <c r="G12" i="78"/>
  <c r="H12" i="78"/>
  <c r="C13" i="78"/>
  <c r="E13" i="78"/>
  <c r="G13" i="78"/>
  <c r="H13" i="78"/>
  <c r="L13" i="78"/>
  <c r="C14" i="78"/>
  <c r="E14" i="78"/>
  <c r="G14" i="78"/>
  <c r="H14" i="78"/>
  <c r="C15" i="78"/>
  <c r="E15" i="78"/>
  <c r="G15" i="78"/>
  <c r="H15" i="78"/>
  <c r="C16" i="78"/>
  <c r="E16" i="78"/>
  <c r="G16" i="78"/>
  <c r="H16" i="78"/>
  <c r="K16" i="78"/>
  <c r="L16" i="78"/>
  <c r="C17" i="78"/>
  <c r="E17" i="78"/>
  <c r="G17" i="78"/>
  <c r="H17" i="78"/>
  <c r="L17" i="78"/>
  <c r="C18" i="78"/>
  <c r="E18" i="78"/>
  <c r="G18" i="78"/>
  <c r="H18" i="78"/>
  <c r="L18" i="78"/>
  <c r="C19" i="78"/>
  <c r="E19" i="78"/>
  <c r="G19" i="78"/>
  <c r="H19" i="78"/>
  <c r="L19" i="78"/>
  <c r="C20" i="78"/>
  <c r="E20" i="78"/>
  <c r="G20" i="78"/>
  <c r="H20" i="78"/>
  <c r="L20" i="78"/>
  <c r="C21" i="78"/>
  <c r="E21" i="78"/>
  <c r="G21" i="78"/>
  <c r="H21" i="78"/>
  <c r="L21" i="78"/>
  <c r="C22" i="78"/>
  <c r="E22" i="78"/>
  <c r="G22" i="78"/>
  <c r="L22" i="78"/>
  <c r="C23" i="78"/>
  <c r="E23" i="78"/>
  <c r="G23" i="78"/>
  <c r="H23" i="78"/>
  <c r="L23" i="78"/>
  <c r="L24" i="78"/>
  <c r="E25" i="78"/>
  <c r="H25" i="78"/>
  <c r="L25" i="78"/>
  <c r="L26" i="78"/>
  <c r="E27" i="78"/>
  <c r="H27" i="78"/>
  <c r="L27" i="78"/>
  <c r="K28" i="78"/>
  <c r="L28" i="78"/>
  <c r="E29" i="78"/>
  <c r="H29" i="78"/>
  <c r="L30" i="78"/>
  <c r="H34" i="78"/>
  <c r="I34" i="78"/>
  <c r="J34" i="78"/>
  <c r="K34" i="78"/>
  <c r="L34" i="78"/>
  <c r="B1" i="41"/>
  <c r="C8" i="41"/>
  <c r="E8" i="41"/>
  <c r="G8" i="41"/>
  <c r="H8" i="41"/>
  <c r="L8" i="41"/>
  <c r="Q8" i="41"/>
  <c r="C9" i="41"/>
  <c r="G9" i="41"/>
  <c r="H9" i="41"/>
  <c r="Q9" i="41"/>
  <c r="C10" i="41"/>
  <c r="E10" i="41"/>
  <c r="G10" i="41"/>
  <c r="H10" i="41"/>
  <c r="Q10" i="41"/>
  <c r="C11" i="41"/>
  <c r="E11" i="41"/>
  <c r="G11" i="41"/>
  <c r="H11" i="41"/>
  <c r="J11" i="41"/>
  <c r="K11" i="41"/>
  <c r="L11" i="41"/>
  <c r="Q11" i="41"/>
  <c r="C12" i="41"/>
  <c r="E12" i="41"/>
  <c r="G12" i="41"/>
  <c r="H12" i="41"/>
  <c r="Q12" i="41"/>
  <c r="C13" i="41"/>
  <c r="E13" i="41"/>
  <c r="G13" i="41"/>
  <c r="H13" i="41"/>
  <c r="L13" i="41"/>
  <c r="P13" i="41"/>
  <c r="Q13" i="41"/>
  <c r="C14" i="41"/>
  <c r="E14" i="41"/>
  <c r="G14" i="41"/>
  <c r="H14" i="41"/>
  <c r="Q14" i="41"/>
  <c r="C15" i="41"/>
  <c r="E15" i="41"/>
  <c r="G15" i="41"/>
  <c r="H15" i="41"/>
  <c r="Q15" i="41"/>
  <c r="C16" i="41"/>
  <c r="E16" i="41"/>
  <c r="G16" i="41"/>
  <c r="H16" i="41"/>
  <c r="L16" i="41"/>
  <c r="Q16" i="41"/>
  <c r="C17" i="41"/>
  <c r="E17" i="41"/>
  <c r="G17" i="41"/>
  <c r="H17" i="41"/>
  <c r="L17" i="41"/>
  <c r="Q17" i="41"/>
  <c r="C18" i="41"/>
  <c r="E18" i="41"/>
  <c r="G18" i="41"/>
  <c r="H18" i="41"/>
  <c r="L18" i="41"/>
  <c r="Q18" i="41"/>
  <c r="C19" i="41"/>
  <c r="E19" i="41"/>
  <c r="G19" i="41"/>
  <c r="H19" i="41"/>
  <c r="L19" i="41"/>
  <c r="Q19" i="41"/>
  <c r="C20" i="41"/>
  <c r="E20" i="41"/>
  <c r="G20" i="41"/>
  <c r="H20" i="41"/>
  <c r="L20" i="41"/>
  <c r="Q20" i="41"/>
  <c r="C21" i="41"/>
  <c r="E21" i="41"/>
  <c r="G21" i="41"/>
  <c r="H21" i="41"/>
  <c r="L21" i="41"/>
  <c r="Q21" i="41"/>
  <c r="C22" i="41"/>
  <c r="E22" i="41"/>
  <c r="G22" i="41"/>
  <c r="H22" i="41"/>
  <c r="L22" i="41"/>
  <c r="Q22" i="41"/>
  <c r="C23" i="41"/>
  <c r="E23" i="41"/>
  <c r="G23" i="41"/>
  <c r="H23" i="41"/>
  <c r="L23" i="41"/>
  <c r="Q23" i="41"/>
  <c r="L24" i="41"/>
  <c r="E25" i="41"/>
  <c r="H25" i="41"/>
  <c r="L25" i="41"/>
  <c r="Q25" i="41"/>
  <c r="L26" i="41"/>
  <c r="E27" i="41"/>
  <c r="H27" i="41"/>
  <c r="L27" i="41"/>
  <c r="Q27" i="41"/>
  <c r="K28" i="41"/>
  <c r="L28" i="41"/>
  <c r="E29" i="41"/>
  <c r="H29" i="41"/>
  <c r="L30" i="41"/>
  <c r="H34" i="41"/>
  <c r="I34" i="41"/>
  <c r="J34" i="41"/>
  <c r="K34" i="41"/>
  <c r="L34" i="41"/>
  <c r="B1" i="29"/>
  <c r="C8" i="29"/>
  <c r="E8" i="29"/>
  <c r="G8" i="29"/>
  <c r="H8" i="29"/>
  <c r="L8" i="29"/>
  <c r="Q8" i="29"/>
  <c r="C9" i="29"/>
  <c r="G9" i="29"/>
  <c r="H9" i="29"/>
  <c r="Q9" i="29"/>
  <c r="C10" i="29"/>
  <c r="E10" i="29"/>
  <c r="G10" i="29"/>
  <c r="H10" i="29"/>
  <c r="Q10" i="29"/>
  <c r="C11" i="29"/>
  <c r="E11" i="29"/>
  <c r="G11" i="29"/>
  <c r="H11" i="29"/>
  <c r="J11" i="29"/>
  <c r="K11" i="29"/>
  <c r="L11" i="29"/>
  <c r="Q11" i="29"/>
  <c r="C12" i="29"/>
  <c r="E12" i="29"/>
  <c r="G12" i="29"/>
  <c r="H12" i="29"/>
  <c r="Q12" i="29"/>
  <c r="C13" i="29"/>
  <c r="E13" i="29"/>
  <c r="G13" i="29"/>
  <c r="H13" i="29"/>
  <c r="L13" i="29"/>
  <c r="P13" i="29"/>
  <c r="Q13" i="29"/>
  <c r="C14" i="29"/>
  <c r="E14" i="29"/>
  <c r="G14" i="29"/>
  <c r="H14" i="29"/>
  <c r="Q14" i="29"/>
  <c r="C15" i="29"/>
  <c r="E15" i="29"/>
  <c r="G15" i="29"/>
  <c r="H15" i="29"/>
  <c r="Q15" i="29"/>
  <c r="C16" i="29"/>
  <c r="E16" i="29"/>
  <c r="G16" i="29"/>
  <c r="H16" i="29"/>
  <c r="L16" i="29"/>
  <c r="Q16" i="29"/>
  <c r="C17" i="29"/>
  <c r="E17" i="29"/>
  <c r="G17" i="29"/>
  <c r="H17" i="29"/>
  <c r="L17" i="29"/>
  <c r="Q17" i="29"/>
  <c r="C18" i="29"/>
  <c r="E18" i="29"/>
  <c r="G18" i="29"/>
  <c r="H18" i="29"/>
  <c r="L18" i="29"/>
  <c r="Q18" i="29"/>
  <c r="C19" i="29"/>
  <c r="E19" i="29"/>
  <c r="G19" i="29"/>
  <c r="H19" i="29"/>
  <c r="L19" i="29"/>
  <c r="Q19" i="29"/>
  <c r="C20" i="29"/>
  <c r="E20" i="29"/>
  <c r="G20" i="29"/>
  <c r="H20" i="29"/>
  <c r="L20" i="29"/>
  <c r="Q20" i="29"/>
  <c r="C21" i="29"/>
  <c r="E21" i="29"/>
  <c r="G21" i="29"/>
  <c r="H21" i="29"/>
  <c r="L21" i="29"/>
  <c r="Q21" i="29"/>
  <c r="C22" i="29"/>
  <c r="E22" i="29"/>
  <c r="G22" i="29"/>
  <c r="H22" i="29"/>
  <c r="L22" i="29"/>
  <c r="Q22" i="29"/>
  <c r="C23" i="29"/>
  <c r="E23" i="29"/>
  <c r="G23" i="29"/>
  <c r="H23" i="29"/>
  <c r="L23" i="29"/>
  <c r="Q23" i="29"/>
  <c r="L24" i="29"/>
  <c r="E25" i="29"/>
  <c r="H25" i="29"/>
  <c r="L25" i="29"/>
  <c r="Q25" i="29"/>
  <c r="L26" i="29"/>
  <c r="E27" i="29"/>
  <c r="H27" i="29"/>
  <c r="L27" i="29"/>
  <c r="Q27" i="29"/>
  <c r="K28" i="29"/>
  <c r="L28" i="29"/>
  <c r="E29" i="29"/>
  <c r="H29" i="29"/>
  <c r="L30" i="29"/>
  <c r="H34" i="29"/>
  <c r="I34" i="29"/>
  <c r="J34" i="29"/>
  <c r="K34" i="29"/>
  <c r="L34" i="29"/>
  <c r="B1" i="34"/>
  <c r="C8" i="34"/>
  <c r="E8" i="34"/>
  <c r="G8" i="34"/>
  <c r="H8" i="34"/>
  <c r="L8" i="34"/>
  <c r="Q8" i="34"/>
  <c r="C9" i="34"/>
  <c r="G9" i="34"/>
  <c r="Q9" i="34"/>
  <c r="C10" i="34"/>
  <c r="E10" i="34"/>
  <c r="G10" i="34"/>
  <c r="H10" i="34"/>
  <c r="Q10" i="34"/>
  <c r="C11" i="34"/>
  <c r="E11" i="34"/>
  <c r="G11" i="34"/>
  <c r="H11" i="34"/>
  <c r="J11" i="34"/>
  <c r="K11" i="34"/>
  <c r="L11" i="34"/>
  <c r="Q11" i="34"/>
  <c r="C12" i="34"/>
  <c r="E12" i="34"/>
  <c r="G12" i="34"/>
  <c r="H12" i="34"/>
  <c r="Q12" i="34"/>
  <c r="C13" i="34"/>
  <c r="E13" i="34"/>
  <c r="G13" i="34"/>
  <c r="H13" i="34"/>
  <c r="L13" i="34"/>
  <c r="P13" i="34"/>
  <c r="Q13" i="34"/>
  <c r="C14" i="34"/>
  <c r="E14" i="34"/>
  <c r="G14" i="34"/>
  <c r="H14" i="34"/>
  <c r="Q14" i="34"/>
  <c r="C15" i="34"/>
  <c r="E15" i="34"/>
  <c r="G15" i="34"/>
  <c r="H15" i="34"/>
  <c r="Q15" i="34"/>
  <c r="C16" i="34"/>
  <c r="E16" i="34"/>
  <c r="G16" i="34"/>
  <c r="H16" i="34"/>
  <c r="L16" i="34"/>
  <c r="Q16" i="34"/>
  <c r="C17" i="34"/>
  <c r="E17" i="34"/>
  <c r="G17" i="34"/>
  <c r="H17" i="34"/>
  <c r="L17" i="34"/>
  <c r="Q17" i="34"/>
  <c r="C18" i="34"/>
  <c r="E18" i="34"/>
  <c r="G18" i="34"/>
  <c r="H18" i="34"/>
  <c r="L18" i="34"/>
  <c r="Q18" i="34"/>
  <c r="C19" i="34"/>
  <c r="E19" i="34"/>
  <c r="G19" i="34"/>
  <c r="H19" i="34"/>
  <c r="L19" i="34"/>
  <c r="Q19" i="34"/>
  <c r="C20" i="34"/>
  <c r="E20" i="34"/>
  <c r="G20" i="34"/>
  <c r="H20" i="34"/>
  <c r="L20" i="34"/>
  <c r="Q20" i="34"/>
  <c r="C21" i="34"/>
  <c r="E21" i="34"/>
  <c r="G21" i="34"/>
  <c r="H21" i="34"/>
  <c r="L21" i="34"/>
  <c r="Q21" i="34"/>
  <c r="C22" i="34"/>
  <c r="E22" i="34"/>
  <c r="G22" i="34"/>
  <c r="H22" i="34"/>
  <c r="L22" i="34"/>
  <c r="Q22" i="34"/>
  <c r="C23" i="34"/>
  <c r="E23" i="34"/>
  <c r="G23" i="34"/>
  <c r="H23" i="34"/>
  <c r="L23" i="34"/>
  <c r="Q23" i="34"/>
  <c r="L24" i="34"/>
  <c r="E25" i="34"/>
  <c r="H25" i="34"/>
  <c r="L25" i="34"/>
  <c r="L26" i="34"/>
  <c r="E27" i="34"/>
  <c r="H27" i="34"/>
  <c r="L27" i="34"/>
  <c r="Q27" i="34"/>
  <c r="K28" i="34"/>
  <c r="L28" i="34"/>
  <c r="E29" i="34"/>
  <c r="H29" i="34"/>
  <c r="Q29" i="34"/>
  <c r="L30" i="34"/>
  <c r="H34" i="34"/>
  <c r="I34" i="34"/>
  <c r="J34" i="34"/>
  <c r="K34" i="34"/>
  <c r="L34" i="34"/>
  <c r="B1" i="35"/>
  <c r="C8" i="35"/>
  <c r="E8" i="35"/>
  <c r="G8" i="35"/>
  <c r="H8" i="35"/>
  <c r="L8" i="35"/>
  <c r="Q8" i="35"/>
  <c r="C9" i="35"/>
  <c r="G9" i="35"/>
  <c r="Q9" i="35"/>
  <c r="C10" i="35"/>
  <c r="E10" i="35"/>
  <c r="G10" i="35"/>
  <c r="H10" i="35"/>
  <c r="Q10" i="35"/>
  <c r="C11" i="35"/>
  <c r="E11" i="35"/>
  <c r="G11" i="35"/>
  <c r="H11" i="35"/>
  <c r="J11" i="35"/>
  <c r="K11" i="35"/>
  <c r="L11" i="35"/>
  <c r="Q11" i="35"/>
  <c r="C12" i="35"/>
  <c r="E12" i="35"/>
  <c r="G12" i="35"/>
  <c r="H12" i="35"/>
  <c r="Q12" i="35"/>
  <c r="C13" i="35"/>
  <c r="E13" i="35"/>
  <c r="G13" i="35"/>
  <c r="H13" i="35"/>
  <c r="L13" i="35"/>
  <c r="P13" i="35"/>
  <c r="Q13" i="35"/>
  <c r="C14" i="35"/>
  <c r="E14" i="35"/>
  <c r="G14" i="35"/>
  <c r="H14" i="35"/>
  <c r="Q14" i="35"/>
  <c r="C15" i="35"/>
  <c r="E15" i="35"/>
  <c r="G15" i="35"/>
  <c r="H15" i="35"/>
  <c r="Q15" i="35"/>
  <c r="C16" i="35"/>
  <c r="E16" i="35"/>
  <c r="G16" i="35"/>
  <c r="H16" i="35"/>
  <c r="K16" i="35"/>
  <c r="L16" i="35"/>
  <c r="Q16" i="35"/>
  <c r="C17" i="35"/>
  <c r="E17" i="35"/>
  <c r="G17" i="35"/>
  <c r="H17" i="35"/>
  <c r="L17" i="35"/>
  <c r="Q17" i="35"/>
  <c r="C18" i="35"/>
  <c r="E18" i="35"/>
  <c r="G18" i="35"/>
  <c r="H18" i="35"/>
  <c r="L18" i="35"/>
  <c r="Q18" i="35"/>
  <c r="C19" i="35"/>
  <c r="E19" i="35"/>
  <c r="G19" i="35"/>
  <c r="H19" i="35"/>
  <c r="L19" i="35"/>
  <c r="Q19" i="35"/>
  <c r="C20" i="35"/>
  <c r="E20" i="35"/>
  <c r="G20" i="35"/>
  <c r="H20" i="35"/>
  <c r="L20" i="35"/>
  <c r="Q20" i="35"/>
  <c r="C21" i="35"/>
  <c r="E21" i="35"/>
  <c r="G21" i="35"/>
  <c r="H21" i="35"/>
  <c r="K21" i="35"/>
  <c r="L21" i="35"/>
  <c r="Q21" i="35"/>
  <c r="C22" i="35"/>
  <c r="E22" i="35"/>
  <c r="G22" i="35"/>
  <c r="H22" i="35"/>
  <c r="L22" i="35"/>
  <c r="Q22" i="35"/>
  <c r="C23" i="35"/>
  <c r="E23" i="35"/>
  <c r="G23" i="35"/>
  <c r="H23" i="35"/>
  <c r="L23" i="35"/>
  <c r="Q23" i="35"/>
  <c r="L24" i="35"/>
  <c r="E25" i="35"/>
  <c r="H25" i="35"/>
  <c r="L25" i="35"/>
  <c r="L26" i="35"/>
  <c r="E27" i="35"/>
  <c r="H27" i="35"/>
  <c r="L27" i="35"/>
  <c r="Q27" i="35"/>
  <c r="K28" i="35"/>
  <c r="L28" i="35"/>
  <c r="E29" i="35"/>
  <c r="H29" i="35"/>
  <c r="Q29" i="35"/>
  <c r="L30" i="35"/>
  <c r="H34" i="35"/>
  <c r="I34" i="35"/>
  <c r="J34" i="35"/>
  <c r="K34" i="35"/>
  <c r="L34" i="35"/>
  <c r="B1" i="98"/>
  <c r="C8" i="98"/>
  <c r="E8" i="98"/>
  <c r="G8" i="98"/>
  <c r="H8" i="98"/>
  <c r="L8" i="98"/>
  <c r="C9" i="98"/>
  <c r="G9" i="98"/>
  <c r="H9" i="98"/>
  <c r="C10" i="98"/>
  <c r="E10" i="98"/>
  <c r="G10" i="98"/>
  <c r="H10" i="98"/>
  <c r="C11" i="98"/>
  <c r="E11" i="98"/>
  <c r="G11" i="98"/>
  <c r="H11" i="98"/>
  <c r="J11" i="98"/>
  <c r="K11" i="98"/>
  <c r="L11" i="98"/>
  <c r="C12" i="98"/>
  <c r="E12" i="98"/>
  <c r="G12" i="98"/>
  <c r="H12" i="98"/>
  <c r="C13" i="98"/>
  <c r="E13" i="98"/>
  <c r="G13" i="98"/>
  <c r="H13" i="98"/>
  <c r="L13" i="98"/>
  <c r="C14" i="98"/>
  <c r="E14" i="98"/>
  <c r="G14" i="98"/>
  <c r="H14" i="98"/>
  <c r="C15" i="98"/>
  <c r="E15" i="98"/>
  <c r="G15" i="98"/>
  <c r="H15" i="98"/>
  <c r="C16" i="98"/>
  <c r="E16" i="98"/>
  <c r="G16" i="98"/>
  <c r="H16" i="98"/>
  <c r="K16" i="98"/>
  <c r="L16" i="98"/>
  <c r="C17" i="98"/>
  <c r="E17" i="98"/>
  <c r="G17" i="98"/>
  <c r="H17" i="98"/>
  <c r="L17" i="98"/>
  <c r="C18" i="98"/>
  <c r="E18" i="98"/>
  <c r="G18" i="98"/>
  <c r="H18" i="98"/>
  <c r="L18" i="98"/>
  <c r="C19" i="98"/>
  <c r="E19" i="98"/>
  <c r="G19" i="98"/>
  <c r="H19" i="98"/>
  <c r="L19" i="98"/>
  <c r="C20" i="98"/>
  <c r="E20" i="98"/>
  <c r="G20" i="98"/>
  <c r="H20" i="98"/>
  <c r="L20" i="98"/>
  <c r="C21" i="98"/>
  <c r="E21" i="98"/>
  <c r="G21" i="98"/>
  <c r="H21" i="98"/>
  <c r="L21" i="98"/>
  <c r="C22" i="98"/>
  <c r="E22" i="98"/>
  <c r="G22" i="98"/>
  <c r="H22" i="98"/>
  <c r="L22" i="98"/>
  <c r="C23" i="98"/>
  <c r="E23" i="98"/>
  <c r="G23" i="98"/>
  <c r="H23" i="98"/>
  <c r="L23" i="98"/>
  <c r="L24" i="98"/>
  <c r="E25" i="98"/>
  <c r="H25" i="98"/>
  <c r="L25" i="98"/>
  <c r="L26" i="98"/>
  <c r="E27" i="98"/>
  <c r="H27" i="98"/>
  <c r="L27" i="98"/>
  <c r="K28" i="98"/>
  <c r="L28" i="98"/>
  <c r="E29" i="98"/>
  <c r="H29" i="98"/>
  <c r="L30" i="98"/>
  <c r="H34" i="98"/>
  <c r="I34" i="98"/>
  <c r="J34" i="98"/>
  <c r="K34" i="98"/>
  <c r="L34" i="98"/>
  <c r="B1" i="117"/>
  <c r="C8" i="117"/>
  <c r="E8" i="117"/>
  <c r="H8" i="117"/>
  <c r="Q8" i="117"/>
  <c r="E9" i="117"/>
  <c r="H9" i="117"/>
  <c r="K9" i="117"/>
  <c r="L9" i="117"/>
  <c r="Q9" i="117"/>
  <c r="E10" i="117"/>
  <c r="H10" i="117"/>
  <c r="Q10" i="117"/>
  <c r="C11" i="117"/>
  <c r="E11" i="117"/>
  <c r="H11" i="117"/>
  <c r="Q11" i="117"/>
  <c r="C12" i="117"/>
  <c r="E12" i="117"/>
  <c r="H12" i="117"/>
  <c r="J12" i="117"/>
  <c r="K12" i="117"/>
  <c r="L12" i="117"/>
  <c r="Q12" i="117"/>
  <c r="C13" i="117"/>
  <c r="E13" i="117"/>
  <c r="H13" i="117"/>
  <c r="Q13" i="117"/>
  <c r="E14" i="117"/>
  <c r="H14" i="117"/>
  <c r="L14" i="117"/>
  <c r="P14" i="117"/>
  <c r="Q14" i="117"/>
  <c r="C15" i="117"/>
  <c r="E15" i="117"/>
  <c r="H15" i="117"/>
  <c r="Q15" i="117"/>
  <c r="C16" i="117"/>
  <c r="E16" i="117"/>
  <c r="H16" i="117"/>
  <c r="Q16" i="117"/>
  <c r="C17" i="117"/>
  <c r="E17" i="117"/>
  <c r="H17" i="117"/>
  <c r="K17" i="117"/>
  <c r="L17" i="117"/>
  <c r="Q17" i="117"/>
  <c r="C18" i="117"/>
  <c r="E18" i="117"/>
  <c r="H18" i="117"/>
  <c r="K18" i="117"/>
  <c r="L18" i="117"/>
  <c r="Q18" i="117"/>
  <c r="C19" i="117"/>
  <c r="H19" i="117"/>
  <c r="K19" i="117"/>
  <c r="L19" i="117"/>
  <c r="Q19" i="117"/>
  <c r="C20" i="117"/>
  <c r="E20" i="117"/>
  <c r="H20" i="117"/>
  <c r="K20" i="117"/>
  <c r="L20" i="117"/>
  <c r="Q20" i="117"/>
  <c r="C21" i="117"/>
  <c r="E21" i="117"/>
  <c r="H21" i="117"/>
  <c r="K21" i="117"/>
  <c r="L21" i="117"/>
  <c r="Q21" i="117"/>
  <c r="C22" i="117"/>
  <c r="E22" i="117"/>
  <c r="H22" i="117"/>
  <c r="K22" i="117"/>
  <c r="L22" i="117"/>
  <c r="Q22" i="117"/>
  <c r="C23" i="117"/>
  <c r="E23" i="117"/>
  <c r="H23" i="117"/>
  <c r="K23" i="117"/>
  <c r="L23" i="117"/>
  <c r="Q23" i="117"/>
  <c r="K24" i="117"/>
  <c r="L24" i="117"/>
  <c r="K25" i="117"/>
  <c r="L25" i="117"/>
  <c r="Q25" i="117"/>
  <c r="K26" i="117"/>
  <c r="L26" i="117"/>
  <c r="K27" i="117"/>
  <c r="L27" i="117"/>
  <c r="Q27" i="117"/>
  <c r="L28" i="117"/>
  <c r="E29" i="117"/>
  <c r="H29" i="117"/>
  <c r="K29" i="117"/>
  <c r="L29" i="117"/>
  <c r="C31" i="117"/>
  <c r="E31" i="117"/>
  <c r="C32" i="117"/>
  <c r="E32" i="117"/>
  <c r="C33" i="117"/>
  <c r="E33" i="117"/>
  <c r="L33" i="117"/>
  <c r="C34" i="117"/>
  <c r="E34" i="117"/>
  <c r="C35" i="117"/>
  <c r="E35" i="117"/>
  <c r="C36" i="117"/>
  <c r="E36" i="117"/>
  <c r="C37" i="117"/>
  <c r="E37" i="117"/>
  <c r="C38" i="117"/>
  <c r="E38" i="117"/>
  <c r="C44" i="117"/>
  <c r="B1" i="115"/>
  <c r="C8" i="115"/>
  <c r="E8" i="115"/>
  <c r="H8" i="115"/>
  <c r="Q8" i="115"/>
  <c r="E9" i="115"/>
  <c r="H9" i="115"/>
  <c r="K9" i="115"/>
  <c r="L9" i="115"/>
  <c r="Q9" i="115"/>
  <c r="E10" i="115"/>
  <c r="H10" i="115"/>
  <c r="Q10" i="115"/>
  <c r="C11" i="115"/>
  <c r="E11" i="115"/>
  <c r="H11" i="115"/>
  <c r="Q11" i="115"/>
  <c r="C12" i="115"/>
  <c r="E12" i="115"/>
  <c r="H12" i="115"/>
  <c r="J12" i="115"/>
  <c r="K12" i="115"/>
  <c r="L12" i="115"/>
  <c r="Q12" i="115"/>
  <c r="C13" i="115"/>
  <c r="E13" i="115"/>
  <c r="H13" i="115"/>
  <c r="Q13" i="115"/>
  <c r="E14" i="115"/>
  <c r="H14" i="115"/>
  <c r="L14" i="115"/>
  <c r="P14" i="115"/>
  <c r="Q14" i="115"/>
  <c r="C15" i="115"/>
  <c r="E15" i="115"/>
  <c r="H15" i="115"/>
  <c r="Q15" i="115"/>
  <c r="C16" i="115"/>
  <c r="E16" i="115"/>
  <c r="H16" i="115"/>
  <c r="Q16" i="115"/>
  <c r="C17" i="115"/>
  <c r="E17" i="115"/>
  <c r="H17" i="115"/>
  <c r="K17" i="115"/>
  <c r="L17" i="115"/>
  <c r="Q17" i="115"/>
  <c r="C18" i="115"/>
  <c r="E18" i="115"/>
  <c r="H18" i="115"/>
  <c r="K18" i="115"/>
  <c r="L18" i="115"/>
  <c r="Q18" i="115"/>
  <c r="C19" i="115"/>
  <c r="H19" i="115"/>
  <c r="K19" i="115"/>
  <c r="L19" i="115"/>
  <c r="Q19" i="115"/>
  <c r="C20" i="115"/>
  <c r="E20" i="115"/>
  <c r="H20" i="115"/>
  <c r="K20" i="115"/>
  <c r="L20" i="115"/>
  <c r="Q20" i="115"/>
  <c r="C21" i="115"/>
  <c r="E21" i="115"/>
  <c r="H21" i="115"/>
  <c r="K21" i="115"/>
  <c r="L21" i="115"/>
  <c r="Q21" i="115"/>
  <c r="C22" i="115"/>
  <c r="E22" i="115"/>
  <c r="H22" i="115"/>
  <c r="K22" i="115"/>
  <c r="L22" i="115"/>
  <c r="Q22" i="115"/>
  <c r="C23" i="115"/>
  <c r="E23" i="115"/>
  <c r="H23" i="115"/>
  <c r="K23" i="115"/>
  <c r="L23" i="115"/>
  <c r="Q23" i="115"/>
  <c r="K24" i="115"/>
  <c r="L24" i="115"/>
  <c r="K25" i="115"/>
  <c r="L25" i="115"/>
  <c r="Q25" i="115"/>
  <c r="K26" i="115"/>
  <c r="L26" i="115"/>
  <c r="K27" i="115"/>
  <c r="L27" i="115"/>
  <c r="Q27" i="115"/>
  <c r="L28" i="115"/>
  <c r="E29" i="115"/>
  <c r="K29" i="115"/>
  <c r="L29" i="115"/>
  <c r="C31" i="115"/>
  <c r="E31" i="115"/>
  <c r="C32" i="115"/>
  <c r="E32" i="115"/>
  <c r="C33" i="115"/>
  <c r="E33" i="115"/>
  <c r="L33" i="115"/>
  <c r="C34" i="115"/>
  <c r="E34" i="115"/>
  <c r="C35" i="115"/>
  <c r="E35" i="115"/>
  <c r="C36" i="115"/>
  <c r="E36" i="115"/>
  <c r="C37" i="115"/>
  <c r="E37" i="115"/>
  <c r="C38" i="115"/>
  <c r="E38" i="115"/>
  <c r="C44" i="115"/>
  <c r="B1" i="118"/>
  <c r="C8" i="118"/>
  <c r="E8" i="118"/>
  <c r="H8" i="118"/>
  <c r="Q8" i="118"/>
  <c r="E9" i="118"/>
  <c r="H9" i="118"/>
  <c r="K9" i="118"/>
  <c r="L9" i="118"/>
  <c r="Q9" i="118"/>
  <c r="E10" i="118"/>
  <c r="H10" i="118"/>
  <c r="Q10" i="118"/>
  <c r="C11" i="118"/>
  <c r="E11" i="118"/>
  <c r="H11" i="118"/>
  <c r="Q11" i="118"/>
  <c r="C12" i="118"/>
  <c r="E12" i="118"/>
  <c r="H12" i="118"/>
  <c r="J12" i="118"/>
  <c r="K12" i="118"/>
  <c r="L12" i="118"/>
  <c r="Q12" i="118"/>
  <c r="C13" i="118"/>
  <c r="E13" i="118"/>
  <c r="H13" i="118"/>
  <c r="Q13" i="118"/>
  <c r="E14" i="118"/>
  <c r="H14" i="118"/>
  <c r="L14" i="118"/>
  <c r="P14" i="118"/>
  <c r="Q14" i="118"/>
  <c r="C15" i="118"/>
  <c r="E15" i="118"/>
  <c r="H15" i="118"/>
  <c r="Q15" i="118"/>
  <c r="C16" i="118"/>
  <c r="E16" i="118"/>
  <c r="H16" i="118"/>
  <c r="Q16" i="118"/>
  <c r="C17" i="118"/>
  <c r="E17" i="118"/>
  <c r="H17" i="118"/>
  <c r="K17" i="118"/>
  <c r="L17" i="118"/>
  <c r="Q17" i="118"/>
  <c r="C18" i="118"/>
  <c r="E18" i="118"/>
  <c r="H18" i="118"/>
  <c r="K18" i="118"/>
  <c r="L18" i="118"/>
  <c r="Q18" i="118"/>
  <c r="C19" i="118"/>
  <c r="H19" i="118"/>
  <c r="K19" i="118"/>
  <c r="L19" i="118"/>
  <c r="Q19" i="118"/>
  <c r="C20" i="118"/>
  <c r="E20" i="118"/>
  <c r="H20" i="118"/>
  <c r="K20" i="118"/>
  <c r="L20" i="118"/>
  <c r="Q20" i="118"/>
  <c r="C21" i="118"/>
  <c r="E21" i="118"/>
  <c r="H21" i="118"/>
  <c r="K21" i="118"/>
  <c r="L21" i="118"/>
  <c r="Q21" i="118"/>
  <c r="C22" i="118"/>
  <c r="E22" i="118"/>
  <c r="H22" i="118"/>
  <c r="K22" i="118"/>
  <c r="L22" i="118"/>
  <c r="Q22" i="118"/>
  <c r="C23" i="118"/>
  <c r="E23" i="118"/>
  <c r="H23" i="118"/>
  <c r="K23" i="118"/>
  <c r="L23" i="118"/>
  <c r="Q23" i="118"/>
  <c r="K24" i="118"/>
  <c r="L24" i="118"/>
  <c r="K25" i="118"/>
  <c r="L25" i="118"/>
  <c r="Q25" i="118"/>
  <c r="K26" i="118"/>
  <c r="L26" i="118"/>
  <c r="K27" i="118"/>
  <c r="L27" i="118"/>
  <c r="Q27" i="118"/>
  <c r="L28" i="118"/>
  <c r="E29" i="118"/>
  <c r="H29" i="118"/>
  <c r="K29" i="118"/>
  <c r="L29" i="118"/>
  <c r="C31" i="118"/>
  <c r="E31" i="118"/>
  <c r="C32" i="118"/>
  <c r="E32" i="118"/>
  <c r="C33" i="118"/>
  <c r="E33" i="118"/>
  <c r="L33" i="118"/>
  <c r="C34" i="118"/>
  <c r="E34" i="118"/>
  <c r="C35" i="118"/>
  <c r="E35" i="118"/>
  <c r="C36" i="118"/>
  <c r="E36" i="118"/>
  <c r="C37" i="118"/>
  <c r="E37" i="118"/>
  <c r="C38" i="118"/>
  <c r="E38" i="118"/>
  <c r="C44" i="118"/>
  <c r="B1" i="116"/>
  <c r="C8" i="116"/>
  <c r="E8" i="116"/>
  <c r="H8" i="116"/>
  <c r="Q8" i="116"/>
  <c r="E9" i="116"/>
  <c r="H9" i="116"/>
  <c r="K9" i="116"/>
  <c r="L9" i="116"/>
  <c r="Q9" i="116"/>
  <c r="E10" i="116"/>
  <c r="H10" i="116"/>
  <c r="Q10" i="116"/>
  <c r="C11" i="116"/>
  <c r="E11" i="116"/>
  <c r="H11" i="116"/>
  <c r="Q11" i="116"/>
  <c r="C12" i="116"/>
  <c r="E12" i="116"/>
  <c r="H12" i="116"/>
  <c r="J12" i="116"/>
  <c r="K12" i="116"/>
  <c r="L12" i="116"/>
  <c r="Q12" i="116"/>
  <c r="C13" i="116"/>
  <c r="E13" i="116"/>
  <c r="H13" i="116"/>
  <c r="Q13" i="116"/>
  <c r="E14" i="116"/>
  <c r="H14" i="116"/>
  <c r="L14" i="116"/>
  <c r="P14" i="116"/>
  <c r="Q14" i="116"/>
  <c r="C15" i="116"/>
  <c r="E15" i="116"/>
  <c r="H15" i="116"/>
  <c r="Q15" i="116"/>
  <c r="C16" i="116"/>
  <c r="E16" i="116"/>
  <c r="H16" i="116"/>
  <c r="Q16" i="116"/>
  <c r="C17" i="116"/>
  <c r="E17" i="116"/>
  <c r="H17" i="116"/>
  <c r="K17" i="116"/>
  <c r="L17" i="116"/>
  <c r="Q17" i="116"/>
  <c r="C18" i="116"/>
  <c r="E18" i="116"/>
  <c r="H18" i="116"/>
  <c r="K18" i="116"/>
  <c r="L18" i="116"/>
  <c r="Q18" i="116"/>
  <c r="C19" i="116"/>
  <c r="H19" i="116"/>
  <c r="K19" i="116"/>
  <c r="L19" i="116"/>
  <c r="Q19" i="116"/>
  <c r="C20" i="116"/>
  <c r="E20" i="116"/>
  <c r="H20" i="116"/>
  <c r="K20" i="116"/>
  <c r="L20" i="116"/>
  <c r="Q20" i="116"/>
  <c r="C21" i="116"/>
  <c r="E21" i="116"/>
  <c r="H21" i="116"/>
  <c r="K21" i="116"/>
  <c r="L21" i="116"/>
  <c r="Q21" i="116"/>
  <c r="C22" i="116"/>
  <c r="E22" i="116"/>
  <c r="H22" i="116"/>
  <c r="K22" i="116"/>
  <c r="L22" i="116"/>
  <c r="Q22" i="116"/>
  <c r="C23" i="116"/>
  <c r="E23" i="116"/>
  <c r="H23" i="116"/>
  <c r="K23" i="116"/>
  <c r="L23" i="116"/>
  <c r="Q23" i="116"/>
  <c r="K24" i="116"/>
  <c r="L24" i="116"/>
  <c r="K25" i="116"/>
  <c r="L25" i="116"/>
  <c r="Q25" i="116"/>
  <c r="K26" i="116"/>
  <c r="L26" i="116"/>
  <c r="K27" i="116"/>
  <c r="L27" i="116"/>
  <c r="Q27" i="116"/>
  <c r="L28" i="116"/>
  <c r="E29" i="116"/>
  <c r="H29" i="116"/>
  <c r="K29" i="116"/>
  <c r="L29" i="116"/>
  <c r="C31" i="116"/>
  <c r="E31" i="116"/>
  <c r="C32" i="116"/>
  <c r="E32" i="116"/>
  <c r="C33" i="116"/>
  <c r="E33" i="116"/>
  <c r="L33" i="116"/>
  <c r="C34" i="116"/>
  <c r="E34" i="116"/>
  <c r="C35" i="116"/>
  <c r="E35" i="116"/>
  <c r="C36" i="116"/>
  <c r="E36" i="116"/>
  <c r="C37" i="116"/>
  <c r="E37" i="116"/>
  <c r="C38" i="116"/>
  <c r="E38" i="116"/>
  <c r="C44" i="116"/>
  <c r="B1" i="13"/>
  <c r="C8" i="13"/>
  <c r="E8" i="13"/>
  <c r="G8" i="13"/>
  <c r="O8" i="13"/>
  <c r="E9" i="13"/>
  <c r="L9" i="13"/>
  <c r="O9" i="13"/>
  <c r="E10" i="13"/>
  <c r="O10" i="13"/>
  <c r="C11" i="13"/>
  <c r="E11" i="13"/>
  <c r="G11" i="13"/>
  <c r="O11" i="13"/>
  <c r="C12" i="13"/>
  <c r="E12" i="13"/>
  <c r="G12" i="13"/>
  <c r="J12" i="13"/>
  <c r="L12" i="13"/>
  <c r="O12" i="13"/>
  <c r="C13" i="13"/>
  <c r="E13" i="13"/>
  <c r="G13" i="13"/>
  <c r="O13" i="13"/>
  <c r="E14" i="13"/>
  <c r="G14" i="13"/>
  <c r="L14" i="13"/>
  <c r="O14" i="13"/>
  <c r="P14" i="13"/>
  <c r="C15" i="13"/>
  <c r="E15" i="13"/>
  <c r="G15" i="13"/>
  <c r="O15" i="13"/>
  <c r="C16" i="13"/>
  <c r="E16" i="13"/>
  <c r="G16" i="13"/>
  <c r="O16" i="13"/>
  <c r="C17" i="13"/>
  <c r="E17" i="13"/>
  <c r="G17" i="13"/>
  <c r="K17" i="13"/>
  <c r="L17" i="13"/>
  <c r="O17" i="13"/>
  <c r="C18" i="13"/>
  <c r="E18" i="13"/>
  <c r="G18" i="13"/>
  <c r="J18" i="13"/>
  <c r="L18" i="13"/>
  <c r="O18" i="13"/>
  <c r="C19" i="13"/>
  <c r="E19" i="13"/>
  <c r="G19" i="13"/>
  <c r="K19" i="13"/>
  <c r="L19" i="13"/>
  <c r="O19" i="13"/>
  <c r="C20" i="13"/>
  <c r="E20" i="13"/>
  <c r="G20" i="13"/>
  <c r="J20" i="13"/>
  <c r="L20" i="13"/>
  <c r="O20" i="13"/>
  <c r="C21" i="13"/>
  <c r="E21" i="13"/>
  <c r="G21" i="13"/>
  <c r="J21" i="13"/>
  <c r="L21" i="13"/>
  <c r="O21" i="13"/>
  <c r="C22" i="13"/>
  <c r="E22" i="13"/>
  <c r="G22" i="13"/>
  <c r="J22" i="13"/>
  <c r="L22" i="13"/>
  <c r="O22" i="13"/>
  <c r="C23" i="13"/>
  <c r="E23" i="13"/>
  <c r="G23" i="13"/>
  <c r="J23" i="13"/>
  <c r="L23" i="13"/>
  <c r="O23" i="13"/>
  <c r="J24" i="13"/>
  <c r="L24" i="13"/>
  <c r="G25" i="13"/>
  <c r="J25" i="13"/>
  <c r="L25" i="13"/>
  <c r="O25" i="13"/>
  <c r="J26" i="13"/>
  <c r="K26" i="13"/>
  <c r="L26" i="13"/>
  <c r="G27" i="13"/>
  <c r="J27" i="13"/>
  <c r="L27" i="13"/>
  <c r="O27" i="13"/>
  <c r="J28" i="13"/>
  <c r="K28" i="13"/>
  <c r="L28" i="13"/>
  <c r="E29" i="13"/>
  <c r="G29" i="13"/>
  <c r="K29" i="13"/>
  <c r="L29" i="13"/>
  <c r="C31" i="13"/>
  <c r="E31" i="13"/>
  <c r="C32" i="13"/>
  <c r="E32" i="13"/>
  <c r="C33" i="13"/>
  <c r="E33" i="13"/>
  <c r="L33" i="13"/>
  <c r="C34" i="13"/>
  <c r="E34" i="13"/>
  <c r="C35" i="13"/>
  <c r="E35" i="13"/>
  <c r="C36" i="13"/>
  <c r="E36" i="13"/>
  <c r="C37" i="13"/>
  <c r="E37" i="13"/>
  <c r="C38" i="13"/>
  <c r="E38" i="13"/>
  <c r="H40" i="13"/>
  <c r="I40" i="13"/>
  <c r="J40" i="13"/>
  <c r="K40" i="13"/>
  <c r="L40" i="13"/>
  <c r="C44" i="13"/>
  <c r="B1" i="43"/>
  <c r="C8" i="43"/>
  <c r="E8" i="43"/>
  <c r="G8" i="43"/>
  <c r="O8" i="43"/>
  <c r="E9" i="43"/>
  <c r="G9" i="43"/>
  <c r="L9" i="43"/>
  <c r="M9" i="43"/>
  <c r="O9" i="43"/>
  <c r="E10" i="43"/>
  <c r="G10" i="43"/>
  <c r="O10" i="43"/>
  <c r="C11" i="43"/>
  <c r="E11" i="43"/>
  <c r="G11" i="43"/>
  <c r="O11" i="43"/>
  <c r="C12" i="43"/>
  <c r="E12" i="43"/>
  <c r="G12" i="43"/>
  <c r="K12" i="43"/>
  <c r="L12" i="43"/>
  <c r="M12" i="43"/>
  <c r="O12" i="43"/>
  <c r="C13" i="43"/>
  <c r="E13" i="43"/>
  <c r="G13" i="43"/>
  <c r="O13" i="43"/>
  <c r="E14" i="43"/>
  <c r="G14" i="43"/>
  <c r="M14" i="43"/>
  <c r="O14" i="43"/>
  <c r="C15" i="43"/>
  <c r="E15" i="43"/>
  <c r="G15" i="43"/>
  <c r="O15" i="43"/>
  <c r="C16" i="43"/>
  <c r="E16" i="43"/>
  <c r="G16" i="43"/>
  <c r="O16" i="43"/>
  <c r="C17" i="43"/>
  <c r="E17" i="43"/>
  <c r="G17" i="43"/>
  <c r="L17" i="43"/>
  <c r="M17" i="43"/>
  <c r="O17" i="43"/>
  <c r="C18" i="43"/>
  <c r="E18" i="43"/>
  <c r="G18" i="43"/>
  <c r="M18" i="43"/>
  <c r="O18" i="43"/>
  <c r="C19" i="43"/>
  <c r="E19" i="43"/>
  <c r="G19" i="43"/>
  <c r="M19" i="43"/>
  <c r="O19" i="43"/>
  <c r="C20" i="43"/>
  <c r="E20" i="43"/>
  <c r="G20" i="43"/>
  <c r="M20" i="43"/>
  <c r="O20" i="43"/>
  <c r="C21" i="43"/>
  <c r="E21" i="43"/>
  <c r="G21" i="43"/>
  <c r="M21" i="43"/>
  <c r="O21" i="43"/>
  <c r="C22" i="43"/>
  <c r="E22" i="43"/>
  <c r="G22" i="43"/>
  <c r="M22" i="43"/>
  <c r="O22" i="43"/>
  <c r="C23" i="43"/>
  <c r="E23" i="43"/>
  <c r="G23" i="43"/>
  <c r="L23" i="43"/>
  <c r="M23" i="43"/>
  <c r="O23" i="43"/>
  <c r="M24" i="43"/>
  <c r="M25" i="43"/>
  <c r="O25" i="43"/>
  <c r="M26" i="43"/>
  <c r="M27" i="43"/>
  <c r="O27" i="43"/>
  <c r="L28" i="43"/>
  <c r="M28" i="43"/>
  <c r="E29" i="43"/>
  <c r="G29" i="43"/>
  <c r="L29" i="43"/>
  <c r="M29" i="43"/>
  <c r="C31" i="43"/>
  <c r="C32" i="43"/>
  <c r="E32" i="43"/>
  <c r="C33" i="43"/>
  <c r="E33" i="43"/>
  <c r="M33" i="43"/>
  <c r="C34" i="43"/>
  <c r="E34" i="43"/>
  <c r="C35" i="43"/>
  <c r="L35" i="43"/>
  <c r="M35" i="43"/>
  <c r="C36" i="43"/>
  <c r="C37" i="43"/>
  <c r="C38" i="43"/>
  <c r="E38" i="43"/>
  <c r="C44" i="43"/>
  <c r="B1" i="17"/>
  <c r="C8" i="17"/>
  <c r="E8" i="17"/>
  <c r="G8" i="17"/>
  <c r="O8" i="17"/>
  <c r="E9" i="17"/>
  <c r="G9" i="17"/>
  <c r="L9" i="17"/>
  <c r="M9" i="17"/>
  <c r="O9" i="17"/>
  <c r="E10" i="17"/>
  <c r="G10" i="17"/>
  <c r="O10" i="17"/>
  <c r="C11" i="17"/>
  <c r="E11" i="17"/>
  <c r="G11" i="17"/>
  <c r="O11" i="17"/>
  <c r="C12" i="17"/>
  <c r="E12" i="17"/>
  <c r="G12" i="17"/>
  <c r="K12" i="17"/>
  <c r="L12" i="17"/>
  <c r="M12" i="17"/>
  <c r="O12" i="17"/>
  <c r="C13" i="17"/>
  <c r="E13" i="17"/>
  <c r="G13" i="17"/>
  <c r="O13" i="17"/>
  <c r="E14" i="17"/>
  <c r="M14" i="17"/>
  <c r="O14" i="17"/>
  <c r="C15" i="17"/>
  <c r="E15" i="17"/>
  <c r="G15" i="17"/>
  <c r="O15" i="17"/>
  <c r="C16" i="17"/>
  <c r="E16" i="17"/>
  <c r="O16" i="17"/>
  <c r="C17" i="17"/>
  <c r="E17" i="17"/>
  <c r="M17" i="17"/>
  <c r="O17" i="17"/>
  <c r="C18" i="17"/>
  <c r="E18" i="17"/>
  <c r="M18" i="17"/>
  <c r="O18" i="17"/>
  <c r="C19" i="17"/>
  <c r="E19" i="17"/>
  <c r="G19" i="17"/>
  <c r="M19" i="17"/>
  <c r="O19" i="17"/>
  <c r="C20" i="17"/>
  <c r="E20" i="17"/>
  <c r="M20" i="17"/>
  <c r="O20" i="17"/>
  <c r="C21" i="17"/>
  <c r="E21" i="17"/>
  <c r="G21" i="17"/>
  <c r="M21" i="17"/>
  <c r="O21" i="17"/>
  <c r="C22" i="17"/>
  <c r="E22" i="17"/>
  <c r="M22" i="17"/>
  <c r="O22" i="17"/>
  <c r="C23" i="17"/>
  <c r="E23" i="17"/>
  <c r="G23" i="17"/>
  <c r="M23" i="17"/>
  <c r="O23" i="17"/>
  <c r="M24" i="17"/>
  <c r="M25" i="17"/>
  <c r="O25" i="17"/>
  <c r="M26" i="17"/>
  <c r="M27" i="17"/>
  <c r="O27" i="17"/>
  <c r="M28" i="17"/>
  <c r="E29" i="17"/>
  <c r="G29" i="17"/>
  <c r="L29" i="17"/>
  <c r="M29" i="17"/>
  <c r="C31" i="17"/>
  <c r="C32" i="17"/>
  <c r="E32" i="17"/>
  <c r="C33" i="17"/>
  <c r="E33" i="17"/>
  <c r="M33" i="17"/>
  <c r="C34" i="17"/>
  <c r="E34" i="17"/>
  <c r="C35" i="17"/>
  <c r="L35" i="17"/>
  <c r="M35" i="17"/>
  <c r="C36" i="17"/>
  <c r="C37" i="17"/>
  <c r="C38" i="17"/>
  <c r="E38" i="17"/>
  <c r="C44" i="17"/>
  <c r="B1" i="42"/>
  <c r="C8" i="42"/>
  <c r="E8" i="42"/>
  <c r="G8" i="42"/>
  <c r="O8" i="42"/>
  <c r="E9" i="42"/>
  <c r="G9" i="42"/>
  <c r="L9" i="42"/>
  <c r="M9" i="42"/>
  <c r="O9" i="42"/>
  <c r="E10" i="42"/>
  <c r="G10" i="42"/>
  <c r="O10" i="42"/>
  <c r="C11" i="42"/>
  <c r="E11" i="42"/>
  <c r="G11" i="42"/>
  <c r="O11" i="42"/>
  <c r="C12" i="42"/>
  <c r="E12" i="42"/>
  <c r="G12" i="42"/>
  <c r="K12" i="42"/>
  <c r="L12" i="42"/>
  <c r="M12" i="42"/>
  <c r="O12" i="42"/>
  <c r="C13" i="42"/>
  <c r="E13" i="42"/>
  <c r="G13" i="42"/>
  <c r="O13" i="42"/>
  <c r="E14" i="42"/>
  <c r="G14" i="42"/>
  <c r="M14" i="42"/>
  <c r="O14" i="42"/>
  <c r="C15" i="42"/>
  <c r="E15" i="42"/>
  <c r="G15" i="42"/>
  <c r="O15" i="42"/>
  <c r="C16" i="42"/>
  <c r="E16" i="42"/>
  <c r="G16" i="42"/>
  <c r="O16" i="42"/>
  <c r="C17" i="42"/>
  <c r="E17" i="42"/>
  <c r="G17" i="42"/>
  <c r="L17" i="42"/>
  <c r="M17" i="42"/>
  <c r="O17" i="42"/>
  <c r="C18" i="42"/>
  <c r="E18" i="42"/>
  <c r="G18" i="42"/>
  <c r="M18" i="42"/>
  <c r="O18" i="42"/>
  <c r="C19" i="42"/>
  <c r="E19" i="42"/>
  <c r="G19" i="42"/>
  <c r="M19" i="42"/>
  <c r="O19" i="42"/>
  <c r="C20" i="42"/>
  <c r="E20" i="42"/>
  <c r="G20" i="42"/>
  <c r="L20" i="42"/>
  <c r="M20" i="42"/>
  <c r="O20" i="42"/>
  <c r="C21" i="42"/>
  <c r="E21" i="42"/>
  <c r="G21" i="42"/>
  <c r="M21" i="42"/>
  <c r="O21" i="42"/>
  <c r="C22" i="42"/>
  <c r="E22" i="42"/>
  <c r="G22" i="42"/>
  <c r="M22" i="42"/>
  <c r="O22" i="42"/>
  <c r="C23" i="42"/>
  <c r="E23" i="42"/>
  <c r="G23" i="42"/>
  <c r="M23" i="42"/>
  <c r="O23" i="42"/>
  <c r="M24" i="42"/>
  <c r="M25" i="42"/>
  <c r="O25" i="42"/>
  <c r="M26" i="42"/>
  <c r="M27" i="42"/>
  <c r="O27" i="42"/>
  <c r="L28" i="42"/>
  <c r="M28" i="42"/>
  <c r="E29" i="42"/>
  <c r="G29" i="42"/>
  <c r="L29" i="42"/>
  <c r="M29" i="42"/>
  <c r="C31" i="42"/>
  <c r="C32" i="42"/>
  <c r="E32" i="42"/>
  <c r="C33" i="42"/>
  <c r="E33" i="42"/>
  <c r="M33" i="42"/>
  <c r="C34" i="42"/>
  <c r="E34" i="42"/>
  <c r="C35" i="42"/>
  <c r="L35" i="42"/>
  <c r="M35" i="42"/>
  <c r="C36" i="42"/>
  <c r="C37" i="42"/>
  <c r="C38" i="42"/>
  <c r="E38" i="42"/>
  <c r="C44" i="42"/>
  <c r="B1" i="18"/>
  <c r="B2" i="18"/>
  <c r="C8" i="18"/>
  <c r="E8" i="18"/>
  <c r="G8" i="18"/>
  <c r="O8" i="18"/>
  <c r="E9" i="18"/>
  <c r="G9" i="18"/>
  <c r="L9" i="18"/>
  <c r="M9" i="18"/>
  <c r="O9" i="18"/>
  <c r="E10" i="18"/>
  <c r="G10" i="18"/>
  <c r="O10" i="18"/>
  <c r="C11" i="18"/>
  <c r="E11" i="18"/>
  <c r="G11" i="18"/>
  <c r="O11" i="18"/>
  <c r="C12" i="18"/>
  <c r="E12" i="18"/>
  <c r="G12" i="18"/>
  <c r="K12" i="18"/>
  <c r="L12" i="18"/>
  <c r="M12" i="18"/>
  <c r="O12" i="18"/>
  <c r="C13" i="18"/>
  <c r="E13" i="18"/>
  <c r="G13" i="18"/>
  <c r="O13" i="18"/>
  <c r="E14" i="18"/>
  <c r="M14" i="18"/>
  <c r="O14" i="18"/>
  <c r="C15" i="18"/>
  <c r="E15" i="18"/>
  <c r="G15" i="18"/>
  <c r="O15" i="18"/>
  <c r="C16" i="18"/>
  <c r="E16" i="18"/>
  <c r="O16" i="18"/>
  <c r="C17" i="18"/>
  <c r="E17" i="18"/>
  <c r="M17" i="18"/>
  <c r="O17" i="18"/>
  <c r="C18" i="18"/>
  <c r="E18" i="18"/>
  <c r="M18" i="18"/>
  <c r="O18" i="18"/>
  <c r="C19" i="18"/>
  <c r="E19" i="18"/>
  <c r="G19" i="18"/>
  <c r="M19" i="18"/>
  <c r="O19" i="18"/>
  <c r="C20" i="18"/>
  <c r="E20" i="18"/>
  <c r="M20" i="18"/>
  <c r="O20" i="18"/>
  <c r="C21" i="18"/>
  <c r="E21" i="18"/>
  <c r="G21" i="18"/>
  <c r="M21" i="18"/>
  <c r="O21" i="18"/>
  <c r="C22" i="18"/>
  <c r="E22" i="18"/>
  <c r="M22" i="18"/>
  <c r="O22" i="18"/>
  <c r="C23" i="18"/>
  <c r="E23" i="18"/>
  <c r="G23" i="18"/>
  <c r="M23" i="18"/>
  <c r="O23" i="18"/>
  <c r="M24" i="18"/>
  <c r="G25" i="18"/>
  <c r="M25" i="18"/>
  <c r="O25" i="18"/>
  <c r="M26" i="18"/>
  <c r="M27" i="18"/>
  <c r="O27" i="18"/>
  <c r="M28" i="18"/>
  <c r="E29" i="18"/>
  <c r="G29" i="18"/>
  <c r="L29" i="18"/>
  <c r="M29" i="18"/>
  <c r="C31" i="18"/>
  <c r="C32" i="18"/>
  <c r="E32" i="18"/>
  <c r="C33" i="18"/>
  <c r="E33" i="18"/>
  <c r="M33" i="18"/>
  <c r="C34" i="18"/>
  <c r="C35" i="18"/>
  <c r="M35" i="18"/>
  <c r="C36" i="18"/>
  <c r="C37" i="18"/>
  <c r="C38" i="18"/>
  <c r="E38" i="18"/>
  <c r="C44" i="18"/>
  <c r="B1" i="16"/>
  <c r="B2" i="16"/>
  <c r="C8" i="16"/>
  <c r="E8" i="16"/>
  <c r="H8" i="16"/>
  <c r="Q8" i="16"/>
  <c r="E9" i="16"/>
  <c r="H9" i="16"/>
  <c r="L9" i="16"/>
  <c r="M9" i="16"/>
  <c r="Q9" i="16"/>
  <c r="E10" i="16"/>
  <c r="H10" i="16"/>
  <c r="Q10" i="16"/>
  <c r="C11" i="16"/>
  <c r="E11" i="16"/>
  <c r="H11" i="16"/>
  <c r="Q11" i="16"/>
  <c r="C12" i="16"/>
  <c r="E12" i="16"/>
  <c r="H12" i="16"/>
  <c r="K12" i="16"/>
  <c r="L12" i="16"/>
  <c r="M12" i="16"/>
  <c r="Q12" i="16"/>
  <c r="C13" i="16"/>
  <c r="E13" i="16"/>
  <c r="H13" i="16"/>
  <c r="Q13" i="16"/>
  <c r="E14" i="16"/>
  <c r="M14" i="16"/>
  <c r="Q14" i="16"/>
  <c r="C15" i="16"/>
  <c r="E15" i="16"/>
  <c r="H15" i="16"/>
  <c r="Q15" i="16"/>
  <c r="C16" i="16"/>
  <c r="E16" i="16"/>
  <c r="Q16" i="16"/>
  <c r="C17" i="16"/>
  <c r="E17" i="16"/>
  <c r="M17" i="16"/>
  <c r="Q17" i="16"/>
  <c r="C18" i="16"/>
  <c r="E18" i="16"/>
  <c r="M18" i="16"/>
  <c r="Q18" i="16"/>
  <c r="C19" i="16"/>
  <c r="E19" i="16"/>
  <c r="H19" i="16"/>
  <c r="M19" i="16"/>
  <c r="Q19" i="16"/>
  <c r="C20" i="16"/>
  <c r="E20" i="16"/>
  <c r="M20" i="16"/>
  <c r="Q20" i="16"/>
  <c r="C21" i="16"/>
  <c r="E21" i="16"/>
  <c r="H21" i="16"/>
  <c r="M21" i="16"/>
  <c r="Q21" i="16"/>
  <c r="C22" i="16"/>
  <c r="E22" i="16"/>
  <c r="H22" i="16"/>
  <c r="M22" i="16"/>
  <c r="Q22" i="16"/>
  <c r="C23" i="16"/>
  <c r="E23" i="16"/>
  <c r="H23" i="16"/>
  <c r="M23" i="16"/>
  <c r="Q23" i="16"/>
  <c r="M24" i="16"/>
  <c r="H25" i="16"/>
  <c r="M25" i="16"/>
  <c r="Q25" i="16"/>
  <c r="M26" i="16"/>
  <c r="M27" i="16"/>
  <c r="Q27" i="16"/>
  <c r="M28" i="16"/>
  <c r="E29" i="16"/>
  <c r="H29" i="16"/>
  <c r="L29" i="16"/>
  <c r="M29" i="16"/>
  <c r="C31" i="16"/>
  <c r="C32" i="16"/>
  <c r="E32" i="16"/>
  <c r="C33" i="16"/>
  <c r="E33" i="16"/>
  <c r="M33" i="16"/>
  <c r="C34" i="16"/>
  <c r="E34" i="16"/>
  <c r="C35" i="16"/>
  <c r="L35" i="16"/>
  <c r="M35" i="16"/>
  <c r="C36" i="16"/>
  <c r="C37" i="16"/>
  <c r="C38" i="16"/>
  <c r="E38" i="16"/>
  <c r="J40" i="16"/>
  <c r="C44" i="16"/>
  <c r="B1" i="20"/>
  <c r="C8" i="20"/>
  <c r="E8" i="20"/>
  <c r="F8" i="20"/>
  <c r="O8" i="20"/>
  <c r="E9" i="20"/>
  <c r="L9" i="20"/>
  <c r="M9" i="20"/>
  <c r="O9" i="20"/>
  <c r="E10" i="20"/>
  <c r="O10" i="20"/>
  <c r="C11" i="20"/>
  <c r="E11" i="20"/>
  <c r="F11" i="20"/>
  <c r="O11" i="20"/>
  <c r="C12" i="20"/>
  <c r="E12" i="20"/>
  <c r="F12" i="20"/>
  <c r="K12" i="20"/>
  <c r="L12" i="20"/>
  <c r="M12" i="20"/>
  <c r="O12" i="20"/>
  <c r="C13" i="20"/>
  <c r="E13" i="20"/>
  <c r="F13" i="20"/>
  <c r="O13" i="20"/>
  <c r="M14" i="20"/>
  <c r="O14" i="20"/>
  <c r="C15" i="20"/>
  <c r="E15" i="20"/>
  <c r="F15" i="20"/>
  <c r="I15" i="20"/>
  <c r="O15" i="20"/>
  <c r="C16" i="20"/>
  <c r="E16" i="20"/>
  <c r="F16" i="20"/>
  <c r="O16" i="20"/>
  <c r="C17" i="20"/>
  <c r="E17" i="20"/>
  <c r="F17" i="20"/>
  <c r="M17" i="20"/>
  <c r="O17" i="20"/>
  <c r="C18" i="20"/>
  <c r="E18" i="20"/>
  <c r="F18" i="20"/>
  <c r="M18" i="20"/>
  <c r="O18" i="20"/>
  <c r="C19" i="20"/>
  <c r="E19" i="20"/>
  <c r="F19" i="20"/>
  <c r="M19" i="20"/>
  <c r="O19" i="20"/>
  <c r="C20" i="20"/>
  <c r="E20" i="20"/>
  <c r="F20" i="20"/>
  <c r="M20" i="20"/>
  <c r="O20" i="20"/>
  <c r="C21" i="20"/>
  <c r="E21" i="20"/>
  <c r="F21" i="20"/>
  <c r="M21" i="20"/>
  <c r="O21" i="20"/>
  <c r="C22" i="20"/>
  <c r="E22" i="20"/>
  <c r="F22" i="20"/>
  <c r="M22" i="20"/>
  <c r="O22" i="20"/>
  <c r="C23" i="20"/>
  <c r="E23" i="20"/>
  <c r="F23" i="20"/>
  <c r="M23" i="20"/>
  <c r="O23" i="20"/>
  <c r="M24" i="20"/>
  <c r="M25" i="20"/>
  <c r="O25" i="20"/>
  <c r="M26" i="20"/>
  <c r="M27" i="20"/>
  <c r="O27" i="20"/>
  <c r="M28" i="20"/>
  <c r="E29" i="20"/>
  <c r="F29" i="20"/>
  <c r="L29" i="20"/>
  <c r="M29" i="20"/>
  <c r="C31" i="20"/>
  <c r="E31" i="20"/>
  <c r="C32" i="20"/>
  <c r="E32" i="20"/>
  <c r="C33" i="20"/>
  <c r="E33" i="20"/>
  <c r="M33" i="20"/>
  <c r="C34" i="20"/>
  <c r="E34" i="20"/>
  <c r="C35" i="20"/>
  <c r="E35" i="20"/>
  <c r="C36" i="20"/>
  <c r="E36" i="20"/>
  <c r="C37" i="20"/>
  <c r="E37" i="20"/>
  <c r="C38" i="20"/>
  <c r="E38" i="20"/>
  <c r="I40" i="20"/>
  <c r="J40" i="20"/>
  <c r="K40" i="20"/>
  <c r="L40" i="20"/>
  <c r="M40" i="20"/>
  <c r="C44" i="20"/>
  <c r="B1" i="107"/>
  <c r="C8" i="107"/>
  <c r="E8" i="107"/>
  <c r="F8" i="107"/>
  <c r="H8" i="107"/>
  <c r="M8" i="107"/>
  <c r="O8" i="107"/>
  <c r="C9" i="107"/>
  <c r="E9" i="107"/>
  <c r="H9" i="107"/>
  <c r="O9" i="107"/>
  <c r="C10" i="107"/>
  <c r="E10" i="107"/>
  <c r="F10" i="107"/>
  <c r="H10" i="107"/>
  <c r="O10" i="107"/>
  <c r="C11" i="107"/>
  <c r="E11" i="107"/>
  <c r="F11" i="107"/>
  <c r="H11" i="107"/>
  <c r="K11" i="107"/>
  <c r="L11" i="107"/>
  <c r="M11" i="107"/>
  <c r="O11" i="107"/>
  <c r="C12" i="107"/>
  <c r="E12" i="107"/>
  <c r="F12" i="107"/>
  <c r="H12" i="107"/>
  <c r="O12" i="107"/>
  <c r="C13" i="107"/>
  <c r="E13" i="107"/>
  <c r="F13" i="107"/>
  <c r="H13" i="107"/>
  <c r="M13" i="107"/>
  <c r="O13" i="107"/>
  <c r="C14" i="107"/>
  <c r="E14" i="107"/>
  <c r="F14" i="107"/>
  <c r="H14" i="107"/>
  <c r="O14" i="107"/>
  <c r="C15" i="107"/>
  <c r="E15" i="107"/>
  <c r="F15" i="107"/>
  <c r="H15" i="107"/>
  <c r="O15" i="107"/>
  <c r="C16" i="107"/>
  <c r="E16" i="107"/>
  <c r="F16" i="107"/>
  <c r="H16" i="107"/>
  <c r="M16" i="107"/>
  <c r="O16" i="107"/>
  <c r="C17" i="107"/>
  <c r="E17" i="107"/>
  <c r="F17" i="107"/>
  <c r="H17" i="107"/>
  <c r="M17" i="107"/>
  <c r="O17" i="107"/>
  <c r="C18" i="107"/>
  <c r="E18" i="107"/>
  <c r="F18" i="107"/>
  <c r="H18" i="107"/>
  <c r="M18" i="107"/>
  <c r="O18" i="107"/>
  <c r="C19" i="107"/>
  <c r="E19" i="107"/>
  <c r="F19" i="107"/>
  <c r="H19" i="107"/>
  <c r="M19" i="107"/>
  <c r="O19" i="107"/>
  <c r="C20" i="107"/>
  <c r="E20" i="107"/>
  <c r="H20" i="107"/>
  <c r="M20" i="107"/>
  <c r="O20" i="107"/>
  <c r="C21" i="107"/>
  <c r="E21" i="107"/>
  <c r="F21" i="107"/>
  <c r="H21" i="107"/>
  <c r="M21" i="107"/>
  <c r="O21" i="107"/>
  <c r="C22" i="107"/>
  <c r="E22" i="107"/>
  <c r="F22" i="107"/>
  <c r="H22" i="107"/>
  <c r="M22" i="107"/>
  <c r="O22" i="107"/>
  <c r="C23" i="107"/>
  <c r="E23" i="107"/>
  <c r="F23" i="107"/>
  <c r="H23" i="107"/>
  <c r="M23" i="107"/>
  <c r="O23" i="107"/>
  <c r="M24" i="107"/>
  <c r="E25" i="107"/>
  <c r="F25" i="107"/>
  <c r="M25" i="107"/>
  <c r="O25" i="107"/>
  <c r="M26" i="107"/>
  <c r="E27" i="107"/>
  <c r="F27" i="107"/>
  <c r="M27" i="107"/>
  <c r="O27" i="107"/>
  <c r="L28" i="107"/>
  <c r="M28" i="107"/>
  <c r="E29" i="107"/>
  <c r="F29" i="107"/>
  <c r="I34" i="107"/>
  <c r="J34" i="107"/>
  <c r="K34" i="107"/>
  <c r="L34" i="107"/>
  <c r="M34" i="107"/>
  <c r="B1" i="124"/>
  <c r="C8" i="124"/>
  <c r="E8" i="124"/>
  <c r="H8" i="124"/>
  <c r="Q8" i="124"/>
  <c r="E9" i="124"/>
  <c r="H9" i="124"/>
  <c r="K9" i="124"/>
  <c r="L9" i="124"/>
  <c r="Q9" i="124"/>
  <c r="E10" i="124"/>
  <c r="H10" i="124"/>
  <c r="Q10" i="124"/>
  <c r="C11" i="124"/>
  <c r="E11" i="124"/>
  <c r="H11" i="124"/>
  <c r="Q11" i="124"/>
  <c r="C12" i="124"/>
  <c r="E12" i="124"/>
  <c r="H12" i="124"/>
  <c r="J12" i="124"/>
  <c r="K12" i="124"/>
  <c r="L12" i="124"/>
  <c r="Q12" i="124"/>
  <c r="C13" i="124"/>
  <c r="E13" i="124"/>
  <c r="H13" i="124"/>
  <c r="Q13" i="124"/>
  <c r="E14" i="124"/>
  <c r="H14" i="124"/>
  <c r="L14" i="124"/>
  <c r="P14" i="124"/>
  <c r="Q14" i="124"/>
  <c r="C15" i="124"/>
  <c r="E15" i="124"/>
  <c r="H15" i="124"/>
  <c r="Q15" i="124"/>
  <c r="C16" i="124"/>
  <c r="E16" i="124"/>
  <c r="H16" i="124"/>
  <c r="Q16" i="124"/>
  <c r="C17" i="124"/>
  <c r="E17" i="124"/>
  <c r="H17" i="124"/>
  <c r="K17" i="124"/>
  <c r="L17" i="124"/>
  <c r="Q17" i="124"/>
  <c r="C18" i="124"/>
  <c r="E18" i="124"/>
  <c r="H18" i="124"/>
  <c r="K18" i="124"/>
  <c r="L18" i="124"/>
  <c r="Q18" i="124"/>
  <c r="C19" i="124"/>
  <c r="H19" i="124"/>
  <c r="K19" i="124"/>
  <c r="L19" i="124"/>
  <c r="Q19" i="124"/>
  <c r="C20" i="124"/>
  <c r="E20" i="124"/>
  <c r="H20" i="124"/>
  <c r="K20" i="124"/>
  <c r="L20" i="124"/>
  <c r="Q20" i="124"/>
  <c r="C21" i="124"/>
  <c r="E21" i="124"/>
  <c r="H21" i="124"/>
  <c r="K21" i="124"/>
  <c r="L21" i="124"/>
  <c r="Q21" i="124"/>
  <c r="C22" i="124"/>
  <c r="E22" i="124"/>
  <c r="H22" i="124"/>
  <c r="K22" i="124"/>
  <c r="L22" i="124"/>
  <c r="Q22" i="124"/>
  <c r="C23" i="124"/>
  <c r="E23" i="124"/>
  <c r="H23" i="124"/>
  <c r="K23" i="124"/>
  <c r="L23" i="124"/>
  <c r="Q23" i="124"/>
  <c r="K24" i="124"/>
  <c r="L24" i="124"/>
  <c r="K25" i="124"/>
  <c r="L25" i="124"/>
  <c r="Q25" i="124"/>
  <c r="K26" i="124"/>
  <c r="L26" i="124"/>
  <c r="K27" i="124"/>
  <c r="L27" i="124"/>
  <c r="Q27" i="124"/>
  <c r="L28" i="124"/>
  <c r="E29" i="124"/>
  <c r="H29" i="124"/>
  <c r="K29" i="124"/>
  <c r="L29" i="124"/>
  <c r="C31" i="124"/>
  <c r="E31" i="124"/>
  <c r="C32" i="124"/>
  <c r="E32" i="124"/>
  <c r="C33" i="124"/>
  <c r="E33" i="124"/>
  <c r="L33" i="124"/>
  <c r="C34" i="124"/>
  <c r="E34" i="124"/>
  <c r="C35" i="124"/>
  <c r="E35" i="124"/>
  <c r="C36" i="124"/>
  <c r="E36" i="124"/>
  <c r="C37" i="124"/>
  <c r="E37" i="124"/>
  <c r="C38" i="124"/>
  <c r="E38" i="124"/>
  <c r="C44" i="124"/>
  <c r="B1" i="84"/>
  <c r="C8" i="84"/>
  <c r="E8" i="84"/>
  <c r="G8" i="84"/>
  <c r="L8" i="84"/>
  <c r="C9" i="84"/>
  <c r="G9" i="84"/>
  <c r="C10" i="84"/>
  <c r="E10" i="84"/>
  <c r="G10" i="84"/>
  <c r="C11" i="84"/>
  <c r="E11" i="84"/>
  <c r="G11" i="84"/>
  <c r="J11" i="84"/>
  <c r="K11" i="84"/>
  <c r="L11" i="84"/>
  <c r="C12" i="84"/>
  <c r="E12" i="84"/>
  <c r="G12" i="84"/>
  <c r="C13" i="84"/>
  <c r="E13" i="84"/>
  <c r="G13" i="84"/>
  <c r="L13" i="84"/>
  <c r="C14" i="84"/>
  <c r="E14" i="84"/>
  <c r="G14" i="84"/>
  <c r="C15" i="84"/>
  <c r="E15" i="84"/>
  <c r="G15" i="84"/>
  <c r="C16" i="84"/>
  <c r="E16" i="84"/>
  <c r="G16" i="84"/>
  <c r="K16" i="84"/>
  <c r="L16" i="84"/>
  <c r="C17" i="84"/>
  <c r="E17" i="84"/>
  <c r="G17" i="84"/>
  <c r="L17" i="84"/>
  <c r="C18" i="84"/>
  <c r="E18" i="84"/>
  <c r="G18" i="84"/>
  <c r="L18" i="84"/>
  <c r="C19" i="84"/>
  <c r="E19" i="84"/>
  <c r="G19" i="84"/>
  <c r="L19" i="84"/>
  <c r="C20" i="84"/>
  <c r="E20" i="84"/>
  <c r="G20" i="84"/>
  <c r="L20" i="84"/>
  <c r="C21" i="84"/>
  <c r="E21" i="84"/>
  <c r="G21" i="84"/>
  <c r="L21" i="84"/>
  <c r="C22" i="84"/>
  <c r="E22" i="84"/>
  <c r="G22" i="84"/>
  <c r="L22" i="84"/>
  <c r="C23" i="84"/>
  <c r="E23" i="84"/>
  <c r="G23" i="84"/>
  <c r="H23" i="84"/>
  <c r="L23" i="84"/>
  <c r="L24" i="84"/>
  <c r="E25" i="84"/>
  <c r="H25" i="84"/>
  <c r="L25" i="84"/>
  <c r="L26" i="84"/>
  <c r="E27" i="84"/>
  <c r="H27" i="84"/>
  <c r="L27" i="84"/>
  <c r="K28" i="84"/>
  <c r="L28" i="84"/>
  <c r="E29" i="84"/>
  <c r="H29" i="84"/>
  <c r="L30" i="84"/>
  <c r="H34" i="84"/>
  <c r="I34" i="84"/>
  <c r="J34" i="84"/>
  <c r="K34" i="84"/>
  <c r="L34" i="84"/>
  <c r="B1" i="110"/>
  <c r="C8" i="110"/>
  <c r="E8" i="110"/>
  <c r="F8" i="110"/>
  <c r="H8" i="110"/>
  <c r="M8" i="110"/>
  <c r="O8" i="110"/>
  <c r="C9" i="110"/>
  <c r="E9" i="110"/>
  <c r="H9" i="110"/>
  <c r="O9" i="110"/>
  <c r="C10" i="110"/>
  <c r="E10" i="110"/>
  <c r="F10" i="110"/>
  <c r="H10" i="110"/>
  <c r="O10" i="110"/>
  <c r="C11" i="110"/>
  <c r="E11" i="110"/>
  <c r="F11" i="110"/>
  <c r="H11" i="110"/>
  <c r="K11" i="110"/>
  <c r="L11" i="110"/>
  <c r="M11" i="110"/>
  <c r="O11" i="110"/>
  <c r="C12" i="110"/>
  <c r="E12" i="110"/>
  <c r="F12" i="110"/>
  <c r="H12" i="110"/>
  <c r="O12" i="110"/>
  <c r="C13" i="110"/>
  <c r="E13" i="110"/>
  <c r="F13" i="110"/>
  <c r="H13" i="110"/>
  <c r="M13" i="110"/>
  <c r="O13" i="110"/>
  <c r="C14" i="110"/>
  <c r="E14" i="110"/>
  <c r="H14" i="110"/>
  <c r="O14" i="110"/>
  <c r="C15" i="110"/>
  <c r="E15" i="110"/>
  <c r="F15" i="110"/>
  <c r="H15" i="110"/>
  <c r="O15" i="110"/>
  <c r="C16" i="110"/>
  <c r="E16" i="110"/>
  <c r="F16" i="110"/>
  <c r="H16" i="110"/>
  <c r="M16" i="110"/>
  <c r="O16" i="110"/>
  <c r="C17" i="110"/>
  <c r="E17" i="110"/>
  <c r="F17" i="110"/>
  <c r="H17" i="110"/>
  <c r="M17" i="110"/>
  <c r="O17" i="110"/>
  <c r="C18" i="110"/>
  <c r="E18" i="110"/>
  <c r="F18" i="110"/>
  <c r="H18" i="110"/>
  <c r="M18" i="110"/>
  <c r="O18" i="110"/>
  <c r="C19" i="110"/>
  <c r="E19" i="110"/>
  <c r="F19" i="110"/>
  <c r="H19" i="110"/>
  <c r="M19" i="110"/>
  <c r="O19" i="110"/>
  <c r="C20" i="110"/>
  <c r="E20" i="110"/>
  <c r="H20" i="110"/>
  <c r="M20" i="110"/>
  <c r="O20" i="110"/>
  <c r="C21" i="110"/>
  <c r="E21" i="110"/>
  <c r="F21" i="110"/>
  <c r="H21" i="110"/>
  <c r="M21" i="110"/>
  <c r="O21" i="110"/>
  <c r="C22" i="110"/>
  <c r="E22" i="110"/>
  <c r="F22" i="110"/>
  <c r="H22" i="110"/>
  <c r="M22" i="110"/>
  <c r="O22" i="110"/>
  <c r="C23" i="110"/>
  <c r="E23" i="110"/>
  <c r="F23" i="110"/>
  <c r="H23" i="110"/>
  <c r="M23" i="110"/>
  <c r="O23" i="110"/>
  <c r="M24" i="110"/>
  <c r="E25" i="110"/>
  <c r="F25" i="110"/>
  <c r="M25" i="110"/>
  <c r="O25" i="110"/>
  <c r="M26" i="110"/>
  <c r="E27" i="110"/>
  <c r="F27" i="110"/>
  <c r="M27" i="110"/>
  <c r="O27" i="110"/>
  <c r="L28" i="110"/>
  <c r="M28" i="110"/>
  <c r="E29" i="110"/>
  <c r="F29" i="110"/>
  <c r="I34" i="110"/>
  <c r="J34" i="110"/>
  <c r="K34" i="110"/>
  <c r="L34" i="110"/>
  <c r="M34" i="110"/>
  <c r="B1" i="105"/>
  <c r="C8" i="105"/>
  <c r="E8" i="105"/>
  <c r="F8" i="105"/>
  <c r="O8" i="105"/>
  <c r="E9" i="105"/>
  <c r="F9" i="105"/>
  <c r="K9" i="105"/>
  <c r="L9" i="105"/>
  <c r="O9" i="105"/>
  <c r="E10" i="105"/>
  <c r="F10" i="105"/>
  <c r="O10" i="105"/>
  <c r="C11" i="105"/>
  <c r="E11" i="105"/>
  <c r="F11" i="105"/>
  <c r="O11" i="105"/>
  <c r="C12" i="105"/>
  <c r="E12" i="105"/>
  <c r="F12" i="105"/>
  <c r="J12" i="105"/>
  <c r="K12" i="105"/>
  <c r="L12" i="105"/>
  <c r="O12" i="105"/>
  <c r="C13" i="105"/>
  <c r="E13" i="105"/>
  <c r="F13" i="105"/>
  <c r="O13" i="105"/>
  <c r="C14" i="105"/>
  <c r="E14" i="105"/>
  <c r="F14" i="105"/>
  <c r="L14" i="105"/>
  <c r="O14" i="105"/>
  <c r="C15" i="105"/>
  <c r="E15" i="105"/>
  <c r="F15" i="105"/>
  <c r="O15" i="105"/>
  <c r="C16" i="105"/>
  <c r="E16" i="105"/>
  <c r="F16" i="105"/>
  <c r="O16" i="105"/>
  <c r="C17" i="105"/>
  <c r="E17" i="105"/>
  <c r="F17" i="105"/>
  <c r="J17" i="105"/>
  <c r="K17" i="105"/>
  <c r="L17" i="105"/>
  <c r="O17" i="105"/>
  <c r="C18" i="105"/>
  <c r="E18" i="105"/>
  <c r="F18" i="105"/>
  <c r="L18" i="105"/>
  <c r="O18" i="105"/>
  <c r="C19" i="105"/>
  <c r="E19" i="105"/>
  <c r="F19" i="105"/>
  <c r="L19" i="105"/>
  <c r="O19" i="105"/>
  <c r="C20" i="105"/>
  <c r="E20" i="105"/>
  <c r="F20" i="105"/>
  <c r="L20" i="105"/>
  <c r="O20" i="105"/>
  <c r="C21" i="105"/>
  <c r="E21" i="105"/>
  <c r="F21" i="105"/>
  <c r="L21" i="105"/>
  <c r="O21" i="105"/>
  <c r="C22" i="105"/>
  <c r="E22" i="105"/>
  <c r="F22" i="105"/>
  <c r="L22" i="105"/>
  <c r="O22" i="105"/>
  <c r="C23" i="105"/>
  <c r="E23" i="105"/>
  <c r="F23" i="105"/>
  <c r="L23" i="105"/>
  <c r="O23" i="105"/>
  <c r="L24" i="105"/>
  <c r="F25" i="105"/>
  <c r="L25" i="105"/>
  <c r="O25" i="105"/>
  <c r="L26" i="105"/>
  <c r="L27" i="105"/>
  <c r="O27" i="105"/>
  <c r="L28" i="105"/>
  <c r="E29" i="105"/>
  <c r="F29" i="105"/>
  <c r="K29" i="105"/>
  <c r="L29" i="105"/>
  <c r="C31" i="105"/>
  <c r="E31" i="105"/>
  <c r="C32" i="105"/>
  <c r="E32" i="105"/>
  <c r="C33" i="105"/>
  <c r="E33" i="105"/>
  <c r="L33" i="105"/>
  <c r="C34" i="105"/>
  <c r="E34" i="105"/>
  <c r="C35" i="105"/>
  <c r="E35" i="105"/>
  <c r="C36" i="105"/>
  <c r="E36" i="105"/>
  <c r="C37" i="105"/>
  <c r="E37" i="105"/>
  <c r="C38" i="105"/>
  <c r="E38" i="105"/>
  <c r="C40" i="105"/>
  <c r="G40" i="105"/>
  <c r="I40" i="105"/>
  <c r="J40" i="105"/>
  <c r="K40" i="105"/>
  <c r="L40" i="105"/>
  <c r="B1" i="11"/>
  <c r="C8" i="11"/>
  <c r="E8" i="11"/>
  <c r="F8" i="11"/>
  <c r="O8" i="11"/>
  <c r="E9" i="11"/>
  <c r="F9" i="11"/>
  <c r="K9" i="11"/>
  <c r="L9" i="11"/>
  <c r="O9" i="11"/>
  <c r="E10" i="11"/>
  <c r="F10" i="11"/>
  <c r="O10" i="11"/>
  <c r="C11" i="11"/>
  <c r="E11" i="11"/>
  <c r="F11" i="11"/>
  <c r="O11" i="11"/>
  <c r="C12" i="11"/>
  <c r="E12" i="11"/>
  <c r="F12" i="11"/>
  <c r="J12" i="11"/>
  <c r="K12" i="11"/>
  <c r="L12" i="11"/>
  <c r="O12" i="11"/>
  <c r="C13" i="11"/>
  <c r="E13" i="11"/>
  <c r="F13" i="11"/>
  <c r="O13" i="11"/>
  <c r="C14" i="11"/>
  <c r="E14" i="11"/>
  <c r="F14" i="11"/>
  <c r="L14" i="11"/>
  <c r="O14" i="11"/>
  <c r="C15" i="11"/>
  <c r="E15" i="11"/>
  <c r="F15" i="11"/>
  <c r="O15" i="11"/>
  <c r="C16" i="11"/>
  <c r="E16" i="11"/>
  <c r="F16" i="11"/>
  <c r="O16" i="11"/>
  <c r="C17" i="11"/>
  <c r="E17" i="11"/>
  <c r="F17" i="11"/>
  <c r="J17" i="11"/>
  <c r="K17" i="11"/>
  <c r="L17" i="11"/>
  <c r="O17" i="11"/>
  <c r="C18" i="11"/>
  <c r="E18" i="11"/>
  <c r="F18" i="11"/>
  <c r="L18" i="11"/>
  <c r="O18" i="11"/>
  <c r="C19" i="11"/>
  <c r="E19" i="11"/>
  <c r="F19" i="11"/>
  <c r="L19" i="11"/>
  <c r="O19" i="11"/>
  <c r="C20" i="11"/>
  <c r="E20" i="11"/>
  <c r="F20" i="11"/>
  <c r="L20" i="11"/>
  <c r="O20" i="11"/>
  <c r="C21" i="11"/>
  <c r="E21" i="11"/>
  <c r="F21" i="11"/>
  <c r="L21" i="11"/>
  <c r="O21" i="11"/>
  <c r="C22" i="11"/>
  <c r="E22" i="11"/>
  <c r="F22" i="11"/>
  <c r="L22" i="11"/>
  <c r="O22" i="11"/>
  <c r="C23" i="11"/>
  <c r="E23" i="11"/>
  <c r="F23" i="11"/>
  <c r="L23" i="11"/>
  <c r="O23" i="11"/>
  <c r="L24" i="11"/>
  <c r="F25" i="11"/>
  <c r="L25" i="11"/>
  <c r="O25" i="11"/>
  <c r="L26" i="11"/>
  <c r="L27" i="11"/>
  <c r="O27" i="11"/>
  <c r="L28" i="11"/>
  <c r="E29" i="11"/>
  <c r="F29" i="11"/>
  <c r="K29" i="11"/>
  <c r="L29" i="11"/>
  <c r="C31" i="11"/>
  <c r="E31" i="11"/>
  <c r="C32" i="11"/>
  <c r="E32" i="11"/>
  <c r="C33" i="11"/>
  <c r="E33" i="11"/>
  <c r="L33" i="11"/>
  <c r="C34" i="11"/>
  <c r="E34" i="11"/>
  <c r="C35" i="11"/>
  <c r="E35" i="11"/>
  <c r="C36" i="11"/>
  <c r="E36" i="11"/>
  <c r="C37" i="11"/>
  <c r="E37" i="11"/>
  <c r="C38" i="11"/>
  <c r="E38" i="11"/>
  <c r="C40" i="11"/>
  <c r="G40" i="11"/>
  <c r="I40" i="11"/>
  <c r="J40" i="11"/>
  <c r="K40" i="11"/>
  <c r="L40" i="11"/>
  <c r="B1" i="50"/>
  <c r="C8" i="50"/>
  <c r="E8" i="50"/>
  <c r="G8" i="50"/>
  <c r="H8" i="50"/>
  <c r="L8" i="50"/>
  <c r="C9" i="50"/>
  <c r="G9" i="50"/>
  <c r="C10" i="50"/>
  <c r="E10" i="50"/>
  <c r="G10" i="50"/>
  <c r="H10" i="50"/>
  <c r="C11" i="50"/>
  <c r="E11" i="50"/>
  <c r="G11" i="50"/>
  <c r="H11" i="50"/>
  <c r="J11" i="50"/>
  <c r="K11" i="50"/>
  <c r="L11" i="50"/>
  <c r="C12" i="50"/>
  <c r="E12" i="50"/>
  <c r="G12" i="50"/>
  <c r="C13" i="50"/>
  <c r="E13" i="50"/>
  <c r="G13" i="50"/>
  <c r="L13" i="50"/>
  <c r="C14" i="50"/>
  <c r="E14" i="50"/>
  <c r="G14" i="50"/>
  <c r="H14" i="50"/>
  <c r="C15" i="50"/>
  <c r="E15" i="50"/>
  <c r="G15" i="50"/>
  <c r="C16" i="50"/>
  <c r="E16" i="50"/>
  <c r="G16" i="50"/>
  <c r="H16" i="50"/>
  <c r="K16" i="50"/>
  <c r="L16" i="50"/>
  <c r="C17" i="50"/>
  <c r="E17" i="50"/>
  <c r="G17" i="50"/>
  <c r="K17" i="50"/>
  <c r="L17" i="50"/>
  <c r="C18" i="50"/>
  <c r="E18" i="50"/>
  <c r="G18" i="50"/>
  <c r="L18" i="50"/>
  <c r="C19" i="50"/>
  <c r="E19" i="50"/>
  <c r="G19" i="50"/>
  <c r="L19" i="50"/>
  <c r="C20" i="50"/>
  <c r="E20" i="50"/>
  <c r="G20" i="50"/>
  <c r="L20" i="50"/>
  <c r="C21" i="50"/>
  <c r="E21" i="50"/>
  <c r="G21" i="50"/>
  <c r="L21" i="50"/>
  <c r="C22" i="50"/>
  <c r="E22" i="50"/>
  <c r="G22" i="50"/>
  <c r="H22" i="50"/>
  <c r="L22" i="50"/>
  <c r="C23" i="50"/>
  <c r="E23" i="50"/>
  <c r="G23" i="50"/>
  <c r="H23" i="50"/>
  <c r="L23" i="50"/>
  <c r="L24" i="50"/>
  <c r="E25" i="50"/>
  <c r="H25" i="50"/>
  <c r="L25" i="50"/>
  <c r="L26" i="50"/>
  <c r="E27" i="50"/>
  <c r="H27" i="50"/>
  <c r="L27" i="50"/>
  <c r="K28" i="50"/>
  <c r="L28" i="50"/>
  <c r="E29" i="50"/>
  <c r="H29" i="50"/>
  <c r="L30" i="50"/>
  <c r="H34" i="50"/>
  <c r="I34" i="50"/>
  <c r="J34" i="50"/>
  <c r="K34" i="50"/>
  <c r="L34" i="50"/>
  <c r="B1" i="109"/>
  <c r="C8" i="109"/>
  <c r="E8" i="109"/>
  <c r="F8" i="109"/>
  <c r="H8" i="109"/>
  <c r="M8" i="109"/>
  <c r="O8" i="109"/>
  <c r="C9" i="109"/>
  <c r="E9" i="109"/>
  <c r="H9" i="109"/>
  <c r="O9" i="109"/>
  <c r="C10" i="109"/>
  <c r="E10" i="109"/>
  <c r="F10" i="109"/>
  <c r="H10" i="109"/>
  <c r="O10" i="109"/>
  <c r="C11" i="109"/>
  <c r="E11" i="109"/>
  <c r="F11" i="109"/>
  <c r="H11" i="109"/>
  <c r="K11" i="109"/>
  <c r="L11" i="109"/>
  <c r="M11" i="109"/>
  <c r="O11" i="109"/>
  <c r="C12" i="109"/>
  <c r="E12" i="109"/>
  <c r="F12" i="109"/>
  <c r="H12" i="109"/>
  <c r="O12" i="109"/>
  <c r="C13" i="109"/>
  <c r="E13" i="109"/>
  <c r="F13" i="109"/>
  <c r="H13" i="109"/>
  <c r="M13" i="109"/>
  <c r="O13" i="109"/>
  <c r="C14" i="109"/>
  <c r="E14" i="109"/>
  <c r="H14" i="109"/>
  <c r="O14" i="109"/>
  <c r="C15" i="109"/>
  <c r="E15" i="109"/>
  <c r="F15" i="109"/>
  <c r="H15" i="109"/>
  <c r="O15" i="109"/>
  <c r="C16" i="109"/>
  <c r="E16" i="109"/>
  <c r="F16" i="109"/>
  <c r="H16" i="109"/>
  <c r="M16" i="109"/>
  <c r="O16" i="109"/>
  <c r="C17" i="109"/>
  <c r="E17" i="109"/>
  <c r="F17" i="109"/>
  <c r="H17" i="109"/>
  <c r="M17" i="109"/>
  <c r="O17" i="109"/>
  <c r="C18" i="109"/>
  <c r="E18" i="109"/>
  <c r="F18" i="109"/>
  <c r="H18" i="109"/>
  <c r="M18" i="109"/>
  <c r="O18" i="109"/>
  <c r="C19" i="109"/>
  <c r="E19" i="109"/>
  <c r="F19" i="109"/>
  <c r="H19" i="109"/>
  <c r="M19" i="109"/>
  <c r="O19" i="109"/>
  <c r="C20" i="109"/>
  <c r="E20" i="109"/>
  <c r="H20" i="109"/>
  <c r="M20" i="109"/>
  <c r="O20" i="109"/>
  <c r="C21" i="109"/>
  <c r="E21" i="109"/>
  <c r="F21" i="109"/>
  <c r="H21" i="109"/>
  <c r="M21" i="109"/>
  <c r="O21" i="109"/>
  <c r="C22" i="109"/>
  <c r="E22" i="109"/>
  <c r="F22" i="109"/>
  <c r="H22" i="109"/>
  <c r="M22" i="109"/>
  <c r="O22" i="109"/>
  <c r="C23" i="109"/>
  <c r="E23" i="109"/>
  <c r="F23" i="109"/>
  <c r="H23" i="109"/>
  <c r="M23" i="109"/>
  <c r="O23" i="109"/>
  <c r="M24" i="109"/>
  <c r="E25" i="109"/>
  <c r="F25" i="109"/>
  <c r="M25" i="109"/>
  <c r="O25" i="109"/>
  <c r="M26" i="109"/>
  <c r="E27" i="109"/>
  <c r="F27" i="109"/>
  <c r="M27" i="109"/>
  <c r="O27" i="109"/>
  <c r="L28" i="109"/>
  <c r="M28" i="109"/>
  <c r="E29" i="109"/>
  <c r="F29" i="109"/>
  <c r="I34" i="109"/>
  <c r="J34" i="109"/>
  <c r="K34" i="109"/>
  <c r="L34" i="109"/>
  <c r="M34" i="109"/>
  <c r="B1" i="21"/>
  <c r="B2" i="21"/>
  <c r="C8" i="21"/>
  <c r="E8" i="21"/>
  <c r="F8" i="21"/>
  <c r="O8" i="21"/>
  <c r="E9" i="21"/>
  <c r="L9" i="21"/>
  <c r="M9" i="21"/>
  <c r="O9" i="21"/>
  <c r="E10" i="21"/>
  <c r="O10" i="21"/>
  <c r="C11" i="21"/>
  <c r="E11" i="21"/>
  <c r="F11" i="21"/>
  <c r="O11" i="21"/>
  <c r="C12" i="21"/>
  <c r="E12" i="21"/>
  <c r="F12" i="21"/>
  <c r="K12" i="21"/>
  <c r="L12" i="21"/>
  <c r="M12" i="21"/>
  <c r="O12" i="21"/>
  <c r="C13" i="21"/>
  <c r="E13" i="21"/>
  <c r="F13" i="21"/>
  <c r="O13" i="21"/>
  <c r="E14" i="21"/>
  <c r="F14" i="21"/>
  <c r="M14" i="21"/>
  <c r="O14" i="21"/>
  <c r="C15" i="21"/>
  <c r="E15" i="21"/>
  <c r="F15" i="21"/>
  <c r="O15" i="21"/>
  <c r="C16" i="21"/>
  <c r="E16" i="21"/>
  <c r="F16" i="21"/>
  <c r="O16" i="21"/>
  <c r="C17" i="21"/>
  <c r="E17" i="21"/>
  <c r="F17" i="21"/>
  <c r="O17" i="21"/>
  <c r="C18" i="21"/>
  <c r="E18" i="21"/>
  <c r="F18" i="21"/>
  <c r="M18" i="21"/>
  <c r="O18" i="21"/>
  <c r="C19" i="21"/>
  <c r="E19" i="21"/>
  <c r="F19" i="21"/>
  <c r="M19" i="21"/>
  <c r="O19" i="21"/>
  <c r="C20" i="21"/>
  <c r="E20" i="21"/>
  <c r="F20" i="21"/>
  <c r="M20" i="21"/>
  <c r="O20" i="21"/>
  <c r="C21" i="21"/>
  <c r="E21" i="21"/>
  <c r="F21" i="21"/>
  <c r="L21" i="21"/>
  <c r="M21" i="21"/>
  <c r="O21" i="21"/>
  <c r="C22" i="21"/>
  <c r="E22" i="21"/>
  <c r="F22" i="21"/>
  <c r="O22" i="21"/>
  <c r="C23" i="21"/>
  <c r="E23" i="21"/>
  <c r="F23" i="21"/>
  <c r="O23" i="21"/>
  <c r="O25" i="21"/>
  <c r="O27" i="21"/>
  <c r="I28" i="21"/>
  <c r="J28" i="21"/>
  <c r="K28" i="21"/>
  <c r="L28" i="21"/>
  <c r="M28" i="21"/>
  <c r="E29" i="21"/>
  <c r="F29" i="21"/>
  <c r="C31" i="21"/>
  <c r="E31" i="21"/>
  <c r="C32" i="21"/>
  <c r="E32" i="21"/>
  <c r="C33" i="21"/>
  <c r="E33" i="21"/>
  <c r="C34" i="21"/>
  <c r="E34" i="21"/>
  <c r="C35" i="21"/>
  <c r="E35" i="21"/>
  <c r="C36" i="21"/>
  <c r="E36" i="21"/>
  <c r="C37" i="21"/>
  <c r="E37" i="21"/>
  <c r="C38" i="21"/>
  <c r="E38" i="21"/>
  <c r="C44" i="21"/>
  <c r="B1" i="104"/>
  <c r="C8" i="104"/>
  <c r="E8" i="104"/>
  <c r="F8" i="104"/>
  <c r="O8" i="104"/>
  <c r="E9" i="104"/>
  <c r="L9" i="104"/>
  <c r="M9" i="104"/>
  <c r="O9" i="104"/>
  <c r="E10" i="104"/>
  <c r="O10" i="104"/>
  <c r="C11" i="104"/>
  <c r="E11" i="104"/>
  <c r="F11" i="104"/>
  <c r="O11" i="104"/>
  <c r="C12" i="104"/>
  <c r="E12" i="104"/>
  <c r="F12" i="104"/>
  <c r="K12" i="104"/>
  <c r="L12" i="104"/>
  <c r="M12" i="104"/>
  <c r="O12" i="104"/>
  <c r="C13" i="104"/>
  <c r="E13" i="104"/>
  <c r="F13" i="104"/>
  <c r="O13" i="104"/>
  <c r="E14" i="104"/>
  <c r="F14" i="104"/>
  <c r="M14" i="104"/>
  <c r="O14" i="104"/>
  <c r="C15" i="104"/>
  <c r="E15" i="104"/>
  <c r="F15" i="104"/>
  <c r="O15" i="104"/>
  <c r="C16" i="104"/>
  <c r="E16" i="104"/>
  <c r="F16" i="104"/>
  <c r="O16" i="104"/>
  <c r="C17" i="104"/>
  <c r="E17" i="104"/>
  <c r="O17" i="104"/>
  <c r="C18" i="104"/>
  <c r="E18" i="104"/>
  <c r="F18" i="104"/>
  <c r="M18" i="104"/>
  <c r="O18" i="104"/>
  <c r="C19" i="104"/>
  <c r="E19" i="104"/>
  <c r="F19" i="104"/>
  <c r="M19" i="104"/>
  <c r="O19" i="104"/>
  <c r="C20" i="104"/>
  <c r="E20" i="104"/>
  <c r="F20" i="104"/>
  <c r="M20" i="104"/>
  <c r="O20" i="104"/>
  <c r="C21" i="104"/>
  <c r="E21" i="104"/>
  <c r="F21" i="104"/>
  <c r="L21" i="104"/>
  <c r="M21" i="104"/>
  <c r="O21" i="104"/>
  <c r="C22" i="104"/>
  <c r="E22" i="104"/>
  <c r="F22" i="104"/>
  <c r="O22" i="104"/>
  <c r="C23" i="104"/>
  <c r="E23" i="104"/>
  <c r="F23" i="104"/>
  <c r="O23" i="104"/>
  <c r="F25" i="104"/>
  <c r="O25" i="104"/>
  <c r="O27" i="104"/>
  <c r="I28" i="104"/>
  <c r="J28" i="104"/>
  <c r="K28" i="104"/>
  <c r="L28" i="104"/>
  <c r="M28" i="104"/>
  <c r="E29" i="104"/>
  <c r="F29" i="104"/>
  <c r="C31" i="104"/>
  <c r="E31" i="104"/>
  <c r="C32" i="104"/>
  <c r="E32" i="104"/>
  <c r="C33" i="104"/>
  <c r="E33" i="104"/>
  <c r="C34" i="104"/>
  <c r="E34" i="104"/>
  <c r="C35" i="104"/>
  <c r="E35" i="104"/>
  <c r="C36" i="104"/>
  <c r="E36" i="104"/>
  <c r="C37" i="104"/>
  <c r="E37" i="104"/>
  <c r="C38" i="104"/>
  <c r="E38" i="104"/>
  <c r="C44" i="104"/>
  <c r="B1" i="103"/>
  <c r="B2" i="103"/>
  <c r="C8" i="103"/>
  <c r="E8" i="103"/>
  <c r="F8" i="103"/>
  <c r="O8" i="103"/>
  <c r="E9" i="103"/>
  <c r="L9" i="103"/>
  <c r="M9" i="103"/>
  <c r="O9" i="103"/>
  <c r="E10" i="103"/>
  <c r="O10" i="103"/>
  <c r="C11" i="103"/>
  <c r="E11" i="103"/>
  <c r="F11" i="103"/>
  <c r="O11" i="103"/>
  <c r="C12" i="103"/>
  <c r="E12" i="103"/>
  <c r="F12" i="103"/>
  <c r="K12" i="103"/>
  <c r="L12" i="103"/>
  <c r="M12" i="103"/>
  <c r="O12" i="103"/>
  <c r="C13" i="103"/>
  <c r="E13" i="103"/>
  <c r="F13" i="103"/>
  <c r="O13" i="103"/>
  <c r="E14" i="103"/>
  <c r="F14" i="103"/>
  <c r="M14" i="103"/>
  <c r="O14" i="103"/>
  <c r="C15" i="103"/>
  <c r="E15" i="103"/>
  <c r="F15" i="103"/>
  <c r="O15" i="103"/>
  <c r="C16" i="103"/>
  <c r="E16" i="103"/>
  <c r="F16" i="103"/>
  <c r="O16" i="103"/>
  <c r="C17" i="103"/>
  <c r="E17" i="103"/>
  <c r="F17" i="103"/>
  <c r="O17" i="103"/>
  <c r="C18" i="103"/>
  <c r="E18" i="103"/>
  <c r="F18" i="103"/>
  <c r="M18" i="103"/>
  <c r="O18" i="103"/>
  <c r="C19" i="103"/>
  <c r="E19" i="103"/>
  <c r="F19" i="103"/>
  <c r="M19" i="103"/>
  <c r="O19" i="103"/>
  <c r="C20" i="103"/>
  <c r="E20" i="103"/>
  <c r="F20" i="103"/>
  <c r="M20" i="103"/>
  <c r="O20" i="103"/>
  <c r="C21" i="103"/>
  <c r="E21" i="103"/>
  <c r="F21" i="103"/>
  <c r="L21" i="103"/>
  <c r="M21" i="103"/>
  <c r="O21" i="103"/>
  <c r="C22" i="103"/>
  <c r="E22" i="103"/>
  <c r="F22" i="103"/>
  <c r="O22" i="103"/>
  <c r="C23" i="103"/>
  <c r="E23" i="103"/>
  <c r="F23" i="103"/>
  <c r="O23" i="103"/>
  <c r="F25" i="103"/>
  <c r="O25" i="103"/>
  <c r="O27" i="103"/>
  <c r="I28" i="103"/>
  <c r="J28" i="103"/>
  <c r="K28" i="103"/>
  <c r="L28" i="103"/>
  <c r="M28" i="103"/>
  <c r="E29" i="103"/>
  <c r="F29" i="103"/>
  <c r="C31" i="103"/>
  <c r="E31" i="103"/>
  <c r="C32" i="103"/>
  <c r="E32" i="103"/>
  <c r="C33" i="103"/>
  <c r="E33" i="103"/>
  <c r="C34" i="103"/>
  <c r="E34" i="103"/>
  <c r="C35" i="103"/>
  <c r="E35" i="103"/>
  <c r="C36" i="103"/>
  <c r="E36" i="103"/>
  <c r="C37" i="103"/>
  <c r="E37" i="103"/>
  <c r="C38" i="103"/>
  <c r="E38" i="103"/>
  <c r="C44" i="103"/>
  <c r="B1" i="112"/>
  <c r="C8" i="112"/>
  <c r="E8" i="112"/>
  <c r="F8" i="112"/>
  <c r="H8" i="112"/>
  <c r="M8" i="112"/>
  <c r="O8" i="112"/>
  <c r="C9" i="112"/>
  <c r="E9" i="112"/>
  <c r="H9" i="112"/>
  <c r="O9" i="112"/>
  <c r="C10" i="112"/>
  <c r="E10" i="112"/>
  <c r="F10" i="112"/>
  <c r="H10" i="112"/>
  <c r="O10" i="112"/>
  <c r="C11" i="112"/>
  <c r="E11" i="112"/>
  <c r="F11" i="112"/>
  <c r="H11" i="112"/>
  <c r="K11" i="112"/>
  <c r="L11" i="112"/>
  <c r="M11" i="112"/>
  <c r="O11" i="112"/>
  <c r="C12" i="112"/>
  <c r="E12" i="112"/>
  <c r="F12" i="112"/>
  <c r="H12" i="112"/>
  <c r="O12" i="112"/>
  <c r="C13" i="112"/>
  <c r="E13" i="112"/>
  <c r="F13" i="112"/>
  <c r="H13" i="112"/>
  <c r="M13" i="112"/>
  <c r="O13" i="112"/>
  <c r="C14" i="112"/>
  <c r="E14" i="112"/>
  <c r="H14" i="112"/>
  <c r="O14" i="112"/>
  <c r="C15" i="112"/>
  <c r="E15" i="112"/>
  <c r="F15" i="112"/>
  <c r="H15" i="112"/>
  <c r="O15" i="112"/>
  <c r="C16" i="112"/>
  <c r="E16" i="112"/>
  <c r="F16" i="112"/>
  <c r="H16" i="112"/>
  <c r="M16" i="112"/>
  <c r="O16" i="112"/>
  <c r="C17" i="112"/>
  <c r="E17" i="112"/>
  <c r="F17" i="112"/>
  <c r="H17" i="112"/>
  <c r="M17" i="112"/>
  <c r="O17" i="112"/>
  <c r="C18" i="112"/>
  <c r="E18" i="112"/>
  <c r="F18" i="112"/>
  <c r="H18" i="112"/>
  <c r="M18" i="112"/>
  <c r="O18" i="112"/>
  <c r="C19" i="112"/>
  <c r="E19" i="112"/>
  <c r="F19" i="112"/>
  <c r="H19" i="112"/>
  <c r="M19" i="112"/>
  <c r="O19" i="112"/>
  <c r="C20" i="112"/>
  <c r="E20" i="112"/>
  <c r="H20" i="112"/>
  <c r="M20" i="112"/>
  <c r="O20" i="112"/>
  <c r="C21" i="112"/>
  <c r="E21" i="112"/>
  <c r="F21" i="112"/>
  <c r="H21" i="112"/>
  <c r="M21" i="112"/>
  <c r="O21" i="112"/>
  <c r="C22" i="112"/>
  <c r="E22" i="112"/>
  <c r="F22" i="112"/>
  <c r="H22" i="112"/>
  <c r="M22" i="112"/>
  <c r="O22" i="112"/>
  <c r="C23" i="112"/>
  <c r="E23" i="112"/>
  <c r="F23" i="112"/>
  <c r="H23" i="112"/>
  <c r="M23" i="112"/>
  <c r="O23" i="112"/>
  <c r="M24" i="112"/>
  <c r="E25" i="112"/>
  <c r="F25" i="112"/>
  <c r="M25" i="112"/>
  <c r="O25" i="112"/>
  <c r="M26" i="112"/>
  <c r="E27" i="112"/>
  <c r="F27" i="112"/>
  <c r="M27" i="112"/>
  <c r="O27" i="112"/>
  <c r="L28" i="112"/>
  <c r="M28" i="112"/>
  <c r="E29" i="112"/>
  <c r="F29" i="112"/>
  <c r="I34" i="112"/>
  <c r="J34" i="112"/>
  <c r="K34" i="112"/>
  <c r="L34" i="112"/>
  <c r="M34" i="112"/>
  <c r="B1" i="99"/>
  <c r="C8" i="99"/>
  <c r="E8" i="99"/>
  <c r="H8" i="99"/>
  <c r="Q8" i="99"/>
  <c r="E9" i="99"/>
  <c r="K9" i="99"/>
  <c r="L9" i="99"/>
  <c r="Q9" i="99"/>
  <c r="E10" i="99"/>
  <c r="H10" i="99"/>
  <c r="Q10" i="99"/>
  <c r="C11" i="99"/>
  <c r="E11" i="99"/>
  <c r="H11" i="99"/>
  <c r="Q11" i="99"/>
  <c r="C12" i="99"/>
  <c r="E12" i="99"/>
  <c r="H12" i="99"/>
  <c r="J12" i="99"/>
  <c r="K12" i="99"/>
  <c r="L12" i="99"/>
  <c r="Q12" i="99"/>
  <c r="C13" i="99"/>
  <c r="E13" i="99"/>
  <c r="Q13" i="99"/>
  <c r="E14" i="99"/>
  <c r="L14" i="99"/>
  <c r="P14" i="99"/>
  <c r="Q14" i="99"/>
  <c r="C15" i="99"/>
  <c r="E15" i="99"/>
  <c r="H15" i="99"/>
  <c r="Q15" i="99"/>
  <c r="C16" i="99"/>
  <c r="E16" i="99"/>
  <c r="Q16" i="99"/>
  <c r="C17" i="99"/>
  <c r="E17" i="99"/>
  <c r="K17" i="99"/>
  <c r="L17" i="99"/>
  <c r="Q17" i="99"/>
  <c r="C18" i="99"/>
  <c r="E18" i="99"/>
  <c r="H18" i="99"/>
  <c r="K18" i="99"/>
  <c r="L18" i="99"/>
  <c r="Q18" i="99"/>
  <c r="C19" i="99"/>
  <c r="H19" i="99"/>
  <c r="K19" i="99"/>
  <c r="L19" i="99"/>
  <c r="Q19" i="99"/>
  <c r="C20" i="99"/>
  <c r="E20" i="99"/>
  <c r="K20" i="99"/>
  <c r="L20" i="99"/>
  <c r="Q20" i="99"/>
  <c r="C21" i="99"/>
  <c r="E21" i="99"/>
  <c r="K21" i="99"/>
  <c r="L21" i="99"/>
  <c r="Q21" i="99"/>
  <c r="C22" i="99"/>
  <c r="E22" i="99"/>
  <c r="K22" i="99"/>
  <c r="L22" i="99"/>
  <c r="Q22" i="99"/>
  <c r="C23" i="99"/>
  <c r="E23" i="99"/>
  <c r="H23" i="99"/>
  <c r="K23" i="99"/>
  <c r="L23" i="99"/>
  <c r="Q23" i="99"/>
  <c r="K24" i="99"/>
  <c r="L24" i="99"/>
  <c r="K25" i="99"/>
  <c r="L25" i="99"/>
  <c r="Q25" i="99"/>
  <c r="K26" i="99"/>
  <c r="L26" i="99"/>
  <c r="K27" i="99"/>
  <c r="L27" i="99"/>
  <c r="Q27" i="99"/>
  <c r="L28" i="99"/>
  <c r="E29" i="99"/>
  <c r="H29" i="99"/>
  <c r="K29" i="99"/>
  <c r="L29" i="99"/>
  <c r="C31" i="99"/>
  <c r="E31" i="99"/>
  <c r="C32" i="99"/>
  <c r="E32" i="99"/>
  <c r="C33" i="99"/>
  <c r="E33" i="99"/>
  <c r="L33" i="99"/>
  <c r="C34" i="99"/>
  <c r="E34" i="99"/>
  <c r="C35" i="99"/>
  <c r="E35" i="99"/>
  <c r="C36" i="99"/>
  <c r="E36" i="99"/>
  <c r="C37" i="99"/>
  <c r="E37" i="99"/>
  <c r="C38" i="99"/>
  <c r="E38" i="99"/>
  <c r="C44" i="99"/>
  <c r="B1" i="121"/>
  <c r="C8" i="121"/>
  <c r="E8" i="121"/>
  <c r="H8" i="121"/>
  <c r="Q8" i="121"/>
  <c r="E9" i="121"/>
  <c r="K9" i="121"/>
  <c r="L9" i="121"/>
  <c r="Q9" i="121"/>
  <c r="E10" i="121"/>
  <c r="H10" i="121"/>
  <c r="Q10" i="121"/>
  <c r="C11" i="121"/>
  <c r="E11" i="121"/>
  <c r="H11" i="121"/>
  <c r="Q11" i="121"/>
  <c r="C12" i="121"/>
  <c r="E12" i="121"/>
  <c r="H12" i="121"/>
  <c r="J12" i="121"/>
  <c r="K12" i="121"/>
  <c r="L12" i="121"/>
  <c r="Q12" i="121"/>
  <c r="C13" i="121"/>
  <c r="E13" i="121"/>
  <c r="Q13" i="121"/>
  <c r="E14" i="121"/>
  <c r="L14" i="121"/>
  <c r="P14" i="121"/>
  <c r="Q14" i="121"/>
  <c r="C15" i="121"/>
  <c r="E15" i="121"/>
  <c r="H15" i="121"/>
  <c r="Q15" i="121"/>
  <c r="C16" i="121"/>
  <c r="E16" i="121"/>
  <c r="Q16" i="121"/>
  <c r="C17" i="121"/>
  <c r="E17" i="121"/>
  <c r="K17" i="121"/>
  <c r="L17" i="121"/>
  <c r="Q17" i="121"/>
  <c r="C18" i="121"/>
  <c r="E18" i="121"/>
  <c r="H18" i="121"/>
  <c r="K18" i="121"/>
  <c r="L18" i="121"/>
  <c r="Q18" i="121"/>
  <c r="C19" i="121"/>
  <c r="H19" i="121"/>
  <c r="K19" i="121"/>
  <c r="L19" i="121"/>
  <c r="Q19" i="121"/>
  <c r="C20" i="121"/>
  <c r="E20" i="121"/>
  <c r="K20" i="121"/>
  <c r="L20" i="121"/>
  <c r="Q20" i="121"/>
  <c r="C21" i="121"/>
  <c r="E21" i="121"/>
  <c r="K21" i="121"/>
  <c r="L21" i="121"/>
  <c r="Q21" i="121"/>
  <c r="C22" i="121"/>
  <c r="E22" i="121"/>
  <c r="K22" i="121"/>
  <c r="L22" i="121"/>
  <c r="Q22" i="121"/>
  <c r="C23" i="121"/>
  <c r="E23" i="121"/>
  <c r="H23" i="121"/>
  <c r="K23" i="121"/>
  <c r="L23" i="121"/>
  <c r="Q23" i="121"/>
  <c r="K24" i="121"/>
  <c r="L24" i="121"/>
  <c r="K25" i="121"/>
  <c r="L25" i="121"/>
  <c r="Q25" i="121"/>
  <c r="K26" i="121"/>
  <c r="L26" i="121"/>
  <c r="K27" i="121"/>
  <c r="L27" i="121"/>
  <c r="Q27" i="121"/>
  <c r="L28" i="121"/>
  <c r="E29" i="121"/>
  <c r="H29" i="121"/>
  <c r="K29" i="121"/>
  <c r="L29" i="121"/>
  <c r="C31" i="121"/>
  <c r="E31" i="121"/>
  <c r="C32" i="121"/>
  <c r="E32" i="121"/>
  <c r="C33" i="121"/>
  <c r="E33" i="121"/>
  <c r="L33" i="121"/>
  <c r="C34" i="121"/>
  <c r="E34" i="121"/>
  <c r="C35" i="121"/>
  <c r="E35" i="121"/>
  <c r="C36" i="121"/>
  <c r="E36" i="121"/>
  <c r="C37" i="121"/>
  <c r="E37" i="121"/>
  <c r="C38" i="121"/>
  <c r="E38" i="121"/>
  <c r="C44" i="121"/>
  <c r="B1" i="119"/>
  <c r="C8" i="119"/>
  <c r="E8" i="119"/>
  <c r="H8" i="119"/>
  <c r="Q8" i="119"/>
  <c r="E9" i="119"/>
  <c r="H9" i="119"/>
  <c r="K9" i="119"/>
  <c r="L9" i="119"/>
  <c r="Q9" i="119"/>
  <c r="E10" i="119"/>
  <c r="H10" i="119"/>
  <c r="Q10" i="119"/>
  <c r="C11" i="119"/>
  <c r="E11" i="119"/>
  <c r="H11" i="119"/>
  <c r="Q11" i="119"/>
  <c r="C12" i="119"/>
  <c r="E12" i="119"/>
  <c r="H12" i="119"/>
  <c r="J12" i="119"/>
  <c r="K12" i="119"/>
  <c r="L12" i="119"/>
  <c r="Q12" i="119"/>
  <c r="C13" i="119"/>
  <c r="E13" i="119"/>
  <c r="H13" i="119"/>
  <c r="Q13" i="119"/>
  <c r="E14" i="119"/>
  <c r="H14" i="119"/>
  <c r="L14" i="119"/>
  <c r="P14" i="119"/>
  <c r="Q14" i="119"/>
  <c r="C15" i="119"/>
  <c r="E15" i="119"/>
  <c r="H15" i="119"/>
  <c r="Q15" i="119"/>
  <c r="C16" i="119"/>
  <c r="E16" i="119"/>
  <c r="H16" i="119"/>
  <c r="Q16" i="119"/>
  <c r="C17" i="119"/>
  <c r="E17" i="119"/>
  <c r="H17" i="119"/>
  <c r="K17" i="119"/>
  <c r="L17" i="119"/>
  <c r="Q17" i="119"/>
  <c r="C18" i="119"/>
  <c r="E18" i="119"/>
  <c r="H18" i="119"/>
  <c r="K18" i="119"/>
  <c r="L18" i="119"/>
  <c r="Q18" i="119"/>
  <c r="C19" i="119"/>
  <c r="H19" i="119"/>
  <c r="K19" i="119"/>
  <c r="L19" i="119"/>
  <c r="Q19" i="119"/>
  <c r="C20" i="119"/>
  <c r="E20" i="119"/>
  <c r="H20" i="119"/>
  <c r="K20" i="119"/>
  <c r="L20" i="119"/>
  <c r="Q20" i="119"/>
  <c r="C21" i="119"/>
  <c r="E21" i="119"/>
  <c r="H21" i="119"/>
  <c r="K21" i="119"/>
  <c r="L21" i="119"/>
  <c r="Q21" i="119"/>
  <c r="C22" i="119"/>
  <c r="E22" i="119"/>
  <c r="H22" i="119"/>
  <c r="K22" i="119"/>
  <c r="L22" i="119"/>
  <c r="Q22" i="119"/>
  <c r="C23" i="119"/>
  <c r="E23" i="119"/>
  <c r="H23" i="119"/>
  <c r="K23" i="119"/>
  <c r="L23" i="119"/>
  <c r="Q23" i="119"/>
  <c r="K24" i="119"/>
  <c r="L24" i="119"/>
  <c r="K25" i="119"/>
  <c r="L25" i="119"/>
  <c r="Q25" i="119"/>
  <c r="K26" i="119"/>
  <c r="L26" i="119"/>
  <c r="K27" i="119"/>
  <c r="L27" i="119"/>
  <c r="Q27" i="119"/>
  <c r="L28" i="119"/>
  <c r="E29" i="119"/>
  <c r="H29" i="119"/>
  <c r="K29" i="119"/>
  <c r="L29" i="119"/>
  <c r="C31" i="119"/>
  <c r="E31" i="119"/>
  <c r="C32" i="119"/>
  <c r="E32" i="119"/>
  <c r="C33" i="119"/>
  <c r="E33" i="119"/>
  <c r="L33" i="119"/>
  <c r="C34" i="119"/>
  <c r="E34" i="119"/>
  <c r="C35" i="119"/>
  <c r="E35" i="119"/>
  <c r="C36" i="119"/>
  <c r="E36" i="119"/>
  <c r="C37" i="119"/>
  <c r="E37" i="119"/>
  <c r="C38" i="119"/>
  <c r="E38" i="119"/>
  <c r="C44" i="119"/>
  <c r="B1" i="122"/>
  <c r="C8" i="122"/>
  <c r="E8" i="122"/>
  <c r="H8" i="122"/>
  <c r="Q8" i="122"/>
  <c r="E9" i="122"/>
  <c r="H9" i="122"/>
  <c r="K9" i="122"/>
  <c r="L9" i="122"/>
  <c r="Q9" i="122"/>
  <c r="E10" i="122"/>
  <c r="H10" i="122"/>
  <c r="Q10" i="122"/>
  <c r="C11" i="122"/>
  <c r="E11" i="122"/>
  <c r="H11" i="122"/>
  <c r="Q11" i="122"/>
  <c r="C12" i="122"/>
  <c r="E12" i="122"/>
  <c r="H12" i="122"/>
  <c r="J12" i="122"/>
  <c r="K12" i="122"/>
  <c r="L12" i="122"/>
  <c r="Q12" i="122"/>
  <c r="C13" i="122"/>
  <c r="E13" i="122"/>
  <c r="H13" i="122"/>
  <c r="Q13" i="122"/>
  <c r="E14" i="122"/>
  <c r="H14" i="122"/>
  <c r="L14" i="122"/>
  <c r="P14" i="122"/>
  <c r="Q14" i="122"/>
  <c r="C15" i="122"/>
  <c r="E15" i="122"/>
  <c r="H15" i="122"/>
  <c r="Q15" i="122"/>
  <c r="C16" i="122"/>
  <c r="E16" i="122"/>
  <c r="H16" i="122"/>
  <c r="Q16" i="122"/>
  <c r="C17" i="122"/>
  <c r="E17" i="122"/>
  <c r="H17" i="122"/>
  <c r="K17" i="122"/>
  <c r="L17" i="122"/>
  <c r="Q17" i="122"/>
  <c r="C18" i="122"/>
  <c r="E18" i="122"/>
  <c r="H18" i="122"/>
  <c r="K18" i="122"/>
  <c r="L18" i="122"/>
  <c r="Q18" i="122"/>
  <c r="C19" i="122"/>
  <c r="H19" i="122"/>
  <c r="K19" i="122"/>
  <c r="L19" i="122"/>
  <c r="Q19" i="122"/>
  <c r="C20" i="122"/>
  <c r="E20" i="122"/>
  <c r="H20" i="122"/>
  <c r="K20" i="122"/>
  <c r="L20" i="122"/>
  <c r="Q20" i="122"/>
  <c r="C21" i="122"/>
  <c r="E21" i="122"/>
  <c r="H21" i="122"/>
  <c r="K21" i="122"/>
  <c r="L21" i="122"/>
  <c r="Q21" i="122"/>
  <c r="C22" i="122"/>
  <c r="E22" i="122"/>
  <c r="H22" i="122"/>
  <c r="K22" i="122"/>
  <c r="L22" i="122"/>
  <c r="Q22" i="122"/>
  <c r="C23" i="122"/>
  <c r="E23" i="122"/>
  <c r="H23" i="122"/>
  <c r="K23" i="122"/>
  <c r="L23" i="122"/>
  <c r="Q23" i="122"/>
  <c r="K24" i="122"/>
  <c r="L24" i="122"/>
  <c r="K25" i="122"/>
  <c r="L25" i="122"/>
  <c r="Q25" i="122"/>
  <c r="K26" i="122"/>
  <c r="L26" i="122"/>
  <c r="K27" i="122"/>
  <c r="L27" i="122"/>
  <c r="Q27" i="122"/>
  <c r="L28" i="122"/>
  <c r="E29" i="122"/>
  <c r="H29" i="122"/>
  <c r="K29" i="122"/>
  <c r="L29" i="122"/>
  <c r="C31" i="122"/>
  <c r="E31" i="122"/>
  <c r="C32" i="122"/>
  <c r="E32" i="122"/>
  <c r="C33" i="122"/>
  <c r="E33" i="122"/>
  <c r="L33" i="122"/>
  <c r="C34" i="122"/>
  <c r="E34" i="122"/>
  <c r="C35" i="122"/>
  <c r="E35" i="122"/>
  <c r="C36" i="122"/>
  <c r="E36" i="122"/>
  <c r="C37" i="122"/>
  <c r="E37" i="122"/>
  <c r="C38" i="122"/>
  <c r="E38" i="122"/>
  <c r="C44" i="122"/>
  <c r="B1" i="120"/>
  <c r="C8" i="120"/>
  <c r="E8" i="120"/>
  <c r="H8" i="120"/>
  <c r="Q8" i="120"/>
  <c r="E9" i="120"/>
  <c r="H9" i="120"/>
  <c r="K9" i="120"/>
  <c r="L9" i="120"/>
  <c r="Q9" i="120"/>
  <c r="E10" i="120"/>
  <c r="H10" i="120"/>
  <c r="Q10" i="120"/>
  <c r="C11" i="120"/>
  <c r="E11" i="120"/>
  <c r="H11" i="120"/>
  <c r="Q11" i="120"/>
  <c r="C12" i="120"/>
  <c r="E12" i="120"/>
  <c r="H12" i="120"/>
  <c r="J12" i="120"/>
  <c r="K12" i="120"/>
  <c r="L12" i="120"/>
  <c r="Q12" i="120"/>
  <c r="C13" i="120"/>
  <c r="E13" i="120"/>
  <c r="H13" i="120"/>
  <c r="Q13" i="120"/>
  <c r="E14" i="120"/>
  <c r="H14" i="120"/>
  <c r="L14" i="120"/>
  <c r="P14" i="120"/>
  <c r="Q14" i="120"/>
  <c r="C15" i="120"/>
  <c r="E15" i="120"/>
  <c r="H15" i="120"/>
  <c r="Q15" i="120"/>
  <c r="C16" i="120"/>
  <c r="E16" i="120"/>
  <c r="H16" i="120"/>
  <c r="Q16" i="120"/>
  <c r="C17" i="120"/>
  <c r="E17" i="120"/>
  <c r="H17" i="120"/>
  <c r="K17" i="120"/>
  <c r="L17" i="120"/>
  <c r="Q17" i="120"/>
  <c r="C18" i="120"/>
  <c r="E18" i="120"/>
  <c r="H18" i="120"/>
  <c r="K18" i="120"/>
  <c r="L18" i="120"/>
  <c r="Q18" i="120"/>
  <c r="C19" i="120"/>
  <c r="H19" i="120"/>
  <c r="K19" i="120"/>
  <c r="L19" i="120"/>
  <c r="Q19" i="120"/>
  <c r="C20" i="120"/>
  <c r="E20" i="120"/>
  <c r="H20" i="120"/>
  <c r="K20" i="120"/>
  <c r="L20" i="120"/>
  <c r="Q20" i="120"/>
  <c r="C21" i="120"/>
  <c r="E21" i="120"/>
  <c r="H21" i="120"/>
  <c r="K21" i="120"/>
  <c r="L21" i="120"/>
  <c r="Q21" i="120"/>
  <c r="C22" i="120"/>
  <c r="E22" i="120"/>
  <c r="H22" i="120"/>
  <c r="K22" i="120"/>
  <c r="L22" i="120"/>
  <c r="Q22" i="120"/>
  <c r="C23" i="120"/>
  <c r="E23" i="120"/>
  <c r="H23" i="120"/>
  <c r="K23" i="120"/>
  <c r="L23" i="120"/>
  <c r="Q23" i="120"/>
  <c r="K24" i="120"/>
  <c r="L24" i="120"/>
  <c r="K25" i="120"/>
  <c r="L25" i="120"/>
  <c r="Q25" i="120"/>
  <c r="K26" i="120"/>
  <c r="L26" i="120"/>
  <c r="K27" i="120"/>
  <c r="L27" i="120"/>
  <c r="Q27" i="120"/>
  <c r="L28" i="120"/>
  <c r="E29" i="120"/>
  <c r="H29" i="120"/>
  <c r="K29" i="120"/>
  <c r="L29" i="120"/>
  <c r="C31" i="120"/>
  <c r="E31" i="120"/>
  <c r="C32" i="120"/>
  <c r="E32" i="120"/>
  <c r="C33" i="120"/>
  <c r="E33" i="120"/>
  <c r="L33" i="120"/>
  <c r="C34" i="120"/>
  <c r="E34" i="120"/>
  <c r="C35" i="120"/>
  <c r="E35" i="120"/>
  <c r="C36" i="120"/>
  <c r="E36" i="120"/>
  <c r="C37" i="120"/>
  <c r="E37" i="120"/>
  <c r="C38" i="120"/>
  <c r="E38" i="120"/>
  <c r="C44" i="120"/>
  <c r="B1" i="9"/>
  <c r="C8" i="9"/>
  <c r="E8" i="9"/>
  <c r="G8" i="9"/>
  <c r="L8" i="9"/>
  <c r="O8" i="9"/>
  <c r="E9" i="9"/>
  <c r="O9" i="9"/>
  <c r="E10" i="9"/>
  <c r="O10" i="9"/>
  <c r="C11" i="9"/>
  <c r="E11" i="9"/>
  <c r="G11" i="9"/>
  <c r="J11" i="9"/>
  <c r="K11" i="9"/>
  <c r="L11" i="9"/>
  <c r="O11" i="9"/>
  <c r="C12" i="9"/>
  <c r="E12" i="9"/>
  <c r="G12" i="9"/>
  <c r="O12" i="9"/>
  <c r="C13" i="9"/>
  <c r="E13" i="9"/>
  <c r="G13" i="9"/>
  <c r="L13" i="9"/>
  <c r="O13" i="9"/>
  <c r="P13" i="9"/>
  <c r="E14" i="9"/>
  <c r="O14" i="9"/>
  <c r="C15" i="9"/>
  <c r="E15" i="9"/>
  <c r="G15" i="9"/>
  <c r="O15" i="9"/>
  <c r="C16" i="9"/>
  <c r="E16" i="9"/>
  <c r="G16" i="9"/>
  <c r="L16" i="9"/>
  <c r="O16" i="9"/>
  <c r="C17" i="9"/>
  <c r="E17" i="9"/>
  <c r="G17" i="9"/>
  <c r="L17" i="9"/>
  <c r="O17" i="9"/>
  <c r="C18" i="9"/>
  <c r="E18" i="9"/>
  <c r="G18" i="9"/>
  <c r="L18" i="9"/>
  <c r="O18" i="9"/>
  <c r="C19" i="9"/>
  <c r="E19" i="9"/>
  <c r="G19" i="9"/>
  <c r="L19" i="9"/>
  <c r="O19" i="9"/>
  <c r="C20" i="9"/>
  <c r="E20" i="9"/>
  <c r="G20" i="9"/>
  <c r="L20" i="9"/>
  <c r="O20" i="9"/>
  <c r="C21" i="9"/>
  <c r="E21" i="9"/>
  <c r="G21" i="9"/>
  <c r="L21" i="9"/>
  <c r="O21" i="9"/>
  <c r="C22" i="9"/>
  <c r="E22" i="9"/>
  <c r="G22" i="9"/>
  <c r="L22" i="9"/>
  <c r="O22" i="9"/>
  <c r="C23" i="9"/>
  <c r="E23" i="9"/>
  <c r="G23" i="9"/>
  <c r="J23" i="9"/>
  <c r="L23" i="9"/>
  <c r="O23" i="9"/>
  <c r="J24" i="9"/>
  <c r="L24" i="9"/>
  <c r="G25" i="9"/>
  <c r="J25" i="9"/>
  <c r="L25" i="9"/>
  <c r="O25" i="9"/>
  <c r="J26" i="9"/>
  <c r="L26" i="9"/>
  <c r="J27" i="9"/>
  <c r="L27" i="9"/>
  <c r="O27" i="9"/>
  <c r="K28" i="9"/>
  <c r="L28" i="9"/>
  <c r="E29" i="9"/>
  <c r="G29" i="9"/>
  <c r="C31" i="9"/>
  <c r="E31" i="9"/>
  <c r="C32" i="9"/>
  <c r="E32" i="9"/>
  <c r="L32" i="9"/>
  <c r="C33" i="9"/>
  <c r="E33" i="9"/>
  <c r="C34" i="9"/>
  <c r="E34" i="9"/>
  <c r="C35" i="9"/>
  <c r="E35" i="9"/>
  <c r="C36" i="9"/>
  <c r="E36" i="9"/>
  <c r="C37" i="9"/>
  <c r="E37" i="9"/>
  <c r="C38" i="9"/>
  <c r="E38" i="9"/>
  <c r="C44" i="9"/>
  <c r="B1" i="31"/>
  <c r="B2" i="31"/>
  <c r="C8" i="31"/>
  <c r="E8" i="31"/>
  <c r="F8" i="31"/>
  <c r="O8" i="31"/>
  <c r="E9" i="31"/>
  <c r="F9" i="31"/>
  <c r="K9" i="31"/>
  <c r="L9" i="31"/>
  <c r="O9" i="31"/>
  <c r="E10" i="31"/>
  <c r="F10" i="31"/>
  <c r="O10" i="31"/>
  <c r="C11" i="31"/>
  <c r="E11" i="31"/>
  <c r="F11" i="31"/>
  <c r="O11" i="31"/>
  <c r="C12" i="31"/>
  <c r="E12" i="31"/>
  <c r="F12" i="31"/>
  <c r="J12" i="31"/>
  <c r="K12" i="31"/>
  <c r="L12" i="31"/>
  <c r="O12" i="31"/>
  <c r="C13" i="31"/>
  <c r="E13" i="31"/>
  <c r="F13" i="31"/>
  <c r="O13" i="31"/>
  <c r="C14" i="31"/>
  <c r="E14" i="31"/>
  <c r="F14" i="31"/>
  <c r="L14" i="31"/>
  <c r="O14" i="31"/>
  <c r="P14" i="31"/>
  <c r="C15" i="31"/>
  <c r="E15" i="31"/>
  <c r="F15" i="31"/>
  <c r="O15" i="31"/>
  <c r="C16" i="31"/>
  <c r="E16" i="31"/>
  <c r="F16" i="31"/>
  <c r="O16" i="31"/>
  <c r="C17" i="31"/>
  <c r="E17" i="31"/>
  <c r="F17" i="31"/>
  <c r="J17" i="31"/>
  <c r="K17" i="31"/>
  <c r="L17" i="31"/>
  <c r="O17" i="31"/>
  <c r="C18" i="31"/>
  <c r="E18" i="31"/>
  <c r="F18" i="31"/>
  <c r="L18" i="31"/>
  <c r="O18" i="31"/>
  <c r="C19" i="31"/>
  <c r="E19" i="31"/>
  <c r="F19" i="31"/>
  <c r="L19" i="31"/>
  <c r="O19" i="31"/>
  <c r="C20" i="31"/>
  <c r="E20" i="31"/>
  <c r="F20" i="31"/>
  <c r="L20" i="31"/>
  <c r="O20" i="31"/>
  <c r="C21" i="31"/>
  <c r="E21" i="31"/>
  <c r="F21" i="31"/>
  <c r="L21" i="31"/>
  <c r="O21" i="31"/>
  <c r="C22" i="31"/>
  <c r="E22" i="31"/>
  <c r="F22" i="31"/>
  <c r="L22" i="31"/>
  <c r="O22" i="31"/>
  <c r="C23" i="31"/>
  <c r="E23" i="31"/>
  <c r="F23" i="31"/>
  <c r="L23" i="31"/>
  <c r="O23" i="31"/>
  <c r="L24" i="31"/>
  <c r="F25" i="31"/>
  <c r="L25" i="31"/>
  <c r="O25" i="31"/>
  <c r="L26" i="31"/>
  <c r="L27" i="31"/>
  <c r="O27" i="31"/>
  <c r="K28" i="31"/>
  <c r="L28" i="31"/>
  <c r="E29" i="31"/>
  <c r="F29" i="31"/>
  <c r="K29" i="31"/>
  <c r="L29" i="31"/>
  <c r="C31" i="31"/>
  <c r="E31" i="31"/>
  <c r="C32" i="31"/>
  <c r="E32" i="31"/>
  <c r="C33" i="31"/>
  <c r="E33" i="31"/>
  <c r="L33" i="31"/>
  <c r="C34" i="31"/>
  <c r="E34" i="31"/>
  <c r="C35" i="31"/>
  <c r="E35" i="31"/>
  <c r="C36" i="31"/>
  <c r="E36" i="31"/>
  <c r="C37" i="31"/>
  <c r="E37" i="31"/>
  <c r="C38" i="31"/>
  <c r="E38" i="31"/>
  <c r="C40" i="31"/>
  <c r="G40" i="31"/>
  <c r="I40" i="31"/>
  <c r="J40" i="31"/>
  <c r="K40" i="31"/>
  <c r="L40" i="31"/>
  <c r="B1" i="106"/>
  <c r="C8" i="106"/>
  <c r="E8" i="106"/>
  <c r="F8" i="106"/>
  <c r="O8" i="106"/>
  <c r="E9" i="106"/>
  <c r="F9" i="106"/>
  <c r="K9" i="106"/>
  <c r="L9" i="106"/>
  <c r="O9" i="106"/>
  <c r="E10" i="106"/>
  <c r="F10" i="106"/>
  <c r="O10" i="106"/>
  <c r="C11" i="106"/>
  <c r="E11" i="106"/>
  <c r="F11" i="106"/>
  <c r="O11" i="106"/>
  <c r="C12" i="106"/>
  <c r="E12" i="106"/>
  <c r="F12" i="106"/>
  <c r="J12" i="106"/>
  <c r="K12" i="106"/>
  <c r="L12" i="106"/>
  <c r="O12" i="106"/>
  <c r="C13" i="106"/>
  <c r="E13" i="106"/>
  <c r="F13" i="106"/>
  <c r="O13" i="106"/>
  <c r="C14" i="106"/>
  <c r="E14" i="106"/>
  <c r="F14" i="106"/>
  <c r="L14" i="106"/>
  <c r="O14" i="106"/>
  <c r="C15" i="106"/>
  <c r="E15" i="106"/>
  <c r="F15" i="106"/>
  <c r="O15" i="106"/>
  <c r="C16" i="106"/>
  <c r="E16" i="106"/>
  <c r="F16" i="106"/>
  <c r="O16" i="106"/>
  <c r="C17" i="106"/>
  <c r="E17" i="106"/>
  <c r="F17" i="106"/>
  <c r="J17" i="106"/>
  <c r="K17" i="106"/>
  <c r="L17" i="106"/>
  <c r="O17" i="106"/>
  <c r="C18" i="106"/>
  <c r="E18" i="106"/>
  <c r="F18" i="106"/>
  <c r="L18" i="106"/>
  <c r="O18" i="106"/>
  <c r="C19" i="106"/>
  <c r="E19" i="106"/>
  <c r="F19" i="106"/>
  <c r="L19" i="106"/>
  <c r="O19" i="106"/>
  <c r="C20" i="106"/>
  <c r="E20" i="106"/>
  <c r="F20" i="106"/>
  <c r="L20" i="106"/>
  <c r="O20" i="106"/>
  <c r="C21" i="106"/>
  <c r="E21" i="106"/>
  <c r="F21" i="106"/>
  <c r="L21" i="106"/>
  <c r="O21" i="106"/>
  <c r="C22" i="106"/>
  <c r="E22" i="106"/>
  <c r="F22" i="106"/>
  <c r="L22" i="106"/>
  <c r="O22" i="106"/>
  <c r="C23" i="106"/>
  <c r="E23" i="106"/>
  <c r="F23" i="106"/>
  <c r="L23" i="106"/>
  <c r="O23" i="106"/>
  <c r="L24" i="106"/>
  <c r="F25" i="106"/>
  <c r="L25" i="106"/>
  <c r="O25" i="106"/>
  <c r="L26" i="106"/>
  <c r="L27" i="106"/>
  <c r="O27" i="106"/>
  <c r="L28" i="106"/>
  <c r="E29" i="106"/>
  <c r="F29" i="106"/>
  <c r="K29" i="106"/>
  <c r="L29" i="106"/>
  <c r="C31" i="106"/>
  <c r="E31" i="106"/>
  <c r="C32" i="106"/>
  <c r="E32" i="106"/>
  <c r="C33" i="106"/>
  <c r="E33" i="106"/>
  <c r="L33" i="106"/>
  <c r="C34" i="106"/>
  <c r="E34" i="106"/>
  <c r="C35" i="106"/>
  <c r="E35" i="106"/>
  <c r="C36" i="106"/>
  <c r="E36" i="106"/>
  <c r="C37" i="106"/>
  <c r="E37" i="106"/>
  <c r="C38" i="106"/>
  <c r="E38" i="106"/>
  <c r="C40" i="106"/>
  <c r="G40" i="106"/>
  <c r="I40" i="106"/>
  <c r="J40" i="106"/>
  <c r="K40" i="106"/>
  <c r="L40" i="106"/>
  <c r="B1" i="15"/>
  <c r="C8" i="15"/>
  <c r="E8" i="15"/>
  <c r="G8" i="15"/>
  <c r="O8" i="15"/>
  <c r="E9" i="15"/>
  <c r="G9" i="15"/>
  <c r="L9" i="15"/>
  <c r="M9" i="15"/>
  <c r="O9" i="15"/>
  <c r="E10" i="15"/>
  <c r="G10" i="15"/>
  <c r="O10" i="15"/>
  <c r="C11" i="15"/>
  <c r="E11" i="15"/>
  <c r="G11" i="15"/>
  <c r="O11" i="15"/>
  <c r="C12" i="15"/>
  <c r="E12" i="15"/>
  <c r="G12" i="15"/>
  <c r="K12" i="15"/>
  <c r="M12" i="15"/>
  <c r="O12" i="15"/>
  <c r="C13" i="15"/>
  <c r="E13" i="15"/>
  <c r="G13" i="15"/>
  <c r="O13" i="15"/>
  <c r="C14" i="15"/>
  <c r="E14" i="15"/>
  <c r="G14" i="15"/>
  <c r="M14" i="15"/>
  <c r="O14" i="15"/>
  <c r="C15" i="15"/>
  <c r="E15" i="15"/>
  <c r="G15" i="15"/>
  <c r="O15" i="15"/>
  <c r="C16" i="15"/>
  <c r="E16" i="15"/>
  <c r="O16" i="15"/>
  <c r="C17" i="15"/>
  <c r="E17" i="15"/>
  <c r="M17" i="15"/>
  <c r="O17" i="15"/>
  <c r="C18" i="15"/>
  <c r="E18" i="15"/>
  <c r="M18" i="15"/>
  <c r="O18" i="15"/>
  <c r="C19" i="15"/>
  <c r="E19" i="15"/>
  <c r="G19" i="15"/>
  <c r="M19" i="15"/>
  <c r="O19" i="15"/>
  <c r="C20" i="15"/>
  <c r="E20" i="15"/>
  <c r="M20" i="15"/>
  <c r="O20" i="15"/>
  <c r="C21" i="15"/>
  <c r="E21" i="15"/>
  <c r="G21" i="15"/>
  <c r="M21" i="15"/>
  <c r="O21" i="15"/>
  <c r="C22" i="15"/>
  <c r="E22" i="15"/>
  <c r="M22" i="15"/>
  <c r="O22" i="15"/>
  <c r="C23" i="15"/>
  <c r="E23" i="15"/>
  <c r="G23" i="15"/>
  <c r="M23" i="15"/>
  <c r="O23" i="15"/>
  <c r="M24" i="15"/>
  <c r="M25" i="15"/>
  <c r="O25" i="15"/>
  <c r="M26" i="15"/>
  <c r="M27" i="15"/>
  <c r="O27" i="15"/>
  <c r="M28" i="15"/>
  <c r="E29" i="15"/>
  <c r="G29" i="15"/>
  <c r="L29" i="15"/>
  <c r="M29" i="15"/>
  <c r="C31" i="15"/>
  <c r="E31" i="15"/>
  <c r="C32" i="15"/>
  <c r="E32" i="15"/>
  <c r="C33" i="15"/>
  <c r="E33" i="15"/>
  <c r="M33" i="15"/>
  <c r="C34" i="15"/>
  <c r="C35" i="15"/>
  <c r="L35" i="15"/>
  <c r="M35" i="15"/>
  <c r="C36" i="15"/>
  <c r="C37" i="15"/>
  <c r="C38" i="15"/>
  <c r="C40" i="15"/>
  <c r="B1" i="111"/>
  <c r="C8" i="111"/>
  <c r="E8" i="111"/>
  <c r="F8" i="111"/>
  <c r="H8" i="111"/>
  <c r="M8" i="111"/>
  <c r="O8" i="111"/>
  <c r="C9" i="111"/>
  <c r="E9" i="111"/>
  <c r="H9" i="111"/>
  <c r="O9" i="111"/>
  <c r="C10" i="111"/>
  <c r="E10" i="111"/>
  <c r="F10" i="111"/>
  <c r="H10" i="111"/>
  <c r="O10" i="111"/>
  <c r="C11" i="111"/>
  <c r="E11" i="111"/>
  <c r="F11" i="111"/>
  <c r="H11" i="111"/>
  <c r="K11" i="111"/>
  <c r="L11" i="111"/>
  <c r="M11" i="111"/>
  <c r="O11" i="111"/>
  <c r="C12" i="111"/>
  <c r="E12" i="111"/>
  <c r="F12" i="111"/>
  <c r="H12" i="111"/>
  <c r="O12" i="111"/>
  <c r="C13" i="111"/>
  <c r="E13" i="111"/>
  <c r="F13" i="111"/>
  <c r="H13" i="111"/>
  <c r="M13" i="111"/>
  <c r="O13" i="111"/>
  <c r="C14" i="111"/>
  <c r="E14" i="111"/>
  <c r="H14" i="111"/>
  <c r="O14" i="111"/>
  <c r="C15" i="111"/>
  <c r="E15" i="111"/>
  <c r="F15" i="111"/>
  <c r="H15" i="111"/>
  <c r="O15" i="111"/>
  <c r="C16" i="111"/>
  <c r="E16" i="111"/>
  <c r="F16" i="111"/>
  <c r="H16" i="111"/>
  <c r="M16" i="111"/>
  <c r="O16" i="111"/>
  <c r="C17" i="111"/>
  <c r="E17" i="111"/>
  <c r="F17" i="111"/>
  <c r="H17" i="111"/>
  <c r="M17" i="111"/>
  <c r="O17" i="111"/>
  <c r="C18" i="111"/>
  <c r="E18" i="111"/>
  <c r="F18" i="111"/>
  <c r="H18" i="111"/>
  <c r="M18" i="111"/>
  <c r="O18" i="111"/>
  <c r="C19" i="111"/>
  <c r="E19" i="111"/>
  <c r="F19" i="111"/>
  <c r="H19" i="111"/>
  <c r="M19" i="111"/>
  <c r="O19" i="111"/>
  <c r="C20" i="111"/>
  <c r="E20" i="111"/>
  <c r="H20" i="111"/>
  <c r="M20" i="111"/>
  <c r="O20" i="111"/>
  <c r="C21" i="111"/>
  <c r="E21" i="111"/>
  <c r="F21" i="111"/>
  <c r="H21" i="111"/>
  <c r="M21" i="111"/>
  <c r="O21" i="111"/>
  <c r="C22" i="111"/>
  <c r="E22" i="111"/>
  <c r="F22" i="111"/>
  <c r="H22" i="111"/>
  <c r="M22" i="111"/>
  <c r="O22" i="111"/>
  <c r="C23" i="111"/>
  <c r="E23" i="111"/>
  <c r="F23" i="111"/>
  <c r="H23" i="111"/>
  <c r="M23" i="111"/>
  <c r="O23" i="111"/>
  <c r="M24" i="111"/>
  <c r="E25" i="111"/>
  <c r="F25" i="111"/>
  <c r="M25" i="111"/>
  <c r="O25" i="111"/>
  <c r="M26" i="111"/>
  <c r="E27" i="111"/>
  <c r="F27" i="111"/>
  <c r="M27" i="111"/>
  <c r="O27" i="111"/>
  <c r="L28" i="111"/>
  <c r="M28" i="111"/>
  <c r="E29" i="111"/>
  <c r="F29" i="111"/>
  <c r="I34" i="111"/>
  <c r="J34" i="111"/>
  <c r="K34" i="111"/>
  <c r="L34" i="111"/>
  <c r="M34" i="111"/>
  <c r="B1" i="40"/>
  <c r="C8" i="40"/>
  <c r="E8" i="40"/>
  <c r="G8" i="40"/>
  <c r="I8" i="40"/>
  <c r="M8" i="40"/>
  <c r="N8" i="40"/>
  <c r="O8" i="40"/>
  <c r="C9" i="40"/>
  <c r="E9" i="40"/>
  <c r="G9" i="40"/>
  <c r="I9" i="40"/>
  <c r="O9" i="40"/>
  <c r="C10" i="40"/>
  <c r="E10" i="40"/>
  <c r="G10" i="40"/>
  <c r="I10" i="40"/>
  <c r="O10" i="40"/>
  <c r="C11" i="40"/>
  <c r="E11" i="40"/>
  <c r="G11" i="40"/>
  <c r="I11" i="40"/>
  <c r="L11" i="40"/>
  <c r="M11" i="40"/>
  <c r="N11" i="40"/>
  <c r="O11" i="40"/>
  <c r="C12" i="40"/>
  <c r="E12" i="40"/>
  <c r="G12" i="40"/>
  <c r="I12" i="40"/>
  <c r="O12" i="40"/>
  <c r="C13" i="40"/>
  <c r="E13" i="40"/>
  <c r="G13" i="40"/>
  <c r="I13" i="40"/>
  <c r="N13" i="40"/>
  <c r="O13" i="40"/>
  <c r="C14" i="40"/>
  <c r="E14" i="40"/>
  <c r="G14" i="40"/>
  <c r="I14" i="40"/>
  <c r="O14" i="40"/>
  <c r="C15" i="40"/>
  <c r="E15" i="40"/>
  <c r="G15" i="40"/>
  <c r="I15" i="40"/>
  <c r="O15" i="40"/>
  <c r="C16" i="40"/>
  <c r="E16" i="40"/>
  <c r="G16" i="40"/>
  <c r="I16" i="40"/>
  <c r="N16" i="40"/>
  <c r="O16" i="40"/>
  <c r="C17" i="40"/>
  <c r="E17" i="40"/>
  <c r="G17" i="40"/>
  <c r="I17" i="40"/>
  <c r="N17" i="40"/>
  <c r="O17" i="40"/>
  <c r="C18" i="40"/>
  <c r="E18" i="40"/>
  <c r="G18" i="40"/>
  <c r="I18" i="40"/>
  <c r="N18" i="40"/>
  <c r="O18" i="40"/>
  <c r="C19" i="40"/>
  <c r="E19" i="40"/>
  <c r="G19" i="40"/>
  <c r="I19" i="40"/>
  <c r="N19" i="40"/>
  <c r="O19" i="40"/>
  <c r="C20" i="40"/>
  <c r="E20" i="40"/>
  <c r="G20" i="40"/>
  <c r="I20" i="40"/>
  <c r="M20" i="40"/>
  <c r="N20" i="40"/>
  <c r="O20" i="40"/>
  <c r="C21" i="40"/>
  <c r="E21" i="40"/>
  <c r="G21" i="40"/>
  <c r="I21" i="40"/>
  <c r="N21" i="40"/>
  <c r="O21" i="40"/>
  <c r="C22" i="40"/>
  <c r="E22" i="40"/>
  <c r="G22" i="40"/>
  <c r="I22" i="40"/>
  <c r="N22" i="40"/>
  <c r="O22" i="40"/>
  <c r="C23" i="40"/>
  <c r="E23" i="40"/>
  <c r="G23" i="40"/>
  <c r="I23" i="40"/>
  <c r="N23" i="40"/>
  <c r="O23" i="40"/>
  <c r="M24" i="40"/>
  <c r="N24" i="40"/>
  <c r="E25" i="40"/>
  <c r="G25" i="40"/>
  <c r="N25" i="40"/>
  <c r="N26" i="40"/>
  <c r="E27" i="40"/>
  <c r="G27" i="40"/>
  <c r="N27" i="40"/>
  <c r="O27" i="40"/>
  <c r="M28" i="40"/>
  <c r="N28" i="40"/>
  <c r="E29" i="40"/>
  <c r="G29" i="40"/>
  <c r="O29" i="40"/>
  <c r="J34" i="40"/>
  <c r="K34" i="40"/>
  <c r="L34" i="40"/>
  <c r="M34" i="40"/>
  <c r="N34" i="40"/>
  <c r="H8" i="44"/>
  <c r="J8" i="44"/>
  <c r="L8" i="44"/>
  <c r="N8" i="44"/>
  <c r="R8" i="44"/>
  <c r="L10" i="44"/>
  <c r="N10" i="44"/>
  <c r="R10" i="44"/>
  <c r="L12" i="44"/>
  <c r="N12" i="44"/>
  <c r="R12" i="44"/>
  <c r="R14" i="44"/>
  <c r="R16" i="44"/>
  <c r="N18" i="44"/>
  <c r="R22" i="44"/>
  <c r="G24" i="44"/>
  <c r="H24" i="44"/>
  <c r="J24" i="44"/>
  <c r="L24" i="44"/>
  <c r="N24" i="44"/>
  <c r="P24" i="44"/>
  <c r="R24" i="44"/>
  <c r="T24" i="44"/>
  <c r="R26" i="44"/>
  <c r="N28" i="44"/>
  <c r="P28" i="44"/>
  <c r="R28" i="44"/>
  <c r="T28" i="44"/>
  <c r="R30" i="44"/>
  <c r="R32" i="44"/>
  <c r="R34" i="44"/>
  <c r="R36" i="44"/>
  <c r="P39" i="44"/>
  <c r="R39" i="44"/>
  <c r="P40" i="44"/>
  <c r="R40" i="44"/>
  <c r="P41" i="44"/>
  <c r="R41" i="44"/>
  <c r="T41" i="44"/>
  <c r="P42" i="44"/>
  <c r="R42" i="44"/>
  <c r="P43" i="44"/>
  <c r="R43" i="44"/>
  <c r="P44" i="44"/>
  <c r="R44" i="44"/>
  <c r="P45" i="44"/>
  <c r="R45" i="44"/>
  <c r="P46" i="44"/>
  <c r="R46" i="44"/>
  <c r="P47" i="44"/>
  <c r="R47" i="44"/>
  <c r="P48" i="44"/>
  <c r="R48" i="44"/>
  <c r="H49" i="44"/>
  <c r="L49" i="44"/>
  <c r="R49" i="44"/>
  <c r="T49" i="44"/>
  <c r="V49" i="44"/>
  <c r="R51" i="44"/>
  <c r="R53" i="44"/>
  <c r="R54" i="44"/>
  <c r="R55" i="44"/>
  <c r="R56" i="44"/>
  <c r="R59" i="44"/>
  <c r="R61" i="44"/>
  <c r="H64" i="44"/>
  <c r="R64" i="44"/>
  <c r="R65" i="44"/>
  <c r="R66" i="44"/>
  <c r="R67" i="44"/>
  <c r="H69" i="44"/>
  <c r="N73" i="44"/>
  <c r="P73" i="44"/>
  <c r="R73" i="44"/>
  <c r="T73" i="44"/>
  <c r="P76" i="44"/>
  <c r="R76" i="44"/>
  <c r="H80" i="44"/>
  <c r="J80" i="44"/>
  <c r="L80" i="44"/>
  <c r="N80" i="44"/>
  <c r="P80" i="44"/>
  <c r="R80" i="44"/>
  <c r="T80" i="44"/>
  <c r="G83" i="44"/>
  <c r="H83" i="44"/>
  <c r="J83" i="44"/>
  <c r="L83" i="44"/>
  <c r="N83" i="44"/>
  <c r="P83" i="44"/>
  <c r="R83" i="44"/>
  <c r="T83" i="44"/>
  <c r="H9" i="46"/>
  <c r="J9" i="46"/>
  <c r="L9" i="46"/>
  <c r="N9" i="46"/>
  <c r="R9" i="46"/>
  <c r="R11" i="46"/>
  <c r="R13" i="46"/>
  <c r="R15" i="46"/>
  <c r="R17" i="46"/>
  <c r="R19" i="46"/>
  <c r="R21" i="46"/>
  <c r="R23" i="46"/>
  <c r="R25" i="46"/>
  <c r="R27" i="46"/>
  <c r="T27" i="46"/>
  <c r="R29" i="46"/>
  <c r="R31" i="46"/>
  <c r="P33" i="46"/>
  <c r="R33" i="46"/>
  <c r="T33" i="46"/>
  <c r="R35" i="46"/>
  <c r="R37" i="46"/>
  <c r="R39" i="46"/>
  <c r="R41" i="46"/>
  <c r="R43" i="46"/>
  <c r="R45" i="46"/>
  <c r="R47" i="46"/>
  <c r="L49" i="46"/>
  <c r="N49" i="46"/>
  <c r="P49" i="46"/>
  <c r="R49" i="46"/>
  <c r="T49" i="46"/>
  <c r="L51" i="46"/>
  <c r="N51" i="46"/>
  <c r="R51" i="46"/>
  <c r="R53" i="46"/>
  <c r="E55" i="46"/>
  <c r="G55" i="46"/>
  <c r="P55" i="46"/>
  <c r="R55" i="46"/>
  <c r="T55" i="46"/>
  <c r="R57" i="46"/>
  <c r="R59" i="46"/>
  <c r="R61" i="46"/>
  <c r="N62" i="46"/>
  <c r="E67" i="46"/>
  <c r="G67" i="46"/>
  <c r="P67" i="46"/>
  <c r="R67" i="46"/>
  <c r="T67" i="46"/>
  <c r="R69" i="46"/>
  <c r="G71" i="46"/>
  <c r="H71" i="46"/>
  <c r="J71" i="46"/>
  <c r="L71" i="46"/>
  <c r="N71" i="46"/>
  <c r="P71" i="46"/>
  <c r="R71" i="46"/>
  <c r="T71" i="46"/>
  <c r="P73" i="46"/>
  <c r="R73" i="46"/>
  <c r="T73" i="46"/>
  <c r="P75" i="46"/>
  <c r="R75" i="46"/>
  <c r="T75" i="46"/>
  <c r="R77" i="46"/>
  <c r="R79" i="46"/>
  <c r="R81" i="46"/>
  <c r="R83" i="46"/>
  <c r="R86" i="46"/>
  <c r="R87" i="46"/>
  <c r="R88" i="46"/>
  <c r="R89" i="46"/>
  <c r="R90" i="46"/>
  <c r="R91" i="46"/>
  <c r="R92" i="46"/>
  <c r="R93" i="46"/>
  <c r="R94" i="46"/>
  <c r="T94" i="46"/>
  <c r="R95" i="46"/>
  <c r="R96" i="46"/>
  <c r="R97" i="46"/>
  <c r="R98" i="46"/>
  <c r="H99" i="46"/>
  <c r="L99" i="46"/>
  <c r="P99" i="46"/>
  <c r="R99" i="46"/>
  <c r="T99" i="46"/>
  <c r="V99" i="46"/>
  <c r="R101" i="46"/>
  <c r="R102" i="46"/>
  <c r="R104" i="46"/>
  <c r="R106" i="46"/>
  <c r="R108" i="46"/>
  <c r="R110" i="46"/>
  <c r="R112" i="46"/>
  <c r="R114" i="46"/>
  <c r="R116" i="46"/>
  <c r="N118" i="46"/>
  <c r="R118" i="46"/>
  <c r="T118" i="46"/>
  <c r="R120" i="46"/>
  <c r="R122" i="46"/>
  <c r="R123" i="46"/>
  <c r="R125" i="46"/>
  <c r="H128" i="46"/>
  <c r="R128" i="46"/>
  <c r="R129" i="46"/>
  <c r="R130" i="46"/>
  <c r="R131" i="46"/>
  <c r="H133" i="46"/>
  <c r="N137" i="46"/>
  <c r="R137" i="46"/>
  <c r="P140" i="46"/>
  <c r="R140" i="46"/>
  <c r="H144" i="46"/>
  <c r="J144" i="46"/>
  <c r="L144" i="46"/>
  <c r="N144" i="46"/>
  <c r="P144" i="46"/>
  <c r="R144" i="46"/>
  <c r="T144" i="46"/>
  <c r="G147" i="46"/>
  <c r="H147" i="46"/>
  <c r="J147" i="46"/>
  <c r="L147" i="46"/>
  <c r="N147" i="46"/>
  <c r="P147" i="46"/>
  <c r="R147" i="46"/>
  <c r="T147" i="46"/>
  <c r="B1" i="6"/>
  <c r="B2" i="6"/>
  <c r="C8" i="6"/>
  <c r="E8" i="6"/>
  <c r="F8" i="6"/>
  <c r="P8" i="6"/>
  <c r="Q8" i="6"/>
  <c r="E9" i="6"/>
  <c r="Q9" i="6"/>
  <c r="E10" i="6"/>
  <c r="L10" i="6"/>
  <c r="P10" i="6"/>
  <c r="Q10" i="6"/>
  <c r="C11" i="6"/>
  <c r="E11" i="6"/>
  <c r="F11" i="6"/>
  <c r="Q11" i="6"/>
  <c r="C12" i="6"/>
  <c r="E12" i="6"/>
  <c r="F12" i="6"/>
  <c r="P12" i="6"/>
  <c r="Q12" i="6"/>
  <c r="C13" i="6"/>
  <c r="E13" i="6"/>
  <c r="F13" i="6"/>
  <c r="Q13" i="6"/>
  <c r="C14" i="6"/>
  <c r="E14" i="6"/>
  <c r="F14" i="6"/>
  <c r="I14" i="6"/>
  <c r="Q14" i="6"/>
  <c r="C15" i="6"/>
  <c r="E15" i="6"/>
  <c r="F15" i="6"/>
  <c r="Q15" i="6"/>
  <c r="C16" i="6"/>
  <c r="E16" i="6"/>
  <c r="F16" i="6"/>
  <c r="L16" i="6"/>
  <c r="Q16" i="6"/>
  <c r="C17" i="6"/>
  <c r="E17" i="6"/>
  <c r="F17" i="6"/>
  <c r="L17" i="6"/>
  <c r="Q17" i="6"/>
  <c r="C18" i="6"/>
  <c r="E18" i="6"/>
  <c r="F18" i="6"/>
  <c r="L18" i="6"/>
  <c r="Q18" i="6"/>
  <c r="C19" i="6"/>
  <c r="E19" i="6"/>
  <c r="F19" i="6"/>
  <c r="L19" i="6"/>
  <c r="Q19" i="6"/>
  <c r="C20" i="6"/>
  <c r="E20" i="6"/>
  <c r="F20" i="6"/>
  <c r="L20" i="6"/>
  <c r="Q20" i="6"/>
  <c r="C21" i="6"/>
  <c r="E21" i="6"/>
  <c r="F21" i="6"/>
  <c r="L21" i="6"/>
  <c r="Q21" i="6"/>
  <c r="C22" i="6"/>
  <c r="E22" i="6"/>
  <c r="F22" i="6"/>
  <c r="L22" i="6"/>
  <c r="Q22" i="6"/>
  <c r="C23" i="6"/>
  <c r="E23" i="6"/>
  <c r="F23" i="6"/>
  <c r="K23" i="6"/>
  <c r="L23" i="6"/>
  <c r="Q23" i="6"/>
  <c r="K24" i="6"/>
  <c r="L24" i="6"/>
  <c r="L25" i="6"/>
  <c r="L26" i="6"/>
  <c r="L27" i="6"/>
  <c r="E29" i="6"/>
  <c r="F29" i="6"/>
  <c r="Q29" i="6"/>
  <c r="C31" i="6"/>
  <c r="E31" i="6"/>
  <c r="L31" i="6"/>
  <c r="C32" i="6"/>
  <c r="E32" i="6"/>
  <c r="C33" i="6"/>
  <c r="E33" i="6"/>
  <c r="C34" i="6"/>
  <c r="E34" i="6"/>
  <c r="C35" i="6"/>
  <c r="E35" i="6"/>
  <c r="C36" i="6"/>
  <c r="E36" i="6"/>
  <c r="C37" i="6"/>
  <c r="E37" i="6"/>
  <c r="C38" i="6"/>
  <c r="E38" i="6"/>
  <c r="I40" i="6"/>
  <c r="J40" i="6"/>
  <c r="K40" i="6"/>
  <c r="L40" i="6"/>
  <c r="M40" i="6"/>
  <c r="N40" i="6"/>
  <c r="C41" i="6"/>
  <c r="B1" i="68"/>
  <c r="C8" i="68"/>
  <c r="E8" i="68"/>
  <c r="G8" i="68"/>
  <c r="L8" i="68"/>
  <c r="C9" i="68"/>
  <c r="G9" i="68"/>
  <c r="C10" i="68"/>
  <c r="E10" i="68"/>
  <c r="G10" i="68"/>
  <c r="H10" i="68"/>
  <c r="C11" i="68"/>
  <c r="E11" i="68"/>
  <c r="G11" i="68"/>
  <c r="J11" i="68"/>
  <c r="K11" i="68"/>
  <c r="L11" i="68"/>
  <c r="C12" i="68"/>
  <c r="E12" i="68"/>
  <c r="G12" i="68"/>
  <c r="C13" i="68"/>
  <c r="E13" i="68"/>
  <c r="G13" i="68"/>
  <c r="L13" i="68"/>
  <c r="C14" i="68"/>
  <c r="E14" i="68"/>
  <c r="G14" i="68"/>
  <c r="C15" i="68"/>
  <c r="E15" i="68"/>
  <c r="G15" i="68"/>
  <c r="C16" i="68"/>
  <c r="E16" i="68"/>
  <c r="G16" i="68"/>
  <c r="K16" i="68"/>
  <c r="L16" i="68"/>
  <c r="C17" i="68"/>
  <c r="E17" i="68"/>
  <c r="G17" i="68"/>
  <c r="L17" i="68"/>
  <c r="C18" i="68"/>
  <c r="E18" i="68"/>
  <c r="G18" i="68"/>
  <c r="L18" i="68"/>
  <c r="C19" i="68"/>
  <c r="E19" i="68"/>
  <c r="G19" i="68"/>
  <c r="L19" i="68"/>
  <c r="C20" i="68"/>
  <c r="E20" i="68"/>
  <c r="G20" i="68"/>
  <c r="L20" i="68"/>
  <c r="C21" i="68"/>
  <c r="E21" i="68"/>
  <c r="G21" i="68"/>
  <c r="L21" i="68"/>
  <c r="C22" i="68"/>
  <c r="E22" i="68"/>
  <c r="G22" i="68"/>
  <c r="L22" i="68"/>
  <c r="C23" i="68"/>
  <c r="E23" i="68"/>
  <c r="G23" i="68"/>
  <c r="H23" i="68"/>
  <c r="L23" i="68"/>
  <c r="L24" i="68"/>
  <c r="E25" i="68"/>
  <c r="H25" i="68"/>
  <c r="L25" i="68"/>
  <c r="L26" i="68"/>
  <c r="E27" i="68"/>
  <c r="H27" i="68"/>
  <c r="L27" i="68"/>
  <c r="K28" i="68"/>
  <c r="L28" i="68"/>
  <c r="E29" i="68"/>
  <c r="H29" i="68"/>
  <c r="L30" i="68"/>
  <c r="H34" i="68"/>
  <c r="I34" i="68"/>
  <c r="J34" i="68"/>
  <c r="K34" i="68"/>
  <c r="L34" i="68"/>
  <c r="B1" i="97"/>
  <c r="C8" i="97"/>
  <c r="E8" i="97"/>
  <c r="G8" i="97"/>
  <c r="L8" i="97"/>
  <c r="C9" i="97"/>
  <c r="G9" i="97"/>
  <c r="C10" i="97"/>
  <c r="E10" i="97"/>
  <c r="G10" i="97"/>
  <c r="C11" i="97"/>
  <c r="E11" i="97"/>
  <c r="G11" i="97"/>
  <c r="H11" i="97"/>
  <c r="J11" i="97"/>
  <c r="K11" i="97"/>
  <c r="L11" i="97"/>
  <c r="C12" i="97"/>
  <c r="E12" i="97"/>
  <c r="G12" i="97"/>
  <c r="H12" i="97"/>
  <c r="C13" i="97"/>
  <c r="E13" i="97"/>
  <c r="G13" i="97"/>
  <c r="L13" i="97"/>
  <c r="C14" i="97"/>
  <c r="E14" i="97"/>
  <c r="G14" i="97"/>
  <c r="C15" i="97"/>
  <c r="E15" i="97"/>
  <c r="G15" i="97"/>
  <c r="C16" i="97"/>
  <c r="E16" i="97"/>
  <c r="G16" i="97"/>
  <c r="K16" i="97"/>
  <c r="L16" i="97"/>
  <c r="C17" i="97"/>
  <c r="E17" i="97"/>
  <c r="G17" i="97"/>
  <c r="L17" i="97"/>
  <c r="C18" i="97"/>
  <c r="E18" i="97"/>
  <c r="G18" i="97"/>
  <c r="L18" i="97"/>
  <c r="C19" i="97"/>
  <c r="E19" i="97"/>
  <c r="G19" i="97"/>
  <c r="L19" i="97"/>
  <c r="C20" i="97"/>
  <c r="E20" i="97"/>
  <c r="G20" i="97"/>
  <c r="L20" i="97"/>
  <c r="C21" i="97"/>
  <c r="E21" i="97"/>
  <c r="G21" i="97"/>
  <c r="L21" i="97"/>
  <c r="C22" i="97"/>
  <c r="E22" i="97"/>
  <c r="G22" i="97"/>
  <c r="L22" i="97"/>
  <c r="C23" i="97"/>
  <c r="E23" i="97"/>
  <c r="G23" i="97"/>
  <c r="H23" i="97"/>
  <c r="L23" i="97"/>
  <c r="L24" i="97"/>
  <c r="E25" i="97"/>
  <c r="L25" i="97"/>
  <c r="L26" i="97"/>
  <c r="E27" i="97"/>
  <c r="H27" i="97"/>
  <c r="L27" i="97"/>
  <c r="K28" i="97"/>
  <c r="L28" i="97"/>
  <c r="E29" i="97"/>
  <c r="H29" i="97"/>
  <c r="L30" i="97"/>
  <c r="H34" i="97"/>
  <c r="I34" i="97"/>
  <c r="J34" i="97"/>
  <c r="K34" i="97"/>
  <c r="L34" i="97"/>
  <c r="B1" i="96"/>
  <c r="C8" i="96"/>
  <c r="E8" i="96"/>
  <c r="G8" i="96"/>
  <c r="L8" i="96"/>
  <c r="C9" i="96"/>
  <c r="G9" i="96"/>
  <c r="C10" i="96"/>
  <c r="E10" i="96"/>
  <c r="G10" i="96"/>
  <c r="C11" i="96"/>
  <c r="E11" i="96"/>
  <c r="G11" i="96"/>
  <c r="H11" i="96"/>
  <c r="J11" i="96"/>
  <c r="K11" i="96"/>
  <c r="L11" i="96"/>
  <c r="C12" i="96"/>
  <c r="E12" i="96"/>
  <c r="G12" i="96"/>
  <c r="H12" i="96"/>
  <c r="C13" i="96"/>
  <c r="E13" i="96"/>
  <c r="G13" i="96"/>
  <c r="L13" i="96"/>
  <c r="C14" i="96"/>
  <c r="E14" i="96"/>
  <c r="G14" i="96"/>
  <c r="C15" i="96"/>
  <c r="E15" i="96"/>
  <c r="G15" i="96"/>
  <c r="C16" i="96"/>
  <c r="E16" i="96"/>
  <c r="G16" i="96"/>
  <c r="K16" i="96"/>
  <c r="L16" i="96"/>
  <c r="C17" i="96"/>
  <c r="E17" i="96"/>
  <c r="G17" i="96"/>
  <c r="L17" i="96"/>
  <c r="C18" i="96"/>
  <c r="E18" i="96"/>
  <c r="G18" i="96"/>
  <c r="L18" i="96"/>
  <c r="C19" i="96"/>
  <c r="E19" i="96"/>
  <c r="G19" i="96"/>
  <c r="L19" i="96"/>
  <c r="C20" i="96"/>
  <c r="E20" i="96"/>
  <c r="G20" i="96"/>
  <c r="L20" i="96"/>
  <c r="C21" i="96"/>
  <c r="E21" i="96"/>
  <c r="G21" i="96"/>
  <c r="L21" i="96"/>
  <c r="C22" i="96"/>
  <c r="E22" i="96"/>
  <c r="G22" i="96"/>
  <c r="L22" i="96"/>
  <c r="C23" i="96"/>
  <c r="E23" i="96"/>
  <c r="G23" i="96"/>
  <c r="H23" i="96"/>
  <c r="L23" i="96"/>
  <c r="L24" i="96"/>
  <c r="E25" i="96"/>
  <c r="H25" i="96"/>
  <c r="L25" i="96"/>
  <c r="L26" i="96"/>
  <c r="E27" i="96"/>
  <c r="L27" i="96"/>
  <c r="K28" i="96"/>
  <c r="L28" i="96"/>
  <c r="E29" i="96"/>
  <c r="H29" i="96"/>
  <c r="L30" i="96"/>
  <c r="H34" i="96"/>
  <c r="I34" i="96"/>
  <c r="J34" i="96"/>
  <c r="K34" i="96"/>
  <c r="L34" i="96"/>
  <c r="B1" i="30"/>
  <c r="C8" i="30"/>
  <c r="E8" i="30"/>
  <c r="G8" i="30"/>
  <c r="H8" i="30"/>
  <c r="L8" i="30"/>
  <c r="Q8" i="30"/>
  <c r="C9" i="30"/>
  <c r="G9" i="30"/>
  <c r="Q9" i="30"/>
  <c r="C10" i="30"/>
  <c r="E10" i="30"/>
  <c r="G10" i="30"/>
  <c r="H10" i="30"/>
  <c r="Q10" i="30"/>
  <c r="C11" i="30"/>
  <c r="E11" i="30"/>
  <c r="G11" i="30"/>
  <c r="H11" i="30"/>
  <c r="J11" i="30"/>
  <c r="K11" i="30"/>
  <c r="L11" i="30"/>
  <c r="Q11" i="30"/>
  <c r="C12" i="30"/>
  <c r="E12" i="30"/>
  <c r="G12" i="30"/>
  <c r="H12" i="30"/>
  <c r="Q12" i="30"/>
  <c r="C13" i="30"/>
  <c r="E13" i="30"/>
  <c r="G13" i="30"/>
  <c r="H13" i="30"/>
  <c r="L13" i="30"/>
  <c r="P13" i="30"/>
  <c r="Q13" i="30"/>
  <c r="C14" i="30"/>
  <c r="E14" i="30"/>
  <c r="G14" i="30"/>
  <c r="Q14" i="30"/>
  <c r="C15" i="30"/>
  <c r="E15" i="30"/>
  <c r="G15" i="30"/>
  <c r="H15" i="30"/>
  <c r="Q15" i="30"/>
  <c r="C16" i="30"/>
  <c r="E16" i="30"/>
  <c r="G16" i="30"/>
  <c r="H16" i="30"/>
  <c r="K16" i="30"/>
  <c r="L16" i="30"/>
  <c r="Q16" i="30"/>
  <c r="C17" i="30"/>
  <c r="E17" i="30"/>
  <c r="G17" i="30"/>
  <c r="H17" i="30"/>
  <c r="K17" i="30"/>
  <c r="L17" i="30"/>
  <c r="Q17" i="30"/>
  <c r="C18" i="30"/>
  <c r="E18" i="30"/>
  <c r="G18" i="30"/>
  <c r="H18" i="30"/>
  <c r="K18" i="30"/>
  <c r="L18" i="30"/>
  <c r="Q18" i="30"/>
  <c r="C19" i="30"/>
  <c r="E19" i="30"/>
  <c r="G19" i="30"/>
  <c r="H19" i="30"/>
  <c r="K19" i="30"/>
  <c r="L19" i="30"/>
  <c r="Q19" i="30"/>
  <c r="C20" i="30"/>
  <c r="E20" i="30"/>
  <c r="G20" i="30"/>
  <c r="H20" i="30"/>
  <c r="L20" i="30"/>
  <c r="Q20" i="30"/>
  <c r="C21" i="30"/>
  <c r="E21" i="30"/>
  <c r="G21" i="30"/>
  <c r="H21" i="30"/>
  <c r="K21" i="30"/>
  <c r="L21" i="30"/>
  <c r="Q21" i="30"/>
  <c r="C22" i="30"/>
  <c r="E22" i="30"/>
  <c r="G22" i="30"/>
  <c r="H22" i="30"/>
  <c r="K22" i="30"/>
  <c r="L22" i="30"/>
  <c r="Q22" i="30"/>
  <c r="C23" i="30"/>
  <c r="E23" i="30"/>
  <c r="G23" i="30"/>
  <c r="H23" i="30"/>
  <c r="L23" i="30"/>
  <c r="Q23" i="30"/>
  <c r="K24" i="30"/>
  <c r="L24" i="30"/>
  <c r="E25" i="30"/>
  <c r="H25" i="30"/>
  <c r="K25" i="30"/>
  <c r="L25" i="30"/>
  <c r="Q25" i="30"/>
  <c r="L26" i="30"/>
  <c r="E27" i="30"/>
  <c r="H27" i="30"/>
  <c r="K27" i="30"/>
  <c r="L27" i="30"/>
  <c r="Q27" i="30"/>
  <c r="K28" i="30"/>
  <c r="L28" i="30"/>
  <c r="E29" i="30"/>
  <c r="H29" i="30"/>
  <c r="L30" i="30"/>
  <c r="H34" i="30"/>
  <c r="I34" i="30"/>
  <c r="J34" i="30"/>
  <c r="K34" i="30"/>
  <c r="L34" i="30"/>
  <c r="B1" i="36"/>
  <c r="C8" i="36"/>
  <c r="E8" i="36"/>
  <c r="I8" i="36"/>
  <c r="M8" i="36"/>
  <c r="N8" i="36"/>
  <c r="O8" i="36"/>
  <c r="C9" i="36"/>
  <c r="E9" i="36"/>
  <c r="I9" i="36"/>
  <c r="O9" i="36"/>
  <c r="C10" i="36"/>
  <c r="E10" i="36"/>
  <c r="I10" i="36"/>
  <c r="O10" i="36"/>
  <c r="C11" i="36"/>
  <c r="E11" i="36"/>
  <c r="I11" i="36"/>
  <c r="L11" i="36"/>
  <c r="M11" i="36"/>
  <c r="N11" i="36"/>
  <c r="O11" i="36"/>
  <c r="C12" i="36"/>
  <c r="E12" i="36"/>
  <c r="I12" i="36"/>
  <c r="O12" i="36"/>
  <c r="C13" i="36"/>
  <c r="E13" i="36"/>
  <c r="I13" i="36"/>
  <c r="N13" i="36"/>
  <c r="O13" i="36"/>
  <c r="C14" i="36"/>
  <c r="E14" i="36"/>
  <c r="I14" i="36"/>
  <c r="O14" i="36"/>
  <c r="C15" i="36"/>
  <c r="E15" i="36"/>
  <c r="I15" i="36"/>
  <c r="O15" i="36"/>
  <c r="C16" i="36"/>
  <c r="E16" i="36"/>
  <c r="I16" i="36"/>
  <c r="N16" i="36"/>
  <c r="O16" i="36"/>
  <c r="C17" i="36"/>
  <c r="E17" i="36"/>
  <c r="I17" i="36"/>
  <c r="N17" i="36"/>
  <c r="O17" i="36"/>
  <c r="C18" i="36"/>
  <c r="E18" i="36"/>
  <c r="I18" i="36"/>
  <c r="N18" i="36"/>
  <c r="O18" i="36"/>
  <c r="C19" i="36"/>
  <c r="E19" i="36"/>
  <c r="I19" i="36"/>
  <c r="N19" i="36"/>
  <c r="O19" i="36"/>
  <c r="C20" i="36"/>
  <c r="E20" i="36"/>
  <c r="I20" i="36"/>
  <c r="N20" i="36"/>
  <c r="O20" i="36"/>
  <c r="C21" i="36"/>
  <c r="E21" i="36"/>
  <c r="I21" i="36"/>
  <c r="N21" i="36"/>
  <c r="O21" i="36"/>
  <c r="C22" i="36"/>
  <c r="E22" i="36"/>
  <c r="I22" i="36"/>
  <c r="N22" i="36"/>
  <c r="O22" i="36"/>
  <c r="C23" i="36"/>
  <c r="E23" i="36"/>
  <c r="I23" i="36"/>
  <c r="N23" i="36"/>
  <c r="O23" i="36"/>
  <c r="N24" i="36"/>
  <c r="E25" i="36"/>
  <c r="N25" i="36"/>
  <c r="N26" i="36"/>
  <c r="E27" i="36"/>
  <c r="N27" i="36"/>
  <c r="O27" i="36"/>
  <c r="M28" i="36"/>
  <c r="N28" i="36"/>
  <c r="E29" i="36"/>
  <c r="O29" i="36"/>
  <c r="J34" i="36"/>
  <c r="K34" i="36"/>
  <c r="L34" i="36"/>
  <c r="M34" i="36"/>
  <c r="N34" i="36"/>
  <c r="B1" i="83"/>
  <c r="C8" i="83"/>
  <c r="E8" i="83"/>
  <c r="G8" i="83"/>
  <c r="L8" i="83"/>
  <c r="N8" i="83"/>
  <c r="C9" i="83"/>
  <c r="G9" i="83"/>
  <c r="C10" i="83"/>
  <c r="E10" i="83"/>
  <c r="G10" i="83"/>
  <c r="C11" i="83"/>
  <c r="E11" i="83"/>
  <c r="G11" i="83"/>
  <c r="J11" i="83"/>
  <c r="K11" i="83"/>
  <c r="L11" i="83"/>
  <c r="N11" i="83"/>
  <c r="C12" i="83"/>
  <c r="E12" i="83"/>
  <c r="G12" i="83"/>
  <c r="C13" i="83"/>
  <c r="E13" i="83"/>
  <c r="G13" i="83"/>
  <c r="L13" i="83"/>
  <c r="C14" i="83"/>
  <c r="E14" i="83"/>
  <c r="G14" i="83"/>
  <c r="C15" i="83"/>
  <c r="E15" i="83"/>
  <c r="G15" i="83"/>
  <c r="N15" i="83"/>
  <c r="C16" i="83"/>
  <c r="E16" i="83"/>
  <c r="G16" i="83"/>
  <c r="K16" i="83"/>
  <c r="L16" i="83"/>
  <c r="C17" i="83"/>
  <c r="E17" i="83"/>
  <c r="G17" i="83"/>
  <c r="L17" i="83"/>
  <c r="C18" i="83"/>
  <c r="E18" i="83"/>
  <c r="G18" i="83"/>
  <c r="L18" i="83"/>
  <c r="C19" i="83"/>
  <c r="E19" i="83"/>
  <c r="G19" i="83"/>
  <c r="L19" i="83"/>
  <c r="C20" i="83"/>
  <c r="E20" i="83"/>
  <c r="G20" i="83"/>
  <c r="L20" i="83"/>
  <c r="C21" i="83"/>
  <c r="E21" i="83"/>
  <c r="G21" i="83"/>
  <c r="L21" i="83"/>
  <c r="C22" i="83"/>
  <c r="E22" i="83"/>
  <c r="G22" i="83"/>
  <c r="L22" i="83"/>
  <c r="C23" i="83"/>
  <c r="E23" i="83"/>
  <c r="G23" i="83"/>
  <c r="H23" i="83"/>
  <c r="L23" i="83"/>
  <c r="N23" i="83"/>
  <c r="K24" i="83"/>
  <c r="L24" i="83"/>
  <c r="E25" i="83"/>
  <c r="H25" i="83"/>
  <c r="L25" i="83"/>
  <c r="K26" i="83"/>
  <c r="L26" i="83"/>
  <c r="E27" i="83"/>
  <c r="H27" i="83"/>
  <c r="L27" i="83"/>
  <c r="K28" i="83"/>
  <c r="L28" i="83"/>
  <c r="E29" i="83"/>
  <c r="H29" i="83"/>
  <c r="L30" i="83"/>
  <c r="H34" i="83"/>
  <c r="I34" i="83"/>
  <c r="J34" i="83"/>
  <c r="K34" i="83"/>
  <c r="L34" i="83"/>
  <c r="B1" i="37"/>
  <c r="C8" i="37"/>
  <c r="E8" i="37"/>
  <c r="I8" i="37"/>
  <c r="M8" i="37"/>
  <c r="N8" i="37"/>
  <c r="O8" i="37"/>
  <c r="C9" i="37"/>
  <c r="E9" i="37"/>
  <c r="I9" i="37"/>
  <c r="O9" i="37"/>
  <c r="C10" i="37"/>
  <c r="E10" i="37"/>
  <c r="I10" i="37"/>
  <c r="O10" i="37"/>
  <c r="C11" i="37"/>
  <c r="E11" i="37"/>
  <c r="I11" i="37"/>
  <c r="L11" i="37"/>
  <c r="M11" i="37"/>
  <c r="N11" i="37"/>
  <c r="O11" i="37"/>
  <c r="C12" i="37"/>
  <c r="E12" i="37"/>
  <c r="I12" i="37"/>
  <c r="O12" i="37"/>
  <c r="C13" i="37"/>
  <c r="E13" i="37"/>
  <c r="I13" i="37"/>
  <c r="N13" i="37"/>
  <c r="O13" i="37"/>
  <c r="C14" i="37"/>
  <c r="E14" i="37"/>
  <c r="I14" i="37"/>
  <c r="O14" i="37"/>
  <c r="C15" i="37"/>
  <c r="E15" i="37"/>
  <c r="I15" i="37"/>
  <c r="O15" i="37"/>
  <c r="C16" i="37"/>
  <c r="E16" i="37"/>
  <c r="I16" i="37"/>
  <c r="N16" i="37"/>
  <c r="O16" i="37"/>
  <c r="C17" i="37"/>
  <c r="E17" i="37"/>
  <c r="I17" i="37"/>
  <c r="N17" i="37"/>
  <c r="O17" i="37"/>
  <c r="C18" i="37"/>
  <c r="E18" i="37"/>
  <c r="I18" i="37"/>
  <c r="N18" i="37"/>
  <c r="O18" i="37"/>
  <c r="C19" i="37"/>
  <c r="E19" i="37"/>
  <c r="I19" i="37"/>
  <c r="N19" i="37"/>
  <c r="O19" i="37"/>
  <c r="C20" i="37"/>
  <c r="E20" i="37"/>
  <c r="I20" i="37"/>
  <c r="M20" i="37"/>
  <c r="N20" i="37"/>
  <c r="O20" i="37"/>
  <c r="C21" i="37"/>
  <c r="E21" i="37"/>
  <c r="I21" i="37"/>
  <c r="N21" i="37"/>
  <c r="O21" i="37"/>
  <c r="C22" i="37"/>
  <c r="E22" i="37"/>
  <c r="I22" i="37"/>
  <c r="N22" i="37"/>
  <c r="O22" i="37"/>
  <c r="C23" i="37"/>
  <c r="E23" i="37"/>
  <c r="I23" i="37"/>
  <c r="N23" i="37"/>
  <c r="O23" i="37"/>
  <c r="M24" i="37"/>
  <c r="N24" i="37"/>
  <c r="E25" i="37"/>
  <c r="N25" i="37"/>
  <c r="N26" i="37"/>
  <c r="E27" i="37"/>
  <c r="N27" i="37"/>
  <c r="O27" i="37"/>
  <c r="M28" i="37"/>
  <c r="N28" i="37"/>
  <c r="E29" i="37"/>
  <c r="O29" i="37"/>
  <c r="J34" i="37"/>
  <c r="K34" i="37"/>
  <c r="L34" i="37"/>
  <c r="M34" i="37"/>
  <c r="N34" i="37"/>
  <c r="B1" i="91"/>
  <c r="C8" i="91"/>
  <c r="E8" i="91"/>
  <c r="G8" i="91"/>
  <c r="I8" i="91"/>
  <c r="N8" i="91"/>
  <c r="O8" i="91"/>
  <c r="C9" i="91"/>
  <c r="E9" i="91"/>
  <c r="I9" i="91"/>
  <c r="O9" i="91"/>
  <c r="C10" i="91"/>
  <c r="E10" i="91"/>
  <c r="G10" i="91"/>
  <c r="I10" i="91"/>
  <c r="O10" i="91"/>
  <c r="C11" i="91"/>
  <c r="E11" i="91"/>
  <c r="G11" i="91"/>
  <c r="I11" i="91"/>
  <c r="L11" i="91"/>
  <c r="M11" i="91"/>
  <c r="N11" i="91"/>
  <c r="O11" i="91"/>
  <c r="C12" i="91"/>
  <c r="E12" i="91"/>
  <c r="G12" i="91"/>
  <c r="I12" i="91"/>
  <c r="O12" i="91"/>
  <c r="C13" i="91"/>
  <c r="E13" i="91"/>
  <c r="G13" i="91"/>
  <c r="I13" i="91"/>
  <c r="N13" i="91"/>
  <c r="O13" i="91"/>
  <c r="C14" i="91"/>
  <c r="E14" i="91"/>
  <c r="G14" i="91"/>
  <c r="I14" i="91"/>
  <c r="O14" i="91"/>
  <c r="C15" i="91"/>
  <c r="E15" i="91"/>
  <c r="I15" i="91"/>
  <c r="O15" i="91"/>
  <c r="C16" i="91"/>
  <c r="E16" i="91"/>
  <c r="G16" i="91"/>
  <c r="I16" i="91"/>
  <c r="N16" i="91"/>
  <c r="O16" i="91"/>
  <c r="C17" i="91"/>
  <c r="E17" i="91"/>
  <c r="I17" i="91"/>
  <c r="N17" i="91"/>
  <c r="O17" i="91"/>
  <c r="C18" i="91"/>
  <c r="E18" i="91"/>
  <c r="G18" i="91"/>
  <c r="I18" i="91"/>
  <c r="N18" i="91"/>
  <c r="O18" i="91"/>
  <c r="C19" i="91"/>
  <c r="E19" i="91"/>
  <c r="G19" i="91"/>
  <c r="I19" i="91"/>
  <c r="N19" i="91"/>
  <c r="O19" i="91"/>
  <c r="C20" i="91"/>
  <c r="E20" i="91"/>
  <c r="I20" i="91"/>
  <c r="N20" i="91"/>
  <c r="O20" i="91"/>
  <c r="C21" i="91"/>
  <c r="E21" i="91"/>
  <c r="I21" i="91"/>
  <c r="M21" i="91"/>
  <c r="N21" i="91"/>
  <c r="O21" i="91"/>
  <c r="C22" i="91"/>
  <c r="E22" i="91"/>
  <c r="G22" i="91"/>
  <c r="I22" i="91"/>
  <c r="M22" i="91"/>
  <c r="N22" i="91"/>
  <c r="O22" i="91"/>
  <c r="C23" i="91"/>
  <c r="E23" i="91"/>
  <c r="G23" i="91"/>
  <c r="I23" i="91"/>
  <c r="N23" i="91"/>
  <c r="O23" i="91"/>
  <c r="N24" i="91"/>
  <c r="E25" i="91"/>
  <c r="G25" i="91"/>
  <c r="N25" i="91"/>
  <c r="O25" i="91"/>
  <c r="N26" i="91"/>
  <c r="E27" i="91"/>
  <c r="G27" i="91"/>
  <c r="N27" i="91"/>
  <c r="O27" i="91"/>
  <c r="M28" i="91"/>
  <c r="N28" i="91"/>
  <c r="E29" i="91"/>
  <c r="G29" i="91"/>
  <c r="J34" i="91"/>
  <c r="K34" i="91"/>
  <c r="L34" i="91"/>
  <c r="M34" i="91"/>
  <c r="N34" i="91"/>
  <c r="B1" i="93"/>
  <c r="C8" i="93"/>
  <c r="E8" i="93"/>
  <c r="G8" i="93"/>
  <c r="I8" i="93"/>
  <c r="N8" i="93"/>
  <c r="O8" i="93"/>
  <c r="C9" i="93"/>
  <c r="E9" i="93"/>
  <c r="I9" i="93"/>
  <c r="O9" i="93"/>
  <c r="C10" i="93"/>
  <c r="E10" i="93"/>
  <c r="G10" i="93"/>
  <c r="I10" i="93"/>
  <c r="O10" i="93"/>
  <c r="C11" i="93"/>
  <c r="E11" i="93"/>
  <c r="G11" i="93"/>
  <c r="I11" i="93"/>
  <c r="L11" i="93"/>
  <c r="M11" i="93"/>
  <c r="N11" i="93"/>
  <c r="O11" i="93"/>
  <c r="C12" i="93"/>
  <c r="E12" i="93"/>
  <c r="I12" i="93"/>
  <c r="O12" i="93"/>
  <c r="C13" i="93"/>
  <c r="E13" i="93"/>
  <c r="I13" i="93"/>
  <c r="N13" i="93"/>
  <c r="O13" i="93"/>
  <c r="C14" i="93"/>
  <c r="E14" i="93"/>
  <c r="I14" i="93"/>
  <c r="O14" i="93"/>
  <c r="C15" i="93"/>
  <c r="E15" i="93"/>
  <c r="I15" i="93"/>
  <c r="O15" i="93"/>
  <c r="C16" i="93"/>
  <c r="E16" i="93"/>
  <c r="G16" i="93"/>
  <c r="I16" i="93"/>
  <c r="N16" i="93"/>
  <c r="O16" i="93"/>
  <c r="C17" i="93"/>
  <c r="E17" i="93"/>
  <c r="I17" i="93"/>
  <c r="M17" i="93"/>
  <c r="N17" i="93"/>
  <c r="O17" i="93"/>
  <c r="C18" i="93"/>
  <c r="E18" i="93"/>
  <c r="G18" i="93"/>
  <c r="I18" i="93"/>
  <c r="N18" i="93"/>
  <c r="O18" i="93"/>
  <c r="C19" i="93"/>
  <c r="E19" i="93"/>
  <c r="I19" i="93"/>
  <c r="N19" i="93"/>
  <c r="O19" i="93"/>
  <c r="C20" i="93"/>
  <c r="E20" i="93"/>
  <c r="I20" i="93"/>
  <c r="N20" i="93"/>
  <c r="O20" i="93"/>
  <c r="C21" i="93"/>
  <c r="E21" i="93"/>
  <c r="I21" i="93"/>
  <c r="N21" i="93"/>
  <c r="O21" i="93"/>
  <c r="C22" i="93"/>
  <c r="E22" i="93"/>
  <c r="G22" i="93"/>
  <c r="I22" i="93"/>
  <c r="N22" i="93"/>
  <c r="O22" i="93"/>
  <c r="C23" i="93"/>
  <c r="E23" i="93"/>
  <c r="G23" i="93"/>
  <c r="I23" i="93"/>
  <c r="N23" i="93"/>
  <c r="O23" i="93"/>
  <c r="N24" i="93"/>
  <c r="E25" i="93"/>
  <c r="G25" i="93"/>
  <c r="N25" i="93"/>
  <c r="O25" i="93"/>
  <c r="N26" i="93"/>
  <c r="E27" i="93"/>
  <c r="G27" i="93"/>
  <c r="N27" i="93"/>
  <c r="O27" i="93"/>
  <c r="M28" i="93"/>
  <c r="N28" i="93"/>
  <c r="E29" i="93"/>
  <c r="G29" i="93"/>
  <c r="J34" i="93"/>
  <c r="K34" i="93"/>
  <c r="L34" i="93"/>
  <c r="M34" i="93"/>
  <c r="N34" i="93"/>
  <c r="B1" i="92"/>
  <c r="C8" i="92"/>
  <c r="E8" i="92"/>
  <c r="G8" i="92"/>
  <c r="I8" i="92"/>
  <c r="N8" i="92"/>
  <c r="O8" i="92"/>
  <c r="C9" i="92"/>
  <c r="E9" i="92"/>
  <c r="I9" i="92"/>
  <c r="O9" i="92"/>
  <c r="C10" i="92"/>
  <c r="E10" i="92"/>
  <c r="G10" i="92"/>
  <c r="I10" i="92"/>
  <c r="O10" i="92"/>
  <c r="C11" i="92"/>
  <c r="E11" i="92"/>
  <c r="G11" i="92"/>
  <c r="I11" i="92"/>
  <c r="L11" i="92"/>
  <c r="M11" i="92"/>
  <c r="N11" i="92"/>
  <c r="O11" i="92"/>
  <c r="C12" i="92"/>
  <c r="E12" i="92"/>
  <c r="G12" i="92"/>
  <c r="I12" i="92"/>
  <c r="O12" i="92"/>
  <c r="C13" i="92"/>
  <c r="E13" i="92"/>
  <c r="G13" i="92"/>
  <c r="I13" i="92"/>
  <c r="N13" i="92"/>
  <c r="O13" i="92"/>
  <c r="C14" i="92"/>
  <c r="E14" i="92"/>
  <c r="I14" i="92"/>
  <c r="O14" i="92"/>
  <c r="C15" i="92"/>
  <c r="E15" i="92"/>
  <c r="I15" i="92"/>
  <c r="O15" i="92"/>
  <c r="C16" i="92"/>
  <c r="E16" i="92"/>
  <c r="G16" i="92"/>
  <c r="I16" i="92"/>
  <c r="N16" i="92"/>
  <c r="O16" i="92"/>
  <c r="C17" i="92"/>
  <c r="E17" i="92"/>
  <c r="G17" i="92"/>
  <c r="I17" i="92"/>
  <c r="N17" i="92"/>
  <c r="O17" i="92"/>
  <c r="C18" i="92"/>
  <c r="E18" i="92"/>
  <c r="G18" i="92"/>
  <c r="I18" i="92"/>
  <c r="N18" i="92"/>
  <c r="O18" i="92"/>
  <c r="C19" i="92"/>
  <c r="E19" i="92"/>
  <c r="G19" i="92"/>
  <c r="I19" i="92"/>
  <c r="N19" i="92"/>
  <c r="O19" i="92"/>
  <c r="C20" i="92"/>
  <c r="E20" i="92"/>
  <c r="G20" i="92"/>
  <c r="I20" i="92"/>
  <c r="N20" i="92"/>
  <c r="O20" i="92"/>
  <c r="C21" i="92"/>
  <c r="E21" i="92"/>
  <c r="G21" i="92"/>
  <c r="I21" i="92"/>
  <c r="N21" i="92"/>
  <c r="O21" i="92"/>
  <c r="C22" i="92"/>
  <c r="E22" i="92"/>
  <c r="G22" i="92"/>
  <c r="I22" i="92"/>
  <c r="N22" i="92"/>
  <c r="O22" i="92"/>
  <c r="C23" i="92"/>
  <c r="E23" i="92"/>
  <c r="G23" i="92"/>
  <c r="I23" i="92"/>
  <c r="N23" i="92"/>
  <c r="O23" i="92"/>
  <c r="N24" i="92"/>
  <c r="E25" i="92"/>
  <c r="G25" i="92"/>
  <c r="N25" i="92"/>
  <c r="O25" i="92"/>
  <c r="N26" i="92"/>
  <c r="E27" i="92"/>
  <c r="G27" i="92"/>
  <c r="N27" i="92"/>
  <c r="O27" i="92"/>
  <c r="M28" i="92"/>
  <c r="N28" i="92"/>
  <c r="E29" i="92"/>
  <c r="G29" i="92"/>
  <c r="J34" i="92"/>
  <c r="K34" i="92"/>
  <c r="L34" i="92"/>
  <c r="M34" i="92"/>
  <c r="N34" i="92"/>
  <c r="B1" i="90"/>
  <c r="C8" i="90"/>
  <c r="E8" i="90"/>
  <c r="G8" i="90"/>
  <c r="I8" i="90"/>
  <c r="N8" i="90"/>
  <c r="O8" i="90"/>
  <c r="C9" i="90"/>
  <c r="E9" i="90"/>
  <c r="I9" i="90"/>
  <c r="O9" i="90"/>
  <c r="C10" i="90"/>
  <c r="E10" i="90"/>
  <c r="G10" i="90"/>
  <c r="I10" i="90"/>
  <c r="O10" i="90"/>
  <c r="C11" i="90"/>
  <c r="E11" i="90"/>
  <c r="G11" i="90"/>
  <c r="I11" i="90"/>
  <c r="L11" i="90"/>
  <c r="M11" i="90"/>
  <c r="N11" i="90"/>
  <c r="O11" i="90"/>
  <c r="C12" i="90"/>
  <c r="E12" i="90"/>
  <c r="G12" i="90"/>
  <c r="I12" i="90"/>
  <c r="O12" i="90"/>
  <c r="C13" i="90"/>
  <c r="E13" i="90"/>
  <c r="G13" i="90"/>
  <c r="I13" i="90"/>
  <c r="N13" i="90"/>
  <c r="O13" i="90"/>
  <c r="C14" i="90"/>
  <c r="E14" i="90"/>
  <c r="G14" i="90"/>
  <c r="I14" i="90"/>
  <c r="O14" i="90"/>
  <c r="C15" i="90"/>
  <c r="E15" i="90"/>
  <c r="I15" i="90"/>
  <c r="O15" i="90"/>
  <c r="C16" i="90"/>
  <c r="E16" i="90"/>
  <c r="I16" i="90"/>
  <c r="N16" i="90"/>
  <c r="O16" i="90"/>
  <c r="C17" i="90"/>
  <c r="E17" i="90"/>
  <c r="I17" i="90"/>
  <c r="N17" i="90"/>
  <c r="O17" i="90"/>
  <c r="C18" i="90"/>
  <c r="E18" i="90"/>
  <c r="G18" i="90"/>
  <c r="I18" i="90"/>
  <c r="N18" i="90"/>
  <c r="O18" i="90"/>
  <c r="C19" i="90"/>
  <c r="E19" i="90"/>
  <c r="G19" i="90"/>
  <c r="I19" i="90"/>
  <c r="M19" i="90"/>
  <c r="N19" i="90"/>
  <c r="O19" i="90"/>
  <c r="C20" i="90"/>
  <c r="E20" i="90"/>
  <c r="I20" i="90"/>
  <c r="M20" i="90"/>
  <c r="N20" i="90"/>
  <c r="O20" i="90"/>
  <c r="C21" i="90"/>
  <c r="E21" i="90"/>
  <c r="I21" i="90"/>
  <c r="N21" i="90"/>
  <c r="O21" i="90"/>
  <c r="C22" i="90"/>
  <c r="E22" i="90"/>
  <c r="G22" i="90"/>
  <c r="I22" i="90"/>
  <c r="N22" i="90"/>
  <c r="O22" i="90"/>
  <c r="C23" i="90"/>
  <c r="E23" i="90"/>
  <c r="G23" i="90"/>
  <c r="I23" i="90"/>
  <c r="N23" i="90"/>
  <c r="O23" i="90"/>
  <c r="N24" i="90"/>
  <c r="E25" i="90"/>
  <c r="G25" i="90"/>
  <c r="N25" i="90"/>
  <c r="O25" i="90"/>
  <c r="N26" i="90"/>
  <c r="E27" i="90"/>
  <c r="G27" i="90"/>
  <c r="N27" i="90"/>
  <c r="O27" i="90"/>
  <c r="M28" i="90"/>
  <c r="N28" i="90"/>
  <c r="E29" i="90"/>
  <c r="G29" i="90"/>
  <c r="J34" i="90"/>
  <c r="K34" i="90"/>
  <c r="L34" i="90"/>
  <c r="M34" i="90"/>
  <c r="N34" i="90"/>
  <c r="B1" i="81"/>
  <c r="C8" i="81"/>
  <c r="E8" i="81"/>
  <c r="G8" i="81"/>
  <c r="L8" i="81"/>
  <c r="N8" i="81"/>
  <c r="C9" i="81"/>
  <c r="G9" i="81"/>
  <c r="C10" i="81"/>
  <c r="E10" i="81"/>
  <c r="G10" i="81"/>
  <c r="C11" i="81"/>
  <c r="E11" i="81"/>
  <c r="G11" i="81"/>
  <c r="H11" i="81"/>
  <c r="J11" i="81"/>
  <c r="K11" i="81"/>
  <c r="L11" i="81"/>
  <c r="N11" i="81"/>
  <c r="C12" i="81"/>
  <c r="E12" i="81"/>
  <c r="G12" i="81"/>
  <c r="C13" i="81"/>
  <c r="E13" i="81"/>
  <c r="G13" i="81"/>
  <c r="L13" i="81"/>
  <c r="C14" i="81"/>
  <c r="E14" i="81"/>
  <c r="G14" i="81"/>
  <c r="C15" i="81"/>
  <c r="E15" i="81"/>
  <c r="G15" i="81"/>
  <c r="C16" i="81"/>
  <c r="E16" i="81"/>
  <c r="G16" i="81"/>
  <c r="K16" i="81"/>
  <c r="L16" i="81"/>
  <c r="C17" i="81"/>
  <c r="E17" i="81"/>
  <c r="G17" i="81"/>
  <c r="L17" i="81"/>
  <c r="C18" i="81"/>
  <c r="E18" i="81"/>
  <c r="G18" i="81"/>
  <c r="L18" i="81"/>
  <c r="C19" i="81"/>
  <c r="E19" i="81"/>
  <c r="G19" i="81"/>
  <c r="L19" i="81"/>
  <c r="C20" i="81"/>
  <c r="E20" i="81"/>
  <c r="G20" i="81"/>
  <c r="L20" i="81"/>
  <c r="C21" i="81"/>
  <c r="E21" i="81"/>
  <c r="G21" i="81"/>
  <c r="L21" i="81"/>
  <c r="C22" i="81"/>
  <c r="E22" i="81"/>
  <c r="G22" i="81"/>
  <c r="L22" i="81"/>
  <c r="C23" i="81"/>
  <c r="E23" i="81"/>
  <c r="G23" i="81"/>
  <c r="H23" i="81"/>
  <c r="L23" i="81"/>
  <c r="N23" i="81"/>
  <c r="K24" i="81"/>
  <c r="L24" i="81"/>
  <c r="E25" i="81"/>
  <c r="L25" i="81"/>
  <c r="L26" i="81"/>
  <c r="E27" i="81"/>
  <c r="H27" i="81"/>
  <c r="L27" i="81"/>
  <c r="K28" i="81"/>
  <c r="L28" i="81"/>
  <c r="E29" i="81"/>
  <c r="H29" i="81"/>
  <c r="L30" i="81"/>
  <c r="H34" i="81"/>
  <c r="I34" i="81"/>
  <c r="J34" i="81"/>
  <c r="K34" i="81"/>
  <c r="L34" i="81"/>
  <c r="B1" i="82"/>
  <c r="C8" i="82"/>
  <c r="E8" i="82"/>
  <c r="G8" i="82"/>
  <c r="L8" i="82"/>
  <c r="N8" i="82"/>
  <c r="C9" i="82"/>
  <c r="G9" i="82"/>
  <c r="C10" i="82"/>
  <c r="E10" i="82"/>
  <c r="G10" i="82"/>
  <c r="C11" i="82"/>
  <c r="E11" i="82"/>
  <c r="G11" i="82"/>
  <c r="J11" i="82"/>
  <c r="K11" i="82"/>
  <c r="L11" i="82"/>
  <c r="N11" i="82"/>
  <c r="C12" i="82"/>
  <c r="E12" i="82"/>
  <c r="G12" i="82"/>
  <c r="C13" i="82"/>
  <c r="E13" i="82"/>
  <c r="G13" i="82"/>
  <c r="L13" i="82"/>
  <c r="C14" i="82"/>
  <c r="E14" i="82"/>
  <c r="G14" i="82"/>
  <c r="C15" i="82"/>
  <c r="E15" i="82"/>
  <c r="G15" i="82"/>
  <c r="C16" i="82"/>
  <c r="E16" i="82"/>
  <c r="G16" i="82"/>
  <c r="K16" i="82"/>
  <c r="L16" i="82"/>
  <c r="C17" i="82"/>
  <c r="E17" i="82"/>
  <c r="G17" i="82"/>
  <c r="L17" i="82"/>
  <c r="C18" i="82"/>
  <c r="E18" i="82"/>
  <c r="G18" i="82"/>
  <c r="L18" i="82"/>
  <c r="C19" i="82"/>
  <c r="E19" i="82"/>
  <c r="G19" i="82"/>
  <c r="L19" i="82"/>
  <c r="C20" i="82"/>
  <c r="E20" i="82"/>
  <c r="G20" i="82"/>
  <c r="L20" i="82"/>
  <c r="C21" i="82"/>
  <c r="E21" i="82"/>
  <c r="G21" i="82"/>
  <c r="L21" i="82"/>
  <c r="C22" i="82"/>
  <c r="E22" i="82"/>
  <c r="G22" i="82"/>
  <c r="L22" i="82"/>
  <c r="C23" i="82"/>
  <c r="E23" i="82"/>
  <c r="G23" i="82"/>
  <c r="H23" i="82"/>
  <c r="L23" i="82"/>
  <c r="N23" i="82"/>
  <c r="K24" i="82"/>
  <c r="L24" i="82"/>
  <c r="E25" i="82"/>
  <c r="H25" i="82"/>
  <c r="L25" i="82"/>
  <c r="L26" i="82"/>
  <c r="E27" i="82"/>
  <c r="L27" i="82"/>
  <c r="K28" i="82"/>
  <c r="L28" i="82"/>
  <c r="E29" i="82"/>
  <c r="H29" i="82"/>
  <c r="L30" i="82"/>
  <c r="H34" i="82"/>
  <c r="I34" i="82"/>
  <c r="J34" i="82"/>
  <c r="K34" i="82"/>
  <c r="L34" i="82"/>
</calcChain>
</file>

<file path=xl/comments1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2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3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4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5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6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sharedStrings.xml><?xml version="1.0" encoding="utf-8"?>
<sst xmlns="http://schemas.openxmlformats.org/spreadsheetml/2006/main" count="6803" uniqueCount="315">
  <si>
    <t>2002 Plan</t>
  </si>
  <si>
    <t>Per HC</t>
  </si>
  <si>
    <t>New HC</t>
  </si>
  <si>
    <t>Adjust Comp</t>
  </si>
  <si>
    <t xml:space="preserve">% of </t>
  </si>
  <si>
    <t>YTD Actual</t>
  </si>
  <si>
    <t>Forecast</t>
  </si>
  <si>
    <t>Plan</t>
  </si>
  <si>
    <t>Total Exp</t>
  </si>
  <si>
    <t>ENACOMP</t>
  </si>
  <si>
    <t>Compensation</t>
  </si>
  <si>
    <t>Special Pays</t>
  </si>
  <si>
    <t>Analysts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</si>
  <si>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</si>
  <si>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</si>
  <si>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</si>
  <si>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</si>
  <si>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</si>
  <si>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</si>
  <si>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</si>
  <si>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</si>
  <si>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</si>
  <si>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</si>
  <si>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</si>
  <si>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</si>
  <si>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</si>
  <si>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</si>
  <si>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Clerk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</si>
  <si>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</si>
  <si>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</si>
  <si>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</si>
  <si>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</si>
  <si>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</si>
  <si>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</si>
  <si>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</si>
  <si>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</si>
  <si>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</si>
  <si>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</si>
  <si>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</si>
  <si>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</si>
  <si>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</si>
  <si>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</si>
  <si>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</si>
  <si>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</si>
  <si>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</si>
  <si>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</si>
  <si>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</si>
  <si>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</si>
  <si>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</si>
  <si>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</si>
  <si>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</si>
  <si>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</si>
  <si>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</si>
  <si>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Analyst &amp; Associate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</si>
  <si>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</si>
  <si>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</si>
  <si>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</si>
  <si>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</si>
  <si>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</si>
  <si>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</si>
  <si>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</si>
  <si>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2001</t>
  </si>
  <si>
    <t>%</t>
  </si>
  <si>
    <t>2002</t>
  </si>
  <si>
    <t>of Total</t>
  </si>
  <si>
    <t>Analyst &amp; Associates</t>
  </si>
  <si>
    <t>Intern</t>
  </si>
  <si>
    <t>A&amp;A Headcount</t>
  </si>
  <si>
    <t>Mexico</t>
  </si>
  <si>
    <t>Annualized</t>
  </si>
  <si>
    <t>Analyst &amp; Assoicate</t>
  </si>
  <si>
    <t>ENAOUTLG</t>
  </si>
  <si>
    <t>Outside Legal</t>
  </si>
  <si>
    <t>ENAOUTTX</t>
  </si>
  <si>
    <t>Outside Tax</t>
  </si>
  <si>
    <t>ENAINSUR</t>
  </si>
  <si>
    <t>Insurance</t>
  </si>
  <si>
    <t>ENASYSDV</t>
  </si>
  <si>
    <t>System Development</t>
  </si>
  <si>
    <t>ENACORIT</t>
  </si>
  <si>
    <t>Controllable Infrastructure</t>
  </si>
  <si>
    <t>ENACORRN</t>
  </si>
  <si>
    <t>Corporate Rent</t>
  </si>
  <si>
    <t>ENAOTHAL</t>
  </si>
  <si>
    <t>Other Allocated Direct  Expenses</t>
  </si>
  <si>
    <t>ENADEPR</t>
  </si>
  <si>
    <t>Depreciation &amp; Amortization</t>
  </si>
  <si>
    <t>East Power</t>
  </si>
  <si>
    <t xml:space="preserve">Canada </t>
  </si>
  <si>
    <t xml:space="preserve">Analysts &amp; Associates  </t>
  </si>
  <si>
    <t>CEO</t>
  </si>
  <si>
    <t>*  Analysts and Associates are billed through normal payroll for Canada.</t>
  </si>
  <si>
    <t>Adjusted Amts</t>
  </si>
  <si>
    <t>Admins</t>
  </si>
  <si>
    <t>Analysts</t>
  </si>
  <si>
    <t>Sr Specialst</t>
  </si>
  <si>
    <t>Managers</t>
  </si>
  <si>
    <t>Directors</t>
  </si>
  <si>
    <t>Sr Director</t>
  </si>
  <si>
    <t>Vice President</t>
  </si>
  <si>
    <t>Managing Dir</t>
  </si>
  <si>
    <t>Analysts &amp; Associate Headcount</t>
  </si>
  <si>
    <t>Benefits &amp; Taxes</t>
  </si>
  <si>
    <t>Also adjusted up to reach a total of $800k.</t>
  </si>
  <si>
    <t>Financial Operations</t>
  </si>
  <si>
    <t>Reporting, GL, Trading &amp; Transaction Support</t>
  </si>
  <si>
    <t>Cash Operations</t>
  </si>
  <si>
    <t>Adj Comp</t>
  </si>
  <si>
    <t>Sr Specialist</t>
  </si>
  <si>
    <t xml:space="preserve">This was adjusted up 600,000 </t>
  </si>
  <si>
    <t>for Audit fees during the year.</t>
  </si>
  <si>
    <t>It was also adjusted 704,684</t>
  </si>
  <si>
    <t xml:space="preserve">to get to a total of 7,000,000 </t>
  </si>
  <si>
    <t>for the BA&amp;R group.</t>
  </si>
  <si>
    <t xml:space="preserve">This was adjusted up 360,000 </t>
  </si>
  <si>
    <t>for consulting fees during the year.</t>
  </si>
  <si>
    <t>Regulatory Affairs</t>
  </si>
  <si>
    <t>Coordinator</t>
  </si>
  <si>
    <t>Based on Legal Expenses</t>
  </si>
  <si>
    <t>General Counsel Asst</t>
  </si>
  <si>
    <t xml:space="preserve">Credit </t>
  </si>
  <si>
    <t>Credit</t>
  </si>
  <si>
    <t>Analyst &amp; Associate</t>
  </si>
  <si>
    <t>Exec. Asst.</t>
  </si>
  <si>
    <t>EVP/CRO</t>
  </si>
  <si>
    <t>Human Resources</t>
  </si>
  <si>
    <t>EOPs/Risk</t>
  </si>
  <si>
    <t>IT</t>
  </si>
  <si>
    <t>Accounting</t>
  </si>
  <si>
    <t>Legal</t>
  </si>
  <si>
    <t>Sr. Counsel</t>
  </si>
  <si>
    <t>Toronto</t>
  </si>
  <si>
    <t>SAP</t>
  </si>
  <si>
    <t>Consultants</t>
  </si>
  <si>
    <t>Based on information from ENW accounting.</t>
  </si>
  <si>
    <t>IT Development</t>
  </si>
  <si>
    <t>Tech</t>
  </si>
  <si>
    <t>IT Consultants</t>
  </si>
  <si>
    <t>Consulatant</t>
  </si>
  <si>
    <t>EOL Support</t>
  </si>
  <si>
    <t>Sr Counsel</t>
  </si>
  <si>
    <t>VP - Counsel</t>
  </si>
  <si>
    <t>Outside Legal - $5,000,000</t>
  </si>
  <si>
    <t>COO</t>
  </si>
  <si>
    <t>Enron North America</t>
  </si>
  <si>
    <t>VAR Limit</t>
  </si>
  <si>
    <t>Gross Margin</t>
  </si>
  <si>
    <t>Direct Expenses</t>
  </si>
  <si>
    <t>EBIT</t>
  </si>
  <si>
    <t xml:space="preserve"> </t>
  </si>
  <si>
    <t>West Power Trading/Origination- Portland</t>
  </si>
  <si>
    <t>Total Commercial</t>
  </si>
  <si>
    <t>Accounting, Transaction Support</t>
  </si>
  <si>
    <t>Energy Ops</t>
  </si>
  <si>
    <t>Gas Logistics</t>
  </si>
  <si>
    <t>Gas Book Running</t>
  </si>
  <si>
    <t>Gas Settlements</t>
  </si>
  <si>
    <t>Gas Volume Mgmt</t>
  </si>
  <si>
    <t>Power Logistics</t>
  </si>
  <si>
    <t>Power Book Running</t>
  </si>
  <si>
    <t>Power Settlements</t>
  </si>
  <si>
    <t>Power Volume Mgmt</t>
  </si>
  <si>
    <t>Canada</t>
  </si>
  <si>
    <t>HR</t>
  </si>
  <si>
    <t>Canada Support</t>
  </si>
  <si>
    <t xml:space="preserve">Rent </t>
  </si>
  <si>
    <t>Bonus</t>
  </si>
  <si>
    <t>Total Group</t>
  </si>
  <si>
    <t>Infrastructure costs include amounts for desktop support, e-mail administration, security,</t>
  </si>
  <si>
    <t>IT Development costs includes amounts for maintenance and enhancements to</t>
  </si>
  <si>
    <t xml:space="preserve">Enpower, Sitara, Unify, TAGG, ERMS, and other trading systems along </t>
  </si>
  <si>
    <t>with Oracle and Tibco licenses.</t>
  </si>
  <si>
    <t xml:space="preserve">Energy Operations </t>
  </si>
  <si>
    <t>Energy Operations</t>
  </si>
  <si>
    <t xml:space="preserve">communications (long distance, trading turrets, phones, cables), licenses (Microsoft, etc), </t>
  </si>
  <si>
    <t>market data feeds, T1 lines, internet access, WAN, LAN, etc.</t>
  </si>
  <si>
    <t>Weather</t>
  </si>
  <si>
    <t>Market Risk</t>
  </si>
  <si>
    <t>East Power Trading/Orig</t>
  </si>
  <si>
    <t>Canada Gas/Power Trading/Orig</t>
  </si>
  <si>
    <t>IT- Development *</t>
  </si>
  <si>
    <t>IT- Infrastructure**</t>
  </si>
  <si>
    <t>IT- EOL</t>
  </si>
  <si>
    <t>IT- EOL Support</t>
  </si>
  <si>
    <t>Houston &amp; Other</t>
  </si>
  <si>
    <t>Portland</t>
  </si>
  <si>
    <t>Houston Fundamentals/Structuring, CABC, and Weather</t>
  </si>
  <si>
    <t>ENE Service Level Agreements</t>
  </si>
  <si>
    <t>Natural Gas Fundamentals</t>
  </si>
  <si>
    <t>Natural Gas Structuring</t>
  </si>
  <si>
    <t>West Power Fundamentals</t>
  </si>
  <si>
    <t>West Power Structuring</t>
  </si>
  <si>
    <t>East Power Fundamentals</t>
  </si>
  <si>
    <t>East Power Structuring</t>
  </si>
  <si>
    <t>Structuring</t>
  </si>
  <si>
    <t xml:space="preserve"> Fundamentals</t>
  </si>
  <si>
    <t>Includes 1 HR</t>
  </si>
  <si>
    <t>Information Technology</t>
  </si>
  <si>
    <t>`</t>
  </si>
  <si>
    <t>2000 YTD</t>
  </si>
  <si>
    <t>2001 Oct YTD</t>
  </si>
  <si>
    <t>HPL/Upstream/Bridgeline</t>
  </si>
  <si>
    <t>Merchant</t>
  </si>
  <si>
    <t>Office of the Chairman</t>
  </si>
  <si>
    <t>Cash Operations and Tax</t>
  </si>
  <si>
    <t>Other Corporate Charges</t>
  </si>
  <si>
    <t>Moved $2.4 of SAP costs here, and decreased HC by 12</t>
  </si>
  <si>
    <t>and moved $2.0 for SAP cost of system and maintenance</t>
  </si>
  <si>
    <t>Total Expenses</t>
  </si>
  <si>
    <t>Houston Gas Trading/Orig (includes Mexico)</t>
  </si>
  <si>
    <t>2002 Expenses</t>
  </si>
  <si>
    <t xml:space="preserve">*IT Development includes systems maintenance and enhancements of ERMS, TAGG, </t>
  </si>
  <si>
    <t>EnPower, Sitara, Unify, etc. and license fees for Oracle and Tibco</t>
  </si>
  <si>
    <t>**IT Infrastructure includes desk top support, communications, market data feeds, licenses,</t>
  </si>
  <si>
    <t xml:space="preserve"> servers, tie lines, remote office support, WAN, and LAN.</t>
  </si>
  <si>
    <t>Includes 1 from Reg Affairs</t>
  </si>
  <si>
    <t>includes 1 Analyst</t>
  </si>
  <si>
    <t>Research/Market Risk</t>
  </si>
  <si>
    <t>Documentation</t>
  </si>
  <si>
    <t>Management</t>
  </si>
  <si>
    <t>East Power Origination</t>
  </si>
  <si>
    <t>West Power Trading- Portland</t>
  </si>
  <si>
    <t>West Power Origination- Portland</t>
  </si>
  <si>
    <t>Canada Gas/Power Trading</t>
  </si>
  <si>
    <t>Canada Gas/Power Origination</t>
  </si>
  <si>
    <t>Leadership(Office of the Chair)</t>
  </si>
  <si>
    <t>Analysts &amp; Associates Directly Supporting Commercial Teams</t>
  </si>
  <si>
    <t>Admins for Commercial Teams</t>
  </si>
  <si>
    <t>Natural Gas Admins</t>
  </si>
  <si>
    <t>East Power Analyst &amp; Associate</t>
  </si>
  <si>
    <t>East Power Admins</t>
  </si>
  <si>
    <t>West Power Trading</t>
  </si>
  <si>
    <t>West Power Origination</t>
  </si>
  <si>
    <t>West Power Analyst &amp; Associate</t>
  </si>
  <si>
    <t>West Power Admins</t>
  </si>
  <si>
    <t>Canada Trading</t>
  </si>
  <si>
    <t>Canada Origination</t>
  </si>
  <si>
    <t>Canada Analyst &amp; Associate</t>
  </si>
  <si>
    <t>Canada Admins</t>
  </si>
  <si>
    <t>Texas Gas Trading</t>
  </si>
  <si>
    <t>East Gas Trading</t>
  </si>
  <si>
    <t>Central Gas Trading</t>
  </si>
  <si>
    <t>West Gas Trading</t>
  </si>
  <si>
    <t>Texas Gas Origination</t>
  </si>
  <si>
    <t>East Gas Origination</t>
  </si>
  <si>
    <t>Central Gas Origination</t>
  </si>
  <si>
    <t>West Gas Origination</t>
  </si>
  <si>
    <t>Central Gas - Trading</t>
  </si>
  <si>
    <t>Financial Gas</t>
  </si>
  <si>
    <t>Texas Gas - Origination</t>
  </si>
  <si>
    <t>Crude</t>
  </si>
  <si>
    <t>Central Gas - Orig</t>
  </si>
  <si>
    <t>ADJUSTED</t>
  </si>
  <si>
    <t>DIRECTOR</t>
  </si>
  <si>
    <t>MANAGER</t>
  </si>
  <si>
    <t>VICE PRESIDENT</t>
  </si>
  <si>
    <t>Texas - Trading</t>
  </si>
  <si>
    <t>ASSOCIATE</t>
  </si>
  <si>
    <t>Quigley, Henry H</t>
  </si>
  <si>
    <t>ENA FINANCIAL</t>
  </si>
  <si>
    <t>Maggi, Michael J</t>
  </si>
  <si>
    <t>May, Lawrence J</t>
  </si>
  <si>
    <t>Griffith, John H</t>
  </si>
  <si>
    <t>Arnold, John D</t>
  </si>
  <si>
    <t>Zipper, Andrew A</t>
  </si>
  <si>
    <t>Ligums, John (Jeb)</t>
  </si>
  <si>
    <t>West Gas - Orig</t>
  </si>
  <si>
    <t>Jaime Williams-Quintero</t>
  </si>
  <si>
    <t>Agustin Perez-Miranda</t>
  </si>
  <si>
    <t>East Gas - Orig</t>
  </si>
  <si>
    <t>East Gas - Trading</t>
  </si>
  <si>
    <t>East Gas - Trading Analysts/Associates</t>
  </si>
  <si>
    <t>Derivatives/Wellhead Analysts/Associates</t>
  </si>
  <si>
    <t>West Gas - Trading Analysts/Associates</t>
  </si>
  <si>
    <t>Central Gas - Trading Analysts/Associates</t>
  </si>
  <si>
    <t>Texas - Trading Analysts/Associates</t>
  </si>
  <si>
    <t>Financial Gas Analysts/Associates</t>
  </si>
  <si>
    <t>Gas - Analysts/Associates</t>
  </si>
  <si>
    <t xml:space="preserve">West Gas - Trading </t>
  </si>
  <si>
    <t>Total Gas Trading and Origination***</t>
  </si>
  <si>
    <t>***Unable to identify which region 2 gas employees belong to.</t>
  </si>
  <si>
    <t>Gas Risk Management</t>
  </si>
  <si>
    <t>Power Risk Management</t>
  </si>
  <si>
    <t>Power Logistics****</t>
  </si>
  <si>
    <t>****Power Logistics Plan was based on Gas Logistics Plan adjusted for headcount.</t>
  </si>
  <si>
    <t>Total Canada Trading and Origination</t>
  </si>
  <si>
    <t>Hicks, W. Wade</t>
  </si>
  <si>
    <t>US-GP LPG TRADING</t>
  </si>
  <si>
    <t>Jackson, Lee C</t>
  </si>
  <si>
    <t>South, Chad E</t>
  </si>
  <si>
    <t>US-GP PETROCHEMICALS TRADING</t>
  </si>
  <si>
    <t>Crude Analysts &amp; Associates</t>
  </si>
  <si>
    <t>Nymex Desk Trading</t>
  </si>
  <si>
    <t>Nymex Desk</t>
  </si>
  <si>
    <t>Derivatives Marketing</t>
  </si>
  <si>
    <t>Tax</t>
  </si>
  <si>
    <t>Research</t>
  </si>
  <si>
    <t>Office of the Chair Administration</t>
  </si>
  <si>
    <t>Fundamentals</t>
  </si>
  <si>
    <t>Ercot Power Trading</t>
  </si>
  <si>
    <t>Northeast Power Trading</t>
  </si>
  <si>
    <t>Midwest Power Trading</t>
  </si>
  <si>
    <t>Southeast Trading</t>
  </si>
  <si>
    <t>Options</t>
  </si>
  <si>
    <t>Management East Power Trading</t>
  </si>
  <si>
    <t>ERCOT Power Trading</t>
  </si>
  <si>
    <t>Total East Power Trading and Origination</t>
  </si>
  <si>
    <t>Total West Power Trading and Origination</t>
  </si>
  <si>
    <t>Management Book</t>
  </si>
  <si>
    <t>Gas Volume Management</t>
  </si>
  <si>
    <t xml:space="preserve">Power Volume Management </t>
  </si>
  <si>
    <t>Gas Settlement</t>
  </si>
  <si>
    <t>Power Settlement</t>
  </si>
  <si>
    <t>Gas Risk Mgmt</t>
  </si>
  <si>
    <t>Power Risk Mgmt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</si>
</sst>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7" formatCode="_(* #,##0.0_);_(* \(#,##0.0\);_(* &quot;-&quot;??_);_(@_)"/>
    <numFmt numFmtId="168" formatCode="_(* #,##0.0_);_(* \(#,##0.0\);_(* &quot;-&quot;?_);_(@_)"/>
    <numFmt numFmtId="169" formatCode="0.0%"/>
    <numFmt numFmtId="188" formatCode="0.0"/>
    <numFmt numFmtId="189" formatCode="_(* #,##0_);_(* \(#,##0\);_(* &quot;-&quot;?_);_(@_)"/>
  </numFmts>
  <fonts count="15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8"/>
      <name val="MS Sans Serif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148">
    <xf numFmtId="0" fontId="0" fillId="0" borderId="0" xfId="0"/>
    <xf numFmtId="0" fontId="2" fillId="0" borderId="0" xfId="0" applyFont="1" applyAlignment="1" applyProtection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7" fontId="3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65" fontId="6" fillId="0" borderId="0" xfId="3" applyNumberFormat="1" applyFont="1" applyProtection="1"/>
    <xf numFmtId="9" fontId="6" fillId="0" borderId="0" xfId="6" applyFont="1" applyProtection="1"/>
    <xf numFmtId="165" fontId="1" fillId="0" borderId="0" xfId="3" applyNumberFormat="1" applyBorder="1"/>
    <xf numFmtId="165" fontId="0" fillId="0" borderId="5" xfId="0" applyNumberFormat="1" applyBorder="1"/>
    <xf numFmtId="165" fontId="1" fillId="0" borderId="0" xfId="3" applyNumberFormat="1" applyBorder="1" applyAlignment="1">
      <alignment horizontal="center"/>
    </xf>
    <xf numFmtId="165" fontId="6" fillId="2" borderId="0" xfId="3" applyNumberFormat="1" applyFont="1" applyFill="1" applyProtection="1"/>
    <xf numFmtId="165" fontId="6" fillId="0" borderId="0" xfId="3" applyNumberFormat="1" applyFont="1" applyFill="1" applyProtection="1"/>
    <xf numFmtId="0" fontId="0" fillId="0" borderId="6" xfId="0" applyBorder="1"/>
    <xf numFmtId="0" fontId="0" fillId="0" borderId="7" xfId="0" applyBorder="1"/>
    <xf numFmtId="165" fontId="0" fillId="0" borderId="8" xfId="0" applyNumberFormat="1" applyBorder="1"/>
    <xf numFmtId="165" fontId="1" fillId="0" borderId="0" xfId="3" applyNumberFormat="1"/>
    <xf numFmtId="49" fontId="5" fillId="0" borderId="0" xfId="1" applyNumberFormat="1" applyFont="1" applyProtection="1"/>
    <xf numFmtId="0" fontId="3" fillId="0" borderId="0" xfId="1" applyNumberFormat="1" applyFont="1" applyProtection="1"/>
    <xf numFmtId="166" fontId="6" fillId="0" borderId="9" xfId="4" applyNumberFormat="1" applyFont="1" applyBorder="1"/>
    <xf numFmtId="166" fontId="6" fillId="0" borderId="0" xfId="4" applyNumberFormat="1" applyFont="1" applyBorder="1"/>
    <xf numFmtId="9" fontId="6" fillId="0" borderId="9" xfId="6" applyFont="1" applyBorder="1"/>
    <xf numFmtId="165" fontId="6" fillId="0" borderId="9" xfId="3" applyNumberFormat="1" applyFont="1" applyBorder="1" applyProtection="1"/>
    <xf numFmtId="165" fontId="6" fillId="0" borderId="0" xfId="3" applyNumberFormat="1" applyFont="1" applyBorder="1" applyProtection="1"/>
    <xf numFmtId="0" fontId="7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165" fontId="2" fillId="0" borderId="0" xfId="3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5" xfId="3" applyNumberFormat="1" applyBorder="1"/>
    <xf numFmtId="17" fontId="3" fillId="0" borderId="0" xfId="0" quotePrefix="1" applyNumberFormat="1" applyFont="1" applyFill="1" applyBorder="1" applyAlignment="1" applyProtection="1">
      <alignment horizontal="center"/>
    </xf>
    <xf numFmtId="169" fontId="6" fillId="0" borderId="0" xfId="6" applyNumberFormat="1" applyFont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0" fillId="0" borderId="0" xfId="0" applyNumberFormat="1"/>
    <xf numFmtId="165" fontId="1" fillId="0" borderId="0" xfId="3" applyNumberFormat="1" applyFont="1"/>
    <xf numFmtId="169" fontId="6" fillId="0" borderId="9" xfId="6" applyNumberFormat="1" applyFont="1" applyBorder="1"/>
    <xf numFmtId="9" fontId="1" fillId="0" borderId="0" xfId="6"/>
    <xf numFmtId="165" fontId="6" fillId="0" borderId="0" xfId="3" applyNumberFormat="1" applyFont="1" applyAlignment="1" applyProtection="1">
      <alignment horizontal="right"/>
    </xf>
    <xf numFmtId="166" fontId="0" fillId="0" borderId="0" xfId="0" applyNumberFormat="1"/>
    <xf numFmtId="0" fontId="0" fillId="0" borderId="9" xfId="0" applyFill="1" applyBorder="1"/>
    <xf numFmtId="0" fontId="1" fillId="0" borderId="0" xfId="3" applyNumberFormat="1" applyAlignment="1">
      <alignment horizontal="center"/>
    </xf>
    <xf numFmtId="0" fontId="8" fillId="0" borderId="0" xfId="0" applyFont="1" applyAlignment="1">
      <alignment horizontal="center"/>
    </xf>
    <xf numFmtId="166" fontId="6" fillId="0" borderId="10" xfId="4" applyNumberFormat="1" applyFont="1" applyBorder="1"/>
    <xf numFmtId="165" fontId="0" fillId="0" borderId="9" xfId="0" applyNumberFormat="1" applyBorder="1"/>
    <xf numFmtId="0" fontId="0" fillId="0" borderId="0" xfId="0" applyFill="1" applyBorder="1"/>
    <xf numFmtId="0" fontId="6" fillId="0" borderId="9" xfId="2" applyNumberFormat="1" applyFont="1" applyBorder="1" applyProtection="1"/>
    <xf numFmtId="0" fontId="0" fillId="0" borderId="11" xfId="0" applyBorder="1"/>
    <xf numFmtId="0" fontId="0" fillId="0" borderId="12" xfId="0" applyBorder="1"/>
    <xf numFmtId="165" fontId="1" fillId="0" borderId="12" xfId="3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7" fillId="0" borderId="14" xfId="0" applyFont="1" applyBorder="1"/>
    <xf numFmtId="165" fontId="1" fillId="0" borderId="15" xfId="3" applyNumberFormat="1" applyBorder="1"/>
    <xf numFmtId="0" fontId="0" fillId="0" borderId="16" xfId="0" applyBorder="1"/>
    <xf numFmtId="165" fontId="1" fillId="0" borderId="17" xfId="3" applyNumberFormat="1" applyBorder="1"/>
    <xf numFmtId="165" fontId="1" fillId="0" borderId="18" xfId="3" applyNumberFormat="1" applyBorder="1"/>
    <xf numFmtId="166" fontId="6" fillId="0" borderId="9" xfId="4" applyNumberFormat="1" applyFont="1" applyFill="1" applyBorder="1"/>
    <xf numFmtId="165" fontId="1" fillId="0" borderId="5" xfId="3" applyNumberFormat="1" applyFill="1" applyBorder="1" applyAlignment="1">
      <alignment horizontal="center"/>
    </xf>
    <xf numFmtId="165" fontId="0" fillId="0" borderId="0" xfId="0" applyNumberFormat="1" applyBorder="1"/>
    <xf numFmtId="0" fontId="3" fillId="0" borderId="0" xfId="0" quotePrefix="1" applyNumberFormat="1" applyFont="1" applyFill="1" applyBorder="1" applyAlignment="1" applyProtection="1">
      <alignment horizontal="center"/>
    </xf>
    <xf numFmtId="0" fontId="9" fillId="0" borderId="0" xfId="0" applyFont="1"/>
    <xf numFmtId="43" fontId="1" fillId="0" borderId="0" xfId="3" applyBorder="1"/>
    <xf numFmtId="165" fontId="0" fillId="0" borderId="9" xfId="0" applyNumberFormat="1" applyFill="1" applyBorder="1"/>
    <xf numFmtId="165" fontId="6" fillId="0" borderId="17" xfId="3" applyNumberFormat="1" applyFont="1" applyBorder="1" applyProtection="1"/>
    <xf numFmtId="164" fontId="2" fillId="0" borderId="0" xfId="0" applyNumberFormat="1" applyFont="1" applyBorder="1" applyAlignment="1" applyProtection="1">
      <alignment horizontal="center"/>
    </xf>
    <xf numFmtId="165" fontId="1" fillId="0" borderId="0" xfId="3" applyNumberFormat="1" applyFill="1" applyBorder="1" applyAlignment="1">
      <alignment horizontal="center"/>
    </xf>
    <xf numFmtId="0" fontId="7" fillId="0" borderId="0" xfId="0" applyFont="1" applyAlignment="1">
      <alignment horizontal="centerContinuous"/>
    </xf>
    <xf numFmtId="0" fontId="7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7" fontId="1" fillId="0" borderId="21" xfId="3" applyNumberFormat="1" applyBorder="1"/>
    <xf numFmtId="167" fontId="1" fillId="0" borderId="0" xfId="3" applyNumberFormat="1"/>
    <xf numFmtId="167" fontId="1" fillId="0" borderId="0" xfId="3" applyNumberFormat="1" applyFont="1"/>
    <xf numFmtId="0" fontId="0" fillId="0" borderId="21" xfId="0" applyBorder="1"/>
    <xf numFmtId="167" fontId="1" fillId="0" borderId="22" xfId="3" applyNumberFormat="1" applyBorder="1"/>
    <xf numFmtId="0" fontId="0" fillId="0" borderId="22" xfId="0" applyBorder="1"/>
    <xf numFmtId="165" fontId="1" fillId="0" borderId="21" xfId="3" applyNumberFormat="1" applyBorder="1"/>
    <xf numFmtId="168" fontId="0" fillId="0" borderId="22" xfId="0" applyNumberFormat="1" applyBorder="1"/>
    <xf numFmtId="168" fontId="0" fillId="0" borderId="23" xfId="0" applyNumberFormat="1" applyBorder="1"/>
    <xf numFmtId="189" fontId="0" fillId="0" borderId="23" xfId="0" applyNumberFormat="1" applyBorder="1"/>
    <xf numFmtId="0" fontId="0" fillId="0" borderId="20" xfId="0" applyBorder="1"/>
    <xf numFmtId="168" fontId="0" fillId="0" borderId="21" xfId="0" applyNumberFormat="1" applyBorder="1"/>
    <xf numFmtId="189" fontId="0" fillId="0" borderId="21" xfId="0" applyNumberFormat="1" applyBorder="1"/>
    <xf numFmtId="167" fontId="0" fillId="0" borderId="21" xfId="0" applyNumberFormat="1" applyBorder="1"/>
    <xf numFmtId="43" fontId="1" fillId="0" borderId="21" xfId="3" applyBorder="1"/>
    <xf numFmtId="167" fontId="1" fillId="0" borderId="20" xfId="3" applyNumberFormat="1" applyBorder="1"/>
    <xf numFmtId="167" fontId="1" fillId="0" borderId="21" xfId="3" applyNumberFormat="1" applyFont="1" applyBorder="1"/>
    <xf numFmtId="167" fontId="1" fillId="0" borderId="0" xfId="3" applyNumberFormat="1" applyBorder="1"/>
    <xf numFmtId="168" fontId="0" fillId="0" borderId="0" xfId="0" applyNumberFormat="1" applyBorder="1"/>
    <xf numFmtId="167" fontId="0" fillId="0" borderId="23" xfId="0" applyNumberFormat="1" applyBorder="1"/>
    <xf numFmtId="165" fontId="0" fillId="0" borderId="23" xfId="0" applyNumberFormat="1" applyBorder="1"/>
    <xf numFmtId="165" fontId="6" fillId="0" borderId="0" xfId="3" applyNumberFormat="1" applyFont="1" applyAlignment="1" applyProtection="1">
      <alignment horizontal="center"/>
    </xf>
    <xf numFmtId="165" fontId="6" fillId="0" borderId="0" xfId="3" applyNumberFormat="1" applyFont="1" applyAlignment="1" applyProtection="1"/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165" fontId="1" fillId="0" borderId="21" xfId="3" applyNumberFormat="1" applyFont="1" applyBorder="1"/>
    <xf numFmtId="188" fontId="0" fillId="0" borderId="21" xfId="0" applyNumberFormat="1" applyBorder="1"/>
    <xf numFmtId="188" fontId="0" fillId="0" borderId="0" xfId="0" applyNumberFormat="1" applyBorder="1"/>
    <xf numFmtId="43" fontId="1" fillId="0" borderId="21" xfId="3" applyFont="1" applyBorder="1"/>
    <xf numFmtId="43" fontId="1" fillId="0" borderId="22" xfId="3" applyFont="1" applyBorder="1"/>
    <xf numFmtId="167" fontId="0" fillId="0" borderId="0" xfId="0" applyNumberFormat="1" applyBorder="1"/>
    <xf numFmtId="167" fontId="1" fillId="0" borderId="23" xfId="3" applyNumberFormat="1" applyBorder="1"/>
    <xf numFmtId="165" fontId="1" fillId="0" borderId="23" xfId="3" applyNumberFormat="1" applyBorder="1"/>
    <xf numFmtId="0" fontId="7" fillId="0" borderId="25" xfId="0" applyFont="1" applyBorder="1" applyAlignment="1">
      <alignment horizontal="center"/>
    </xf>
    <xf numFmtId="0" fontId="0" fillId="0" borderId="17" xfId="0" applyBorder="1"/>
    <xf numFmtId="43" fontId="6" fillId="0" borderId="0" xfId="3" applyFont="1" applyBorder="1" applyProtection="1"/>
    <xf numFmtId="0" fontId="13" fillId="0" borderId="26" xfId="5" applyFont="1" applyFill="1" applyBorder="1" applyAlignment="1">
      <alignment horizontal="left"/>
    </xf>
    <xf numFmtId="0" fontId="13" fillId="0" borderId="27" xfId="5" applyFont="1" applyFill="1" applyBorder="1" applyAlignment="1">
      <alignment horizontal="left"/>
    </xf>
    <xf numFmtId="165" fontId="7" fillId="0" borderId="0" xfId="3" applyNumberFormat="1" applyFont="1" applyFill="1" applyBorder="1" applyAlignment="1">
      <alignment horizontal="center"/>
    </xf>
    <xf numFmtId="168" fontId="0" fillId="0" borderId="0" xfId="0" applyNumberFormat="1"/>
    <xf numFmtId="167" fontId="7" fillId="0" borderId="21" xfId="3" applyNumberFormat="1" applyFont="1" applyBorder="1"/>
    <xf numFmtId="167" fontId="7" fillId="0" borderId="0" xfId="3" applyNumberFormat="1" applyFont="1"/>
    <xf numFmtId="167" fontId="7" fillId="0" borderId="0" xfId="3" applyNumberFormat="1" applyFont="1" applyBorder="1"/>
    <xf numFmtId="165" fontId="7" fillId="0" borderId="21" xfId="3" applyNumberFormat="1" applyFont="1" applyBorder="1"/>
    <xf numFmtId="0" fontId="7" fillId="0" borderId="21" xfId="0" applyFont="1" applyBorder="1"/>
    <xf numFmtId="43" fontId="7" fillId="0" borderId="21" xfId="3" applyFont="1" applyBorder="1"/>
    <xf numFmtId="0" fontId="7" fillId="0" borderId="0" xfId="0" applyFont="1" applyBorder="1"/>
    <xf numFmtId="0" fontId="14" fillId="0" borderId="0" xfId="0" applyFont="1"/>
    <xf numFmtId="167" fontId="14" fillId="0" borderId="21" xfId="3" applyNumberFormat="1" applyFont="1" applyBorder="1"/>
    <xf numFmtId="167" fontId="14" fillId="0" borderId="0" xfId="3" applyNumberFormat="1" applyFont="1"/>
    <xf numFmtId="0" fontId="14" fillId="0" borderId="21" xfId="0" applyFont="1" applyBorder="1"/>
    <xf numFmtId="0" fontId="7" fillId="0" borderId="0" xfId="0" applyFont="1" applyAlignment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0" xfId="0" applyAlignment="1">
      <alignment horizontal="center"/>
    </xf>
    <xf numFmtId="17" fontId="2" fillId="0" borderId="0" xfId="0" applyNumberFormat="1" applyFont="1" applyAlignment="1" applyProtection="1">
      <alignment horizontal="center"/>
    </xf>
    <xf numFmtId="17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164" fontId="2" fillId="0" borderId="0" xfId="0" quotePrefix="1" applyNumberFormat="1" applyFont="1" applyAlignment="1" applyProtection="1">
      <alignment horizontal="center"/>
    </xf>
  </cellXfs>
  <cellStyles count="10">
    <cellStyle name="Comma" xfId="3" builtinId="3"/>
    <cellStyle name="Currency" xfId="4" builtinId="4"/>
    <cellStyle name="Normal" xfId="0" builtinId="0"/>
    <cellStyle name="Normal_Sheet1" xfId="5"/>
    <cellStyle name="Percent" xfId="6" builtinId="5"/>
    <cellStyle name="RowLevel_3" xfId="1" builtinId="1" iLevel="2"/>
    <cellStyle name="RowLevel_4" xfId="2" builtinId="1" iLevel="3"/>
    <cellStyle name="SAPLocked" xfId="7"/>
    <cellStyle name="SAPOutput" xfId="8"/>
    <cellStyle name="SAPUnLocked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calcChain" Target="calcChain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externalLink" Target="externalLinks/externalLink23.xml"/><Relationship Id="rId16" Type="http://schemas.openxmlformats.org/officeDocument/2006/relationships/worksheet" Target="worksheets/sheet16.xml"/><Relationship Id="rId107" Type="http://schemas.openxmlformats.org/officeDocument/2006/relationships/externalLink" Target="externalLinks/externalLink18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1.xml"/><Relationship Id="rId95" Type="http://schemas.openxmlformats.org/officeDocument/2006/relationships/externalLink" Target="externalLinks/externalLink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externalLink" Target="externalLinks/externalLink24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externalLink" Target="externalLinks/externalLink14.xml"/><Relationship Id="rId108" Type="http://schemas.openxmlformats.org/officeDocument/2006/relationships/externalLink" Target="externalLinks/externalLink1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externalLink" Target="externalLinks/externalLink2.xml"/><Relationship Id="rId96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externalLink" Target="externalLinks/externalLink5.xml"/><Relationship Id="rId99" Type="http://schemas.openxmlformats.org/officeDocument/2006/relationships/externalLink" Target="externalLinks/externalLink10.xml"/><Relationship Id="rId101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externalLink" Target="externalLinks/externalLink20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externalLink" Target="externalLinks/externalLink8.xml"/><Relationship Id="rId104" Type="http://schemas.openxmlformats.org/officeDocument/2006/relationships/externalLink" Target="externalLinks/externalLink1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externalLink" Target="externalLinks/externalLink21.xml"/><Relationship Id="rId115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externalLink" Target="externalLinks/externalLink11.xml"/><Relationship Id="rId105" Type="http://schemas.openxmlformats.org/officeDocument/2006/relationships/externalLink" Target="externalLinks/externalLink1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externalLink" Target="externalLinks/externalLink4.xml"/><Relationship Id="rId98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externalLink" Target="externalLinks/externalLink2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externalLink" Target="externalLinks/externalLink1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nada%20Consolidated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T_SA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T_Infra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T_Developmen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T_EO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Leg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Office%20of%20the%20Chair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PR%20Trading%20Repor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ast%20Power%20Consolidatio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atural%20Gas%20Consolidated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Power%20Consolida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n%20Gas%20%20Repor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east/Local%20Settings/Temporary%20Internet%20Files/OLK588/WPR%20Trading%20Repor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east/Local%20Settings/Temporary%20Internet%20Files/OLK588/Natural%20Gas%20Consolidated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vandor/Local%20Settings/Temporary%20Internet%20Files/OLK180/WPR%20Trading%20Repor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vandor/Local%20Settings/Temporary%20Internet%20Files/OLK180/West%20Power%20Consolidation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ops%20breakout%2001-0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ax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usiness%20Analysis%20&amp;%20Reportin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Regulatory%20Affair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ompetitive%20Analysi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Researc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Human%20Resource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nada%20Sup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idated"/>
      <sheetName val="Natural Gas"/>
      <sheetName val="Ontario"/>
      <sheetName val="Finance"/>
      <sheetName val="Executive"/>
      <sheetName val="Alberta"/>
    </sheetNames>
    <sheetDataSet>
      <sheetData sheetId="0" refreshError="1"/>
      <sheetData sheetId="1">
        <row r="8">
          <cell r="C8">
            <v>1193609.22</v>
          </cell>
          <cell r="E8">
            <v>1591478.96</v>
          </cell>
        </row>
        <row r="9">
          <cell r="E9">
            <v>0</v>
          </cell>
        </row>
        <row r="11">
          <cell r="C11">
            <v>103223.21999999999</v>
          </cell>
          <cell r="E11">
            <v>137630.96</v>
          </cell>
        </row>
        <row r="12">
          <cell r="C12">
            <v>22851.149999999998</v>
          </cell>
          <cell r="E12">
            <v>30468.199999999997</v>
          </cell>
        </row>
        <row r="13">
          <cell r="C13">
            <v>104096.53</v>
          </cell>
          <cell r="E13">
            <v>138795.37333333335</v>
          </cell>
        </row>
        <row r="14">
          <cell r="C14">
            <v>173109.88</v>
          </cell>
          <cell r="E14">
            <v>230813.17333333334</v>
          </cell>
        </row>
        <row r="15">
          <cell r="C15">
            <v>3086.9599999999996</v>
          </cell>
          <cell r="E15">
            <v>4115.9466666666658</v>
          </cell>
        </row>
        <row r="16">
          <cell r="C16">
            <v>0</v>
          </cell>
          <cell r="E16">
            <v>0</v>
          </cell>
        </row>
        <row r="17">
          <cell r="C17">
            <v>488.97</v>
          </cell>
          <cell r="E17">
            <v>651.96</v>
          </cell>
        </row>
        <row r="18">
          <cell r="C18">
            <v>10705.9</v>
          </cell>
          <cell r="E18">
            <v>14274.533333333333</v>
          </cell>
        </row>
        <row r="19">
          <cell r="C19">
            <v>45596.1</v>
          </cell>
          <cell r="E19">
            <v>60794.8</v>
          </cell>
        </row>
        <row r="20">
          <cell r="C20">
            <v>0</v>
          </cell>
          <cell r="E20">
            <v>0</v>
          </cell>
        </row>
        <row r="21">
          <cell r="C21">
            <v>1635.2900000000373</v>
          </cell>
          <cell r="E21">
            <v>2180.3866666667163</v>
          </cell>
        </row>
        <row r="22">
          <cell r="C22">
            <v>59.44</v>
          </cell>
          <cell r="E22">
            <v>79.25333333333333</v>
          </cell>
        </row>
        <row r="25">
          <cell r="E25">
            <v>14</v>
          </cell>
        </row>
        <row r="27">
          <cell r="E27">
            <v>11</v>
          </cell>
        </row>
      </sheetData>
      <sheetData sheetId="2">
        <row r="8">
          <cell r="C8">
            <v>577497.65</v>
          </cell>
          <cell r="E8">
            <v>769996.8666666667</v>
          </cell>
        </row>
        <row r="9">
          <cell r="E9">
            <v>0</v>
          </cell>
        </row>
        <row r="11">
          <cell r="C11">
            <v>99488.99</v>
          </cell>
          <cell r="E11">
            <v>132651.98666666669</v>
          </cell>
        </row>
        <row r="12">
          <cell r="C12">
            <v>21575.309999999998</v>
          </cell>
          <cell r="E12">
            <v>28767.079999999994</v>
          </cell>
        </row>
        <row r="13">
          <cell r="C13">
            <v>69520.989999999991</v>
          </cell>
          <cell r="E13">
            <v>92694.653333333321</v>
          </cell>
        </row>
        <row r="14">
          <cell r="C14">
            <v>53310.62</v>
          </cell>
          <cell r="E14">
            <v>71080.826666666675</v>
          </cell>
        </row>
        <row r="15">
          <cell r="C15">
            <v>994.06</v>
          </cell>
          <cell r="E15">
            <v>1325.4133333333332</v>
          </cell>
        </row>
        <row r="16">
          <cell r="C16">
            <v>0</v>
          </cell>
          <cell r="E16">
            <v>0</v>
          </cell>
        </row>
        <row r="17">
          <cell r="C17">
            <v>319.09999999999997</v>
          </cell>
          <cell r="E17">
            <v>425.46666666666658</v>
          </cell>
        </row>
        <row r="18">
          <cell r="C18">
            <v>991.31999999999994</v>
          </cell>
          <cell r="E18">
            <v>1321.76</v>
          </cell>
        </row>
        <row r="19">
          <cell r="C19">
            <v>1887.45</v>
          </cell>
          <cell r="E19">
            <v>2516.6</v>
          </cell>
        </row>
        <row r="20">
          <cell r="C20">
            <v>0</v>
          </cell>
          <cell r="E20">
            <v>0</v>
          </cell>
        </row>
        <row r="21">
          <cell r="C21">
            <v>6275.16</v>
          </cell>
          <cell r="E21">
            <v>8366.880000000001</v>
          </cell>
        </row>
        <row r="22">
          <cell r="C22">
            <v>0</v>
          </cell>
          <cell r="E22">
            <v>0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3">
        <row r="8">
          <cell r="C8">
            <v>290260.77</v>
          </cell>
          <cell r="E8">
            <v>387014.36000000004</v>
          </cell>
        </row>
        <row r="9">
          <cell r="E9">
            <v>0</v>
          </cell>
        </row>
        <row r="11">
          <cell r="C11">
            <v>38678.51</v>
          </cell>
          <cell r="E11">
            <v>51571.346666666665</v>
          </cell>
        </row>
        <row r="12">
          <cell r="C12">
            <v>4768.0999999999995</v>
          </cell>
          <cell r="E12">
            <v>6357.4666666666653</v>
          </cell>
        </row>
        <row r="13">
          <cell r="C13">
            <v>39685.300000000003</v>
          </cell>
          <cell r="E13">
            <v>52913.733333333337</v>
          </cell>
        </row>
        <row r="14">
          <cell r="C14">
            <v>46875.47</v>
          </cell>
          <cell r="E14">
            <v>62500.626666666663</v>
          </cell>
        </row>
        <row r="15">
          <cell r="C15">
            <v>746.0799999999997</v>
          </cell>
          <cell r="E15">
            <v>994.77333333333297</v>
          </cell>
        </row>
        <row r="16">
          <cell r="C16">
            <v>0</v>
          </cell>
          <cell r="E16">
            <v>0</v>
          </cell>
        </row>
        <row r="17">
          <cell r="C17">
            <v>767.34</v>
          </cell>
          <cell r="E17">
            <v>1023.1200000000001</v>
          </cell>
        </row>
        <row r="18">
          <cell r="C18">
            <v>3684.3199999999997</v>
          </cell>
          <cell r="E18">
            <v>4912.4266666666663</v>
          </cell>
        </row>
        <row r="19">
          <cell r="C19">
            <v>288.83</v>
          </cell>
          <cell r="E19">
            <v>385.10666666666663</v>
          </cell>
        </row>
        <row r="20">
          <cell r="C20">
            <v>0</v>
          </cell>
          <cell r="E20">
            <v>0</v>
          </cell>
        </row>
        <row r="21">
          <cell r="C21">
            <v>2802.8100000000013</v>
          </cell>
          <cell r="E21">
            <v>3737.0800000000017</v>
          </cell>
        </row>
        <row r="22">
          <cell r="C22">
            <v>6047.2600000000093</v>
          </cell>
          <cell r="E22">
            <v>8063.0133333333461</v>
          </cell>
        </row>
        <row r="25">
          <cell r="E25">
            <v>2</v>
          </cell>
        </row>
        <row r="27">
          <cell r="E27">
            <v>3</v>
          </cell>
        </row>
      </sheetData>
      <sheetData sheetId="4">
        <row r="8">
          <cell r="C8">
            <v>201176.03999999998</v>
          </cell>
          <cell r="E8">
            <v>268234.71999999997</v>
          </cell>
        </row>
        <row r="9">
          <cell r="E9">
            <v>0</v>
          </cell>
        </row>
        <row r="10">
          <cell r="C10">
            <v>0</v>
          </cell>
          <cell r="E10">
            <v>0</v>
          </cell>
        </row>
        <row r="12">
          <cell r="C12">
            <v>3745.83</v>
          </cell>
          <cell r="E12">
            <v>4994.4399999999996</v>
          </cell>
        </row>
        <row r="13">
          <cell r="C13">
            <v>12817.840000000002</v>
          </cell>
          <cell r="E13">
            <v>17090.453333333335</v>
          </cell>
        </row>
        <row r="14">
          <cell r="C14">
            <v>8483.6</v>
          </cell>
          <cell r="E14">
            <v>11311.466666666667</v>
          </cell>
        </row>
        <row r="15">
          <cell r="C15">
            <v>795.65</v>
          </cell>
          <cell r="E15">
            <v>1060.8666666666666</v>
          </cell>
        </row>
        <row r="16">
          <cell r="C16">
            <v>0</v>
          </cell>
          <cell r="E16">
            <v>0</v>
          </cell>
        </row>
        <row r="17">
          <cell r="C17">
            <v>308.20999999999998</v>
          </cell>
          <cell r="E17">
            <v>410.94666666666666</v>
          </cell>
        </row>
        <row r="18">
          <cell r="C18">
            <v>501.29</v>
          </cell>
          <cell r="E18">
            <v>668.38666666666666</v>
          </cell>
        </row>
        <row r="19">
          <cell r="C19">
            <v>0</v>
          </cell>
          <cell r="E19">
            <v>0</v>
          </cell>
        </row>
        <row r="20">
          <cell r="C20">
            <v>0</v>
          </cell>
          <cell r="E20">
            <v>0</v>
          </cell>
        </row>
        <row r="21">
          <cell r="C21">
            <v>4553.0099999999984</v>
          </cell>
          <cell r="E21">
            <v>6070.6799999999976</v>
          </cell>
        </row>
        <row r="22">
          <cell r="C22">
            <v>0</v>
          </cell>
          <cell r="E22">
            <v>0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5">
        <row r="8">
          <cell r="C8">
            <v>593378.34999999986</v>
          </cell>
          <cell r="E8">
            <v>791171.13333333307</v>
          </cell>
        </row>
        <row r="9">
          <cell r="C9">
            <v>0</v>
          </cell>
          <cell r="E9">
            <v>0</v>
          </cell>
        </row>
        <row r="11">
          <cell r="C11">
            <v>71291.649999999994</v>
          </cell>
          <cell r="E11">
            <v>95055.533333333326</v>
          </cell>
        </row>
        <row r="12">
          <cell r="C12">
            <v>14379.74</v>
          </cell>
          <cell r="E12">
            <v>19172.986666666664</v>
          </cell>
        </row>
        <row r="13">
          <cell r="C13">
            <v>71751.179999999993</v>
          </cell>
          <cell r="E13">
            <v>95668.239999999991</v>
          </cell>
        </row>
        <row r="14">
          <cell r="C14">
            <v>223960.41000000003</v>
          </cell>
          <cell r="E14">
            <v>298613.88000000006</v>
          </cell>
        </row>
        <row r="15">
          <cell r="C15">
            <v>804.67000000000007</v>
          </cell>
          <cell r="E15">
            <v>1072.8933333333334</v>
          </cell>
        </row>
        <row r="16">
          <cell r="C16">
            <v>0</v>
          </cell>
          <cell r="E16">
            <v>0</v>
          </cell>
        </row>
        <row r="17">
          <cell r="C17">
            <v>0</v>
          </cell>
          <cell r="E17">
            <v>0</v>
          </cell>
        </row>
        <row r="18">
          <cell r="C18">
            <v>3325.59</v>
          </cell>
          <cell r="E18">
            <v>4434.12</v>
          </cell>
        </row>
        <row r="19">
          <cell r="C19">
            <v>4572.46</v>
          </cell>
          <cell r="E19">
            <v>6096.6133333333337</v>
          </cell>
        </row>
        <row r="20">
          <cell r="C20">
            <v>0</v>
          </cell>
          <cell r="E20">
            <v>0</v>
          </cell>
        </row>
        <row r="21">
          <cell r="C21">
            <v>4502.9000000000087</v>
          </cell>
          <cell r="E21">
            <v>6003.8666666666786</v>
          </cell>
        </row>
        <row r="22">
          <cell r="C22">
            <v>0</v>
          </cell>
          <cell r="E22">
            <v>0</v>
          </cell>
        </row>
        <row r="25">
          <cell r="E25">
            <v>8</v>
          </cell>
        </row>
        <row r="27">
          <cell r="E27">
            <v>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17469588.960000001</v>
          </cell>
        </row>
        <row r="26">
          <cell r="BA26">
            <v>1272399.6399999999</v>
          </cell>
        </row>
        <row r="27">
          <cell r="BA27">
            <v>141777.57</v>
          </cell>
        </row>
        <row r="28">
          <cell r="BA28">
            <v>100051.51000000001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13823042.719999999</v>
          </cell>
        </row>
        <row r="33">
          <cell r="BA33">
            <v>7559.4299999999994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91694.450000000012</v>
          </cell>
        </row>
        <row r="37">
          <cell r="BA37">
            <v>-7331217.4600000009</v>
          </cell>
        </row>
        <row r="38">
          <cell r="BA38">
            <v>0</v>
          </cell>
        </row>
        <row r="39">
          <cell r="BA39">
            <v>-7489842.25</v>
          </cell>
        </row>
        <row r="40">
          <cell r="BA40">
            <v>2999489.79</v>
          </cell>
        </row>
        <row r="41">
          <cell r="BA41">
            <v>205055.58999999997</v>
          </cell>
        </row>
        <row r="42">
          <cell r="BA42">
            <v>24774212.690000001</v>
          </cell>
        </row>
        <row r="43">
          <cell r="BA43">
            <v>42687168.700000003</v>
          </cell>
        </row>
        <row r="44">
          <cell r="BA44">
            <v>16.600000000000001</v>
          </cell>
        </row>
        <row r="45">
          <cell r="BA45">
            <v>8186094.0700000003</v>
          </cell>
        </row>
      </sheetData>
      <sheetData sheetId="2" refreshError="1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Office of the Chair</v>
          </cell>
        </row>
      </sheetData>
      <sheetData sheetId="1">
        <row r="1">
          <cell r="B1" t="str">
            <v>Enron North America</v>
          </cell>
        </row>
        <row r="25">
          <cell r="BA25">
            <v>888807.72</v>
          </cell>
        </row>
        <row r="26">
          <cell r="BA26">
            <v>249788.37</v>
          </cell>
        </row>
        <row r="27">
          <cell r="BA27">
            <v>180082.12999999998</v>
          </cell>
        </row>
        <row r="28">
          <cell r="BA28">
            <v>201416.5</v>
          </cell>
        </row>
        <row r="29">
          <cell r="BA29">
            <v>143473.75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10998.160000000003</v>
          </cell>
        </row>
        <row r="34">
          <cell r="BA34">
            <v>0</v>
          </cell>
        </row>
        <row r="35">
          <cell r="BA35">
            <v>25000</v>
          </cell>
        </row>
        <row r="36">
          <cell r="BA36">
            <v>2602.3200000000002</v>
          </cell>
        </row>
        <row r="37">
          <cell r="BA37">
            <v>40643.17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47150.06</v>
          </cell>
        </row>
        <row r="41">
          <cell r="BA41">
            <v>150417.00999999998</v>
          </cell>
        </row>
        <row r="42">
          <cell r="BA42">
            <v>243106036.81999999</v>
          </cell>
        </row>
        <row r="43">
          <cell r="BA43">
            <v>7417.54</v>
          </cell>
        </row>
        <row r="44">
          <cell r="BA44">
            <v>78.789999999999992</v>
          </cell>
        </row>
        <row r="45">
          <cell r="BA45">
            <v>11194108.379999999</v>
          </cell>
        </row>
      </sheetData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st Power Consolidated"/>
      <sheetName val="Fund-Struct"/>
      <sheetName val="Ercot Trading"/>
      <sheetName val="Ercot Origination"/>
      <sheetName val="Southeast Trading"/>
      <sheetName val="Southeast Origination"/>
      <sheetName val="Midwest Trading"/>
      <sheetName val="Midwest Origination"/>
      <sheetName val="Northeast Trading"/>
      <sheetName val="Northeast Origination"/>
      <sheetName val="Management Book"/>
      <sheetName val="Structuring_Fund"/>
      <sheetName val="Services"/>
      <sheetName val="Options"/>
    </sheetNames>
    <sheetDataSet>
      <sheetData sheetId="0"/>
      <sheetData sheetId="1"/>
      <sheetData sheetId="2">
        <row r="8">
          <cell r="C8">
            <v>435566.2300000001</v>
          </cell>
        </row>
        <row r="9">
          <cell r="C9">
            <v>57500</v>
          </cell>
        </row>
        <row r="10">
          <cell r="C10">
            <v>136200</v>
          </cell>
        </row>
        <row r="11">
          <cell r="C11">
            <v>96245.64</v>
          </cell>
        </row>
        <row r="12">
          <cell r="C12">
            <v>35923.870000000003</v>
          </cell>
        </row>
        <row r="13">
          <cell r="C13">
            <v>15703.859999999999</v>
          </cell>
        </row>
        <row r="14">
          <cell r="C14">
            <v>0</v>
          </cell>
        </row>
        <row r="15">
          <cell r="C15">
            <v>6868.09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63424.47</v>
          </cell>
          <cell r="K19">
            <v>0</v>
          </cell>
        </row>
        <row r="20">
          <cell r="C20">
            <v>0</v>
          </cell>
        </row>
        <row r="21">
          <cell r="C21">
            <v>197.29000000000815</v>
          </cell>
        </row>
        <row r="22">
          <cell r="C22">
            <v>81.42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3">
        <row r="8">
          <cell r="C8">
            <v>264134.33999999997</v>
          </cell>
        </row>
        <row r="9">
          <cell r="C9">
            <v>115000</v>
          </cell>
        </row>
        <row r="10">
          <cell r="C10">
            <v>87371</v>
          </cell>
        </row>
        <row r="11">
          <cell r="C11">
            <v>94561.45</v>
          </cell>
        </row>
        <row r="12">
          <cell r="C12">
            <v>17122.72</v>
          </cell>
        </row>
        <row r="13">
          <cell r="C13">
            <v>66686.51999999999</v>
          </cell>
        </row>
        <row r="14">
          <cell r="C14">
            <v>2489.4699999999998</v>
          </cell>
        </row>
        <row r="15">
          <cell r="C15">
            <v>2719</v>
          </cell>
        </row>
        <row r="16">
          <cell r="C16">
            <v>0</v>
          </cell>
          <cell r="K16">
            <v>0</v>
          </cell>
        </row>
        <row r="17">
          <cell r="C17">
            <v>300</v>
          </cell>
          <cell r="K17">
            <v>0</v>
          </cell>
        </row>
        <row r="18">
          <cell r="C18">
            <v>129.24</v>
          </cell>
          <cell r="K18">
            <v>0</v>
          </cell>
        </row>
        <row r="19">
          <cell r="C19">
            <v>1267.8</v>
          </cell>
          <cell r="K19">
            <v>0</v>
          </cell>
        </row>
        <row r="20">
          <cell r="C20">
            <v>0</v>
          </cell>
        </row>
        <row r="21">
          <cell r="C21">
            <v>1704.4800000000032</v>
          </cell>
        </row>
        <row r="22">
          <cell r="C22">
            <v>54</v>
          </cell>
        </row>
        <row r="25">
          <cell r="E25">
            <v>3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4">
        <row r="8">
          <cell r="C8">
            <v>713168.45000000007</v>
          </cell>
        </row>
        <row r="9">
          <cell r="C9">
            <v>130000</v>
          </cell>
        </row>
        <row r="10">
          <cell r="C10">
            <v>167015</v>
          </cell>
        </row>
        <row r="11">
          <cell r="C11">
            <v>157936.78</v>
          </cell>
        </row>
        <row r="12">
          <cell r="C12">
            <v>44114.159999999989</v>
          </cell>
        </row>
        <row r="13">
          <cell r="C13">
            <v>43025.299999999996</v>
          </cell>
        </row>
        <row r="14">
          <cell r="C14">
            <v>28750</v>
          </cell>
        </row>
        <row r="15">
          <cell r="C15">
            <v>433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14417.72</v>
          </cell>
          <cell r="K19">
            <v>0</v>
          </cell>
        </row>
        <row r="20">
          <cell r="C20">
            <v>0</v>
          </cell>
        </row>
        <row r="21">
          <cell r="C21">
            <v>30.899999999994179</v>
          </cell>
        </row>
        <row r="22">
          <cell r="C22">
            <v>123.97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4</v>
          </cell>
          <cell r="K27">
            <v>0</v>
          </cell>
        </row>
      </sheetData>
      <sheetData sheetId="5">
        <row r="8">
          <cell r="C8">
            <v>501061.72000000009</v>
          </cell>
        </row>
        <row r="9">
          <cell r="C9">
            <v>7500</v>
          </cell>
        </row>
        <row r="10">
          <cell r="C10">
            <v>345600</v>
          </cell>
        </row>
        <row r="11">
          <cell r="C11">
            <v>112865</v>
          </cell>
        </row>
        <row r="12">
          <cell r="C12">
            <v>43971.199999999997</v>
          </cell>
        </row>
        <row r="13">
          <cell r="C13">
            <v>272272.65000000002</v>
          </cell>
        </row>
        <row r="14">
          <cell r="C14">
            <v>25184.139999999956</v>
          </cell>
        </row>
        <row r="15">
          <cell r="C15">
            <v>6445.68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54297.13</v>
          </cell>
          <cell r="K19">
            <v>0</v>
          </cell>
        </row>
        <row r="20">
          <cell r="C20">
            <v>0</v>
          </cell>
        </row>
        <row r="21">
          <cell r="C21">
            <v>10598.029999999999</v>
          </cell>
        </row>
        <row r="22">
          <cell r="C22">
            <v>81.47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6">
        <row r="8">
          <cell r="C8">
            <v>742310.07000000007</v>
          </cell>
        </row>
        <row r="9">
          <cell r="C9">
            <v>100000</v>
          </cell>
        </row>
        <row r="10">
          <cell r="C10">
            <v>221148</v>
          </cell>
        </row>
        <row r="11">
          <cell r="C11">
            <v>169144.2</v>
          </cell>
        </row>
        <row r="12">
          <cell r="C12">
            <v>16314.75</v>
          </cell>
        </row>
        <row r="13">
          <cell r="C13">
            <v>35684.489999999991</v>
          </cell>
        </row>
        <row r="14">
          <cell r="C14">
            <v>12093.23</v>
          </cell>
        </row>
        <row r="15">
          <cell r="C15">
            <v>578.04999999999995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5658.16</v>
          </cell>
          <cell r="K19">
            <v>0</v>
          </cell>
        </row>
        <row r="20">
          <cell r="C20">
            <v>0</v>
          </cell>
        </row>
        <row r="21">
          <cell r="C21">
            <v>2821.6199999999953</v>
          </cell>
        </row>
        <row r="22">
          <cell r="C22">
            <v>144.88000000000002</v>
          </cell>
        </row>
        <row r="25">
          <cell r="E25">
            <v>10</v>
          </cell>
          <cell r="K25">
            <v>0</v>
          </cell>
        </row>
        <row r="26">
          <cell r="K26">
            <v>0</v>
          </cell>
        </row>
        <row r="27">
          <cell r="E27">
            <v>2</v>
          </cell>
          <cell r="K27">
            <v>0</v>
          </cell>
        </row>
      </sheetData>
      <sheetData sheetId="7">
        <row r="8">
          <cell r="C8">
            <v>677169.81</v>
          </cell>
        </row>
        <row r="9">
          <cell r="C9">
            <v>250000</v>
          </cell>
        </row>
        <row r="10">
          <cell r="C10">
            <v>188354</v>
          </cell>
        </row>
        <row r="11">
          <cell r="C11">
            <v>120189.63999999998</v>
          </cell>
        </row>
        <row r="12">
          <cell r="C12">
            <v>29402.569999999992</v>
          </cell>
        </row>
        <row r="13">
          <cell r="C13">
            <v>92160.449999999983</v>
          </cell>
        </row>
        <row r="14">
          <cell r="C14">
            <v>242.05</v>
          </cell>
        </row>
        <row r="15">
          <cell r="C15">
            <v>9557.0800000000017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158.21</v>
          </cell>
          <cell r="K18">
            <v>0</v>
          </cell>
        </row>
        <row r="19">
          <cell r="C19">
            <v>9885.14</v>
          </cell>
          <cell r="K19">
            <v>0</v>
          </cell>
        </row>
        <row r="20">
          <cell r="C20">
            <v>20.9</v>
          </cell>
        </row>
        <row r="21">
          <cell r="C21">
            <v>18010.459999999992</v>
          </cell>
        </row>
        <row r="22">
          <cell r="C22">
            <v>106.7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3</v>
          </cell>
          <cell r="K27">
            <v>0</v>
          </cell>
        </row>
      </sheetData>
      <sheetData sheetId="8">
        <row r="8">
          <cell r="C8">
            <v>903642.27</v>
          </cell>
        </row>
        <row r="9">
          <cell r="C9">
            <v>390000</v>
          </cell>
        </row>
        <row r="10">
          <cell r="C10">
            <v>232380</v>
          </cell>
        </row>
        <row r="11">
          <cell r="C11">
            <v>220674.42</v>
          </cell>
        </row>
        <row r="12">
          <cell r="C12">
            <v>25845.53</v>
          </cell>
        </row>
        <row r="13">
          <cell r="C13">
            <v>13971.93</v>
          </cell>
        </row>
        <row r="14">
          <cell r="C14">
            <v>0</v>
          </cell>
        </row>
        <row r="15">
          <cell r="C15">
            <v>333.47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14862.380000000001</v>
          </cell>
          <cell r="K19">
            <v>0</v>
          </cell>
        </row>
        <row r="20">
          <cell r="C20">
            <v>0</v>
          </cell>
        </row>
        <row r="21">
          <cell r="C21">
            <v>8467.4700000000012</v>
          </cell>
        </row>
        <row r="22">
          <cell r="C22">
            <v>168.95999999999998</v>
          </cell>
        </row>
        <row r="25">
          <cell r="E25">
            <v>12</v>
          </cell>
          <cell r="K25">
            <v>0</v>
          </cell>
        </row>
        <row r="26">
          <cell r="K26">
            <v>0</v>
          </cell>
        </row>
        <row r="27">
          <cell r="E27">
            <v>8</v>
          </cell>
          <cell r="K27">
            <v>0</v>
          </cell>
        </row>
      </sheetData>
      <sheetData sheetId="9">
        <row r="8">
          <cell r="C8">
            <v>663063.48999999987</v>
          </cell>
        </row>
        <row r="9">
          <cell r="C9">
            <v>50000</v>
          </cell>
        </row>
        <row r="10">
          <cell r="C10">
            <v>283250</v>
          </cell>
        </row>
        <row r="11">
          <cell r="C11">
            <v>136045.92000000001</v>
          </cell>
        </row>
        <row r="12">
          <cell r="C12">
            <v>39620.5</v>
          </cell>
        </row>
        <row r="13">
          <cell r="C13">
            <v>200036.58999999997</v>
          </cell>
        </row>
        <row r="14">
          <cell r="C14">
            <v>20336.080000000002</v>
          </cell>
        </row>
        <row r="15">
          <cell r="C15">
            <v>2960.7799999999997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1975.2800000000002</v>
          </cell>
          <cell r="K19">
            <v>0</v>
          </cell>
        </row>
        <row r="20">
          <cell r="C20">
            <v>17.420000000000002</v>
          </cell>
        </row>
        <row r="21">
          <cell r="C21">
            <v>13949.079999999987</v>
          </cell>
        </row>
        <row r="22">
          <cell r="C22">
            <v>105.32000000000001</v>
          </cell>
        </row>
        <row r="25">
          <cell r="E25">
            <v>9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10">
        <row r="8">
          <cell r="C8">
            <v>345705.82000000007</v>
          </cell>
        </row>
        <row r="9">
          <cell r="C9">
            <v>150000</v>
          </cell>
        </row>
        <row r="10">
          <cell r="C10">
            <v>146692</v>
          </cell>
        </row>
        <row r="11">
          <cell r="C11">
            <v>109518.69000000003</v>
          </cell>
        </row>
        <row r="12">
          <cell r="C12">
            <v>145400.09999999998</v>
          </cell>
        </row>
        <row r="13">
          <cell r="C13">
            <v>165802.99000000005</v>
          </cell>
        </row>
        <row r="14">
          <cell r="C14">
            <v>296513.40000000014</v>
          </cell>
        </row>
        <row r="15">
          <cell r="C15">
            <v>50390.180000000008</v>
          </cell>
        </row>
        <row r="16">
          <cell r="C16">
            <v>0</v>
          </cell>
          <cell r="K16">
            <v>0</v>
          </cell>
        </row>
        <row r="17">
          <cell r="C17">
            <v>5000</v>
          </cell>
          <cell r="K17">
            <v>0</v>
          </cell>
        </row>
        <row r="18">
          <cell r="C18">
            <v>-0.16000000000349246</v>
          </cell>
          <cell r="K18">
            <v>0</v>
          </cell>
        </row>
        <row r="19">
          <cell r="C19">
            <v>139857</v>
          </cell>
          <cell r="K19">
            <v>0</v>
          </cell>
        </row>
        <row r="20">
          <cell r="C20">
            <v>-0.14999999999999858</v>
          </cell>
        </row>
        <row r="21">
          <cell r="C21">
            <v>379439.20999999996</v>
          </cell>
        </row>
        <row r="22">
          <cell r="C22">
            <v>151.43</v>
          </cell>
        </row>
        <row r="25">
          <cell r="E25">
            <v>5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1">
        <row r="8">
          <cell r="C8">
            <v>987140.56</v>
          </cell>
        </row>
        <row r="9">
          <cell r="C9">
            <v>95000</v>
          </cell>
        </row>
        <row r="10">
          <cell r="C10">
            <v>777100</v>
          </cell>
        </row>
        <row r="11">
          <cell r="C11">
            <v>233487.59000000003</v>
          </cell>
        </row>
        <row r="12">
          <cell r="C12">
            <v>140603.93</v>
          </cell>
        </row>
        <row r="13">
          <cell r="C13">
            <v>78714.61</v>
          </cell>
        </row>
        <row r="14">
          <cell r="C14">
            <v>138341.62</v>
          </cell>
        </row>
        <row r="15">
          <cell r="C15">
            <v>12308.900000000001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180017.87000000005</v>
          </cell>
          <cell r="K19">
            <v>0</v>
          </cell>
        </row>
        <row r="20">
          <cell r="C20">
            <v>40.01</v>
          </cell>
        </row>
        <row r="21">
          <cell r="C21">
            <v>196871.17000000004</v>
          </cell>
        </row>
        <row r="22">
          <cell r="C22">
            <v>172.09</v>
          </cell>
        </row>
        <row r="25">
          <cell r="E25">
            <v>15</v>
          </cell>
          <cell r="K25">
            <v>0</v>
          </cell>
        </row>
        <row r="26">
          <cell r="K26">
            <v>0</v>
          </cell>
        </row>
        <row r="27">
          <cell r="E27">
            <v>14</v>
          </cell>
          <cell r="K27">
            <v>0</v>
          </cell>
        </row>
      </sheetData>
      <sheetData sheetId="12">
        <row r="8">
          <cell r="C8">
            <v>197185.15000000002</v>
          </cell>
        </row>
        <row r="9">
          <cell r="C9">
            <v>0</v>
          </cell>
        </row>
        <row r="10">
          <cell r="C10">
            <v>7800</v>
          </cell>
        </row>
        <row r="11">
          <cell r="C11">
            <v>40348.020000000004</v>
          </cell>
        </row>
        <row r="12">
          <cell r="C12">
            <v>11786.189999999999</v>
          </cell>
        </row>
        <row r="13">
          <cell r="C13">
            <v>13423</v>
          </cell>
        </row>
        <row r="14">
          <cell r="C14">
            <v>117.39</v>
          </cell>
        </row>
        <row r="15">
          <cell r="C15">
            <v>0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1247.28</v>
          </cell>
          <cell r="K19">
            <v>0</v>
          </cell>
        </row>
        <row r="20">
          <cell r="C20">
            <v>0</v>
          </cell>
        </row>
        <row r="21">
          <cell r="C21">
            <v>36</v>
          </cell>
        </row>
        <row r="22">
          <cell r="C22">
            <v>0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3">
        <row r="8">
          <cell r="C8">
            <v>210626.89</v>
          </cell>
        </row>
        <row r="9">
          <cell r="C9">
            <v>115000</v>
          </cell>
        </row>
        <row r="10">
          <cell r="C10">
            <v>59600</v>
          </cell>
        </row>
        <row r="11">
          <cell r="C11">
            <v>45326.109999999993</v>
          </cell>
        </row>
        <row r="12">
          <cell r="C12">
            <v>6351.6799999999994</v>
          </cell>
        </row>
        <row r="13">
          <cell r="C13">
            <v>16883.02</v>
          </cell>
        </row>
        <row r="14">
          <cell r="C14">
            <v>0</v>
          </cell>
        </row>
        <row r="15">
          <cell r="C15">
            <v>632.9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238.97</v>
          </cell>
          <cell r="K19">
            <v>0</v>
          </cell>
        </row>
        <row r="20">
          <cell r="C20">
            <v>0</v>
          </cell>
        </row>
        <row r="21">
          <cell r="C21">
            <v>1282.7900000000009</v>
          </cell>
        </row>
        <row r="22">
          <cell r="C22">
            <v>0</v>
          </cell>
        </row>
        <row r="25">
          <cell r="E25">
            <v>4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idated West Power"/>
      <sheetName val="Fund-Struct"/>
      <sheetName val="Executive Orig"/>
      <sheetName val="Origination"/>
      <sheetName val="Trading"/>
      <sheetName val="Mid Market"/>
      <sheetName val="Services"/>
      <sheetName val="Fundamentals"/>
    </sheetNames>
    <sheetDataSet>
      <sheetData sheetId="0"/>
      <sheetData sheetId="1"/>
      <sheetData sheetId="2">
        <row r="8">
          <cell r="C8">
            <v>239634.01</v>
          </cell>
        </row>
        <row r="9">
          <cell r="C9">
            <v>40000</v>
          </cell>
        </row>
        <row r="10">
          <cell r="C10">
            <v>16800</v>
          </cell>
        </row>
        <row r="11">
          <cell r="C11">
            <v>39290.629999999997</v>
          </cell>
        </row>
        <row r="12">
          <cell r="C12">
            <v>17889.27</v>
          </cell>
        </row>
        <row r="13">
          <cell r="C13">
            <v>43129.5</v>
          </cell>
        </row>
        <row r="14">
          <cell r="C14">
            <v>45237.920000000006</v>
          </cell>
        </row>
        <row r="15">
          <cell r="C15">
            <v>4511.29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3818.79</v>
          </cell>
        </row>
        <row r="19">
          <cell r="C19">
            <v>18427.650000000001</v>
          </cell>
        </row>
        <row r="20">
          <cell r="C20">
            <v>0</v>
          </cell>
        </row>
        <row r="21">
          <cell r="C21">
            <v>23306.050000000003</v>
          </cell>
        </row>
        <row r="22">
          <cell r="C22">
            <v>1425.29</v>
          </cell>
        </row>
        <row r="25">
          <cell r="E25">
            <v>4</v>
          </cell>
        </row>
        <row r="27">
          <cell r="E27">
            <v>2</v>
          </cell>
        </row>
      </sheetData>
      <sheetData sheetId="3">
        <row r="8">
          <cell r="C8">
            <v>1414950.6999999997</v>
          </cell>
        </row>
        <row r="9">
          <cell r="C9">
            <v>150000</v>
          </cell>
        </row>
        <row r="10">
          <cell r="C10">
            <v>214200</v>
          </cell>
        </row>
        <row r="11">
          <cell r="C11">
            <v>299162.15999999997</v>
          </cell>
        </row>
        <row r="12">
          <cell r="C12">
            <v>96496.17</v>
          </cell>
        </row>
        <row r="13">
          <cell r="C13">
            <v>381261.27</v>
          </cell>
        </row>
        <row r="14">
          <cell r="C14">
            <v>358852.8899999999</v>
          </cell>
        </row>
        <row r="15">
          <cell r="C15">
            <v>11981.99</v>
          </cell>
        </row>
        <row r="16">
          <cell r="C16">
            <v>0</v>
          </cell>
        </row>
        <row r="17">
          <cell r="C17">
            <v>7050</v>
          </cell>
        </row>
        <row r="18">
          <cell r="C18">
            <v>141212.29999999999</v>
          </cell>
        </row>
        <row r="19">
          <cell r="C19">
            <v>11584.289999999999</v>
          </cell>
        </row>
        <row r="20">
          <cell r="C20">
            <v>116.15</v>
          </cell>
        </row>
        <row r="21">
          <cell r="C21">
            <v>55889.010000000009</v>
          </cell>
        </row>
        <row r="22">
          <cell r="C22">
            <v>11413.48</v>
          </cell>
        </row>
        <row r="25">
          <cell r="E25">
            <v>14</v>
          </cell>
        </row>
        <row r="27">
          <cell r="E27">
            <v>2</v>
          </cell>
        </row>
      </sheetData>
      <sheetData sheetId="4">
        <row r="8">
          <cell r="C8">
            <v>2252130.4999999995</v>
          </cell>
        </row>
        <row r="9">
          <cell r="C9">
            <v>1135500</v>
          </cell>
        </row>
        <row r="10">
          <cell r="C10">
            <v>557967</v>
          </cell>
        </row>
        <row r="11">
          <cell r="C11">
            <v>551903.41</v>
          </cell>
        </row>
        <row r="12">
          <cell r="C12">
            <v>503728.11</v>
          </cell>
        </row>
        <row r="13">
          <cell r="C13">
            <v>198594.99000000005</v>
          </cell>
        </row>
        <row r="14">
          <cell r="C14">
            <v>182158.55</v>
          </cell>
        </row>
        <row r="15">
          <cell r="C15">
            <v>95696.91</v>
          </cell>
        </row>
        <row r="16">
          <cell r="C16">
            <v>0</v>
          </cell>
        </row>
        <row r="17">
          <cell r="C17">
            <v>1750</v>
          </cell>
        </row>
        <row r="18">
          <cell r="C18">
            <v>176422.81000000003</v>
          </cell>
        </row>
        <row r="19">
          <cell r="C19">
            <v>105076.45999999999</v>
          </cell>
        </row>
        <row r="20">
          <cell r="C20">
            <v>0</v>
          </cell>
        </row>
        <row r="21">
          <cell r="C21">
            <v>443149.94000000018</v>
          </cell>
        </row>
        <row r="22">
          <cell r="C22">
            <v>45029.469999999958</v>
          </cell>
        </row>
        <row r="25">
          <cell r="E25">
            <v>44</v>
          </cell>
        </row>
        <row r="27">
          <cell r="E27">
            <v>10</v>
          </cell>
        </row>
      </sheetData>
      <sheetData sheetId="5">
        <row r="8">
          <cell r="C8">
            <v>441152.37</v>
          </cell>
        </row>
        <row r="9">
          <cell r="C9">
            <v>5000</v>
          </cell>
        </row>
        <row r="10">
          <cell r="C10">
            <v>0</v>
          </cell>
        </row>
        <row r="11">
          <cell r="C11">
            <v>95688.11</v>
          </cell>
        </row>
        <row r="12">
          <cell r="C12">
            <v>21174.129999999997</v>
          </cell>
        </row>
        <row r="13">
          <cell r="C13">
            <v>72009.7</v>
          </cell>
        </row>
        <row r="14">
          <cell r="C14">
            <v>40914.379999999997</v>
          </cell>
        </row>
        <row r="15">
          <cell r="C15">
            <v>12922.06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2288.4500000000003</v>
          </cell>
        </row>
        <row r="19">
          <cell r="C19">
            <v>5065</v>
          </cell>
        </row>
        <row r="20">
          <cell r="C20">
            <v>0</v>
          </cell>
        </row>
        <row r="21">
          <cell r="C21">
            <v>3737.8800000000006</v>
          </cell>
        </row>
        <row r="22">
          <cell r="C22">
            <v>8112.83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6">
        <row r="8">
          <cell r="C8">
            <v>166916.68999999997</v>
          </cell>
        </row>
        <row r="9">
          <cell r="C9">
            <v>16000</v>
          </cell>
        </row>
        <row r="10">
          <cell r="C10">
            <v>0</v>
          </cell>
        </row>
        <row r="11">
          <cell r="C11">
            <v>43743.03</v>
          </cell>
        </row>
        <row r="12">
          <cell r="C12">
            <v>2719.32</v>
          </cell>
        </row>
        <row r="13">
          <cell r="C13">
            <v>9726.85</v>
          </cell>
        </row>
        <row r="14">
          <cell r="C14">
            <v>27236.059999999998</v>
          </cell>
        </row>
        <row r="15">
          <cell r="C15">
            <v>673.12000000000012</v>
          </cell>
        </row>
        <row r="16">
          <cell r="C16">
            <v>0</v>
          </cell>
        </row>
        <row r="17">
          <cell r="C17">
            <v>2500</v>
          </cell>
        </row>
        <row r="18">
          <cell r="C18">
            <v>938.06</v>
          </cell>
        </row>
        <row r="19">
          <cell r="C19">
            <v>350</v>
          </cell>
        </row>
        <row r="20">
          <cell r="C20">
            <v>0</v>
          </cell>
        </row>
        <row r="21">
          <cell r="C21">
            <v>492.88</v>
          </cell>
        </row>
        <row r="22">
          <cell r="C22">
            <v>5418.9499999999989</v>
          </cell>
        </row>
        <row r="25">
          <cell r="E25">
            <v>2</v>
          </cell>
        </row>
        <row r="27">
          <cell r="E27">
            <v>0</v>
          </cell>
        </row>
      </sheetData>
      <sheetData sheetId="7">
        <row r="8">
          <cell r="C8">
            <v>275174.72000000003</v>
          </cell>
        </row>
        <row r="9">
          <cell r="C9">
            <v>117500</v>
          </cell>
        </row>
        <row r="10">
          <cell r="C10">
            <v>15600</v>
          </cell>
        </row>
        <row r="11">
          <cell r="C11">
            <v>66280.87</v>
          </cell>
        </row>
        <row r="12">
          <cell r="C12">
            <v>16110.68</v>
          </cell>
        </row>
        <row r="13">
          <cell r="C13">
            <v>15051.49</v>
          </cell>
        </row>
        <row r="14">
          <cell r="C14">
            <v>22922.440000000002</v>
          </cell>
        </row>
        <row r="15">
          <cell r="C15">
            <v>3104.77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2767.33</v>
          </cell>
        </row>
        <row r="19">
          <cell r="C19">
            <v>15341.970000000001</v>
          </cell>
        </row>
        <row r="20">
          <cell r="C20">
            <v>0</v>
          </cell>
        </row>
        <row r="21">
          <cell r="C21">
            <v>40294.17</v>
          </cell>
        </row>
        <row r="22">
          <cell r="C22">
            <v>4309.63</v>
          </cell>
        </row>
        <row r="25">
          <cell r="E25">
            <v>5</v>
          </cell>
        </row>
        <row r="27">
          <cell r="E2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 refreshError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idated West Power"/>
      <sheetName val="Fund-Struct"/>
      <sheetName val="Executive Orig"/>
      <sheetName val="Origination"/>
      <sheetName val="Trading"/>
      <sheetName val="Mid Market"/>
      <sheetName val="Services"/>
      <sheetName val="Fundamentals"/>
    </sheetNames>
    <sheetDataSet>
      <sheetData sheetId="0" refreshError="1"/>
      <sheetData sheetId="1" refreshError="1"/>
      <sheetData sheetId="2">
        <row r="8">
          <cell r="C8">
            <v>239634.01</v>
          </cell>
        </row>
        <row r="9">
          <cell r="C9">
            <v>40000</v>
          </cell>
        </row>
        <row r="10">
          <cell r="C10">
            <v>16800</v>
          </cell>
        </row>
        <row r="11">
          <cell r="C11">
            <v>39290.629999999997</v>
          </cell>
        </row>
        <row r="12">
          <cell r="C12">
            <v>17889.27</v>
          </cell>
        </row>
        <row r="13">
          <cell r="C13">
            <v>43129.5</v>
          </cell>
        </row>
        <row r="14">
          <cell r="C14">
            <v>45237.920000000006</v>
          </cell>
        </row>
        <row r="15">
          <cell r="C15">
            <v>4511.29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3818.79</v>
          </cell>
        </row>
        <row r="19">
          <cell r="C19">
            <v>18427.650000000001</v>
          </cell>
        </row>
        <row r="20">
          <cell r="C20">
            <v>0</v>
          </cell>
        </row>
        <row r="21">
          <cell r="C21">
            <v>23306.050000000003</v>
          </cell>
        </row>
        <row r="22">
          <cell r="C22">
            <v>1425.29</v>
          </cell>
        </row>
        <row r="25">
          <cell r="E25">
            <v>4</v>
          </cell>
        </row>
        <row r="27">
          <cell r="E27">
            <v>2</v>
          </cell>
        </row>
      </sheetData>
      <sheetData sheetId="3">
        <row r="8">
          <cell r="C8">
            <v>1414950.6999999997</v>
          </cell>
        </row>
        <row r="9">
          <cell r="C9">
            <v>150000</v>
          </cell>
        </row>
        <row r="10">
          <cell r="C10">
            <v>214200</v>
          </cell>
        </row>
        <row r="11">
          <cell r="C11">
            <v>299162.15999999997</v>
          </cell>
        </row>
        <row r="12">
          <cell r="C12">
            <v>96496.17</v>
          </cell>
        </row>
        <row r="13">
          <cell r="C13">
            <v>381261.27</v>
          </cell>
        </row>
        <row r="14">
          <cell r="C14">
            <v>358852.8899999999</v>
          </cell>
        </row>
        <row r="15">
          <cell r="C15">
            <v>11981.99</v>
          </cell>
        </row>
        <row r="16">
          <cell r="C16">
            <v>0</v>
          </cell>
        </row>
        <row r="17">
          <cell r="C17">
            <v>7050</v>
          </cell>
        </row>
        <row r="18">
          <cell r="C18">
            <v>141212.29999999999</v>
          </cell>
        </row>
        <row r="19">
          <cell r="C19">
            <v>11584.289999999999</v>
          </cell>
        </row>
        <row r="20">
          <cell r="C20">
            <v>116.15</v>
          </cell>
        </row>
        <row r="21">
          <cell r="C21">
            <v>55889.010000000009</v>
          </cell>
        </row>
        <row r="22">
          <cell r="C22">
            <v>11413.48</v>
          </cell>
        </row>
        <row r="25">
          <cell r="E25">
            <v>14</v>
          </cell>
        </row>
        <row r="27">
          <cell r="E27">
            <v>2</v>
          </cell>
        </row>
      </sheetData>
      <sheetData sheetId="4">
        <row r="8">
          <cell r="C8">
            <v>2252130.4999999995</v>
          </cell>
        </row>
        <row r="9">
          <cell r="C9">
            <v>1135500</v>
          </cell>
        </row>
        <row r="10">
          <cell r="C10">
            <v>557967</v>
          </cell>
        </row>
        <row r="11">
          <cell r="C11">
            <v>551903.41</v>
          </cell>
        </row>
        <row r="12">
          <cell r="C12">
            <v>503728.11</v>
          </cell>
        </row>
        <row r="13">
          <cell r="C13">
            <v>198594.99000000005</v>
          </cell>
        </row>
        <row r="14">
          <cell r="C14">
            <v>182158.55</v>
          </cell>
        </row>
        <row r="15">
          <cell r="C15">
            <v>95696.91</v>
          </cell>
        </row>
        <row r="16">
          <cell r="C16">
            <v>0</v>
          </cell>
        </row>
        <row r="17">
          <cell r="C17">
            <v>1750</v>
          </cell>
        </row>
        <row r="18">
          <cell r="C18">
            <v>176422.81000000003</v>
          </cell>
        </row>
        <row r="19">
          <cell r="C19">
            <v>105076.45999999999</v>
          </cell>
        </row>
        <row r="20">
          <cell r="C20">
            <v>0</v>
          </cell>
        </row>
        <row r="21">
          <cell r="C21">
            <v>443149.94000000018</v>
          </cell>
        </row>
        <row r="22">
          <cell r="C22">
            <v>45029.469999999958</v>
          </cell>
        </row>
        <row r="25">
          <cell r="E25">
            <v>44</v>
          </cell>
        </row>
        <row r="27">
          <cell r="E27">
            <v>10</v>
          </cell>
        </row>
      </sheetData>
      <sheetData sheetId="5">
        <row r="8">
          <cell r="C8">
            <v>441152.37</v>
          </cell>
        </row>
        <row r="9">
          <cell r="C9">
            <v>5000</v>
          </cell>
        </row>
        <row r="10">
          <cell r="C10">
            <v>0</v>
          </cell>
        </row>
        <row r="11">
          <cell r="C11">
            <v>95688.11</v>
          </cell>
        </row>
        <row r="12">
          <cell r="C12">
            <v>21174.129999999997</v>
          </cell>
        </row>
        <row r="13">
          <cell r="C13">
            <v>72009.7</v>
          </cell>
        </row>
        <row r="14">
          <cell r="C14">
            <v>40914.379999999997</v>
          </cell>
        </row>
        <row r="15">
          <cell r="C15">
            <v>12922.06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2288.4500000000003</v>
          </cell>
        </row>
        <row r="19">
          <cell r="C19">
            <v>5065</v>
          </cell>
        </row>
        <row r="20">
          <cell r="C20">
            <v>0</v>
          </cell>
        </row>
        <row r="21">
          <cell r="C21">
            <v>3737.8800000000006</v>
          </cell>
        </row>
        <row r="22">
          <cell r="C22">
            <v>8112.83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6">
        <row r="8">
          <cell r="C8">
            <v>166916.68999999997</v>
          </cell>
        </row>
        <row r="9">
          <cell r="C9">
            <v>16000</v>
          </cell>
        </row>
        <row r="10">
          <cell r="C10">
            <v>0</v>
          </cell>
        </row>
        <row r="11">
          <cell r="C11">
            <v>43743.03</v>
          </cell>
        </row>
        <row r="12">
          <cell r="C12">
            <v>2719.32</v>
          </cell>
        </row>
        <row r="13">
          <cell r="C13">
            <v>9726.85</v>
          </cell>
        </row>
        <row r="14">
          <cell r="C14">
            <v>27236.059999999998</v>
          </cell>
        </row>
        <row r="15">
          <cell r="C15">
            <v>673.12000000000012</v>
          </cell>
        </row>
        <row r="16">
          <cell r="C16">
            <v>0</v>
          </cell>
        </row>
        <row r="17">
          <cell r="C17">
            <v>2500</v>
          </cell>
        </row>
        <row r="18">
          <cell r="C18">
            <v>938.06</v>
          </cell>
        </row>
        <row r="19">
          <cell r="C19">
            <v>350</v>
          </cell>
        </row>
        <row r="20">
          <cell r="C20">
            <v>0</v>
          </cell>
        </row>
        <row r="21">
          <cell r="C21">
            <v>492.88</v>
          </cell>
        </row>
        <row r="22">
          <cell r="C22">
            <v>5418.9499999999989</v>
          </cell>
        </row>
        <row r="25">
          <cell r="E25">
            <v>2</v>
          </cell>
        </row>
        <row r="27">
          <cell r="E27">
            <v>0</v>
          </cell>
        </row>
      </sheetData>
      <sheetData sheetId="7">
        <row r="8">
          <cell r="C8">
            <v>275174.72000000003</v>
          </cell>
        </row>
        <row r="9">
          <cell r="C9">
            <v>117500</v>
          </cell>
        </row>
        <row r="10">
          <cell r="C10">
            <v>15600</v>
          </cell>
        </row>
        <row r="11">
          <cell r="C11">
            <v>66280.87</v>
          </cell>
        </row>
        <row r="12">
          <cell r="C12">
            <v>16110.68</v>
          </cell>
        </row>
        <row r="13">
          <cell r="C13">
            <v>15051.49</v>
          </cell>
        </row>
        <row r="14">
          <cell r="C14">
            <v>22922.440000000002</v>
          </cell>
        </row>
        <row r="15">
          <cell r="C15">
            <v>3104.77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2767.33</v>
          </cell>
        </row>
        <row r="19">
          <cell r="C19">
            <v>15341.970000000001</v>
          </cell>
        </row>
        <row r="20">
          <cell r="C20">
            <v>0</v>
          </cell>
        </row>
        <row r="21">
          <cell r="C21">
            <v>40294.17</v>
          </cell>
        </row>
        <row r="22">
          <cell r="C22">
            <v>4309.63</v>
          </cell>
        </row>
        <row r="25">
          <cell r="E25">
            <v>5</v>
          </cell>
        </row>
        <row r="27">
          <cell r="E27">
            <v>1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OPs"/>
      <sheetName val="Gas Risk"/>
      <sheetName val="Gas Vol Mgmt"/>
      <sheetName val="Gas Logistics"/>
      <sheetName val="Gas Settlemnt"/>
      <sheetName val="Pwr Risk"/>
      <sheetName val="Pwr Vol Mgmt"/>
      <sheetName val="Power Logistics"/>
      <sheetName val="Pwr Settlemt"/>
      <sheetName val="Documentation"/>
      <sheetName val="Managemt"/>
    </sheetNames>
    <sheetDataSet>
      <sheetData sheetId="0">
        <row r="8">
          <cell r="H8">
            <v>11877365.039999999</v>
          </cell>
        </row>
        <row r="9">
          <cell r="H9">
            <v>0</v>
          </cell>
        </row>
        <row r="10">
          <cell r="H10">
            <v>2149462.7999999998</v>
          </cell>
        </row>
        <row r="11">
          <cell r="H11">
            <v>3052092</v>
          </cell>
        </row>
        <row r="12">
          <cell r="H12">
            <v>366017.67218983057</v>
          </cell>
        </row>
        <row r="13">
          <cell r="H13">
            <v>426672.00997966097</v>
          </cell>
        </row>
        <row r="14">
          <cell r="H14">
            <v>337190.0542372886</v>
          </cell>
        </row>
        <row r="15">
          <cell r="H15">
            <v>424070.80677966063</v>
          </cell>
        </row>
        <row r="16">
          <cell r="H16">
            <v>0</v>
          </cell>
        </row>
        <row r="17">
          <cell r="H17">
            <v>0</v>
          </cell>
        </row>
        <row r="18">
          <cell r="H18">
            <v>1743839.8720542372</v>
          </cell>
        </row>
        <row r="19">
          <cell r="H19">
            <v>372491.63389830507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Tax</v>
          </cell>
        </row>
      </sheetData>
      <sheetData sheetId="1">
        <row r="1">
          <cell r="B1" t="str">
            <v>Enron North America</v>
          </cell>
        </row>
        <row r="25">
          <cell r="BA25">
            <v>1971599.0200000003</v>
          </cell>
        </row>
        <row r="26">
          <cell r="BA26">
            <v>441478.66999999993</v>
          </cell>
        </row>
        <row r="27">
          <cell r="BA27">
            <v>93416.53</v>
          </cell>
        </row>
        <row r="28">
          <cell r="BA28">
            <v>59005.25</v>
          </cell>
        </row>
        <row r="29">
          <cell r="BA29">
            <v>0</v>
          </cell>
        </row>
        <row r="30">
          <cell r="BA30">
            <v>-3920.75</v>
          </cell>
        </row>
        <row r="31">
          <cell r="BA31">
            <v>0</v>
          </cell>
        </row>
        <row r="32">
          <cell r="BA32">
            <v>195340.47000000003</v>
          </cell>
        </row>
        <row r="33">
          <cell r="BA33">
            <v>23102.660000000003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13879.95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37953.1</v>
          </cell>
        </row>
        <row r="41">
          <cell r="BA41">
            <v>218397.73</v>
          </cell>
        </row>
        <row r="42">
          <cell r="BA42">
            <v>23120.5</v>
          </cell>
        </row>
        <row r="43">
          <cell r="BA43">
            <v>-1506130.81</v>
          </cell>
        </row>
        <row r="44">
          <cell r="BA44">
            <v>432.37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fin ops"/>
      <sheetName val="cash ops"/>
      <sheetName val="sapactivexlhiddensheet"/>
      <sheetName val="Variance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4985502.2300000004</v>
          </cell>
        </row>
        <row r="26">
          <cell r="BA26">
            <v>1210281.1100000001</v>
          </cell>
        </row>
        <row r="27">
          <cell r="BA27">
            <v>190029.97</v>
          </cell>
        </row>
        <row r="28">
          <cell r="BA28">
            <v>78390.58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69921.63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19039.670000000002</v>
          </cell>
        </row>
        <row r="37">
          <cell r="BA37">
            <v>17422.019999999997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24670.390000000003</v>
          </cell>
        </row>
        <row r="41">
          <cell r="BA41">
            <v>481045.43000000005</v>
          </cell>
        </row>
        <row r="42">
          <cell r="BA42">
            <v>75042.680000000008</v>
          </cell>
        </row>
        <row r="43">
          <cell r="BA43">
            <v>-771915.88</v>
          </cell>
        </row>
        <row r="44">
          <cell r="BA44">
            <v>1226.24</v>
          </cell>
        </row>
        <row r="45">
          <cell r="BA45">
            <v>0</v>
          </cell>
        </row>
      </sheetData>
      <sheetData sheetId="2"/>
      <sheetData sheetId="3"/>
      <sheetData sheetId="4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Competitive Analysis</v>
          </cell>
        </row>
      </sheetData>
      <sheetData sheetId="1">
        <row r="1">
          <cell r="B1" t="str">
            <v>Enron North America</v>
          </cell>
        </row>
        <row r="25">
          <cell r="BA25">
            <v>1004954.44</v>
          </cell>
        </row>
        <row r="26">
          <cell r="BA26">
            <v>241285.2</v>
          </cell>
        </row>
        <row r="27">
          <cell r="BA27">
            <v>64034.85</v>
          </cell>
        </row>
        <row r="28">
          <cell r="BA28">
            <v>201286.59999999998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1140922.94</v>
          </cell>
        </row>
        <row r="33">
          <cell r="BA33">
            <v>21945.55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837.87000000000012</v>
          </cell>
        </row>
        <row r="37">
          <cell r="BA37">
            <v>24222.35</v>
          </cell>
        </row>
        <row r="38">
          <cell r="BA38">
            <v>8.15</v>
          </cell>
        </row>
        <row r="39">
          <cell r="BA39">
            <v>0</v>
          </cell>
        </row>
        <row r="40">
          <cell r="BA40">
            <v>155543.13</v>
          </cell>
        </row>
        <row r="41">
          <cell r="BA41">
            <v>132051.71</v>
          </cell>
        </row>
        <row r="42">
          <cell r="BA42">
            <v>196834.1</v>
          </cell>
        </row>
        <row r="43">
          <cell r="BA43">
            <v>-1900070.7900000003</v>
          </cell>
        </row>
        <row r="44">
          <cell r="BA44">
            <v>474.19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Research</v>
          </cell>
        </row>
      </sheetData>
      <sheetData sheetId="1">
        <row r="1">
          <cell r="B1" t="str">
            <v>Enron North America</v>
          </cell>
        </row>
        <row r="25">
          <cell r="BA25">
            <v>3640949.9</v>
          </cell>
        </row>
        <row r="26">
          <cell r="BA26">
            <v>762369.14000000013</v>
          </cell>
        </row>
        <row r="27">
          <cell r="BA27">
            <v>173944.72999999998</v>
          </cell>
        </row>
        <row r="28">
          <cell r="BA28">
            <v>293972.73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67481.55</v>
          </cell>
        </row>
        <row r="33">
          <cell r="BA33">
            <v>48511.92</v>
          </cell>
        </row>
        <row r="34">
          <cell r="BA34">
            <v>0</v>
          </cell>
        </row>
        <row r="35">
          <cell r="BA35">
            <v>2500</v>
          </cell>
        </row>
        <row r="36">
          <cell r="BA36">
            <v>0</v>
          </cell>
        </row>
        <row r="37">
          <cell r="BA37">
            <v>129576.91999999998</v>
          </cell>
        </row>
        <row r="38">
          <cell r="BA38">
            <v>10.029999999999999</v>
          </cell>
        </row>
        <row r="39">
          <cell r="BA39">
            <v>0</v>
          </cell>
        </row>
        <row r="40">
          <cell r="BA40">
            <v>147341.90000000002</v>
          </cell>
        </row>
        <row r="41">
          <cell r="BA41">
            <v>285701.8</v>
          </cell>
        </row>
        <row r="42">
          <cell r="BA42">
            <v>302115.48</v>
          </cell>
        </row>
        <row r="43">
          <cell r="BA43">
            <v>-4445984</v>
          </cell>
        </row>
        <row r="44">
          <cell r="BA44">
            <v>774.43</v>
          </cell>
        </row>
        <row r="45">
          <cell r="BA45">
            <v>1176.06</v>
          </cell>
        </row>
      </sheetData>
      <sheetData sheetId="2" refreshError="1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3696902.5199999996</v>
          </cell>
        </row>
        <row r="26">
          <cell r="BA26">
            <v>823813.24</v>
          </cell>
        </row>
        <row r="27">
          <cell r="BA27">
            <v>-177210.59000000003</v>
          </cell>
        </row>
        <row r="28">
          <cell r="BA28">
            <v>238343.32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93641.700000000012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3626.4</v>
          </cell>
        </row>
        <row r="37">
          <cell r="BA37">
            <v>121524.64000000001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77797.26999999999</v>
          </cell>
        </row>
        <row r="41">
          <cell r="BA41">
            <v>677124.53999999992</v>
          </cell>
        </row>
        <row r="42">
          <cell r="BA42">
            <v>33298.459999999992</v>
          </cell>
        </row>
        <row r="43">
          <cell r="BA43">
            <v>-1637349.75</v>
          </cell>
        </row>
        <row r="44">
          <cell r="BA44">
            <v>1737.16</v>
          </cell>
        </row>
        <row r="45">
          <cell r="BA45">
            <v>15745.09</v>
          </cell>
        </row>
      </sheetData>
      <sheetData sheetId="2" refreshError="1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Canada Support</v>
          </cell>
        </row>
      </sheetData>
      <sheetData sheetId="1">
        <row r="1">
          <cell r="B1" t="str">
            <v>Enron North America</v>
          </cell>
        </row>
        <row r="25">
          <cell r="BA25">
            <v>3097005.1799999992</v>
          </cell>
        </row>
        <row r="26">
          <cell r="BA26">
            <v>405010.39999999997</v>
          </cell>
        </row>
        <row r="27">
          <cell r="BA27">
            <v>309437.02</v>
          </cell>
        </row>
        <row r="28">
          <cell r="BA28">
            <v>270791.23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5703579.5799999991</v>
          </cell>
        </row>
        <row r="33">
          <cell r="BA33">
            <v>132382.80000000002</v>
          </cell>
        </row>
        <row r="34">
          <cell r="BA34">
            <v>0</v>
          </cell>
        </row>
        <row r="35">
          <cell r="BA35">
            <v>36209.440000000002</v>
          </cell>
        </row>
        <row r="36">
          <cell r="BA36">
            <v>489327.92000000004</v>
          </cell>
        </row>
        <row r="37">
          <cell r="BA37">
            <v>23628.120000000003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25924.200000000004</v>
          </cell>
        </row>
        <row r="41">
          <cell r="BA41">
            <v>1904.7300000000002</v>
          </cell>
        </row>
        <row r="42">
          <cell r="BA42">
            <v>308878.27000000008</v>
          </cell>
        </row>
        <row r="43">
          <cell r="BA43">
            <v>-612901.88</v>
          </cell>
        </row>
        <row r="44">
          <cell r="BA44">
            <v>30.12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154"/>
  <sheetViews>
    <sheetView tabSelected="1" topLeftCell="B30" zoomScaleNormal="100" workbookViewId="0">
      <selection activeCell="D113" sqref="D113"/>
    </sheetView>
  </sheetViews>
  <sheetFormatPr defaultRowHeight="12.75" x14ac:dyDescent="0.2"/>
  <cols>
    <col min="4" max="4" width="29.28515625" customWidth="1"/>
    <col min="5" max="5" width="18.5703125" customWidth="1"/>
    <col min="6" max="6" width="2.7109375" customWidth="1"/>
    <col min="7" max="7" width="18.5703125" customWidth="1"/>
    <col min="8" max="8" width="15.5703125" hidden="1" customWidth="1"/>
    <col min="9" max="9" width="2.5703125" hidden="1" customWidth="1"/>
    <col min="10" max="10" width="10.7109375" hidden="1" customWidth="1"/>
    <col min="11" max="11" width="2.85546875" hidden="1" customWidth="1"/>
    <col min="12" max="12" width="15.5703125" hidden="1" customWidth="1"/>
    <col min="13" max="13" width="2.7109375" hidden="1" customWidth="1"/>
    <col min="14" max="14" width="10.7109375" hidden="1" customWidth="1"/>
    <col min="15" max="15" width="2.7109375" customWidth="1"/>
    <col min="16" max="16" width="15.5703125" bestFit="1" customWidth="1"/>
    <col min="17" max="17" width="2.7109375" customWidth="1"/>
    <col min="18" max="18" width="10" customWidth="1"/>
    <col min="19" max="19" width="2.7109375" customWidth="1"/>
    <col min="20" max="20" width="10.7109375" bestFit="1" customWidth="1"/>
    <col min="21" max="21" width="49.42578125" bestFit="1" customWidth="1"/>
  </cols>
  <sheetData>
    <row r="1" spans="1:20" x14ac:dyDescent="0.2">
      <c r="A1" s="83" t="s">
        <v>144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x14ac:dyDescent="0.2">
      <c r="A2" s="83" t="s">
        <v>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x14ac:dyDescent="0.2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</row>
    <row r="4" spans="1:20" ht="13.5" thickBot="1" x14ac:dyDescent="0.25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</row>
    <row r="5" spans="1:20" ht="13.5" thickBot="1" x14ac:dyDescent="0.25">
      <c r="A5" s="60"/>
      <c r="H5" s="84" t="s">
        <v>199</v>
      </c>
      <c r="I5" s="111"/>
      <c r="J5" s="84">
        <v>2000</v>
      </c>
      <c r="L5" s="84" t="s">
        <v>200</v>
      </c>
      <c r="N5" s="84">
        <v>2001</v>
      </c>
      <c r="P5" s="84" t="s">
        <v>0</v>
      </c>
      <c r="T5" s="84" t="s">
        <v>0</v>
      </c>
    </row>
    <row r="6" spans="1:20" ht="13.5" thickBot="1" x14ac:dyDescent="0.25">
      <c r="E6" s="84" t="s">
        <v>145</v>
      </c>
      <c r="G6" s="121" t="s">
        <v>146</v>
      </c>
      <c r="H6" s="112" t="s">
        <v>147</v>
      </c>
      <c r="I6" s="111"/>
      <c r="J6" s="112" t="s">
        <v>50</v>
      </c>
      <c r="K6" s="111"/>
      <c r="L6" s="112" t="s">
        <v>147</v>
      </c>
      <c r="M6" s="2"/>
      <c r="N6" s="112" t="s">
        <v>50</v>
      </c>
      <c r="O6" s="2"/>
      <c r="P6" s="112" t="s">
        <v>147</v>
      </c>
      <c r="R6" s="84" t="s">
        <v>148</v>
      </c>
      <c r="T6" s="112" t="s">
        <v>50</v>
      </c>
    </row>
    <row r="7" spans="1:20" x14ac:dyDescent="0.2">
      <c r="E7" s="85"/>
      <c r="G7" s="85"/>
      <c r="H7" s="86"/>
      <c r="I7" s="110"/>
      <c r="J7" s="86"/>
      <c r="K7" s="110"/>
      <c r="L7" s="86"/>
      <c r="M7" s="2"/>
      <c r="N7" s="86"/>
      <c r="O7" s="2"/>
      <c r="P7" s="86"/>
      <c r="R7" s="85"/>
      <c r="T7" s="86"/>
    </row>
    <row r="8" spans="1:20" x14ac:dyDescent="0.2">
      <c r="E8" s="86"/>
      <c r="G8" s="86"/>
      <c r="H8" s="86"/>
      <c r="I8" s="110"/>
      <c r="J8" s="86"/>
      <c r="K8" s="110"/>
      <c r="L8" s="86"/>
      <c r="M8" s="2"/>
      <c r="N8" s="86"/>
      <c r="O8" s="2"/>
      <c r="P8" s="86"/>
      <c r="R8" s="86"/>
      <c r="T8" s="86"/>
    </row>
    <row r="9" spans="1:20" x14ac:dyDescent="0.2">
      <c r="B9" t="s">
        <v>239</v>
      </c>
      <c r="E9" s="87">
        <v>0</v>
      </c>
      <c r="F9" s="88"/>
      <c r="G9" s="87">
        <v>0</v>
      </c>
      <c r="H9" s="87">
        <f>67.7-0.7+4.6</f>
        <v>71.599999999999994</v>
      </c>
      <c r="I9" s="104"/>
      <c r="J9" s="113">
        <f>151+12</f>
        <v>163</v>
      </c>
      <c r="K9" s="104"/>
      <c r="L9" s="87">
        <f>29.1+5+4.1</f>
        <v>38.200000000000003</v>
      </c>
      <c r="M9" s="89" t="s">
        <v>149</v>
      </c>
      <c r="N9" s="90">
        <f>164-37+16</f>
        <v>143</v>
      </c>
      <c r="O9" s="89"/>
      <c r="P9" s="87">
        <v>1</v>
      </c>
      <c r="Q9" s="88"/>
      <c r="R9" s="87">
        <f>G9-P9</f>
        <v>-1</v>
      </c>
      <c r="T9" s="90">
        <v>3</v>
      </c>
    </row>
    <row r="10" spans="1:20" ht="7.5" customHeight="1" x14ac:dyDescent="0.2">
      <c r="E10" s="87"/>
      <c r="F10" s="88"/>
      <c r="G10" s="87"/>
      <c r="H10" s="87"/>
      <c r="I10" s="104"/>
      <c r="J10" s="113"/>
      <c r="K10" s="104"/>
      <c r="L10" s="87"/>
      <c r="M10" s="89"/>
      <c r="N10" s="90"/>
      <c r="O10" s="89"/>
      <c r="P10" s="87"/>
      <c r="Q10" s="88"/>
      <c r="R10" s="87"/>
      <c r="T10" s="90"/>
    </row>
    <row r="11" spans="1:20" ht="12.75" customHeight="1" x14ac:dyDescent="0.2">
      <c r="B11" t="s">
        <v>240</v>
      </c>
      <c r="E11" s="87">
        <v>0</v>
      </c>
      <c r="F11" s="88"/>
      <c r="G11" s="87">
        <v>0</v>
      </c>
      <c r="H11" s="87"/>
      <c r="I11" s="104"/>
      <c r="J11" s="113"/>
      <c r="K11" s="104"/>
      <c r="L11" s="87"/>
      <c r="M11" s="89"/>
      <c r="N11" s="90"/>
      <c r="O11" s="89"/>
      <c r="P11" s="87">
        <v>6</v>
      </c>
      <c r="Q11" s="88"/>
      <c r="R11" s="87">
        <f>G11-P11</f>
        <v>-6</v>
      </c>
      <c r="T11" s="90">
        <v>7</v>
      </c>
    </row>
    <row r="12" spans="1:20" ht="7.5" customHeight="1" x14ac:dyDescent="0.2">
      <c r="E12" s="87"/>
      <c r="F12" s="88"/>
      <c r="G12" s="87"/>
      <c r="H12" s="87"/>
      <c r="I12" s="104"/>
      <c r="J12" s="113"/>
      <c r="K12" s="104"/>
      <c r="L12" s="87"/>
      <c r="M12" s="89"/>
      <c r="N12" s="90"/>
      <c r="O12" s="89"/>
      <c r="P12" s="87"/>
      <c r="Q12" s="88"/>
      <c r="R12" s="87"/>
      <c r="T12" s="90"/>
    </row>
    <row r="13" spans="1:20" ht="12.75" customHeight="1" x14ac:dyDescent="0.2">
      <c r="B13" t="s">
        <v>241</v>
      </c>
      <c r="E13" s="87">
        <v>0</v>
      </c>
      <c r="F13" s="88"/>
      <c r="G13" s="87">
        <v>0</v>
      </c>
      <c r="H13" s="87"/>
      <c r="I13" s="104"/>
      <c r="J13" s="113"/>
      <c r="K13" s="104"/>
      <c r="L13" s="87"/>
      <c r="M13" s="89"/>
      <c r="N13" s="90"/>
      <c r="O13" s="89"/>
      <c r="P13" s="87">
        <v>1.6</v>
      </c>
      <c r="Q13" s="88"/>
      <c r="R13" s="87">
        <f>G13-P13</f>
        <v>-1.6</v>
      </c>
      <c r="T13" s="90">
        <v>7</v>
      </c>
    </row>
    <row r="14" spans="1:20" ht="7.5" customHeight="1" x14ac:dyDescent="0.2">
      <c r="E14" s="87"/>
      <c r="F14" s="88"/>
      <c r="G14" s="87"/>
      <c r="H14" s="87"/>
      <c r="I14" s="104"/>
      <c r="J14" s="113"/>
      <c r="K14" s="104"/>
      <c r="L14" s="87"/>
      <c r="M14" s="89"/>
      <c r="N14" s="90"/>
      <c r="O14" s="89"/>
      <c r="P14" s="87"/>
      <c r="Q14" s="88"/>
      <c r="R14" s="87"/>
      <c r="T14" s="90"/>
    </row>
    <row r="15" spans="1:20" ht="12.75" customHeight="1" x14ac:dyDescent="0.2">
      <c r="B15" t="s">
        <v>242</v>
      </c>
      <c r="E15" s="87">
        <v>0</v>
      </c>
      <c r="F15" s="88"/>
      <c r="G15" s="87">
        <v>0</v>
      </c>
      <c r="H15" s="87"/>
      <c r="I15" s="104"/>
      <c r="J15" s="113"/>
      <c r="K15" s="104"/>
      <c r="L15" s="87"/>
      <c r="M15" s="89"/>
      <c r="N15" s="90"/>
      <c r="O15" s="89"/>
      <c r="P15" s="87">
        <v>1.2</v>
      </c>
      <c r="Q15" s="88"/>
      <c r="R15" s="87">
        <f>G15-P15</f>
        <v>-1.2</v>
      </c>
      <c r="T15" s="90">
        <v>4</v>
      </c>
    </row>
    <row r="16" spans="1:20" ht="7.5" customHeight="1" x14ac:dyDescent="0.2">
      <c r="E16" s="87"/>
      <c r="F16" s="88"/>
      <c r="G16" s="87"/>
      <c r="H16" s="87"/>
      <c r="I16" s="104"/>
      <c r="J16" s="113"/>
      <c r="K16" s="104"/>
      <c r="L16" s="87"/>
      <c r="M16" s="89"/>
      <c r="N16" s="90"/>
      <c r="O16" s="89"/>
      <c r="P16" s="87"/>
      <c r="Q16" s="88"/>
      <c r="R16" s="87"/>
      <c r="T16" s="90"/>
    </row>
    <row r="17" spans="2:20" ht="12.75" customHeight="1" x14ac:dyDescent="0.2">
      <c r="B17" t="s">
        <v>292</v>
      </c>
      <c r="E17" s="87">
        <v>0</v>
      </c>
      <c r="F17" s="88"/>
      <c r="G17" s="87">
        <v>0</v>
      </c>
      <c r="H17" s="87"/>
      <c r="I17" s="104"/>
      <c r="J17" s="113"/>
      <c r="K17" s="104"/>
      <c r="L17" s="87"/>
      <c r="M17" s="89"/>
      <c r="N17" s="90"/>
      <c r="O17" s="89"/>
      <c r="P17" s="87">
        <v>1.6</v>
      </c>
      <c r="Q17" s="88"/>
      <c r="R17" s="87">
        <f>G17-P17</f>
        <v>-1.6</v>
      </c>
      <c r="T17" s="90">
        <v>6</v>
      </c>
    </row>
    <row r="18" spans="2:20" ht="7.5" customHeight="1" x14ac:dyDescent="0.2">
      <c r="E18" s="87"/>
      <c r="F18" s="88"/>
      <c r="G18" s="87"/>
      <c r="H18" s="87"/>
      <c r="I18" s="104"/>
      <c r="J18" s="113"/>
      <c r="K18" s="104"/>
      <c r="L18" s="87"/>
      <c r="M18" s="89"/>
      <c r="N18" s="90"/>
      <c r="O18" s="89"/>
      <c r="P18" s="87"/>
      <c r="Q18" s="88"/>
      <c r="R18" s="87"/>
      <c r="T18" s="90"/>
    </row>
    <row r="19" spans="2:20" ht="12.75" customHeight="1" x14ac:dyDescent="0.2">
      <c r="B19" t="s">
        <v>243</v>
      </c>
      <c r="E19" s="87">
        <v>0</v>
      </c>
      <c r="F19" s="88"/>
      <c r="G19" s="87">
        <v>0</v>
      </c>
      <c r="H19" s="87"/>
      <c r="I19" s="104"/>
      <c r="J19" s="113"/>
      <c r="K19" s="104"/>
      <c r="L19" s="87"/>
      <c r="M19" s="89"/>
      <c r="N19" s="90"/>
      <c r="O19" s="89"/>
      <c r="P19" s="87">
        <v>1.6</v>
      </c>
      <c r="Q19" s="88"/>
      <c r="R19" s="87">
        <f>G19-P19</f>
        <v>-1.6</v>
      </c>
      <c r="T19" s="90">
        <v>4</v>
      </c>
    </row>
    <row r="20" spans="2:20" ht="7.5" customHeight="1" x14ac:dyDescent="0.2">
      <c r="E20" s="87"/>
      <c r="F20" s="88"/>
      <c r="G20" s="87"/>
      <c r="H20" s="87"/>
      <c r="I20" s="104"/>
      <c r="J20" s="113"/>
      <c r="K20" s="104"/>
      <c r="L20" s="87"/>
      <c r="M20" s="89"/>
      <c r="N20" s="90"/>
      <c r="O20" s="89"/>
      <c r="P20" s="87"/>
      <c r="Q20" s="88"/>
      <c r="R20" s="87"/>
      <c r="T20" s="90"/>
    </row>
    <row r="21" spans="2:20" x14ac:dyDescent="0.2">
      <c r="B21" t="s">
        <v>244</v>
      </c>
      <c r="E21" s="87">
        <v>0</v>
      </c>
      <c r="F21" s="88"/>
      <c r="G21" s="87">
        <v>0</v>
      </c>
      <c r="H21" s="87"/>
      <c r="I21" s="104"/>
      <c r="J21" s="113"/>
      <c r="K21" s="104"/>
      <c r="L21" s="87" t="s">
        <v>149</v>
      </c>
      <c r="M21" s="89"/>
      <c r="N21" s="90"/>
      <c r="O21" s="89"/>
      <c r="P21" s="87">
        <v>1.2</v>
      </c>
      <c r="Q21" s="88"/>
      <c r="R21" s="87">
        <f>G21-P21</f>
        <v>-1.2</v>
      </c>
      <c r="T21" s="90">
        <v>4</v>
      </c>
    </row>
    <row r="22" spans="2:20" ht="6.75" customHeight="1" x14ac:dyDescent="0.2">
      <c r="E22" s="87"/>
      <c r="F22" s="88"/>
      <c r="G22" s="87"/>
      <c r="H22" s="87"/>
      <c r="I22" s="104"/>
      <c r="J22" s="101"/>
      <c r="K22" s="104"/>
      <c r="L22" s="103"/>
      <c r="M22" s="88"/>
      <c r="N22" s="90"/>
      <c r="O22" s="88"/>
      <c r="P22" s="87"/>
      <c r="Q22" s="88"/>
      <c r="R22" s="87"/>
      <c r="T22" s="90"/>
    </row>
    <row r="23" spans="2:20" x14ac:dyDescent="0.2">
      <c r="B23" t="s">
        <v>245</v>
      </c>
      <c r="E23" s="87">
        <v>0</v>
      </c>
      <c r="F23" s="88"/>
      <c r="G23" s="87">
        <v>0</v>
      </c>
      <c r="H23" s="87"/>
      <c r="I23" s="104"/>
      <c r="J23" s="113"/>
      <c r="K23" s="104"/>
      <c r="L23" s="87"/>
      <c r="M23" s="89"/>
      <c r="N23" s="90"/>
      <c r="O23" s="89"/>
      <c r="P23" s="87">
        <v>1.8</v>
      </c>
      <c r="Q23" s="88"/>
      <c r="R23" s="87">
        <f>G23-P23</f>
        <v>-1.8</v>
      </c>
      <c r="T23" s="90">
        <v>7</v>
      </c>
    </row>
    <row r="24" spans="2:20" ht="6.75" customHeight="1" x14ac:dyDescent="0.2">
      <c r="E24" s="87"/>
      <c r="F24" s="88"/>
      <c r="G24" s="87"/>
      <c r="H24" s="87"/>
      <c r="I24" s="104"/>
      <c r="J24" s="101"/>
      <c r="K24" s="104"/>
      <c r="L24" s="103"/>
      <c r="M24" s="88"/>
      <c r="N24" s="90"/>
      <c r="O24" s="88"/>
      <c r="P24" s="87"/>
      <c r="Q24" s="88"/>
      <c r="R24" s="87"/>
      <c r="T24" s="90"/>
    </row>
    <row r="25" spans="2:20" x14ac:dyDescent="0.2">
      <c r="B25" t="s">
        <v>246</v>
      </c>
      <c r="E25" s="87">
        <v>0</v>
      </c>
      <c r="F25" s="88"/>
      <c r="G25" s="87">
        <v>0</v>
      </c>
      <c r="H25" s="87"/>
      <c r="I25" s="104"/>
      <c r="J25" s="113"/>
      <c r="K25" s="104"/>
      <c r="L25" s="87"/>
      <c r="M25" s="89"/>
      <c r="N25" s="90"/>
      <c r="O25" s="89"/>
      <c r="P25" s="87">
        <v>1.9</v>
      </c>
      <c r="Q25" s="88"/>
      <c r="R25" s="87">
        <f>G25-P25</f>
        <v>-1.9</v>
      </c>
      <c r="T25" s="90">
        <v>7</v>
      </c>
    </row>
    <row r="26" spans="2:20" ht="6.75" customHeight="1" x14ac:dyDescent="0.2">
      <c r="E26" s="87"/>
      <c r="F26" s="88"/>
      <c r="G26" s="87"/>
      <c r="H26" s="87"/>
      <c r="I26" s="104"/>
      <c r="J26" s="101"/>
      <c r="K26" s="104"/>
      <c r="L26" s="103"/>
      <c r="M26" s="88"/>
      <c r="N26" s="90"/>
      <c r="O26" s="88"/>
      <c r="P26" s="87"/>
      <c r="Q26" s="88"/>
      <c r="R26" s="87"/>
      <c r="T26" s="90"/>
    </row>
    <row r="27" spans="2:20" x14ac:dyDescent="0.2">
      <c r="B27" t="s">
        <v>294</v>
      </c>
      <c r="E27" s="87">
        <v>0</v>
      </c>
      <c r="F27" s="88"/>
      <c r="G27" s="87">
        <v>0</v>
      </c>
      <c r="H27" s="87"/>
      <c r="I27" s="104"/>
      <c r="J27" s="113"/>
      <c r="K27" s="104"/>
      <c r="L27" s="87"/>
      <c r="M27" s="89"/>
      <c r="N27" s="90"/>
      <c r="O27" s="89"/>
      <c r="P27" s="87">
        <v>2.9</v>
      </c>
      <c r="Q27" s="88"/>
      <c r="R27" s="87">
        <f>G27-P27</f>
        <v>-2.9</v>
      </c>
      <c r="T27" s="90">
        <f>9+2</f>
        <v>11</v>
      </c>
    </row>
    <row r="28" spans="2:20" ht="6.75" hidden="1" customHeight="1" x14ac:dyDescent="0.2">
      <c r="E28" s="87"/>
      <c r="F28" s="88"/>
      <c r="G28" s="87"/>
      <c r="H28" s="87"/>
      <c r="I28" s="104"/>
      <c r="J28" s="101"/>
      <c r="K28" s="104"/>
      <c r="L28" s="103"/>
      <c r="M28" s="88"/>
      <c r="N28" s="90"/>
      <c r="O28" s="88"/>
      <c r="P28" s="87"/>
      <c r="Q28" s="88"/>
      <c r="R28" s="87"/>
      <c r="T28" s="90"/>
    </row>
    <row r="29" spans="2:20" hidden="1" x14ac:dyDescent="0.2">
      <c r="B29" t="s">
        <v>68</v>
      </c>
      <c r="E29" s="87">
        <v>0</v>
      </c>
      <c r="F29" s="88"/>
      <c r="G29" s="87">
        <v>0</v>
      </c>
      <c r="H29" s="87"/>
      <c r="I29" s="104"/>
      <c r="J29" s="113"/>
      <c r="K29" s="104"/>
      <c r="L29" s="87"/>
      <c r="M29" s="89"/>
      <c r="N29" s="90"/>
      <c r="O29" s="89"/>
      <c r="P29" s="87">
        <v>0</v>
      </c>
      <c r="Q29" s="88"/>
      <c r="R29" s="87">
        <f>G29-P29</f>
        <v>0</v>
      </c>
      <c r="T29" s="90">
        <v>0</v>
      </c>
    </row>
    <row r="30" spans="2:20" ht="5.25" customHeight="1" x14ac:dyDescent="0.2">
      <c r="E30" s="87"/>
      <c r="F30" s="88"/>
      <c r="G30" s="87"/>
      <c r="H30" s="87"/>
      <c r="I30" s="104"/>
      <c r="J30" s="113"/>
      <c r="K30" s="104"/>
      <c r="L30" s="87"/>
      <c r="M30" s="89"/>
      <c r="N30" s="90"/>
      <c r="O30" s="89"/>
      <c r="P30" s="87"/>
      <c r="Q30" s="88"/>
      <c r="R30" s="87"/>
      <c r="T30" s="90"/>
    </row>
    <row r="31" spans="2:20" x14ac:dyDescent="0.2">
      <c r="B31" t="s">
        <v>250</v>
      </c>
      <c r="E31" s="87">
        <v>0</v>
      </c>
      <c r="F31" s="88"/>
      <c r="G31" s="87">
        <v>0</v>
      </c>
      <c r="H31" s="87"/>
      <c r="I31" s="104"/>
      <c r="J31" s="113"/>
      <c r="K31" s="104"/>
      <c r="L31" s="87"/>
      <c r="M31" s="89"/>
      <c r="N31" s="90"/>
      <c r="O31" s="89"/>
      <c r="P31" s="87">
        <v>0.5</v>
      </c>
      <c r="Q31" s="88"/>
      <c r="R31" s="87">
        <f>G31-P31</f>
        <v>-0.5</v>
      </c>
      <c r="T31" s="90">
        <v>2</v>
      </c>
    </row>
    <row r="32" spans="2:20" ht="6.75" customHeight="1" x14ac:dyDescent="0.2">
      <c r="E32" s="87"/>
      <c r="F32" s="88"/>
      <c r="G32" s="87"/>
      <c r="H32" s="87"/>
      <c r="I32" s="104"/>
      <c r="J32" s="113"/>
      <c r="K32" s="104"/>
      <c r="L32" s="87"/>
      <c r="M32" s="89"/>
      <c r="N32" s="90"/>
      <c r="O32" s="89"/>
      <c r="P32" s="87"/>
      <c r="Q32" s="88"/>
      <c r="R32" s="87"/>
      <c r="T32" s="90"/>
    </row>
    <row r="33" spans="2:20" ht="15.75" customHeight="1" x14ac:dyDescent="0.2">
      <c r="B33" s="33" t="s">
        <v>279</v>
      </c>
      <c r="C33" s="33"/>
      <c r="D33" s="33"/>
      <c r="E33" s="128">
        <v>0</v>
      </c>
      <c r="F33" s="129"/>
      <c r="G33" s="128">
        <v>425</v>
      </c>
      <c r="H33" s="128"/>
      <c r="I33" s="130"/>
      <c r="J33" s="131"/>
      <c r="K33" s="130"/>
      <c r="L33" s="128"/>
      <c r="M33" s="129"/>
      <c r="N33" s="132"/>
      <c r="O33" s="129"/>
      <c r="P33" s="128">
        <f>SUM(P9:P31)</f>
        <v>21.299999999999997</v>
      </c>
      <c r="Q33" s="129"/>
      <c r="R33" s="128">
        <f>G33-P33</f>
        <v>403.7</v>
      </c>
      <c r="S33" s="33"/>
      <c r="T33" s="132">
        <f>SUM(T9:T31)</f>
        <v>62</v>
      </c>
    </row>
    <row r="34" spans="2:20" ht="6" customHeight="1" x14ac:dyDescent="0.2">
      <c r="B34" s="33"/>
      <c r="C34" s="33"/>
      <c r="D34" s="33"/>
      <c r="E34" s="128"/>
      <c r="F34" s="129"/>
      <c r="G34" s="128"/>
      <c r="H34" s="128"/>
      <c r="I34" s="130"/>
      <c r="J34" s="131"/>
      <c r="K34" s="130"/>
      <c r="L34" s="128"/>
      <c r="M34" s="129"/>
      <c r="N34" s="132"/>
      <c r="O34" s="129"/>
      <c r="P34" s="128"/>
      <c r="Q34" s="129"/>
      <c r="R34" s="128"/>
      <c r="S34" s="33"/>
      <c r="T34" s="132"/>
    </row>
    <row r="35" spans="2:20" ht="11.25" customHeight="1" x14ac:dyDescent="0.2">
      <c r="B35" s="135" t="s">
        <v>308</v>
      </c>
      <c r="C35" s="33"/>
      <c r="D35" s="33"/>
      <c r="E35" s="128">
        <v>0</v>
      </c>
      <c r="F35" s="129"/>
      <c r="G35" s="128">
        <v>0</v>
      </c>
      <c r="H35" s="128"/>
      <c r="I35" s="130"/>
      <c r="J35" s="131"/>
      <c r="K35" s="130"/>
      <c r="L35" s="128"/>
      <c r="M35" s="129"/>
      <c r="N35" s="132"/>
      <c r="O35" s="129"/>
      <c r="P35" s="136">
        <v>1.3</v>
      </c>
      <c r="Q35" s="137"/>
      <c r="R35" s="87">
        <f>G35-P35</f>
        <v>-1.3</v>
      </c>
      <c r="S35" s="135"/>
      <c r="T35" s="138">
        <v>5</v>
      </c>
    </row>
    <row r="36" spans="2:20" ht="6.75" customHeight="1" x14ac:dyDescent="0.2">
      <c r="B36" s="135"/>
      <c r="C36" s="33"/>
      <c r="D36" s="33"/>
      <c r="E36" s="128"/>
      <c r="F36" s="129"/>
      <c r="G36" s="128"/>
      <c r="H36" s="128"/>
      <c r="I36" s="130"/>
      <c r="J36" s="131"/>
      <c r="K36" s="130"/>
      <c r="L36" s="128"/>
      <c r="M36" s="129"/>
      <c r="N36" s="132"/>
      <c r="O36" s="129"/>
      <c r="P36" s="136"/>
      <c r="Q36" s="137"/>
      <c r="R36" s="136"/>
      <c r="S36" s="135"/>
      <c r="T36" s="138"/>
    </row>
    <row r="37" spans="2:20" ht="11.25" customHeight="1" x14ac:dyDescent="0.2">
      <c r="B37" s="135" t="s">
        <v>305</v>
      </c>
      <c r="C37" s="33"/>
      <c r="D37" s="33"/>
      <c r="E37" s="128">
        <v>0</v>
      </c>
      <c r="F37" s="129"/>
      <c r="G37" s="128">
        <v>0</v>
      </c>
      <c r="H37" s="128"/>
      <c r="I37" s="130"/>
      <c r="J37" s="131"/>
      <c r="K37" s="130"/>
      <c r="L37" s="128"/>
      <c r="M37" s="129"/>
      <c r="N37" s="132"/>
      <c r="O37" s="129"/>
      <c r="P37" s="136">
        <v>1.2</v>
      </c>
      <c r="Q37" s="137"/>
      <c r="R37" s="87">
        <f>G37-P37</f>
        <v>-1.2</v>
      </c>
      <c r="S37" s="135"/>
      <c r="T37" s="138">
        <v>5</v>
      </c>
    </row>
    <row r="38" spans="2:20" ht="6" customHeight="1" x14ac:dyDescent="0.2">
      <c r="B38" s="135"/>
      <c r="C38" s="33"/>
      <c r="D38" s="33"/>
      <c r="E38" s="128"/>
      <c r="F38" s="129"/>
      <c r="G38" s="128"/>
      <c r="H38" s="128"/>
      <c r="I38" s="130"/>
      <c r="J38" s="131"/>
      <c r="K38" s="130"/>
      <c r="L38" s="128"/>
      <c r="M38" s="129"/>
      <c r="N38" s="132"/>
      <c r="O38" s="129"/>
      <c r="P38" s="136"/>
      <c r="Q38" s="137"/>
      <c r="R38" s="136"/>
      <c r="S38" s="135"/>
      <c r="T38" s="138"/>
    </row>
    <row r="39" spans="2:20" ht="11.25" customHeight="1" x14ac:dyDescent="0.2">
      <c r="B39" s="135" t="s">
        <v>300</v>
      </c>
      <c r="C39" s="33"/>
      <c r="D39" s="33"/>
      <c r="E39" s="128">
        <v>0</v>
      </c>
      <c r="F39" s="129"/>
      <c r="G39" s="128">
        <v>0</v>
      </c>
      <c r="H39" s="128"/>
      <c r="I39" s="130"/>
      <c r="J39" s="131"/>
      <c r="K39" s="130"/>
      <c r="L39" s="128"/>
      <c r="M39" s="129"/>
      <c r="N39" s="132"/>
      <c r="O39" s="129"/>
      <c r="P39" s="136">
        <v>1.7</v>
      </c>
      <c r="Q39" s="137"/>
      <c r="R39" s="87">
        <f>G39-P39</f>
        <v>-1.7</v>
      </c>
      <c r="S39" s="135"/>
      <c r="T39" s="138">
        <v>7</v>
      </c>
    </row>
    <row r="40" spans="2:20" ht="6" customHeight="1" x14ac:dyDescent="0.2">
      <c r="B40" s="135"/>
      <c r="C40" s="33"/>
      <c r="D40" s="33"/>
      <c r="E40" s="128"/>
      <c r="F40" s="129"/>
      <c r="G40" s="128"/>
      <c r="H40" s="128"/>
      <c r="I40" s="130"/>
      <c r="J40" s="131"/>
      <c r="K40" s="130"/>
      <c r="L40" s="128"/>
      <c r="M40" s="129"/>
      <c r="N40" s="132"/>
      <c r="O40" s="129"/>
      <c r="P40" s="136"/>
      <c r="Q40" s="137"/>
      <c r="R40" s="136"/>
      <c r="S40" s="135"/>
      <c r="T40" s="138"/>
    </row>
    <row r="41" spans="2:20" ht="11.25" customHeight="1" x14ac:dyDescent="0.2">
      <c r="B41" s="135" t="s">
        <v>301</v>
      </c>
      <c r="C41" s="33"/>
      <c r="D41" s="33"/>
      <c r="E41" s="128">
        <v>0</v>
      </c>
      <c r="F41" s="129"/>
      <c r="G41" s="128">
        <v>0</v>
      </c>
      <c r="H41" s="128"/>
      <c r="I41" s="130"/>
      <c r="J41" s="131"/>
      <c r="K41" s="130"/>
      <c r="L41" s="128"/>
      <c r="M41" s="129"/>
      <c r="N41" s="132"/>
      <c r="O41" s="129"/>
      <c r="P41" s="136">
        <v>0.9</v>
      </c>
      <c r="Q41" s="137"/>
      <c r="R41" s="87">
        <f>G41-P41</f>
        <v>-0.9</v>
      </c>
      <c r="S41" s="135"/>
      <c r="T41" s="138">
        <v>4</v>
      </c>
    </row>
    <row r="42" spans="2:20" ht="6" customHeight="1" x14ac:dyDescent="0.2">
      <c r="B42" s="135"/>
      <c r="C42" s="33"/>
      <c r="D42" s="33"/>
      <c r="E42" s="128"/>
      <c r="F42" s="129"/>
      <c r="G42" s="128"/>
      <c r="H42" s="128"/>
      <c r="I42" s="130"/>
      <c r="J42" s="131"/>
      <c r="K42" s="130"/>
      <c r="L42" s="128"/>
      <c r="M42" s="129"/>
      <c r="N42" s="132"/>
      <c r="O42" s="129"/>
      <c r="P42" s="136"/>
      <c r="Q42" s="137"/>
      <c r="R42" s="136"/>
      <c r="S42" s="135"/>
      <c r="T42" s="138"/>
    </row>
    <row r="43" spans="2:20" ht="11.25" customHeight="1" x14ac:dyDescent="0.2">
      <c r="B43" s="135" t="s">
        <v>302</v>
      </c>
      <c r="C43" s="33"/>
      <c r="D43" s="33"/>
      <c r="E43" s="128">
        <v>0</v>
      </c>
      <c r="F43" s="129"/>
      <c r="G43" s="128">
        <v>0</v>
      </c>
      <c r="H43" s="128"/>
      <c r="I43" s="130"/>
      <c r="J43" s="131"/>
      <c r="K43" s="130"/>
      <c r="L43" s="128"/>
      <c r="M43" s="129"/>
      <c r="N43" s="132"/>
      <c r="O43" s="129"/>
      <c r="P43" s="136">
        <v>1.3</v>
      </c>
      <c r="Q43" s="137"/>
      <c r="R43" s="87">
        <f>G43-P43</f>
        <v>-1.3</v>
      </c>
      <c r="S43" s="135"/>
      <c r="T43" s="138">
        <v>6</v>
      </c>
    </row>
    <row r="44" spans="2:20" ht="6" customHeight="1" x14ac:dyDescent="0.2">
      <c r="B44" s="135"/>
      <c r="C44" s="33"/>
      <c r="D44" s="33"/>
      <c r="E44" s="128"/>
      <c r="F44" s="129"/>
      <c r="G44" s="128"/>
      <c r="H44" s="128"/>
      <c r="I44" s="130"/>
      <c r="J44" s="131"/>
      <c r="K44" s="130"/>
      <c r="L44" s="128"/>
      <c r="M44" s="129"/>
      <c r="N44" s="132"/>
      <c r="O44" s="129"/>
      <c r="P44" s="136"/>
      <c r="Q44" s="137"/>
      <c r="R44" s="136"/>
      <c r="S44" s="135"/>
      <c r="T44" s="138"/>
    </row>
    <row r="45" spans="2:20" ht="11.25" customHeight="1" x14ac:dyDescent="0.2">
      <c r="B45" s="135" t="s">
        <v>303</v>
      </c>
      <c r="C45" s="33"/>
      <c r="D45" s="33"/>
      <c r="E45" s="128">
        <v>0</v>
      </c>
      <c r="F45" s="129"/>
      <c r="G45" s="128">
        <v>0</v>
      </c>
      <c r="H45" s="128"/>
      <c r="I45" s="130"/>
      <c r="J45" s="131"/>
      <c r="K45" s="130"/>
      <c r="L45" s="128"/>
      <c r="M45" s="129"/>
      <c r="N45" s="132"/>
      <c r="O45" s="129"/>
      <c r="P45" s="136">
        <v>1</v>
      </c>
      <c r="Q45" s="137"/>
      <c r="R45" s="87">
        <f>G45-P45</f>
        <v>-1</v>
      </c>
      <c r="S45" s="135"/>
      <c r="T45" s="138">
        <v>4</v>
      </c>
    </row>
    <row r="46" spans="2:20" ht="6" customHeight="1" x14ac:dyDescent="0.2">
      <c r="B46" s="135"/>
      <c r="C46" s="33"/>
      <c r="D46" s="33"/>
      <c r="E46" s="128"/>
      <c r="F46" s="129"/>
      <c r="G46" s="128"/>
      <c r="H46" s="128"/>
      <c r="I46" s="130"/>
      <c r="J46" s="131"/>
      <c r="K46" s="130"/>
      <c r="L46" s="128"/>
      <c r="M46" s="129"/>
      <c r="N46" s="132"/>
      <c r="O46" s="129"/>
      <c r="P46" s="136"/>
      <c r="Q46" s="137"/>
      <c r="R46" s="87"/>
      <c r="S46" s="135"/>
      <c r="T46" s="138"/>
    </row>
    <row r="47" spans="2:20" x14ac:dyDescent="0.2">
      <c r="B47" s="135" t="s">
        <v>220</v>
      </c>
      <c r="E47" s="87">
        <v>0</v>
      </c>
      <c r="F47" s="88"/>
      <c r="G47" s="87">
        <v>0</v>
      </c>
      <c r="H47" s="87"/>
      <c r="I47" s="104"/>
      <c r="J47" s="101"/>
      <c r="K47" s="104"/>
      <c r="L47" s="87"/>
      <c r="M47" s="88"/>
      <c r="N47" s="90"/>
      <c r="O47" s="88"/>
      <c r="P47" s="87">
        <v>4.3</v>
      </c>
      <c r="Q47" s="88"/>
      <c r="R47" s="87">
        <f>G47-P47</f>
        <v>-4.3</v>
      </c>
      <c r="T47" s="90">
        <v>16</v>
      </c>
    </row>
    <row r="48" spans="2:20" ht="6.75" customHeight="1" x14ac:dyDescent="0.2">
      <c r="E48" s="87"/>
      <c r="F48" s="88"/>
      <c r="G48" s="87"/>
      <c r="H48" s="87"/>
      <c r="I48" s="104"/>
      <c r="J48" s="101"/>
      <c r="K48" s="104"/>
      <c r="L48" s="103"/>
      <c r="M48" s="88"/>
      <c r="N48" s="90"/>
      <c r="O48" s="88"/>
      <c r="P48" s="87"/>
      <c r="Q48" s="88"/>
      <c r="R48" s="87"/>
      <c r="T48" s="90"/>
    </row>
    <row r="49" spans="2:22" x14ac:dyDescent="0.2">
      <c r="B49" s="33" t="s">
        <v>306</v>
      </c>
      <c r="E49" s="87">
        <v>0</v>
      </c>
      <c r="F49" s="88"/>
      <c r="G49" s="128">
        <v>250</v>
      </c>
      <c r="H49" s="128">
        <v>29.9</v>
      </c>
      <c r="I49" s="130"/>
      <c r="J49" s="131">
        <v>147</v>
      </c>
      <c r="K49" s="130"/>
      <c r="L49" s="128">
        <f>32.8+6.4+0.5</f>
        <v>39.699999999999996</v>
      </c>
      <c r="M49" s="129"/>
      <c r="N49" s="132">
        <f>216-29</f>
        <v>187</v>
      </c>
      <c r="O49" s="129"/>
      <c r="P49" s="128">
        <f>SUM(P35:P47)</f>
        <v>11.7</v>
      </c>
      <c r="Q49" s="129"/>
      <c r="R49" s="128">
        <f>G49-P49</f>
        <v>238.3</v>
      </c>
      <c r="S49" s="33"/>
      <c r="T49" s="132">
        <f>SUM(T35:T47)</f>
        <v>47</v>
      </c>
    </row>
    <row r="50" spans="2:22" ht="7.5" customHeight="1" x14ac:dyDescent="0.2">
      <c r="E50" s="87"/>
      <c r="F50" s="88"/>
      <c r="G50" s="87"/>
      <c r="H50" s="87"/>
      <c r="I50" s="104"/>
      <c r="J50" s="101"/>
      <c r="K50" s="104"/>
      <c r="L50" s="87"/>
      <c r="M50" s="88"/>
      <c r="N50" s="90"/>
      <c r="O50" s="88"/>
      <c r="P50" s="87"/>
      <c r="Q50" s="88"/>
      <c r="R50" s="87"/>
      <c r="T50" s="90"/>
    </row>
    <row r="51" spans="2:22" x14ac:dyDescent="0.2">
      <c r="B51" t="s">
        <v>221</v>
      </c>
      <c r="E51" s="87">
        <v>0</v>
      </c>
      <c r="F51" s="88"/>
      <c r="G51" s="87">
        <v>150</v>
      </c>
      <c r="H51" s="87">
        <v>18.100000000000001</v>
      </c>
      <c r="I51" s="104"/>
      <c r="J51" s="93">
        <v>67</v>
      </c>
      <c r="K51" s="104"/>
      <c r="L51" s="87">
        <f>27.3+6.5</f>
        <v>33.799999999999997</v>
      </c>
      <c r="M51" s="88"/>
      <c r="N51" s="90">
        <f>106-10</f>
        <v>96</v>
      </c>
      <c r="O51" s="88"/>
      <c r="P51" s="87">
        <v>4.2</v>
      </c>
      <c r="Q51" s="88"/>
      <c r="R51" s="87">
        <f>G51-P51</f>
        <v>145.80000000000001</v>
      </c>
      <c r="T51" s="90">
        <v>16</v>
      </c>
    </row>
    <row r="52" spans="2:22" ht="7.5" customHeight="1" x14ac:dyDescent="0.2">
      <c r="E52" s="87"/>
      <c r="F52" s="88"/>
      <c r="G52" s="87"/>
      <c r="H52" s="87"/>
      <c r="I52" s="104"/>
      <c r="J52" s="93"/>
      <c r="K52" s="104"/>
      <c r="L52" s="87"/>
      <c r="M52" s="88"/>
      <c r="N52" s="90"/>
      <c r="O52" s="88"/>
      <c r="P52" s="87"/>
      <c r="Q52" s="88"/>
      <c r="R52" s="87"/>
      <c r="T52" s="90"/>
    </row>
    <row r="53" spans="2:22" x14ac:dyDescent="0.2">
      <c r="B53" t="s">
        <v>222</v>
      </c>
      <c r="E53" s="87">
        <v>0</v>
      </c>
      <c r="F53" s="88"/>
      <c r="G53" s="87">
        <v>0</v>
      </c>
      <c r="H53" s="87"/>
      <c r="I53" s="104"/>
      <c r="J53" s="101"/>
      <c r="K53" s="104"/>
      <c r="L53" s="87"/>
      <c r="M53" s="88"/>
      <c r="N53" s="90"/>
      <c r="O53" s="88"/>
      <c r="P53" s="87">
        <v>4.0999999999999996</v>
      </c>
      <c r="Q53" s="88"/>
      <c r="R53" s="87">
        <f>G53-P53</f>
        <v>-4.0999999999999996</v>
      </c>
      <c r="T53" s="90">
        <v>12</v>
      </c>
    </row>
    <row r="54" spans="2:22" ht="7.5" customHeight="1" x14ac:dyDescent="0.2">
      <c r="E54" s="87"/>
      <c r="F54" s="88"/>
      <c r="G54" s="87"/>
      <c r="H54" s="87"/>
      <c r="I54" s="104"/>
      <c r="J54" s="101"/>
      <c r="K54" s="104"/>
      <c r="L54" s="87"/>
      <c r="M54" s="88"/>
      <c r="N54" s="90"/>
      <c r="O54" s="88"/>
      <c r="P54" s="87"/>
      <c r="Q54" s="88"/>
      <c r="R54" s="87"/>
      <c r="T54" s="90"/>
    </row>
    <row r="55" spans="2:22" s="33" customFormat="1" ht="12.75" customHeight="1" x14ac:dyDescent="0.2">
      <c r="B55" s="33" t="s">
        <v>307</v>
      </c>
      <c r="E55" s="128">
        <f>SUM(E49:E53)</f>
        <v>0</v>
      </c>
      <c r="F55" s="129"/>
      <c r="G55" s="128">
        <f>SUM(G51:G53)</f>
        <v>150</v>
      </c>
      <c r="H55" s="128"/>
      <c r="I55" s="130"/>
      <c r="J55" s="133"/>
      <c r="K55" s="130"/>
      <c r="L55" s="128"/>
      <c r="M55" s="129"/>
      <c r="N55" s="132"/>
      <c r="O55" s="129"/>
      <c r="P55" s="128">
        <f>SUM(P51:P53)</f>
        <v>8.3000000000000007</v>
      </c>
      <c r="Q55" s="129"/>
      <c r="R55" s="128">
        <f>SUM(R51:R53)</f>
        <v>141.70000000000002</v>
      </c>
      <c r="T55" s="132">
        <f>SUM(T51:T53)</f>
        <v>28</v>
      </c>
    </row>
    <row r="56" spans="2:22" ht="7.5" customHeight="1" x14ac:dyDescent="0.2">
      <c r="E56" s="87"/>
      <c r="F56" s="88"/>
      <c r="G56" s="87"/>
      <c r="H56" s="87"/>
      <c r="I56" s="104"/>
      <c r="J56" s="101"/>
      <c r="K56" s="104"/>
      <c r="L56" s="87"/>
      <c r="M56" s="88"/>
      <c r="N56" s="90"/>
      <c r="O56" s="88"/>
      <c r="P56" s="87"/>
      <c r="Q56" s="88"/>
      <c r="R56" s="87"/>
      <c r="T56" s="90"/>
    </row>
    <row r="57" spans="2:22" x14ac:dyDescent="0.2">
      <c r="B57" t="s">
        <v>223</v>
      </c>
      <c r="E57" s="87">
        <v>0</v>
      </c>
      <c r="F57" s="88"/>
      <c r="G57" s="87">
        <v>25</v>
      </c>
      <c r="H57" s="87">
        <v>8</v>
      </c>
      <c r="I57" s="104"/>
      <c r="J57" s="93">
        <v>47</v>
      </c>
      <c r="K57" s="104"/>
      <c r="L57" s="87">
        <v>9</v>
      </c>
      <c r="M57" s="88"/>
      <c r="N57" s="90">
        <v>49</v>
      </c>
      <c r="O57" s="88"/>
      <c r="P57" s="87">
        <v>1.1000000000000001</v>
      </c>
      <c r="Q57" s="88"/>
      <c r="R57" s="87">
        <f>G57-P57</f>
        <v>23.9</v>
      </c>
      <c r="T57" s="90">
        <v>5</v>
      </c>
      <c r="V57" s="8"/>
    </row>
    <row r="58" spans="2:22" hidden="1" x14ac:dyDescent="0.2">
      <c r="B58" t="s">
        <v>179</v>
      </c>
      <c r="E58" s="87"/>
      <c r="F58" s="88"/>
      <c r="G58" s="87"/>
      <c r="H58" s="87"/>
      <c r="I58" s="104"/>
      <c r="J58" s="101"/>
      <c r="K58" s="104"/>
      <c r="L58" s="87"/>
      <c r="M58" s="88"/>
      <c r="N58" s="90"/>
      <c r="O58" s="88"/>
      <c r="P58" s="87"/>
      <c r="Q58" s="88"/>
      <c r="R58" s="87"/>
      <c r="T58" s="90"/>
      <c r="V58" s="8"/>
    </row>
    <row r="59" spans="2:22" hidden="1" x14ac:dyDescent="0.2">
      <c r="B59" t="s">
        <v>179</v>
      </c>
      <c r="E59" s="87"/>
      <c r="F59" s="88"/>
      <c r="G59" s="87">
        <v>0</v>
      </c>
      <c r="H59" s="87">
        <v>0</v>
      </c>
      <c r="I59" s="104"/>
      <c r="J59" s="93">
        <v>0</v>
      </c>
      <c r="K59" s="104"/>
      <c r="L59" s="87">
        <v>0</v>
      </c>
      <c r="M59" s="88"/>
      <c r="N59" s="90">
        <v>0</v>
      </c>
      <c r="O59" s="88"/>
      <c r="P59" s="87">
        <v>0</v>
      </c>
      <c r="Q59" s="88"/>
      <c r="R59" s="87">
        <f>G59-P59</f>
        <v>0</v>
      </c>
      <c r="T59" s="90">
        <v>0</v>
      </c>
      <c r="V59" s="8"/>
    </row>
    <row r="60" spans="2:22" ht="7.5" customHeight="1" x14ac:dyDescent="0.2">
      <c r="E60" s="87"/>
      <c r="F60" s="88"/>
      <c r="G60" s="87"/>
      <c r="H60" s="87"/>
      <c r="I60" s="104"/>
      <c r="J60" s="93"/>
      <c r="K60" s="104"/>
      <c r="L60" s="87"/>
      <c r="M60" s="88"/>
      <c r="N60" s="90"/>
      <c r="O60" s="88"/>
      <c r="P60" s="87"/>
      <c r="Q60" s="88"/>
      <c r="R60" s="87"/>
      <c r="T60" s="90"/>
      <c r="V60" s="8"/>
    </row>
    <row r="61" spans="2:22" x14ac:dyDescent="0.2">
      <c r="B61" t="s">
        <v>224</v>
      </c>
      <c r="E61" s="87">
        <v>0</v>
      </c>
      <c r="F61" s="88"/>
      <c r="G61" s="87">
        <v>25</v>
      </c>
      <c r="H61" s="87"/>
      <c r="I61" s="104"/>
      <c r="J61" s="101"/>
      <c r="K61" s="104"/>
      <c r="L61" s="87"/>
      <c r="M61" s="88"/>
      <c r="N61" s="90"/>
      <c r="O61" s="88"/>
      <c r="P61" s="87">
        <v>2.6</v>
      </c>
      <c r="Q61" s="88"/>
      <c r="R61" s="87">
        <f>G61-P61</f>
        <v>22.4</v>
      </c>
      <c r="T61" s="90">
        <v>11</v>
      </c>
      <c r="V61" s="8"/>
    </row>
    <row r="62" spans="2:22" hidden="1" x14ac:dyDescent="0.2">
      <c r="B62" t="s">
        <v>201</v>
      </c>
      <c r="E62" s="87"/>
      <c r="F62" s="88"/>
      <c r="G62" s="87"/>
      <c r="H62" s="87">
        <v>162</v>
      </c>
      <c r="I62" s="104"/>
      <c r="J62" s="93">
        <v>151</v>
      </c>
      <c r="K62" s="104"/>
      <c r="L62" s="87">
        <v>140</v>
      </c>
      <c r="M62" s="88"/>
      <c r="N62" s="113">
        <f>25+17</f>
        <v>42</v>
      </c>
      <c r="O62" s="88"/>
      <c r="P62" s="87">
        <v>0</v>
      </c>
      <c r="Q62" s="88"/>
      <c r="R62" s="87"/>
      <c r="T62" s="101">
        <v>0</v>
      </c>
      <c r="V62" s="8"/>
    </row>
    <row r="63" spans="2:22" hidden="1" x14ac:dyDescent="0.2">
      <c r="E63" s="87"/>
      <c r="F63" s="88"/>
      <c r="G63" s="87"/>
      <c r="H63" s="87"/>
      <c r="I63" s="104"/>
      <c r="J63" s="101" t="s">
        <v>149</v>
      </c>
      <c r="K63" s="104"/>
      <c r="L63" s="87"/>
      <c r="M63" s="88"/>
      <c r="N63" s="90" t="s">
        <v>149</v>
      </c>
      <c r="O63" s="88"/>
      <c r="P63" s="87"/>
      <c r="Q63" s="88"/>
      <c r="R63" s="87"/>
      <c r="T63" s="90" t="s">
        <v>149</v>
      </c>
      <c r="V63" s="8"/>
    </row>
    <row r="64" spans="2:22" hidden="1" x14ac:dyDescent="0.2">
      <c r="B64" t="s">
        <v>202</v>
      </c>
      <c r="E64" s="87"/>
      <c r="F64" s="88"/>
      <c r="G64" s="87"/>
      <c r="H64" s="87">
        <v>31</v>
      </c>
      <c r="I64" s="104"/>
      <c r="J64" s="93">
        <v>107</v>
      </c>
      <c r="K64" s="104"/>
      <c r="L64" s="87">
        <v>7</v>
      </c>
      <c r="M64" s="88"/>
      <c r="N64" s="93">
        <v>36</v>
      </c>
      <c r="O64" s="88"/>
      <c r="P64" s="87">
        <v>0</v>
      </c>
      <c r="Q64" s="88"/>
      <c r="R64" s="87"/>
      <c r="T64" s="101">
        <v>0</v>
      </c>
      <c r="V64" s="8"/>
    </row>
    <row r="65" spans="2:22" hidden="1" x14ac:dyDescent="0.2">
      <c r="E65" s="87"/>
      <c r="F65" s="88"/>
      <c r="G65" s="87"/>
      <c r="H65" s="87"/>
      <c r="I65" s="104"/>
      <c r="J65" s="101"/>
      <c r="K65" s="104"/>
      <c r="L65" s="87"/>
      <c r="M65" s="88"/>
      <c r="N65" s="90"/>
      <c r="O65" s="88"/>
      <c r="P65" s="87"/>
      <c r="Q65" s="88"/>
      <c r="R65" s="87"/>
      <c r="T65" s="90"/>
      <c r="V65" s="8"/>
    </row>
    <row r="66" spans="2:22" ht="7.5" customHeight="1" x14ac:dyDescent="0.2">
      <c r="E66" s="87"/>
      <c r="F66" s="88"/>
      <c r="G66" s="87"/>
      <c r="H66" s="87"/>
      <c r="I66" s="104"/>
      <c r="J66" s="101"/>
      <c r="K66" s="104"/>
      <c r="L66" s="87"/>
      <c r="M66" s="88"/>
      <c r="N66" s="90"/>
      <c r="O66" s="88"/>
      <c r="P66" s="87"/>
      <c r="Q66" s="88"/>
      <c r="R66" s="87"/>
      <c r="T66" s="90"/>
      <c r="V66" s="8"/>
    </row>
    <row r="67" spans="2:22" s="33" customFormat="1" x14ac:dyDescent="0.2">
      <c r="B67" s="33" t="s">
        <v>285</v>
      </c>
      <c r="E67" s="128">
        <f>SUM(E57:E61)</f>
        <v>0</v>
      </c>
      <c r="F67" s="129"/>
      <c r="G67" s="128">
        <f>SUM(G57:G61)</f>
        <v>50</v>
      </c>
      <c r="H67" s="128"/>
      <c r="I67" s="130"/>
      <c r="J67" s="133"/>
      <c r="K67" s="130"/>
      <c r="L67" s="128"/>
      <c r="M67" s="129"/>
      <c r="N67" s="132"/>
      <c r="O67" s="129"/>
      <c r="P67" s="128">
        <f>SUM(P57:P61)</f>
        <v>3.7</v>
      </c>
      <c r="Q67" s="129"/>
      <c r="R67" s="128">
        <f>SUM(R57:R61)</f>
        <v>46.3</v>
      </c>
      <c r="T67" s="132">
        <f>SUM(T57:T61)</f>
        <v>16</v>
      </c>
      <c r="V67" s="134"/>
    </row>
    <row r="68" spans="2:22" ht="7.5" customHeight="1" x14ac:dyDescent="0.2">
      <c r="E68" s="87"/>
      <c r="F68" s="88"/>
      <c r="G68" s="87"/>
      <c r="H68" s="87"/>
      <c r="I68" s="104"/>
      <c r="J68" s="101"/>
      <c r="K68" s="104"/>
      <c r="L68" s="87"/>
      <c r="M68" s="88"/>
      <c r="N68" s="90"/>
      <c r="O68" s="88"/>
      <c r="P68" s="87"/>
      <c r="Q68" s="88"/>
      <c r="R68" s="87"/>
      <c r="T68" s="90"/>
      <c r="V68" s="8"/>
    </row>
    <row r="69" spans="2:22" s="33" customFormat="1" x14ac:dyDescent="0.2">
      <c r="B69" s="33" t="s">
        <v>225</v>
      </c>
      <c r="E69" s="128">
        <v>0</v>
      </c>
      <c r="G69" s="128">
        <v>0</v>
      </c>
      <c r="H69" s="132">
        <v>34.299999999999997</v>
      </c>
      <c r="I69" s="134"/>
      <c r="J69" s="131">
        <v>65</v>
      </c>
      <c r="K69" s="134"/>
      <c r="L69" s="132">
        <v>257.10000000000002</v>
      </c>
      <c r="N69" s="132">
        <v>5</v>
      </c>
      <c r="P69" s="128">
        <v>2.1</v>
      </c>
      <c r="R69" s="128">
        <f>G69-P69</f>
        <v>-2.1</v>
      </c>
      <c r="T69" s="132">
        <v>3</v>
      </c>
    </row>
    <row r="70" spans="2:22" x14ac:dyDescent="0.2">
      <c r="E70" s="92"/>
      <c r="G70" s="92"/>
      <c r="H70" s="90"/>
      <c r="I70" s="8"/>
      <c r="J70" s="92"/>
      <c r="K70" s="8"/>
      <c r="L70" s="90"/>
      <c r="N70" s="92"/>
      <c r="P70" s="91"/>
      <c r="R70" s="92"/>
      <c r="T70" s="92"/>
    </row>
    <row r="71" spans="2:22" x14ac:dyDescent="0.2">
      <c r="D71" s="33" t="s">
        <v>151</v>
      </c>
      <c r="E71" s="94">
        <v>60</v>
      </c>
      <c r="G71" s="95">
        <f>SUM(G9:G69)-G55-G67</f>
        <v>875</v>
      </c>
      <c r="H71" s="95">
        <f>+H9+H49+H51+H57+H59+H69+H62+H64</f>
        <v>354.9</v>
      </c>
      <c r="I71" s="105"/>
      <c r="J71" s="96">
        <f>+J9+J49+J51+J57+J59+J62+J64+J69</f>
        <v>747</v>
      </c>
      <c r="K71" s="105"/>
      <c r="L71" s="95">
        <f>+L9+L49+L51+L57+L59+L69+L62+L64</f>
        <v>524.79999999999995</v>
      </c>
      <c r="N71" s="96">
        <f>+N9+N49+N51+N57+N59+N69+N62+N64</f>
        <v>558</v>
      </c>
      <c r="P71" s="95">
        <f>SUM(P9:P69)-P33-P55-P67-P49</f>
        <v>47.099999999999966</v>
      </c>
      <c r="R71" s="95">
        <f>+R33+R49+R55+R67+R69</f>
        <v>827.9</v>
      </c>
      <c r="T71" s="96">
        <f>+T33+T49+T55+T67+T69</f>
        <v>156</v>
      </c>
    </row>
    <row r="72" spans="2:22" x14ac:dyDescent="0.2">
      <c r="H72" s="90"/>
      <c r="I72" s="8"/>
      <c r="J72" s="97"/>
      <c r="L72" s="90"/>
      <c r="N72" s="97"/>
      <c r="P72" s="87"/>
      <c r="R72" s="97"/>
      <c r="T72" s="97"/>
    </row>
    <row r="73" spans="2:22" x14ac:dyDescent="0.2">
      <c r="B73" t="s">
        <v>226</v>
      </c>
      <c r="H73" s="90"/>
      <c r="I73" s="8"/>
      <c r="J73" s="90"/>
      <c r="L73" s="90"/>
      <c r="N73" s="90"/>
      <c r="P73" s="87">
        <f>2.9+1.9+1.1+1.3</f>
        <v>7.2</v>
      </c>
      <c r="R73" s="98">
        <f>G73-P73</f>
        <v>-7.2</v>
      </c>
      <c r="T73" s="90">
        <f>49+1</f>
        <v>50</v>
      </c>
    </row>
    <row r="74" spans="2:22" x14ac:dyDescent="0.2">
      <c r="H74" s="90"/>
      <c r="I74" s="8"/>
      <c r="J74" s="90"/>
      <c r="L74" s="90"/>
      <c r="N74" s="90"/>
      <c r="P74" s="87"/>
      <c r="R74" s="90"/>
      <c r="T74" s="90"/>
    </row>
    <row r="75" spans="2:22" x14ac:dyDescent="0.2">
      <c r="B75" t="s">
        <v>227</v>
      </c>
      <c r="H75" s="90"/>
      <c r="I75" s="8"/>
      <c r="J75" s="90"/>
      <c r="L75" s="90"/>
      <c r="N75" s="90"/>
      <c r="P75" s="87">
        <f>0.4+1.1+0.2+0.6</f>
        <v>2.2999999999999998</v>
      </c>
      <c r="R75" s="98">
        <f>G75-P75</f>
        <v>-2.2999999999999998</v>
      </c>
      <c r="T75" s="90">
        <f>12+2+6+3</f>
        <v>23</v>
      </c>
    </row>
    <row r="76" spans="2:22" x14ac:dyDescent="0.2">
      <c r="H76" s="90"/>
      <c r="I76" s="8"/>
      <c r="J76" s="90"/>
      <c r="L76" s="90"/>
      <c r="N76" s="90"/>
      <c r="P76" s="87"/>
      <c r="R76" s="98"/>
      <c r="T76" s="90"/>
    </row>
    <row r="77" spans="2:22" x14ac:dyDescent="0.2">
      <c r="B77" t="s">
        <v>116</v>
      </c>
      <c r="H77" s="90">
        <v>11.4</v>
      </c>
      <c r="I77" s="8"/>
      <c r="J77" s="116" t="s">
        <v>149</v>
      </c>
      <c r="L77" s="90">
        <v>9.5</v>
      </c>
      <c r="M77" t="s">
        <v>149</v>
      </c>
      <c r="N77" s="93"/>
      <c r="P77" s="87">
        <v>7.7</v>
      </c>
      <c r="R77" s="98">
        <f>G77-P77</f>
        <v>-7.7</v>
      </c>
      <c r="T77" s="90">
        <v>10</v>
      </c>
    </row>
    <row r="78" spans="2:22" x14ac:dyDescent="0.2">
      <c r="H78" s="90"/>
      <c r="I78" s="8"/>
      <c r="J78" s="90"/>
      <c r="L78" s="90"/>
      <c r="N78" s="90"/>
      <c r="P78" s="87"/>
      <c r="R78" s="98"/>
      <c r="T78" s="90"/>
    </row>
    <row r="79" spans="2:22" x14ac:dyDescent="0.2">
      <c r="B79" t="s">
        <v>298</v>
      </c>
      <c r="H79" s="90"/>
      <c r="I79" s="8"/>
      <c r="J79" s="90"/>
      <c r="L79" s="90"/>
      <c r="N79" s="90"/>
      <c r="P79" s="87">
        <v>8.1</v>
      </c>
      <c r="R79" s="98">
        <f>G79-P79</f>
        <v>-8.1</v>
      </c>
      <c r="T79" s="90">
        <v>33</v>
      </c>
    </row>
    <row r="80" spans="2:22" x14ac:dyDescent="0.2">
      <c r="H80" s="90"/>
      <c r="I80" s="8"/>
      <c r="J80" s="90"/>
      <c r="L80" s="90"/>
      <c r="N80" s="90"/>
      <c r="P80" s="87"/>
      <c r="R80" s="98"/>
      <c r="T80" s="90"/>
    </row>
    <row r="81" spans="2:22" x14ac:dyDescent="0.2">
      <c r="B81" t="s">
        <v>194</v>
      </c>
      <c r="H81" s="90"/>
      <c r="I81" s="8"/>
      <c r="J81" s="90"/>
      <c r="L81" s="90"/>
      <c r="N81" s="90"/>
      <c r="P81" s="87">
        <v>1.1000000000000001</v>
      </c>
      <c r="R81" s="98">
        <f>G81-P81</f>
        <v>-1.1000000000000001</v>
      </c>
      <c r="T81" s="90">
        <v>5</v>
      </c>
    </row>
    <row r="82" spans="2:22" x14ac:dyDescent="0.2">
      <c r="H82" s="90"/>
      <c r="I82" s="8"/>
      <c r="J82" s="90"/>
      <c r="L82" s="90"/>
      <c r="N82" s="90"/>
      <c r="P82" s="87"/>
      <c r="R82" s="98"/>
      <c r="T82" s="90"/>
    </row>
    <row r="83" spans="2:22" x14ac:dyDescent="0.2">
      <c r="B83" t="s">
        <v>176</v>
      </c>
      <c r="H83" s="90"/>
      <c r="I83" s="8"/>
      <c r="J83" s="90"/>
      <c r="L83" s="90"/>
      <c r="N83" s="90"/>
      <c r="P83" s="87">
        <v>1.4</v>
      </c>
      <c r="R83" s="98">
        <f>G83-P83</f>
        <v>-1.4</v>
      </c>
      <c r="T83" s="90">
        <v>5</v>
      </c>
    </row>
    <row r="84" spans="2:22" x14ac:dyDescent="0.2">
      <c r="H84" s="90"/>
      <c r="I84" s="8"/>
      <c r="J84" s="90"/>
      <c r="L84" s="90"/>
      <c r="N84" s="90"/>
      <c r="P84" s="87"/>
      <c r="R84" s="98"/>
      <c r="T84" s="90"/>
    </row>
    <row r="85" spans="2:22" x14ac:dyDescent="0.2">
      <c r="B85" t="s">
        <v>153</v>
      </c>
      <c r="H85" s="90"/>
      <c r="I85" s="8"/>
      <c r="J85" s="116" t="s">
        <v>149</v>
      </c>
      <c r="L85" s="90"/>
      <c r="M85" t="s">
        <v>149</v>
      </c>
      <c r="N85" s="90"/>
      <c r="P85" s="87"/>
      <c r="R85" s="98"/>
      <c r="T85" s="90"/>
    </row>
    <row r="86" spans="2:22" ht="12.75" customHeight="1" x14ac:dyDescent="0.2">
      <c r="C86" t="s">
        <v>281</v>
      </c>
      <c r="H86" s="90">
        <v>10.199999999999999</v>
      </c>
      <c r="I86" s="8"/>
      <c r="J86" s="113" t="s">
        <v>149</v>
      </c>
      <c r="L86" s="114">
        <v>7.6</v>
      </c>
      <c r="N86" s="87"/>
      <c r="P86" s="87">
        <v>4.8</v>
      </c>
      <c r="R86" s="98">
        <f t="shared" ref="R86:R98" si="0">G86-P86</f>
        <v>-4.8</v>
      </c>
      <c r="T86" s="90">
        <v>39</v>
      </c>
      <c r="U86">
        <v>5</v>
      </c>
      <c r="V86">
        <v>0.5</v>
      </c>
    </row>
    <row r="87" spans="2:22" x14ac:dyDescent="0.2">
      <c r="C87" t="s">
        <v>309</v>
      </c>
      <c r="H87" s="90"/>
      <c r="I87" s="8"/>
      <c r="J87" s="113"/>
      <c r="L87" s="114"/>
      <c r="N87" s="87"/>
      <c r="P87" s="87">
        <v>0.9</v>
      </c>
      <c r="R87" s="98">
        <f t="shared" si="0"/>
        <v>-0.9</v>
      </c>
      <c r="T87" s="90">
        <v>7</v>
      </c>
    </row>
    <row r="88" spans="2:22" x14ac:dyDescent="0.2">
      <c r="C88" t="s">
        <v>154</v>
      </c>
      <c r="H88" s="90">
        <v>2.7</v>
      </c>
      <c r="I88" s="8"/>
      <c r="J88" s="116" t="s">
        <v>149</v>
      </c>
      <c r="L88" s="90">
        <v>2.1</v>
      </c>
      <c r="M88" s="67"/>
      <c r="N88" s="87"/>
      <c r="O88" s="67"/>
      <c r="P88" s="87">
        <v>3.9</v>
      </c>
      <c r="R88" s="98">
        <f t="shared" si="0"/>
        <v>-3.9</v>
      </c>
      <c r="T88" s="90">
        <v>32</v>
      </c>
      <c r="U88">
        <v>4</v>
      </c>
      <c r="V88">
        <v>0.5</v>
      </c>
    </row>
    <row r="89" spans="2:22" x14ac:dyDescent="0.2">
      <c r="C89" t="s">
        <v>156</v>
      </c>
      <c r="H89" s="90"/>
      <c r="I89" s="8"/>
      <c r="J89" s="116"/>
      <c r="L89" s="90"/>
      <c r="M89" s="8"/>
      <c r="N89" s="87"/>
      <c r="O89" s="8"/>
      <c r="P89" s="87">
        <v>2.4</v>
      </c>
      <c r="R89" s="98">
        <f t="shared" si="0"/>
        <v>-2.4</v>
      </c>
      <c r="T89" s="90">
        <v>20</v>
      </c>
    </row>
    <row r="90" spans="2:22" x14ac:dyDescent="0.2">
      <c r="C90" t="s">
        <v>282</v>
      </c>
      <c r="H90" s="90">
        <v>8.6</v>
      </c>
      <c r="I90" s="8"/>
      <c r="J90" s="113" t="s">
        <v>149</v>
      </c>
      <c r="L90" s="114">
        <v>6</v>
      </c>
      <c r="N90" s="87"/>
      <c r="P90" s="87">
        <v>1.3</v>
      </c>
      <c r="R90" s="98">
        <f t="shared" si="0"/>
        <v>-1.3</v>
      </c>
      <c r="T90" s="90">
        <v>11</v>
      </c>
      <c r="U90">
        <v>4</v>
      </c>
      <c r="V90">
        <v>0.5</v>
      </c>
    </row>
    <row r="91" spans="2:22" x14ac:dyDescent="0.2">
      <c r="C91" t="s">
        <v>310</v>
      </c>
      <c r="H91" s="90">
        <v>5.9</v>
      </c>
      <c r="I91" s="8"/>
      <c r="J91" s="113" t="s">
        <v>149</v>
      </c>
      <c r="L91" s="114">
        <v>4</v>
      </c>
      <c r="N91" s="87"/>
      <c r="P91" s="87">
        <v>1.6</v>
      </c>
      <c r="R91" s="98">
        <f t="shared" si="0"/>
        <v>-1.6</v>
      </c>
      <c r="T91" s="90">
        <v>13</v>
      </c>
      <c r="U91">
        <v>4</v>
      </c>
      <c r="V91">
        <v>0.5</v>
      </c>
    </row>
    <row r="92" spans="2:22" x14ac:dyDescent="0.2">
      <c r="C92" t="s">
        <v>283</v>
      </c>
      <c r="H92" s="90">
        <v>2.7</v>
      </c>
      <c r="I92" s="8"/>
      <c r="J92" s="116" t="s">
        <v>149</v>
      </c>
      <c r="L92" s="90">
        <v>2.1</v>
      </c>
      <c r="N92" s="87"/>
      <c r="P92" s="87">
        <v>1.7</v>
      </c>
      <c r="R92" s="98">
        <f t="shared" si="0"/>
        <v>-1.7</v>
      </c>
      <c r="T92" s="90">
        <v>14</v>
      </c>
      <c r="U92">
        <v>4</v>
      </c>
      <c r="V92">
        <v>0.5</v>
      </c>
    </row>
    <row r="93" spans="2:22" x14ac:dyDescent="0.2">
      <c r="C93" t="s">
        <v>160</v>
      </c>
      <c r="H93" s="90"/>
      <c r="I93" s="8"/>
      <c r="J93" s="113"/>
      <c r="L93" s="114"/>
      <c r="N93" s="87"/>
      <c r="P93" s="87">
        <v>1</v>
      </c>
      <c r="R93" s="98">
        <f t="shared" si="0"/>
        <v>-1</v>
      </c>
      <c r="T93" s="90">
        <v>8</v>
      </c>
    </row>
    <row r="94" spans="2:22" x14ac:dyDescent="0.2">
      <c r="C94" t="s">
        <v>218</v>
      </c>
      <c r="H94" s="90">
        <v>3.1</v>
      </c>
      <c r="I94" s="8"/>
      <c r="J94" s="116" t="s">
        <v>149</v>
      </c>
      <c r="L94" s="90">
        <v>2.7</v>
      </c>
      <c r="N94" s="87"/>
      <c r="P94" s="87">
        <v>4.4000000000000004</v>
      </c>
      <c r="R94" s="98">
        <f t="shared" si="0"/>
        <v>-4.4000000000000004</v>
      </c>
      <c r="T94" s="90">
        <f>28+8</f>
        <v>36</v>
      </c>
      <c r="U94">
        <v>4</v>
      </c>
      <c r="V94">
        <v>0.5</v>
      </c>
    </row>
    <row r="95" spans="2:22" x14ac:dyDescent="0.2">
      <c r="C95" t="s">
        <v>219</v>
      </c>
      <c r="H95" s="90"/>
      <c r="I95" s="8"/>
      <c r="J95" s="116"/>
      <c r="L95" s="90"/>
      <c r="N95" s="87"/>
      <c r="P95" s="91">
        <v>0.5</v>
      </c>
      <c r="R95" s="94">
        <f>G95-P95</f>
        <v>-0.5</v>
      </c>
      <c r="T95" s="92">
        <v>4</v>
      </c>
      <c r="U95" s="8"/>
    </row>
    <row r="96" spans="2:22" hidden="1" x14ac:dyDescent="0.2">
      <c r="C96" t="s">
        <v>160</v>
      </c>
      <c r="H96" s="90">
        <v>2.7</v>
      </c>
      <c r="I96" s="8"/>
      <c r="J96" s="116" t="s">
        <v>149</v>
      </c>
      <c r="L96" s="90">
        <v>2.5</v>
      </c>
      <c r="N96" s="87"/>
      <c r="P96" s="87">
        <v>0</v>
      </c>
      <c r="R96" s="98">
        <f t="shared" si="0"/>
        <v>0</v>
      </c>
      <c r="T96" s="90">
        <v>0</v>
      </c>
      <c r="U96">
        <v>5</v>
      </c>
      <c r="V96">
        <v>0.5</v>
      </c>
    </row>
    <row r="97" spans="2:23" hidden="1" x14ac:dyDescent="0.2">
      <c r="C97" t="s">
        <v>161</v>
      </c>
      <c r="H97" s="92">
        <v>3.3</v>
      </c>
      <c r="I97" s="8"/>
      <c r="J97" s="117" t="s">
        <v>149</v>
      </c>
      <c r="L97" s="92">
        <v>2.9</v>
      </c>
      <c r="N97" s="91"/>
      <c r="P97" s="87">
        <v>0</v>
      </c>
      <c r="R97" s="98">
        <f t="shared" si="0"/>
        <v>0</v>
      </c>
      <c r="T97" s="90">
        <v>0</v>
      </c>
      <c r="U97" s="122">
        <v>6</v>
      </c>
      <c r="V97">
        <v>0.05</v>
      </c>
    </row>
    <row r="98" spans="2:23" hidden="1" x14ac:dyDescent="0.2">
      <c r="C98" t="s">
        <v>218</v>
      </c>
      <c r="H98" s="90"/>
      <c r="I98" s="8"/>
      <c r="J98" s="116"/>
      <c r="L98" s="90"/>
      <c r="N98" s="87"/>
      <c r="P98" s="87">
        <v>0</v>
      </c>
      <c r="R98" s="98">
        <f t="shared" si="0"/>
        <v>0</v>
      </c>
      <c r="T98" s="90">
        <v>0</v>
      </c>
      <c r="U98" s="8"/>
    </row>
    <row r="99" spans="2:23" x14ac:dyDescent="0.2">
      <c r="H99" s="100">
        <f>SUM(H86:H97)</f>
        <v>39.199999999999996</v>
      </c>
      <c r="I99" s="118"/>
      <c r="J99" s="99">
        <v>452</v>
      </c>
      <c r="L99" s="100">
        <f>SUM(L86:L97)</f>
        <v>29.9</v>
      </c>
      <c r="N99" s="99"/>
      <c r="P99" s="100">
        <f>SUM(P86:P98)</f>
        <v>22.5</v>
      </c>
      <c r="R99" s="98">
        <f>SUM(R86:R98)</f>
        <v>-22.5</v>
      </c>
      <c r="T99" s="99">
        <f>SUM(T86:T98)</f>
        <v>184</v>
      </c>
      <c r="U99">
        <v>178</v>
      </c>
      <c r="V99">
        <f>SUM(V86:V97)</f>
        <v>3.55</v>
      </c>
      <c r="W99" t="s">
        <v>162</v>
      </c>
    </row>
    <row r="100" spans="2:23" x14ac:dyDescent="0.2">
      <c r="H100" s="90"/>
      <c r="I100" s="8"/>
      <c r="J100" s="90"/>
      <c r="L100" s="90"/>
      <c r="N100" s="90"/>
      <c r="P100" s="87"/>
      <c r="R100" s="90"/>
      <c r="T100" s="90"/>
    </row>
    <row r="101" spans="2:23" x14ac:dyDescent="0.2">
      <c r="B101" t="s">
        <v>180</v>
      </c>
      <c r="H101" s="90">
        <v>27.5</v>
      </c>
      <c r="I101" s="8"/>
      <c r="J101" s="93">
        <v>175</v>
      </c>
      <c r="L101" s="114">
        <v>29</v>
      </c>
      <c r="M101" t="s">
        <v>149</v>
      </c>
      <c r="N101" s="99"/>
      <c r="P101" s="87">
        <v>38.299999999999997</v>
      </c>
      <c r="R101" s="98">
        <f>G101-P101</f>
        <v>-38.299999999999997</v>
      </c>
      <c r="T101" s="90">
        <v>141</v>
      </c>
      <c r="U101" t="s">
        <v>149</v>
      </c>
      <c r="V101" t="s">
        <v>149</v>
      </c>
    </row>
    <row r="102" spans="2:23" x14ac:dyDescent="0.2">
      <c r="B102" t="s">
        <v>181</v>
      </c>
      <c r="H102" s="90">
        <v>48.9</v>
      </c>
      <c r="I102" s="8"/>
      <c r="J102" s="116" t="s">
        <v>149</v>
      </c>
      <c r="L102" s="114">
        <v>55</v>
      </c>
      <c r="N102" s="99"/>
      <c r="P102" s="87">
        <v>30.2</v>
      </c>
      <c r="R102" s="98">
        <f>G102-P102</f>
        <v>-30.2</v>
      </c>
      <c r="T102" s="90">
        <v>59</v>
      </c>
    </row>
    <row r="103" spans="2:23" x14ac:dyDescent="0.2">
      <c r="P103" s="90"/>
      <c r="R103" s="90"/>
      <c r="T103" s="90"/>
    </row>
    <row r="104" spans="2:23" x14ac:dyDescent="0.2">
      <c r="B104" t="s">
        <v>139</v>
      </c>
      <c r="H104" s="90">
        <v>0.8</v>
      </c>
      <c r="I104" s="8"/>
      <c r="J104" s="116" t="s">
        <v>149</v>
      </c>
      <c r="L104" s="90">
        <v>5.2</v>
      </c>
      <c r="N104" s="99"/>
      <c r="P104" s="87">
        <v>9.1</v>
      </c>
      <c r="R104" s="98">
        <f>G104-P104</f>
        <v>-9.1</v>
      </c>
      <c r="T104" s="90">
        <v>39</v>
      </c>
    </row>
    <row r="105" spans="2:23" x14ac:dyDescent="0.2">
      <c r="P105" s="90"/>
      <c r="R105" s="90"/>
      <c r="T105" s="90"/>
    </row>
    <row r="106" spans="2:23" x14ac:dyDescent="0.2">
      <c r="B106" t="s">
        <v>164</v>
      </c>
      <c r="H106" s="90">
        <v>2.8</v>
      </c>
      <c r="I106" s="8"/>
      <c r="J106" s="116">
        <v>0</v>
      </c>
      <c r="L106" s="90">
        <v>3.5</v>
      </c>
      <c r="M106" t="s">
        <v>149</v>
      </c>
      <c r="N106" s="99">
        <v>96</v>
      </c>
      <c r="P106" s="87">
        <v>4.0999999999999996</v>
      </c>
      <c r="R106" s="98">
        <f>G106-P106</f>
        <v>-4.0999999999999996</v>
      </c>
      <c r="T106" s="90">
        <v>33</v>
      </c>
    </row>
    <row r="107" spans="2:23" x14ac:dyDescent="0.2">
      <c r="P107" s="90"/>
      <c r="R107" s="90"/>
      <c r="T107" s="90"/>
    </row>
    <row r="108" spans="2:23" x14ac:dyDescent="0.2">
      <c r="B108" t="s">
        <v>121</v>
      </c>
      <c r="H108" s="90">
        <v>11.4</v>
      </c>
      <c r="I108" s="8"/>
      <c r="J108" s="116" t="s">
        <v>149</v>
      </c>
      <c r="L108" s="114">
        <v>7.3</v>
      </c>
      <c r="N108" s="101"/>
      <c r="P108" s="87">
        <v>3.1</v>
      </c>
      <c r="R108" s="98">
        <f>G108-P108</f>
        <v>-3.1</v>
      </c>
      <c r="T108" s="90">
        <v>15</v>
      </c>
    </row>
    <row r="109" spans="2:23" x14ac:dyDescent="0.2">
      <c r="H109" s="90"/>
      <c r="I109" s="8"/>
      <c r="J109" s="90"/>
      <c r="L109" s="90"/>
      <c r="N109" s="90"/>
      <c r="P109" s="87"/>
      <c r="R109" s="90"/>
      <c r="T109" s="90"/>
    </row>
    <row r="110" spans="2:23" x14ac:dyDescent="0.2">
      <c r="B110" t="s">
        <v>177</v>
      </c>
      <c r="H110" s="90">
        <v>1.2</v>
      </c>
      <c r="I110" s="8"/>
      <c r="J110" s="116">
        <v>0</v>
      </c>
      <c r="L110" s="90">
        <v>0.7</v>
      </c>
      <c r="M110" t="s">
        <v>149</v>
      </c>
      <c r="N110" s="90">
        <v>26</v>
      </c>
      <c r="P110" s="87">
        <v>2.6</v>
      </c>
      <c r="R110" s="98">
        <f>G110-P110</f>
        <v>-2.6</v>
      </c>
      <c r="T110" s="90">
        <v>8</v>
      </c>
    </row>
    <row r="111" spans="2:23" x14ac:dyDescent="0.2">
      <c r="H111" s="90"/>
      <c r="I111" s="8"/>
      <c r="J111" s="116"/>
      <c r="L111" s="90"/>
      <c r="N111" s="90"/>
      <c r="P111" s="87"/>
      <c r="R111" s="98"/>
      <c r="T111" s="90"/>
    </row>
    <row r="112" spans="2:23" x14ac:dyDescent="0.2">
      <c r="B112" t="s">
        <v>296</v>
      </c>
      <c r="H112" s="90"/>
      <c r="I112" s="8"/>
      <c r="J112" s="116"/>
      <c r="L112" s="90"/>
      <c r="N112" s="90"/>
      <c r="P112" s="87">
        <v>0.7</v>
      </c>
      <c r="R112" s="98">
        <f>G112-P112</f>
        <v>-0.7</v>
      </c>
      <c r="T112" s="90">
        <v>3</v>
      </c>
    </row>
    <row r="113" spans="2:24" x14ac:dyDescent="0.2">
      <c r="H113" s="90"/>
      <c r="I113" s="8"/>
      <c r="J113" s="90"/>
      <c r="L113" s="90"/>
      <c r="N113" s="90"/>
      <c r="P113" s="87"/>
      <c r="R113" s="98"/>
      <c r="T113" s="90"/>
    </row>
    <row r="114" spans="2:24" hidden="1" x14ac:dyDescent="0.2">
      <c r="B114" t="s">
        <v>177</v>
      </c>
      <c r="H114" s="90">
        <v>1.1000000000000001</v>
      </c>
      <c r="I114" s="8"/>
      <c r="J114" s="116">
        <v>0</v>
      </c>
      <c r="L114" s="90">
        <v>0.7</v>
      </c>
      <c r="N114" s="90">
        <v>27</v>
      </c>
      <c r="P114" s="87">
        <v>0</v>
      </c>
      <c r="R114" s="98">
        <f>G114-P114</f>
        <v>0</v>
      </c>
      <c r="T114" s="90">
        <v>0</v>
      </c>
    </row>
    <row r="115" spans="2:24" hidden="1" x14ac:dyDescent="0.2">
      <c r="H115" s="90"/>
      <c r="I115" s="8"/>
      <c r="J115" s="90" t="s">
        <v>149</v>
      </c>
      <c r="L115" s="90"/>
      <c r="N115" s="90" t="s">
        <v>149</v>
      </c>
      <c r="P115" s="87"/>
      <c r="R115" s="90"/>
      <c r="T115" s="90" t="s">
        <v>149</v>
      </c>
    </row>
    <row r="116" spans="2:24" x14ac:dyDescent="0.2">
      <c r="B116" t="s">
        <v>152</v>
      </c>
      <c r="H116" s="114">
        <v>14</v>
      </c>
      <c r="I116" s="115"/>
      <c r="J116" s="93">
        <v>128</v>
      </c>
      <c r="L116" s="90">
        <v>7.9</v>
      </c>
      <c r="M116" t="s">
        <v>149</v>
      </c>
      <c r="N116" s="90">
        <v>122</v>
      </c>
      <c r="P116" s="87">
        <v>7.1</v>
      </c>
      <c r="R116" s="98">
        <f>G116-P116</f>
        <v>-7.1</v>
      </c>
      <c r="T116" s="90">
        <v>45</v>
      </c>
      <c r="U116" t="s">
        <v>149</v>
      </c>
      <c r="V116" t="s">
        <v>149</v>
      </c>
      <c r="W116" t="s">
        <v>149</v>
      </c>
      <c r="X116" t="s">
        <v>149</v>
      </c>
    </row>
    <row r="117" spans="2:24" x14ac:dyDescent="0.2">
      <c r="H117" s="90"/>
      <c r="I117" s="8"/>
      <c r="J117" s="90"/>
      <c r="L117" s="90"/>
      <c r="N117" s="90"/>
      <c r="P117" s="87"/>
      <c r="R117" s="98"/>
      <c r="T117" s="90"/>
    </row>
    <row r="118" spans="2:24" x14ac:dyDescent="0.2">
      <c r="B118" t="s">
        <v>106</v>
      </c>
      <c r="E118" t="s">
        <v>149</v>
      </c>
      <c r="H118" s="90">
        <v>5.7</v>
      </c>
      <c r="I118" s="8"/>
      <c r="J118" s="93">
        <v>30</v>
      </c>
      <c r="L118" s="90">
        <v>2.5</v>
      </c>
      <c r="M118" t="s">
        <v>149</v>
      </c>
      <c r="N118" s="90">
        <f>28+7</f>
        <v>35</v>
      </c>
      <c r="P118" s="87">
        <v>1.6</v>
      </c>
      <c r="R118" s="98">
        <f>G118-P118</f>
        <v>-1.6</v>
      </c>
      <c r="T118" s="90">
        <f>6</f>
        <v>6</v>
      </c>
    </row>
    <row r="119" spans="2:24" x14ac:dyDescent="0.2">
      <c r="H119" s="90"/>
      <c r="I119" s="8"/>
      <c r="J119" s="93"/>
      <c r="L119" s="90"/>
      <c r="N119" s="90"/>
      <c r="P119" s="87"/>
      <c r="R119" s="98"/>
      <c r="T119" s="90"/>
    </row>
    <row r="120" spans="2:24" x14ac:dyDescent="0.2">
      <c r="B120" t="s">
        <v>295</v>
      </c>
      <c r="H120" s="90"/>
      <c r="I120" s="8"/>
      <c r="J120" s="93"/>
      <c r="L120" s="90"/>
      <c r="N120" s="90"/>
      <c r="P120" s="87">
        <v>1.3</v>
      </c>
      <c r="R120" s="98">
        <f>G120-P120</f>
        <v>-1.3</v>
      </c>
      <c r="T120" s="90">
        <v>5</v>
      </c>
    </row>
    <row r="121" spans="2:24" x14ac:dyDescent="0.2">
      <c r="H121" s="90"/>
      <c r="I121" s="8"/>
      <c r="J121" s="90"/>
      <c r="L121" s="90"/>
      <c r="N121" s="90"/>
      <c r="P121" s="90"/>
      <c r="R121" s="90"/>
      <c r="T121" s="90"/>
    </row>
    <row r="122" spans="2:24" x14ac:dyDescent="0.2">
      <c r="B122" t="s">
        <v>163</v>
      </c>
      <c r="H122" s="90">
        <v>10.7</v>
      </c>
      <c r="I122" s="8"/>
      <c r="J122" s="93">
        <v>39</v>
      </c>
      <c r="L122" s="90">
        <v>4.0999999999999996</v>
      </c>
      <c r="M122" t="s">
        <v>149</v>
      </c>
      <c r="N122" s="99">
        <v>105</v>
      </c>
      <c r="P122" s="87">
        <v>2.5</v>
      </c>
      <c r="R122" s="98">
        <f>G122-P122</f>
        <v>-2.5</v>
      </c>
      <c r="T122" s="90">
        <v>14</v>
      </c>
    </row>
    <row r="123" spans="2:24" hidden="1" x14ac:dyDescent="0.2">
      <c r="B123" t="s">
        <v>182</v>
      </c>
      <c r="H123" s="90">
        <v>1.1000000000000001</v>
      </c>
      <c r="I123" s="8"/>
      <c r="J123" s="116" t="s">
        <v>149</v>
      </c>
      <c r="L123" s="90">
        <v>7.7</v>
      </c>
      <c r="N123" s="99"/>
      <c r="P123" s="87">
        <v>0</v>
      </c>
      <c r="R123" s="98">
        <f>G123-P123</f>
        <v>0</v>
      </c>
      <c r="T123" s="90">
        <v>0</v>
      </c>
    </row>
    <row r="124" spans="2:24" x14ac:dyDescent="0.2">
      <c r="P124" s="90"/>
      <c r="R124" s="90"/>
      <c r="T124" s="90"/>
    </row>
    <row r="125" spans="2:24" x14ac:dyDescent="0.2">
      <c r="B125" t="s">
        <v>129</v>
      </c>
      <c r="H125" s="90">
        <v>39.299999999999997</v>
      </c>
      <c r="I125" s="8"/>
      <c r="J125" s="93">
        <v>90</v>
      </c>
      <c r="L125" s="90">
        <v>10.1</v>
      </c>
      <c r="M125" t="s">
        <v>149</v>
      </c>
      <c r="N125" s="99">
        <v>116</v>
      </c>
      <c r="P125" s="87">
        <v>10.6</v>
      </c>
      <c r="R125" s="98">
        <f>G125-P125</f>
        <v>-10.6</v>
      </c>
      <c r="T125" s="90">
        <v>22</v>
      </c>
      <c r="U125" t="s">
        <v>149</v>
      </c>
      <c r="V125" t="s">
        <v>149</v>
      </c>
    </row>
    <row r="126" spans="2:24" x14ac:dyDescent="0.2">
      <c r="H126" s="90"/>
      <c r="I126" s="8"/>
      <c r="J126" s="99"/>
      <c r="L126" s="90"/>
      <c r="N126" s="99"/>
      <c r="P126" s="87"/>
      <c r="R126" s="98"/>
      <c r="T126" s="90"/>
      <c r="V126" t="s">
        <v>149</v>
      </c>
    </row>
    <row r="127" spans="2:24" x14ac:dyDescent="0.2">
      <c r="B127" t="s">
        <v>165</v>
      </c>
      <c r="H127" s="90"/>
      <c r="I127" s="8"/>
      <c r="J127" s="99"/>
      <c r="L127" s="90"/>
      <c r="M127" t="s">
        <v>149</v>
      </c>
      <c r="N127" s="99"/>
      <c r="P127" s="87"/>
      <c r="R127" s="98"/>
      <c r="T127" s="99"/>
    </row>
    <row r="128" spans="2:24" x14ac:dyDescent="0.2">
      <c r="C128" t="s">
        <v>184</v>
      </c>
      <c r="H128" s="114">
        <f>15.3+0.7</f>
        <v>16</v>
      </c>
      <c r="I128" s="8"/>
      <c r="J128" s="99"/>
      <c r="L128" s="114">
        <v>6</v>
      </c>
      <c r="N128" s="99"/>
      <c r="P128" s="87">
        <v>5</v>
      </c>
      <c r="R128" s="98">
        <f>G128-P128</f>
        <v>-5</v>
      </c>
      <c r="T128" s="99"/>
    </row>
    <row r="129" spans="2:21" x14ac:dyDescent="0.2">
      <c r="C129" t="s">
        <v>185</v>
      </c>
      <c r="H129" s="114">
        <v>1</v>
      </c>
      <c r="I129" s="115"/>
      <c r="J129" s="99"/>
      <c r="L129" s="90">
        <v>0.8</v>
      </c>
      <c r="N129" s="99"/>
      <c r="P129" s="87">
        <v>0.5</v>
      </c>
      <c r="R129" s="98">
        <f>G129-P129</f>
        <v>-0.5</v>
      </c>
      <c r="T129" s="99"/>
    </row>
    <row r="130" spans="2:21" x14ac:dyDescent="0.2">
      <c r="C130" t="s">
        <v>162</v>
      </c>
      <c r="H130" s="114">
        <v>1</v>
      </c>
      <c r="I130" s="115"/>
      <c r="J130" s="99"/>
      <c r="L130" s="114">
        <v>0.1</v>
      </c>
      <c r="N130" s="99"/>
      <c r="P130" s="87">
        <v>1</v>
      </c>
      <c r="R130" s="98">
        <f>G130-P130</f>
        <v>-1</v>
      </c>
      <c r="T130" s="99"/>
    </row>
    <row r="131" spans="2:21" x14ac:dyDescent="0.2">
      <c r="C131" t="s">
        <v>68</v>
      </c>
      <c r="H131" s="90">
        <v>0.4</v>
      </c>
      <c r="I131" s="8"/>
      <c r="J131" s="99"/>
      <c r="L131" s="90">
        <v>0.1</v>
      </c>
      <c r="N131" s="99"/>
      <c r="P131" s="87">
        <v>0.6</v>
      </c>
      <c r="R131" s="98">
        <f>G131-P131</f>
        <v>-0.6</v>
      </c>
      <c r="T131" s="99"/>
    </row>
    <row r="132" spans="2:21" x14ac:dyDescent="0.2">
      <c r="H132" s="90"/>
      <c r="I132" s="8"/>
      <c r="J132" s="99"/>
      <c r="L132" s="90"/>
      <c r="N132" s="99"/>
      <c r="P132" s="87"/>
      <c r="R132" s="98"/>
      <c r="T132" s="99"/>
    </row>
    <row r="133" spans="2:21" hidden="1" x14ac:dyDescent="0.2">
      <c r="B133" t="s">
        <v>205</v>
      </c>
      <c r="H133" s="90">
        <f>7.3-0.4</f>
        <v>6.8999999999999995</v>
      </c>
      <c r="I133" s="8"/>
      <c r="J133" s="99"/>
      <c r="L133" s="90">
        <v>37.4</v>
      </c>
      <c r="N133" s="99"/>
      <c r="P133" s="87">
        <v>0</v>
      </c>
      <c r="R133" s="98"/>
      <c r="T133" s="99"/>
    </row>
    <row r="134" spans="2:21" hidden="1" x14ac:dyDescent="0.2">
      <c r="H134" s="90"/>
      <c r="I134" s="8"/>
      <c r="J134" s="99"/>
      <c r="L134" s="90"/>
      <c r="N134" s="99"/>
      <c r="P134" s="87"/>
      <c r="R134" s="98"/>
      <c r="T134" s="99"/>
    </row>
    <row r="135" spans="2:21" hidden="1" x14ac:dyDescent="0.2">
      <c r="B135" t="s">
        <v>15</v>
      </c>
      <c r="H135" s="101">
        <v>0</v>
      </c>
      <c r="I135" s="8"/>
      <c r="J135" s="99"/>
      <c r="L135" s="90">
        <v>20.9</v>
      </c>
      <c r="N135" s="99"/>
      <c r="P135" s="87"/>
      <c r="R135" s="98"/>
      <c r="T135" s="99"/>
    </row>
    <row r="136" spans="2:21" hidden="1" x14ac:dyDescent="0.2">
      <c r="H136" s="90"/>
      <c r="I136" s="8"/>
      <c r="J136" s="99"/>
      <c r="L136" s="90"/>
      <c r="N136" s="99"/>
      <c r="P136" s="87"/>
      <c r="R136" s="98"/>
      <c r="T136" s="99"/>
    </row>
    <row r="137" spans="2:21" hidden="1" x14ac:dyDescent="0.2">
      <c r="B137" t="s">
        <v>186</v>
      </c>
      <c r="H137" s="90">
        <v>0.1</v>
      </c>
      <c r="I137" s="8"/>
      <c r="J137" s="99">
        <v>0</v>
      </c>
      <c r="L137" s="114">
        <v>13.6</v>
      </c>
      <c r="N137" s="99">
        <f>29+29+10+37+24</f>
        <v>129</v>
      </c>
      <c r="P137" s="87">
        <v>0</v>
      </c>
      <c r="R137" s="98">
        <f>G137-P137</f>
        <v>0</v>
      </c>
      <c r="T137" s="99">
        <v>0</v>
      </c>
    </row>
    <row r="138" spans="2:21" hidden="1" x14ac:dyDescent="0.2">
      <c r="H138" s="90"/>
      <c r="I138" s="8"/>
      <c r="J138" s="99"/>
      <c r="L138" s="90"/>
      <c r="N138" s="99"/>
      <c r="P138" s="87"/>
      <c r="R138" s="98"/>
      <c r="T138" s="99"/>
    </row>
    <row r="139" spans="2:21" x14ac:dyDescent="0.2">
      <c r="H139" s="90"/>
      <c r="I139" s="8"/>
      <c r="J139" s="99"/>
      <c r="L139" s="90"/>
      <c r="N139" s="99"/>
      <c r="P139" s="87"/>
      <c r="R139" s="98"/>
      <c r="T139" s="99"/>
    </row>
    <row r="140" spans="2:21" x14ac:dyDescent="0.2">
      <c r="B140" t="s">
        <v>187</v>
      </c>
      <c r="H140" s="90"/>
      <c r="I140" s="8"/>
      <c r="J140" s="99"/>
      <c r="L140" s="87"/>
      <c r="N140" s="99"/>
      <c r="P140" s="87">
        <f>9+2.4+2</f>
        <v>13.4</v>
      </c>
      <c r="R140" s="98">
        <f>G140-P140</f>
        <v>-13.4</v>
      </c>
      <c r="T140" s="99"/>
      <c r="U140" t="s">
        <v>206</v>
      </c>
    </row>
    <row r="141" spans="2:21" x14ac:dyDescent="0.2">
      <c r="H141" s="90"/>
      <c r="I141" s="8"/>
      <c r="J141" s="99"/>
      <c r="L141" s="90"/>
      <c r="N141" s="99"/>
      <c r="P141" s="87"/>
      <c r="R141" s="98"/>
      <c r="T141" s="99"/>
      <c r="U141" t="s">
        <v>207</v>
      </c>
    </row>
    <row r="142" spans="2:21" x14ac:dyDescent="0.2">
      <c r="B142" t="s">
        <v>166</v>
      </c>
      <c r="H142" s="90">
        <v>130.6</v>
      </c>
      <c r="I142" s="8"/>
      <c r="J142" s="90"/>
      <c r="L142" s="87">
        <v>61.2</v>
      </c>
      <c r="N142" s="90"/>
      <c r="P142" s="87">
        <v>0</v>
      </c>
      <c r="R142" s="101">
        <v>0</v>
      </c>
      <c r="T142" s="90"/>
    </row>
    <row r="143" spans="2:21" x14ac:dyDescent="0.2">
      <c r="H143" s="90"/>
      <c r="I143" s="8"/>
      <c r="J143" s="92"/>
      <c r="L143" s="90"/>
      <c r="N143" s="92"/>
      <c r="P143" s="87"/>
      <c r="Q143" s="8"/>
      <c r="R143" s="98"/>
      <c r="T143" s="92"/>
    </row>
    <row r="144" spans="2:21" x14ac:dyDescent="0.2">
      <c r="D144" s="33" t="s">
        <v>167</v>
      </c>
      <c r="H144" s="119">
        <f>+H116+H118+H77+H108+H110+H114+H99+H122+H101+H102+H123+H104+H106+H125+H128+H129+H130+H131+H137+H140+H133+H142</f>
        <v>371.1</v>
      </c>
      <c r="I144" s="104"/>
      <c r="J144" s="120">
        <f>+J116+J118+J99+J122+J101+J125</f>
        <v>914</v>
      </c>
      <c r="L144" s="119">
        <f>+L116+L118+L77+L108+L110+L114+L99+L122+L101+L102+L123+L104+L106+L125+L128+L129+L130+L131+L137+L140+L133+L142+L135</f>
        <v>313.19999999999993</v>
      </c>
      <c r="N144" s="120">
        <f>+N116+N118+N77+N108+N110+N114+N99+N122+N101+N102+N123+N104+N106+N125+N128+N129+N130+N131+N137+N140+N133+N142</f>
        <v>656</v>
      </c>
      <c r="P144" s="119">
        <f>P73+P75+P116+P118+P77+P108+P110+P114+P99+P122+P101+P102+P123+P104+P106+P125+P128+P129+P130+P131+P137+P140+P133+P142+P120+P112+P83+P81+P79</f>
        <v>182</v>
      </c>
      <c r="Q144" s="103" t="s">
        <v>149</v>
      </c>
      <c r="R144" s="119">
        <f>R73+R75+R116+R118+R77+R108+R110+R114+R99+R122+R101+R102+R123+R104+R106+R125+R128+R129+R130+R131+R137+R140+R133+R142+R120+R112+R83+R81+R79</f>
        <v>-182</v>
      </c>
      <c r="T144" s="120">
        <f>T73+T75+T116+T118+T77+T108+T110+T114+T99+T122+T101+T102+T123+T104+T106+T125+T128+T129+T130+T131+T1+T79+T81+T83+T10537+T140+T133+T142+T112+T120</f>
        <v>700</v>
      </c>
    </row>
    <row r="145" spans="2:20" x14ac:dyDescent="0.2">
      <c r="E145" s="104"/>
      <c r="F145" s="8"/>
      <c r="G145" s="104"/>
      <c r="H145" s="87"/>
      <c r="I145" s="104"/>
      <c r="J145" s="102"/>
      <c r="K145" s="104"/>
      <c r="L145" s="87"/>
      <c r="N145" s="102"/>
      <c r="P145" s="102"/>
      <c r="R145" s="102"/>
      <c r="T145" s="102"/>
    </row>
    <row r="146" spans="2:20" x14ac:dyDescent="0.2">
      <c r="E146" s="104"/>
      <c r="F146" s="8"/>
      <c r="G146" s="104"/>
      <c r="H146" s="87"/>
      <c r="I146" s="104"/>
      <c r="J146" s="87"/>
      <c r="K146" s="104"/>
      <c r="L146" s="87"/>
      <c r="N146" s="87"/>
      <c r="P146" s="87"/>
      <c r="R146" s="87"/>
      <c r="T146" s="87"/>
    </row>
    <row r="147" spans="2:20" x14ac:dyDescent="0.2">
      <c r="D147" s="33" t="s">
        <v>208</v>
      </c>
      <c r="E147" s="105"/>
      <c r="F147" s="8"/>
      <c r="G147" s="95">
        <f>G71</f>
        <v>875</v>
      </c>
      <c r="H147" s="106">
        <f>H144+H71</f>
        <v>726</v>
      </c>
      <c r="I147" s="118"/>
      <c r="J147" s="107">
        <f>J144+J71</f>
        <v>1661</v>
      </c>
      <c r="K147" s="105"/>
      <c r="L147" s="106">
        <f>L144+L71</f>
        <v>837.99999999999989</v>
      </c>
      <c r="N147" s="107">
        <f>N144+N71</f>
        <v>1214</v>
      </c>
      <c r="P147" s="106">
        <f>P144+P71</f>
        <v>229.09999999999997</v>
      </c>
      <c r="R147" s="106">
        <f>G147-P147</f>
        <v>645.90000000000009</v>
      </c>
      <c r="T147" s="107">
        <f>T144+T71</f>
        <v>856</v>
      </c>
    </row>
    <row r="148" spans="2:20" x14ac:dyDescent="0.2">
      <c r="F148" s="8"/>
      <c r="G148" s="104"/>
      <c r="H148" s="104"/>
      <c r="I148" s="104"/>
      <c r="J148" s="104"/>
      <c r="K148" s="104"/>
      <c r="L148" s="104"/>
      <c r="P148" s="104"/>
      <c r="R148" s="104"/>
      <c r="T148" s="104"/>
    </row>
    <row r="149" spans="2:20" x14ac:dyDescent="0.2">
      <c r="B149" t="s">
        <v>211</v>
      </c>
      <c r="G149" s="8"/>
      <c r="H149" s="8"/>
      <c r="I149" s="8"/>
      <c r="J149" s="8"/>
      <c r="K149" s="8"/>
      <c r="L149" s="8"/>
      <c r="P149" s="8"/>
      <c r="Q149" s="8"/>
      <c r="R149" s="8"/>
      <c r="S149" s="8"/>
      <c r="T149" s="8"/>
    </row>
    <row r="150" spans="2:20" x14ac:dyDescent="0.2">
      <c r="B150" t="s">
        <v>212</v>
      </c>
      <c r="G150" s="8"/>
      <c r="H150" s="8"/>
      <c r="I150" s="8"/>
      <c r="J150" s="8"/>
      <c r="K150" s="8"/>
      <c r="L150" s="8"/>
    </row>
    <row r="151" spans="2:20" x14ac:dyDescent="0.2">
      <c r="B151" t="s">
        <v>213</v>
      </c>
      <c r="G151" s="8"/>
      <c r="H151" s="8"/>
      <c r="I151" s="8"/>
      <c r="J151" s="8"/>
      <c r="K151" s="8"/>
      <c r="L151" s="8"/>
    </row>
    <row r="152" spans="2:20" x14ac:dyDescent="0.2">
      <c r="B152" t="s">
        <v>214</v>
      </c>
      <c r="G152" s="8"/>
      <c r="H152" s="8"/>
      <c r="I152" s="8"/>
      <c r="J152" s="8"/>
      <c r="K152" s="8"/>
      <c r="L152" s="8"/>
    </row>
    <row r="153" spans="2:20" x14ac:dyDescent="0.2">
      <c r="B153" t="s">
        <v>280</v>
      </c>
    </row>
    <row r="154" spans="2:20" x14ac:dyDescent="0.2">
      <c r="B154" t="s">
        <v>284</v>
      </c>
    </row>
  </sheetData>
  <mergeCells count="1">
    <mergeCell ref="A3:T3"/>
  </mergeCells>
  <phoneticPr fontId="0" type="noConversion"/>
  <pageMargins left="0.52" right="0.46" top="0.5" bottom="0.45" header="0.38" footer="0.34"/>
  <pageSetup scale="47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R39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4" max="14" width="21.28515625" customWidth="1"/>
    <col min="15" max="15" width="16.85546875" customWidth="1"/>
    <col min="16" max="16" width="10.28515625" customWidth="1"/>
    <col min="17" max="17" width="10.7109375" customWidth="1"/>
  </cols>
  <sheetData>
    <row r="1" spans="1:44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0" t="s">
        <v>251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(L28-H10)</f>
        <v>1148400</v>
      </c>
      <c r="I8" s="42" t="s">
        <v>10</v>
      </c>
      <c r="J8" s="17">
        <v>0</v>
      </c>
      <c r="K8" s="17"/>
      <c r="L8" s="43">
        <f>L30</f>
        <v>1378080</v>
      </c>
      <c r="Q8" s="15"/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(L21+L22)*1.2</f>
        <v>0</v>
      </c>
      <c r="I10" s="42"/>
      <c r="J10" s="17"/>
      <c r="K10" s="17"/>
      <c r="L10" s="43"/>
      <c r="Q10" s="15"/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(L30-L28)*1.2</f>
        <v>275616</v>
      </c>
      <c r="I11" s="42" t="s">
        <v>15</v>
      </c>
      <c r="J11" s="17">
        <f>(E12+E13+E14+E15+E16+E17+E18+E19+E20+E21+E22)/E29</f>
        <v>48270.181250000009</v>
      </c>
      <c r="K11" s="17">
        <f>K28</f>
        <v>7</v>
      </c>
      <c r="L11" s="43">
        <f>J11*K11</f>
        <v>337891.26875000005</v>
      </c>
      <c r="N11" s="124"/>
      <c r="O11" s="124"/>
      <c r="P11" s="124"/>
      <c r="Q11" s="15"/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>((E12/$E$29)*$K$11)*1.2</f>
        <v>51764.779499999975</v>
      </c>
      <c r="I12" s="42"/>
      <c r="J12" s="17"/>
      <c r="K12" s="17"/>
      <c r="L12" s="43"/>
      <c r="N12" s="124"/>
      <c r="O12" s="124"/>
      <c r="P12" s="124"/>
      <c r="Q12" s="15"/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>(+((3500*5)+(1500*2))*12)*1.2</f>
        <v>295200</v>
      </c>
      <c r="I13" s="46" t="s">
        <v>20</v>
      </c>
      <c r="J13" s="47"/>
      <c r="K13" s="47"/>
      <c r="L13" s="48">
        <f>L8+L11</f>
        <v>1715971.26875</v>
      </c>
      <c r="N13" s="124"/>
      <c r="O13" s="124"/>
      <c r="P13" s="124"/>
      <c r="Q13" s="15"/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>((E14/$E$29)*$K$11)*1.2</f>
        <v>1.6800000001385339E-2</v>
      </c>
      <c r="N14" s="124"/>
      <c r="O14" s="124"/>
      <c r="P14" s="124"/>
      <c r="Q14" s="15"/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>((E15/$E$29)*$K$11)*1.2</f>
        <v>7319.4099999999989</v>
      </c>
      <c r="N15" s="124"/>
      <c r="O15" s="124"/>
      <c r="P15" s="124"/>
      <c r="Q15" s="15"/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>((E16/$E$29)*$K$11)*1.2</f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N16" s="124"/>
      <c r="O16" s="124"/>
      <c r="P16" s="124"/>
      <c r="Q16" s="15"/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>((E17/$E$29)*$K$11)*1.2</f>
        <v>412.99999999999994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N17" s="124"/>
      <c r="O17" s="124"/>
      <c r="P17" s="124"/>
      <c r="Q17" s="15"/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>((E18/$E$29)*$K$11)*1.2</f>
        <v>7500.8444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Q18" s="15"/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18000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Q19" s="15"/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>((E20/$E$29)*$K$11)*1.2</f>
        <v>1.1199999999999999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Q20" s="15"/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>((E21/$E$29)*$K$11)*1.2</f>
        <v>9505.2236999999914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1813720.3944000001</v>
      </c>
      <c r="I23" s="25" t="s">
        <v>48</v>
      </c>
      <c r="J23" s="25">
        <v>110000</v>
      </c>
      <c r="K23" s="25">
        <f>2+1</f>
        <v>3</v>
      </c>
      <c r="L23" s="25">
        <f t="shared" si="1"/>
        <v>330000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f>1+2</f>
        <v>3</v>
      </c>
      <c r="L24" s="25">
        <f t="shared" si="1"/>
        <v>429000</v>
      </c>
      <c r="P24" s="8"/>
      <c r="Q24" s="8"/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7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P26" s="8"/>
      <c r="Q26" s="32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">
      <c r="K28" s="25">
        <f>SUM(K16:K27)</f>
        <v>7</v>
      </c>
      <c r="L28" s="25">
        <f>SUM(L16:L27)*1.2</f>
        <v>1148400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7</v>
      </c>
      <c r="L29" s="52">
        <v>0.2</v>
      </c>
      <c r="P29" s="8"/>
      <c r="Q29" s="32"/>
    </row>
    <row r="30" spans="1:17" hidden="1" x14ac:dyDescent="0.2">
      <c r="L30" s="25">
        <f>L28*1.2</f>
        <v>1378080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7</v>
      </c>
      <c r="L34" s="37">
        <f>+J34*K34</f>
        <v>337891.26875000005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R39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10.28515625" bestFit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40" t="str">
        <f>'[20]Team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0" t="s">
        <v>266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  <c r="N5" s="126" t="s">
        <v>252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N6" s="44" t="s">
        <v>63</v>
      </c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N7" s="12" t="s">
        <v>7</v>
      </c>
      <c r="Q7" s="12"/>
    </row>
    <row r="8" spans="1:44" x14ac:dyDescent="0.2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1087020</v>
      </c>
      <c r="I8" s="42" t="s">
        <v>10</v>
      </c>
      <c r="J8" s="17">
        <v>0</v>
      </c>
      <c r="K8" s="17"/>
      <c r="L8" s="43">
        <f>L30</f>
        <v>1449360</v>
      </c>
      <c r="M8" s="127"/>
      <c r="N8" s="15">
        <f>H8/2*1.5</f>
        <v>815265</v>
      </c>
      <c r="Q8" s="15"/>
    </row>
    <row r="9" spans="1:44" hidden="1" x14ac:dyDescent="0.2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N9" s="15"/>
      <c r="Q9" s="15"/>
    </row>
    <row r="10" spans="1:44" x14ac:dyDescent="0.2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0</v>
      </c>
      <c r="I10" s="42"/>
      <c r="J10" s="17"/>
      <c r="K10" s="17"/>
      <c r="L10" s="43"/>
      <c r="N10" s="15">
        <v>0</v>
      </c>
      <c r="Q10" s="15"/>
    </row>
    <row r="11" spans="1:44" x14ac:dyDescent="0.2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v>217404</v>
      </c>
      <c r="I11" s="42" t="s">
        <v>15</v>
      </c>
      <c r="J11" s="17">
        <f>(E12+E13+E14+E15+E16+E17+E18+E19+E20+E21+E22)/E29</f>
        <v>48270.181250000009</v>
      </c>
      <c r="K11" s="17">
        <f>K28</f>
        <v>7</v>
      </c>
      <c r="L11" s="43">
        <f>J11*K11</f>
        <v>337891.26875000005</v>
      </c>
      <c r="N11" s="15">
        <f>H11/2*1.5</f>
        <v>163053</v>
      </c>
      <c r="Q11" s="15"/>
    </row>
    <row r="12" spans="1:44" x14ac:dyDescent="0.2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78000</v>
      </c>
      <c r="I12" s="42"/>
      <c r="J12" s="17"/>
      <c r="K12" s="17"/>
      <c r="L12" s="43"/>
      <c r="N12" s="15">
        <v>65000</v>
      </c>
      <c r="Q12" s="15"/>
    </row>
    <row r="13" spans="1:44" ht="13.5" thickBot="1" x14ac:dyDescent="0.2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300000</v>
      </c>
      <c r="I13" s="46" t="s">
        <v>20</v>
      </c>
      <c r="J13" s="47"/>
      <c r="K13" s="47"/>
      <c r="L13" s="48">
        <f>L8+L11</f>
        <v>1787251.26875</v>
      </c>
      <c r="N13" s="15">
        <v>250000</v>
      </c>
      <c r="P13" s="49"/>
      <c r="Q13" s="15"/>
    </row>
    <row r="14" spans="1:44" x14ac:dyDescent="0.2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N14" s="15">
        <v>0</v>
      </c>
      <c r="Q14" s="15"/>
    </row>
    <row r="15" spans="1:44" x14ac:dyDescent="0.2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19029.599999999999</v>
      </c>
      <c r="N15" s="15">
        <f>20000-4142</f>
        <v>15858</v>
      </c>
      <c r="Q15" s="15"/>
    </row>
    <row r="16" spans="1:44" x14ac:dyDescent="0.2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N16" s="15">
        <v>0</v>
      </c>
      <c r="Q16" s="15"/>
    </row>
    <row r="17" spans="1:17" x14ac:dyDescent="0.2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0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N17" s="15">
        <v>0</v>
      </c>
      <c r="Q17" s="15"/>
    </row>
    <row r="18" spans="1:17" x14ac:dyDescent="0.2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120000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N18" s="15">
        <v>100000</v>
      </c>
      <c r="Q18" s="15"/>
    </row>
    <row r="19" spans="1:17" x14ac:dyDescent="0.2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36000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N19" s="15">
        <v>30000</v>
      </c>
      <c r="Q19" s="15"/>
    </row>
    <row r="20" spans="1:17" x14ac:dyDescent="0.2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1.2</v>
      </c>
      <c r="I20" s="25" t="s">
        <v>39</v>
      </c>
      <c r="J20" s="25">
        <v>71500</v>
      </c>
      <c r="K20" s="25">
        <v>1</v>
      </c>
      <c r="L20" s="25">
        <f t="shared" si="1"/>
        <v>71500</v>
      </c>
      <c r="N20" s="15">
        <v>1</v>
      </c>
      <c r="Q20" s="15"/>
    </row>
    <row r="21" spans="1:17" x14ac:dyDescent="0.2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12000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N21" s="15">
        <v>10000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N22" s="15">
        <v>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1869454.8</v>
      </c>
      <c r="I23" s="25" t="s">
        <v>48</v>
      </c>
      <c r="J23" s="25">
        <v>110000</v>
      </c>
      <c r="K23" s="25">
        <v>1</v>
      </c>
      <c r="L23" s="25">
        <f t="shared" si="1"/>
        <v>110000</v>
      </c>
      <c r="N23" s="28">
        <f>SUM(N8:N22)</f>
        <v>1449177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f>1+1+1</f>
        <v>3</v>
      </c>
      <c r="L24" s="25">
        <f t="shared" si="1"/>
        <v>429000</v>
      </c>
      <c r="P24" s="8"/>
      <c r="Q24" s="8"/>
    </row>
    <row r="25" spans="1:17" x14ac:dyDescent="0.2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f>+K16+K17+K18+K19+K20+K23+K24+K25+K26+K27</f>
        <v>7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f>1+1</f>
        <v>2</v>
      </c>
      <c r="L26" s="25">
        <f t="shared" si="1"/>
        <v>396000</v>
      </c>
      <c r="P26" s="8"/>
      <c r="Q26" s="32"/>
    </row>
    <row r="27" spans="1:17" x14ac:dyDescent="0.2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">
      <c r="K28" s="25">
        <f>SUM(K16:K27)</f>
        <v>7</v>
      </c>
      <c r="L28" s="25">
        <f>SUM(L16:L27)*1.2</f>
        <v>1207800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7</v>
      </c>
      <c r="L29" s="52">
        <v>0.2</v>
      </c>
      <c r="P29" s="8"/>
      <c r="Q29" s="32"/>
    </row>
    <row r="30" spans="1:17" hidden="1" x14ac:dyDescent="0.2">
      <c r="L30" s="25">
        <f>L28*1.2</f>
        <v>1449360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7</v>
      </c>
      <c r="L34" s="37">
        <f>+J34*K34</f>
        <v>337891.26875000005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AQ50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21.140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8.140625" style="25" hidden="1" customWidth="1"/>
    <col min="13" max="13" width="0" hidden="1" customWidth="1"/>
    <col min="14" max="14" width="9.7109375" customWidth="1"/>
    <col min="15" max="15" width="10.28515625" customWidth="1"/>
    <col min="16" max="16" width="10.7109375" customWidth="1"/>
  </cols>
  <sheetData>
    <row r="1" spans="1:43" ht="18" x14ac:dyDescent="0.25">
      <c r="B1" s="140" t="str">
        <f>'[20]Team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40" t="s">
        <v>294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I4" s="39"/>
      <c r="J4" s="40"/>
      <c r="K4" s="40"/>
      <c r="L4" s="41"/>
    </row>
    <row r="5" spans="1:43" x14ac:dyDescent="0.2">
      <c r="I5" s="42"/>
      <c r="J5" s="17" t="s">
        <v>1</v>
      </c>
      <c r="K5" s="17" t="s">
        <v>2</v>
      </c>
      <c r="L5" s="43" t="s">
        <v>3</v>
      </c>
    </row>
    <row r="6" spans="1:43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P6" s="44"/>
    </row>
    <row r="7" spans="1:43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P7" s="12"/>
    </row>
    <row r="8" spans="1:43" x14ac:dyDescent="0.2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(+'Derivatives w-o  AA'!H8+Mexico!H8)*1.2</f>
        <v>1748352</v>
      </c>
      <c r="I8" s="42" t="s">
        <v>10</v>
      </c>
      <c r="J8" s="17">
        <v>0</v>
      </c>
      <c r="K8" s="17"/>
      <c r="L8" s="43">
        <f>L30</f>
        <v>1956240</v>
      </c>
      <c r="P8" s="15"/>
    </row>
    <row r="9" spans="1:43" hidden="1" x14ac:dyDescent="0.2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>
        <f>(+'Derivatives w-o  AA'!H9+Mexico!H9)*1.2</f>
        <v>0</v>
      </c>
      <c r="I9" s="42"/>
      <c r="J9" s="17"/>
      <c r="K9" s="17"/>
      <c r="L9" s="43"/>
      <c r="P9" s="15"/>
    </row>
    <row r="10" spans="1:43" x14ac:dyDescent="0.2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f>(+'Derivatives w-o  AA'!H10+Mexico!H10)*1.2</f>
        <v>0</v>
      </c>
      <c r="I10" s="42"/>
      <c r="J10" s="17"/>
      <c r="K10" s="17"/>
      <c r="L10" s="43"/>
      <c r="P10" s="15"/>
    </row>
    <row r="11" spans="1:43" x14ac:dyDescent="0.2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(+'Derivatives w-o  AA'!H11+Mexico!H11)*1.2</f>
        <v>355608</v>
      </c>
      <c r="I11" s="42" t="s">
        <v>15</v>
      </c>
      <c r="J11" s="17">
        <f>(E12+E13+E14+E15+E16+E17+E18+E19+E20+E21+E22)/E29</f>
        <v>48270.181250000009</v>
      </c>
      <c r="K11" s="17">
        <f>K28</f>
        <v>10</v>
      </c>
      <c r="L11" s="43">
        <f>J11*K11</f>
        <v>482701.81250000012</v>
      </c>
      <c r="P11" s="15"/>
    </row>
    <row r="12" spans="1:43" x14ac:dyDescent="0.2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(+'Derivatives w-o  AA'!H12+Mexico!H12)*1.2</f>
        <v>99000</v>
      </c>
      <c r="I12" s="42"/>
      <c r="J12" s="17"/>
      <c r="K12" s="17"/>
      <c r="L12" s="43"/>
      <c r="P12" s="15"/>
    </row>
    <row r="13" spans="1:43" ht="13.5" thickBot="1" x14ac:dyDescent="0.2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(+'Derivatives w-o  AA'!H13+Mexico!H13)*1.2</f>
        <v>330000</v>
      </c>
      <c r="I13" s="46" t="s">
        <v>20</v>
      </c>
      <c r="J13" s="47"/>
      <c r="K13" s="47"/>
      <c r="L13" s="48">
        <f>L8+L11</f>
        <v>2438941.8125</v>
      </c>
      <c r="O13" s="49"/>
      <c r="P13" s="15"/>
    </row>
    <row r="14" spans="1:43" x14ac:dyDescent="0.2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(+'Derivatives w-o  AA'!H14+Mexico!H14)*1.2</f>
        <v>0</v>
      </c>
      <c r="P14" s="15"/>
    </row>
    <row r="15" spans="1:43" x14ac:dyDescent="0.2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(+'Derivatives w-o  AA'!H15+Mexico!H15)*1.2</f>
        <v>60000</v>
      </c>
      <c r="P15" s="15"/>
    </row>
    <row r="16" spans="1:43" x14ac:dyDescent="0.2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15">
        <f>(+'Derivatives w-o  AA'!H16+Mexico!H16)*1.2</f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P16" s="15"/>
    </row>
    <row r="17" spans="1:16" x14ac:dyDescent="0.2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(+'Derivatives w-o  AA'!H17+Mexico!H17)*1.2</f>
        <v>754.8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P17" s="15"/>
    </row>
    <row r="18" spans="1:16" x14ac:dyDescent="0.2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(+'Derivatives w-o  AA'!H18+Mexico!H18)*1.2</f>
        <v>111000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P18" s="15"/>
    </row>
    <row r="19" spans="1:16" x14ac:dyDescent="0.2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(+'Derivatives w-o  AA'!H19+Mexico!H19)*1.2</f>
        <v>126000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P19" s="15"/>
    </row>
    <row r="20" spans="1:16" x14ac:dyDescent="0.2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(+'Derivatives w-o  AA'!H20+Mexico!H20)*1.2</f>
        <v>4.5599999999999996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P20" s="15"/>
    </row>
    <row r="21" spans="1:16" x14ac:dyDescent="0.2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(+'Derivatives w-o  AA'!H21+Mexico!H21)*1.2</f>
        <v>22200</v>
      </c>
      <c r="I21" s="25" t="s">
        <v>42</v>
      </c>
      <c r="J21" s="25">
        <v>60500</v>
      </c>
      <c r="K21" s="25">
        <v>1</v>
      </c>
      <c r="L21" s="25">
        <f t="shared" si="1"/>
        <v>60500</v>
      </c>
      <c r="O21" s="8"/>
      <c r="P21" s="32"/>
    </row>
    <row r="22" spans="1:16" x14ac:dyDescent="0.2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O22" s="8"/>
      <c r="P22" s="32"/>
    </row>
    <row r="23" spans="1:16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2852919.36</v>
      </c>
      <c r="I23" s="25" t="s">
        <v>48</v>
      </c>
      <c r="J23" s="25">
        <v>110000</v>
      </c>
      <c r="K23" s="25">
        <f>2+1</f>
        <v>3</v>
      </c>
      <c r="L23" s="25">
        <f t="shared" si="1"/>
        <v>330000</v>
      </c>
      <c r="O23" s="8"/>
      <c r="P23" s="29"/>
    </row>
    <row r="24" spans="1:16" x14ac:dyDescent="0.2">
      <c r="I24" s="25" t="s">
        <v>49</v>
      </c>
      <c r="J24" s="25">
        <v>143000</v>
      </c>
      <c r="K24" s="25">
        <f>2+1+1</f>
        <v>4</v>
      </c>
      <c r="L24" s="25">
        <f t="shared" si="1"/>
        <v>572000</v>
      </c>
      <c r="O24" s="8"/>
      <c r="P24" s="8"/>
    </row>
    <row r="25" spans="1:16" x14ac:dyDescent="0.2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f>+'Derivatives w-o  AA'!H25+Mexico!H25</f>
        <v>11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O25" s="8"/>
      <c r="P25" s="32"/>
    </row>
    <row r="26" spans="1:16" x14ac:dyDescent="0.2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1"/>
        <v>396000</v>
      </c>
      <c r="O26" s="8"/>
      <c r="P26" s="32"/>
    </row>
    <row r="27" spans="1:16" x14ac:dyDescent="0.2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f>+'Derivatives w-o  AA'!H27+Mexico!H27</f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O27" s="8"/>
      <c r="P27" s="32"/>
    </row>
    <row r="28" spans="1:16" x14ac:dyDescent="0.2">
      <c r="K28" s="25">
        <f>SUM(K16:K27)</f>
        <v>10</v>
      </c>
      <c r="L28" s="25">
        <f>SUM(L16:L27)*1.2</f>
        <v>1630200</v>
      </c>
      <c r="O28" s="8"/>
      <c r="P28" s="8"/>
    </row>
    <row r="29" spans="1:16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11</v>
      </c>
      <c r="L29" s="52">
        <v>0.2</v>
      </c>
      <c r="O29" s="8"/>
      <c r="P29" s="32"/>
    </row>
    <row r="30" spans="1:16" hidden="1" x14ac:dyDescent="0.2">
      <c r="L30" s="25">
        <f>L28*1.2</f>
        <v>1956240</v>
      </c>
      <c r="O30" s="8"/>
      <c r="P30" s="8"/>
    </row>
    <row r="31" spans="1:16" hidden="1" x14ac:dyDescent="0.2">
      <c r="H31" s="33" t="s">
        <v>56</v>
      </c>
      <c r="L31"/>
      <c r="O31" s="8"/>
      <c r="P31" s="8"/>
    </row>
    <row r="32" spans="1:16" hidden="1" x14ac:dyDescent="0.2">
      <c r="B32" s="14" t="s">
        <v>22</v>
      </c>
      <c r="C32" s="15">
        <v>254512</v>
      </c>
      <c r="L32"/>
      <c r="O32" s="8"/>
      <c r="P32" s="8"/>
    </row>
    <row r="33" spans="2:16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O33" s="8"/>
      <c r="P33" s="8"/>
    </row>
    <row r="34" spans="2:16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10</v>
      </c>
      <c r="L34" s="37">
        <f>+J34*K34</f>
        <v>482701.81250000012</v>
      </c>
      <c r="O34" s="8"/>
      <c r="P34" s="8"/>
    </row>
    <row r="35" spans="2:16" hidden="1" x14ac:dyDescent="0.2">
      <c r="O35" s="8"/>
      <c r="P35" s="8"/>
    </row>
    <row r="36" spans="2:16" hidden="1" x14ac:dyDescent="0.2">
      <c r="O36" s="8"/>
      <c r="P36" s="8"/>
    </row>
    <row r="37" spans="2:16" hidden="1" x14ac:dyDescent="0.2">
      <c r="O37" s="8"/>
      <c r="P37" s="8"/>
    </row>
    <row r="38" spans="2:16" hidden="1" x14ac:dyDescent="0.2">
      <c r="O38" s="8"/>
      <c r="P38" s="8"/>
    </row>
    <row r="39" spans="2:16" x14ac:dyDescent="0.2">
      <c r="O39" s="8"/>
      <c r="P39" s="8"/>
    </row>
    <row r="42" spans="2:16" x14ac:dyDescent="0.2">
      <c r="B42" s="124"/>
      <c r="C42" s="124"/>
      <c r="D42" s="124"/>
    </row>
    <row r="43" spans="2:16" x14ac:dyDescent="0.2">
      <c r="B43" s="124"/>
      <c r="C43" s="124"/>
      <c r="D43" s="124"/>
    </row>
    <row r="44" spans="2:16" x14ac:dyDescent="0.2">
      <c r="B44" s="124"/>
      <c r="C44" s="124"/>
      <c r="D44" s="124"/>
    </row>
    <row r="45" spans="2:16" x14ac:dyDescent="0.2">
      <c r="B45" s="124"/>
      <c r="C45" s="124"/>
      <c r="D45" s="124"/>
    </row>
    <row r="46" spans="2:16" x14ac:dyDescent="0.2">
      <c r="B46" s="124"/>
      <c r="C46" s="124"/>
      <c r="D46" s="124"/>
    </row>
    <row r="47" spans="2:16" x14ac:dyDescent="0.2">
      <c r="B47" s="124"/>
      <c r="C47" s="124"/>
      <c r="D47" s="124"/>
    </row>
    <row r="48" spans="2:16" x14ac:dyDescent="0.2">
      <c r="B48" s="124"/>
      <c r="C48" s="124"/>
      <c r="D48" s="124"/>
    </row>
    <row r="49" spans="2:4" x14ac:dyDescent="0.2">
      <c r="B49" s="124"/>
      <c r="C49" s="124"/>
      <c r="D49" s="124"/>
    </row>
    <row r="50" spans="2:4" x14ac:dyDescent="0.2">
      <c r="B50" s="1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AQ50"/>
  <sheetViews>
    <sheetView zoomScale="80" zoomScaleNormal="100" workbookViewId="0">
      <selection activeCell="B3" sqref="B3:H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21.140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8.140625" style="25" hidden="1" customWidth="1"/>
    <col min="13" max="13" width="0" hidden="1" customWidth="1"/>
    <col min="14" max="14" width="9.7109375" customWidth="1"/>
    <col min="15" max="15" width="10.28515625" customWidth="1"/>
    <col min="16" max="16" width="10.7109375" customWidth="1"/>
  </cols>
  <sheetData>
    <row r="1" spans="1:43" ht="18" x14ac:dyDescent="0.25">
      <c r="B1" s="140" t="str">
        <f>'[20]Team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40" t="s">
        <v>294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I4" s="39"/>
      <c r="J4" s="40"/>
      <c r="K4" s="40"/>
      <c r="L4" s="41"/>
    </row>
    <row r="5" spans="1:43" x14ac:dyDescent="0.2">
      <c r="I5" s="42"/>
      <c r="J5" s="17" t="s">
        <v>1</v>
      </c>
      <c r="K5" s="17" t="s">
        <v>2</v>
      </c>
      <c r="L5" s="43" t="s">
        <v>3</v>
      </c>
    </row>
    <row r="6" spans="1:43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P6" s="44"/>
    </row>
    <row r="7" spans="1:43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P7" s="12"/>
    </row>
    <row r="8" spans="1:43" x14ac:dyDescent="0.2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1222275</v>
      </c>
      <c r="I8" s="42" t="s">
        <v>10</v>
      </c>
      <c r="J8" s="17">
        <v>0</v>
      </c>
      <c r="K8" s="17"/>
      <c r="L8" s="43">
        <f>L30</f>
        <v>1956240</v>
      </c>
      <c r="P8" s="15"/>
    </row>
    <row r="9" spans="1:43" hidden="1" x14ac:dyDescent="0.2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P9" s="15"/>
    </row>
    <row r="10" spans="1:43" x14ac:dyDescent="0.2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0</v>
      </c>
      <c r="I10" s="42"/>
      <c r="J10" s="17"/>
      <c r="K10" s="17"/>
      <c r="L10" s="43"/>
      <c r="P10" s="15"/>
    </row>
    <row r="11" spans="1:43" x14ac:dyDescent="0.2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+H8*0.2+6345</f>
        <v>250800</v>
      </c>
      <c r="I11" s="42" t="s">
        <v>15</v>
      </c>
      <c r="J11" s="17">
        <f>(E12+E13+E14+E15+E16+E17+E18+E19+E20+E21+E22)/E29</f>
        <v>48270.181250000009</v>
      </c>
      <c r="K11" s="17">
        <f>K28</f>
        <v>10</v>
      </c>
      <c r="L11" s="43">
        <f>J11*K11</f>
        <v>482701.81250000012</v>
      </c>
      <c r="P11" s="15"/>
    </row>
    <row r="12" spans="1:43" x14ac:dyDescent="0.2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67500</v>
      </c>
      <c r="I12" s="42"/>
      <c r="J12" s="17"/>
      <c r="K12" s="17"/>
      <c r="L12" s="43"/>
      <c r="P12" s="15"/>
    </row>
    <row r="13" spans="1:43" ht="13.5" thickBot="1" x14ac:dyDescent="0.2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225000</v>
      </c>
      <c r="I13" s="46" t="s">
        <v>20</v>
      </c>
      <c r="J13" s="47"/>
      <c r="K13" s="47"/>
      <c r="L13" s="48">
        <f>L8+L11</f>
        <v>2438941.8125</v>
      </c>
      <c r="O13" s="49"/>
      <c r="P13" s="15"/>
    </row>
    <row r="14" spans="1:43" x14ac:dyDescent="0.2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P14" s="15"/>
    </row>
    <row r="15" spans="1:43" x14ac:dyDescent="0.2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45000</v>
      </c>
      <c r="P15" s="15"/>
    </row>
    <row r="16" spans="1:43" x14ac:dyDescent="0.2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P16" s="15"/>
    </row>
    <row r="17" spans="1:16" x14ac:dyDescent="0.2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531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P17" s="15"/>
    </row>
    <row r="18" spans="1:16" x14ac:dyDescent="0.2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67500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P18" s="15"/>
    </row>
    <row r="19" spans="1:16" x14ac:dyDescent="0.2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90000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P19" s="15"/>
    </row>
    <row r="20" spans="1:16" x14ac:dyDescent="0.2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1.8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P20" s="15"/>
    </row>
    <row r="21" spans="1:16" x14ac:dyDescent="0.2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13500</v>
      </c>
      <c r="I21" s="25" t="s">
        <v>42</v>
      </c>
      <c r="J21" s="25">
        <v>60500</v>
      </c>
      <c r="K21" s="25">
        <v>1</v>
      </c>
      <c r="L21" s="25">
        <f t="shared" si="1"/>
        <v>60500</v>
      </c>
      <c r="O21" s="8"/>
      <c r="P21" s="32"/>
    </row>
    <row r="22" spans="1:16" x14ac:dyDescent="0.2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O22" s="8"/>
      <c r="P22" s="32"/>
    </row>
    <row r="23" spans="1:16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1982107.8</v>
      </c>
      <c r="I23" s="25" t="s">
        <v>48</v>
      </c>
      <c r="J23" s="25">
        <v>110000</v>
      </c>
      <c r="K23" s="25">
        <f>2+1</f>
        <v>3</v>
      </c>
      <c r="L23" s="25">
        <f t="shared" si="1"/>
        <v>330000</v>
      </c>
      <c r="O23" s="8"/>
      <c r="P23" s="29"/>
    </row>
    <row r="24" spans="1:16" x14ac:dyDescent="0.2">
      <c r="I24" s="25" t="s">
        <v>49</v>
      </c>
      <c r="J24" s="25">
        <v>143000</v>
      </c>
      <c r="K24" s="25">
        <f>2+1+1</f>
        <v>4</v>
      </c>
      <c r="L24" s="25">
        <f t="shared" si="1"/>
        <v>572000</v>
      </c>
      <c r="O24" s="8"/>
      <c r="P24" s="8"/>
    </row>
    <row r="25" spans="1:16" x14ac:dyDescent="0.2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v>9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O25" s="8"/>
      <c r="P25" s="32"/>
    </row>
    <row r="26" spans="1:16" x14ac:dyDescent="0.2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1"/>
        <v>396000</v>
      </c>
      <c r="O26" s="8"/>
      <c r="P26" s="32"/>
    </row>
    <row r="27" spans="1:16" x14ac:dyDescent="0.2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O27" s="8"/>
      <c r="P27" s="32"/>
    </row>
    <row r="28" spans="1:16" x14ac:dyDescent="0.2">
      <c r="K28" s="25">
        <f>SUM(K16:K27)</f>
        <v>10</v>
      </c>
      <c r="L28" s="25">
        <f>SUM(L16:L27)*1.2</f>
        <v>1630200</v>
      </c>
      <c r="O28" s="8"/>
      <c r="P28" s="8"/>
    </row>
    <row r="29" spans="1:16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9</v>
      </c>
      <c r="L29" s="52">
        <v>0.2</v>
      </c>
      <c r="O29" s="8"/>
      <c r="P29" s="32"/>
    </row>
    <row r="30" spans="1:16" hidden="1" x14ac:dyDescent="0.2">
      <c r="L30" s="25">
        <f>L28*1.2</f>
        <v>1956240</v>
      </c>
      <c r="O30" s="8"/>
      <c r="P30" s="8"/>
    </row>
    <row r="31" spans="1:16" hidden="1" x14ac:dyDescent="0.2">
      <c r="H31" s="33" t="s">
        <v>56</v>
      </c>
      <c r="L31"/>
      <c r="O31" s="8"/>
      <c r="P31" s="8"/>
    </row>
    <row r="32" spans="1:16" hidden="1" x14ac:dyDescent="0.2">
      <c r="B32" s="14" t="s">
        <v>22</v>
      </c>
      <c r="C32" s="15">
        <v>254512</v>
      </c>
      <c r="L32"/>
      <c r="O32" s="8"/>
      <c r="P32" s="8"/>
    </row>
    <row r="33" spans="2:16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O33" s="8"/>
      <c r="P33" s="8"/>
    </row>
    <row r="34" spans="2:16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10</v>
      </c>
      <c r="L34" s="37">
        <f>+J34*K34</f>
        <v>482701.81250000012</v>
      </c>
      <c r="O34" s="8"/>
      <c r="P34" s="8"/>
    </row>
    <row r="35" spans="2:16" hidden="1" x14ac:dyDescent="0.2">
      <c r="O35" s="8"/>
      <c r="P35" s="8"/>
    </row>
    <row r="36" spans="2:16" hidden="1" x14ac:dyDescent="0.2">
      <c r="O36" s="8"/>
      <c r="P36" s="8"/>
    </row>
    <row r="37" spans="2:16" hidden="1" x14ac:dyDescent="0.2">
      <c r="O37" s="8"/>
      <c r="P37" s="8"/>
    </row>
    <row r="38" spans="2:16" hidden="1" x14ac:dyDescent="0.2">
      <c r="O38" s="8"/>
      <c r="P38" s="8"/>
    </row>
    <row r="39" spans="2:16" x14ac:dyDescent="0.2">
      <c r="O39" s="8"/>
      <c r="P39" s="8"/>
    </row>
    <row r="42" spans="2:16" x14ac:dyDescent="0.2">
      <c r="B42" s="124"/>
      <c r="C42" s="124"/>
      <c r="D42" s="124"/>
    </row>
    <row r="43" spans="2:16" x14ac:dyDescent="0.2">
      <c r="B43" s="124"/>
      <c r="C43" s="124"/>
      <c r="D43" s="124"/>
    </row>
    <row r="44" spans="2:16" x14ac:dyDescent="0.2">
      <c r="B44" s="124"/>
      <c r="C44" s="124"/>
      <c r="D44" s="124"/>
    </row>
    <row r="45" spans="2:16" x14ac:dyDescent="0.2">
      <c r="B45" s="124"/>
      <c r="C45" s="124"/>
      <c r="D45" s="124"/>
    </row>
    <row r="46" spans="2:16" x14ac:dyDescent="0.2">
      <c r="B46" s="124"/>
      <c r="C46" s="124"/>
      <c r="D46" s="124"/>
    </row>
    <row r="47" spans="2:16" x14ac:dyDescent="0.2">
      <c r="B47" s="124"/>
      <c r="C47" s="124"/>
      <c r="D47" s="124"/>
    </row>
    <row r="48" spans="2:16" x14ac:dyDescent="0.2">
      <c r="B48" s="124"/>
      <c r="C48" s="124"/>
      <c r="D48" s="124"/>
    </row>
    <row r="49" spans="2:4" x14ac:dyDescent="0.2">
      <c r="B49" s="124"/>
      <c r="C49" s="124"/>
      <c r="D49" s="124"/>
    </row>
    <row r="50" spans="2:4" x14ac:dyDescent="0.2">
      <c r="B50" s="1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AQ42"/>
  <sheetViews>
    <sheetView zoomScaleNormal="100" workbookViewId="0">
      <selection activeCell="B3" sqref="B3:H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5" max="15" width="10.28515625" customWidth="1"/>
    <col min="16" max="16" width="10.7109375" customWidth="1"/>
  </cols>
  <sheetData>
    <row r="1" spans="1:43" ht="18" x14ac:dyDescent="0.25">
      <c r="B1" s="140" t="str">
        <f>'[20]Team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40" t="s">
        <v>68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I4" s="39"/>
      <c r="J4" s="40"/>
      <c r="K4" s="40"/>
      <c r="L4" s="41"/>
    </row>
    <row r="5" spans="1:43" x14ac:dyDescent="0.2">
      <c r="I5" s="42"/>
      <c r="J5" s="17" t="s">
        <v>1</v>
      </c>
      <c r="K5" s="17" t="s">
        <v>2</v>
      </c>
      <c r="L5" s="43" t="s">
        <v>3</v>
      </c>
    </row>
    <row r="6" spans="1:43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P6" s="44"/>
    </row>
    <row r="7" spans="1:43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P7" s="12"/>
    </row>
    <row r="8" spans="1:43" x14ac:dyDescent="0.2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234685</v>
      </c>
      <c r="I8" s="42" t="s">
        <v>10</v>
      </c>
      <c r="J8" s="17">
        <v>0</v>
      </c>
      <c r="K8" s="17"/>
      <c r="L8" s="43">
        <f>L30</f>
        <v>364320</v>
      </c>
      <c r="P8" s="15"/>
    </row>
    <row r="9" spans="1:43" hidden="1" x14ac:dyDescent="0.2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P9" s="15"/>
    </row>
    <row r="10" spans="1:43" x14ac:dyDescent="0.2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0</v>
      </c>
      <c r="I10" s="42"/>
      <c r="J10" s="17"/>
      <c r="K10" s="17"/>
      <c r="L10" s="43"/>
      <c r="P10" s="15"/>
    </row>
    <row r="11" spans="1:43" x14ac:dyDescent="0.2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v>45540</v>
      </c>
      <c r="I11" s="42" t="s">
        <v>15</v>
      </c>
      <c r="J11" s="17">
        <f>(E12+E13+E14+E15+E16+E17+E18+E19+E20+E21+E22)/E29</f>
        <v>48270.181250000009</v>
      </c>
      <c r="K11" s="17">
        <f>K28</f>
        <v>2</v>
      </c>
      <c r="L11" s="43">
        <f>J11*K11</f>
        <v>96540.362500000017</v>
      </c>
      <c r="P11" s="15"/>
    </row>
    <row r="12" spans="1:43" x14ac:dyDescent="0.2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15000</v>
      </c>
      <c r="I12" s="42"/>
      <c r="J12" s="17"/>
      <c r="K12" s="17"/>
      <c r="L12" s="43"/>
      <c r="P12" s="15"/>
    </row>
    <row r="13" spans="1:43" ht="13.5" thickBot="1" x14ac:dyDescent="0.2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50000</v>
      </c>
      <c r="I13" s="46" t="s">
        <v>20</v>
      </c>
      <c r="J13" s="47"/>
      <c r="K13" s="47"/>
      <c r="L13" s="48">
        <f>L8+L11</f>
        <v>460860.36250000005</v>
      </c>
      <c r="O13" s="49"/>
      <c r="P13" s="15"/>
    </row>
    <row r="14" spans="1:43" x14ac:dyDescent="0.2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P14" s="15"/>
    </row>
    <row r="15" spans="1:43" x14ac:dyDescent="0.2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5000</v>
      </c>
      <c r="P15" s="15"/>
    </row>
    <row r="16" spans="1:43" x14ac:dyDescent="0.2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P16" s="15"/>
    </row>
    <row r="17" spans="1:16" x14ac:dyDescent="0.2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98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P17" s="15"/>
    </row>
    <row r="18" spans="1:16" x14ac:dyDescent="0.2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25000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P18" s="15"/>
    </row>
    <row r="19" spans="1:16" x14ac:dyDescent="0.2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15000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P19" s="15"/>
    </row>
    <row r="20" spans="1:16" x14ac:dyDescent="0.2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2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P20" s="15"/>
    </row>
    <row r="21" spans="1:16" x14ac:dyDescent="0.2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5000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O21" s="8"/>
      <c r="P21" s="32"/>
    </row>
    <row r="22" spans="1:16" x14ac:dyDescent="0.2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O22" s="8"/>
      <c r="P22" s="32"/>
    </row>
    <row r="23" spans="1:16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395325</v>
      </c>
      <c r="I23" s="25" t="s">
        <v>48</v>
      </c>
      <c r="J23" s="25">
        <v>110000</v>
      </c>
      <c r="K23" s="25">
        <v>1</v>
      </c>
      <c r="L23" s="25">
        <f t="shared" si="1"/>
        <v>110000</v>
      </c>
      <c r="O23" s="8"/>
      <c r="P23" s="29"/>
    </row>
    <row r="24" spans="1:16" x14ac:dyDescent="0.2">
      <c r="I24" s="25" t="s">
        <v>49</v>
      </c>
      <c r="J24" s="25">
        <v>143000</v>
      </c>
      <c r="K24" s="25">
        <v>1</v>
      </c>
      <c r="L24" s="25">
        <f t="shared" si="1"/>
        <v>143000</v>
      </c>
      <c r="O24" s="8"/>
      <c r="P24" s="8"/>
    </row>
    <row r="25" spans="1:16" x14ac:dyDescent="0.2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f>+K16+K17+K18+K19+K20+K23+K24+K25+K26+K27</f>
        <v>2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O25" s="8"/>
      <c r="P25" s="32"/>
    </row>
    <row r="26" spans="1:16" x14ac:dyDescent="0.2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1"/>
        <v>0</v>
      </c>
      <c r="O26" s="8"/>
      <c r="P26" s="32"/>
    </row>
    <row r="27" spans="1:16" x14ac:dyDescent="0.2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O27" s="8"/>
      <c r="P27" s="32"/>
    </row>
    <row r="28" spans="1:16" x14ac:dyDescent="0.2">
      <c r="K28" s="25">
        <f>SUM(K16:K27)</f>
        <v>2</v>
      </c>
      <c r="L28" s="25">
        <f>SUM(L16:L27)*1.2</f>
        <v>303600</v>
      </c>
      <c r="O28" s="8"/>
      <c r="P28" s="8"/>
    </row>
    <row r="29" spans="1:16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2</v>
      </c>
      <c r="L29" s="52">
        <v>0.2</v>
      </c>
      <c r="O29" s="8"/>
      <c r="P29" s="32"/>
    </row>
    <row r="30" spans="1:16" hidden="1" x14ac:dyDescent="0.2">
      <c r="L30" s="25">
        <f>L28*1.2</f>
        <v>364320</v>
      </c>
      <c r="O30" s="8"/>
      <c r="P30" s="8"/>
    </row>
    <row r="31" spans="1:16" hidden="1" x14ac:dyDescent="0.2">
      <c r="H31" s="33" t="s">
        <v>56</v>
      </c>
      <c r="L31"/>
      <c r="O31" s="8"/>
      <c r="P31" s="8"/>
    </row>
    <row r="32" spans="1:16" hidden="1" x14ac:dyDescent="0.2">
      <c r="B32" s="14" t="s">
        <v>22</v>
      </c>
      <c r="C32" s="15">
        <v>254512</v>
      </c>
      <c r="L32"/>
      <c r="O32" s="8"/>
      <c r="P32" s="8"/>
    </row>
    <row r="33" spans="2:16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O33" s="8"/>
      <c r="P33" s="8"/>
    </row>
    <row r="34" spans="2:16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2</v>
      </c>
      <c r="L34" s="37">
        <f>+J34*K34</f>
        <v>96540.362500000017</v>
      </c>
      <c r="O34" s="8"/>
      <c r="P34" s="8"/>
    </row>
    <row r="35" spans="2:16" hidden="1" x14ac:dyDescent="0.2">
      <c r="O35" s="8"/>
      <c r="P35" s="8"/>
    </row>
    <row r="36" spans="2:16" hidden="1" x14ac:dyDescent="0.2">
      <c r="O36" s="8"/>
      <c r="P36" s="8"/>
    </row>
    <row r="37" spans="2:16" hidden="1" x14ac:dyDescent="0.2">
      <c r="O37" s="8"/>
      <c r="P37" s="8"/>
    </row>
    <row r="38" spans="2:16" hidden="1" x14ac:dyDescent="0.2">
      <c r="O38" s="8"/>
      <c r="P38" s="8"/>
    </row>
    <row r="39" spans="2:16" x14ac:dyDescent="0.2">
      <c r="O39" s="8"/>
      <c r="P39" s="8"/>
    </row>
    <row r="41" spans="2:16" x14ac:dyDescent="0.2">
      <c r="B41" t="s">
        <v>267</v>
      </c>
      <c r="H41" t="s">
        <v>49</v>
      </c>
    </row>
    <row r="42" spans="2:16" x14ac:dyDescent="0.2">
      <c r="B42" t="s">
        <v>268</v>
      </c>
      <c r="H42" t="s">
        <v>48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AP39"/>
  <sheetViews>
    <sheetView zoomScale="80" zoomScaleNormal="100" workbookViewId="0">
      <selection activeCell="M8" sqref="M8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7.710937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5" max="15" width="10.7109375" customWidth="1"/>
  </cols>
  <sheetData>
    <row r="1" spans="1:42" ht="18" x14ac:dyDescent="0.25">
      <c r="B1" s="140" t="str">
        <f>'[20]Team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18" x14ac:dyDescent="0.25">
      <c r="B2" s="140" t="s">
        <v>271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x14ac:dyDescent="0.2">
      <c r="I4" s="39"/>
      <c r="J4" s="40"/>
      <c r="K4" s="40"/>
      <c r="L4" s="41"/>
    </row>
    <row r="5" spans="1:42" x14ac:dyDescent="0.2">
      <c r="I5" s="42"/>
      <c r="J5" s="17" t="s">
        <v>1</v>
      </c>
      <c r="K5" s="17" t="s">
        <v>2</v>
      </c>
      <c r="L5" s="43" t="s">
        <v>3</v>
      </c>
    </row>
    <row r="6" spans="1:42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O6" s="44"/>
    </row>
    <row r="7" spans="1:42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O7" s="12"/>
    </row>
    <row r="8" spans="1:42" x14ac:dyDescent="0.2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1512720</v>
      </c>
      <c r="O8" s="15"/>
    </row>
    <row r="9" spans="1:42" hidden="1" x14ac:dyDescent="0.2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O9" s="15"/>
    </row>
    <row r="10" spans="1:42" x14ac:dyDescent="0.2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75000</v>
      </c>
      <c r="I10" s="42"/>
      <c r="J10" s="17"/>
      <c r="K10" s="17"/>
      <c r="L10" s="43"/>
      <c r="O10" s="15"/>
    </row>
    <row r="11" spans="1:42" x14ac:dyDescent="0.2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</f>
        <v>15000</v>
      </c>
      <c r="I11" s="42" t="s">
        <v>15</v>
      </c>
      <c r="J11" s="17">
        <f>(E12+E13+E14+E15+E16+E17+E18+E19+E20+E21+E22)/E29</f>
        <v>48270.181250000009</v>
      </c>
      <c r="K11" s="17">
        <f>K28</f>
        <v>8</v>
      </c>
      <c r="L11" s="43">
        <f>J11*K11</f>
        <v>386161.45000000007</v>
      </c>
      <c r="O11" s="15"/>
    </row>
    <row r="12" spans="1:42" x14ac:dyDescent="0.2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3125</v>
      </c>
      <c r="I12" s="42"/>
      <c r="J12" s="17"/>
      <c r="K12" s="17"/>
      <c r="L12" s="43"/>
      <c r="O12" s="15"/>
    </row>
    <row r="13" spans="1:42" ht="13.5" thickBot="1" x14ac:dyDescent="0.2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3125</v>
      </c>
      <c r="I13" s="46" t="s">
        <v>20</v>
      </c>
      <c r="J13" s="47"/>
      <c r="K13" s="47"/>
      <c r="L13" s="48">
        <f>L8+L11</f>
        <v>1898881.4500000002</v>
      </c>
      <c r="O13" s="15"/>
    </row>
    <row r="14" spans="1:42" x14ac:dyDescent="0.2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O14" s="15"/>
    </row>
    <row r="15" spans="1:42" x14ac:dyDescent="0.2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2500</v>
      </c>
      <c r="O15" s="15"/>
    </row>
    <row r="16" spans="1:42" x14ac:dyDescent="0.2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O16" s="15"/>
    </row>
    <row r="17" spans="1:15" x14ac:dyDescent="0.2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62.5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O17" s="15"/>
    </row>
    <row r="18" spans="1:15" x14ac:dyDescent="0.2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O18" s="15"/>
    </row>
    <row r="19" spans="1:15" x14ac:dyDescent="0.2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12500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O19" s="15"/>
    </row>
    <row r="20" spans="1:15" x14ac:dyDescent="0.2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0.125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O20" s="15"/>
    </row>
    <row r="21" spans="1:15" x14ac:dyDescent="0.2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3125</v>
      </c>
      <c r="I21" s="25" t="s">
        <v>42</v>
      </c>
      <c r="J21" s="25">
        <v>60500</v>
      </c>
      <c r="K21" s="25">
        <v>1</v>
      </c>
      <c r="L21" s="25">
        <f t="shared" si="1"/>
        <v>60500</v>
      </c>
      <c r="O21" s="32"/>
    </row>
    <row r="22" spans="1:15" x14ac:dyDescent="0.2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O22" s="32"/>
    </row>
    <row r="23" spans="1:15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114437.625</v>
      </c>
      <c r="I23" s="25" t="s">
        <v>48</v>
      </c>
      <c r="J23" s="25">
        <v>110000</v>
      </c>
      <c r="K23" s="25">
        <v>2</v>
      </c>
      <c r="L23" s="25">
        <f t="shared" si="1"/>
        <v>220000</v>
      </c>
      <c r="O23" s="29"/>
    </row>
    <row r="24" spans="1:15" x14ac:dyDescent="0.2">
      <c r="I24" s="25" t="s">
        <v>49</v>
      </c>
      <c r="J24" s="25">
        <v>143000</v>
      </c>
      <c r="K24" s="25">
        <v>4</v>
      </c>
      <c r="L24" s="25">
        <f t="shared" si="1"/>
        <v>572000</v>
      </c>
      <c r="O24" s="8"/>
    </row>
    <row r="25" spans="1:15" x14ac:dyDescent="0.2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v>0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O25" s="32"/>
    </row>
    <row r="26" spans="1:15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O26" s="32"/>
    </row>
    <row r="27" spans="1:15" x14ac:dyDescent="0.2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f>+K21+K22</f>
        <v>1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O27" s="32"/>
    </row>
    <row r="28" spans="1:15" x14ac:dyDescent="0.2">
      <c r="K28" s="25">
        <f>SUM(K16:K27)</f>
        <v>8</v>
      </c>
      <c r="L28" s="25">
        <f>SUM(L16:L27)*1.2</f>
        <v>1260600</v>
      </c>
      <c r="O28" s="8"/>
    </row>
    <row r="29" spans="1:15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1</v>
      </c>
      <c r="L29" s="52">
        <v>0.2</v>
      </c>
      <c r="O29" s="32"/>
    </row>
    <row r="30" spans="1:15" hidden="1" x14ac:dyDescent="0.2">
      <c r="L30" s="25">
        <f>L28*1.2</f>
        <v>1512720</v>
      </c>
      <c r="O30" s="8"/>
    </row>
    <row r="31" spans="1:15" hidden="1" x14ac:dyDescent="0.2">
      <c r="H31" s="33" t="s">
        <v>56</v>
      </c>
      <c r="L31"/>
      <c r="O31" s="8"/>
    </row>
    <row r="32" spans="1:15" hidden="1" x14ac:dyDescent="0.2">
      <c r="B32" s="14" t="s">
        <v>22</v>
      </c>
      <c r="C32" s="15">
        <v>254512</v>
      </c>
      <c r="L32"/>
      <c r="O32" s="8"/>
    </row>
    <row r="33" spans="8:15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O33" s="8"/>
    </row>
    <row r="34" spans="8:15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8</v>
      </c>
      <c r="L34" s="37">
        <f>+J34*K34</f>
        <v>386161.45000000007</v>
      </c>
      <c r="O34" s="8"/>
    </row>
    <row r="35" spans="8:15" hidden="1" x14ac:dyDescent="0.2">
      <c r="O35" s="8"/>
    </row>
    <row r="36" spans="8:15" hidden="1" x14ac:dyDescent="0.2">
      <c r="O36" s="8"/>
    </row>
    <row r="37" spans="8:15" hidden="1" x14ac:dyDescent="0.2">
      <c r="O37" s="8"/>
    </row>
    <row r="38" spans="8:15" hidden="1" x14ac:dyDescent="0.2">
      <c r="O38" s="8"/>
    </row>
    <row r="39" spans="8:15" x14ac:dyDescent="0.2">
      <c r="O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AR39"/>
  <sheetViews>
    <sheetView zoomScale="80" zoomScaleNormal="100" workbookViewId="0">
      <selection activeCell="M8" sqref="M8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9.710937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40" t="str">
        <f>'[20]Team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0" t="s">
        <v>273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  <c r="N5" s="126" t="s">
        <v>252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N6" s="44" t="s">
        <v>63</v>
      </c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N7" s="12" t="s">
        <v>7</v>
      </c>
      <c r="Q7" s="12"/>
    </row>
    <row r="8" spans="1:44" x14ac:dyDescent="0.2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1507968</v>
      </c>
      <c r="N8" s="15">
        <f>H8/2*1.5+75670+10715</f>
        <v>86385</v>
      </c>
      <c r="Q8" s="15"/>
    </row>
    <row r="9" spans="1:44" hidden="1" x14ac:dyDescent="0.2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N9" s="15"/>
      <c r="Q9" s="15"/>
    </row>
    <row r="10" spans="1:44" x14ac:dyDescent="0.2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420200</v>
      </c>
      <c r="I10" s="42"/>
      <c r="J10" s="17"/>
      <c r="K10" s="17"/>
      <c r="L10" s="43"/>
      <c r="N10" s="15">
        <v>420200</v>
      </c>
      <c r="Q10" s="15"/>
    </row>
    <row r="11" spans="1:44" x14ac:dyDescent="0.2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</f>
        <v>84040</v>
      </c>
      <c r="I11" s="42" t="s">
        <v>15</v>
      </c>
      <c r="J11" s="17">
        <f>(E12+E13+E14+E15+E16+E17+E18+E19+E20+E21+E22)/E29</f>
        <v>48270.181250000009</v>
      </c>
      <c r="K11" s="17">
        <f>K28</f>
        <v>10</v>
      </c>
      <c r="L11" s="43">
        <f>J11*K11</f>
        <v>482701.81250000012</v>
      </c>
      <c r="N11" s="15">
        <f>H11/2*1.5+24992</f>
        <v>88022</v>
      </c>
      <c r="Q11" s="15"/>
    </row>
    <row r="12" spans="1:44" x14ac:dyDescent="0.2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45000</v>
      </c>
      <c r="I12" s="42"/>
      <c r="J12" s="17"/>
      <c r="K12" s="17"/>
      <c r="L12" s="43"/>
      <c r="N12" s="15">
        <v>75000</v>
      </c>
      <c r="Q12" s="15"/>
    </row>
    <row r="13" spans="1:44" ht="13.5" thickBot="1" x14ac:dyDescent="0.2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45000</v>
      </c>
      <c r="I13" s="46" t="s">
        <v>20</v>
      </c>
      <c r="J13" s="47"/>
      <c r="K13" s="47"/>
      <c r="L13" s="48">
        <f>L8+L11</f>
        <v>1990669.8125</v>
      </c>
      <c r="N13" s="15">
        <v>75000</v>
      </c>
      <c r="P13" s="49"/>
      <c r="Q13" s="15"/>
    </row>
    <row r="14" spans="1:44" x14ac:dyDescent="0.2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N14" s="15">
        <v>0</v>
      </c>
      <c r="Q14" s="15"/>
    </row>
    <row r="15" spans="1:44" x14ac:dyDescent="0.2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30000</v>
      </c>
      <c r="N15" s="15">
        <v>50000</v>
      </c>
      <c r="Q15" s="15"/>
    </row>
    <row r="16" spans="1:44" x14ac:dyDescent="0.2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N16" s="15">
        <v>0</v>
      </c>
      <c r="Q16" s="15"/>
    </row>
    <row r="17" spans="1:17" x14ac:dyDescent="0.2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354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N17" s="15">
        <v>590</v>
      </c>
      <c r="Q17" s="15"/>
    </row>
    <row r="18" spans="1:17" x14ac:dyDescent="0.2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N18" s="15">
        <v>0</v>
      </c>
      <c r="Q18" s="15"/>
    </row>
    <row r="19" spans="1:17" x14ac:dyDescent="0.2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60000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N19" s="15">
        <v>100000</v>
      </c>
      <c r="Q19" s="15"/>
    </row>
    <row r="20" spans="1:17" x14ac:dyDescent="0.2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1.2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N20" s="15">
        <v>2</v>
      </c>
      <c r="Q20" s="15"/>
    </row>
    <row r="21" spans="1:17" x14ac:dyDescent="0.2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9000</v>
      </c>
      <c r="I21" s="25" t="s">
        <v>42</v>
      </c>
      <c r="J21" s="25">
        <v>60500</v>
      </c>
      <c r="K21" s="25">
        <v>4</v>
      </c>
      <c r="L21" s="25">
        <f t="shared" si="1"/>
        <v>242000</v>
      </c>
      <c r="N21" s="15">
        <v>15000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2</v>
      </c>
      <c r="L22" s="25">
        <f t="shared" si="1"/>
        <v>178200</v>
      </c>
      <c r="N22" s="15">
        <v>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693595.2</v>
      </c>
      <c r="I23" s="25" t="s">
        <v>48</v>
      </c>
      <c r="J23" s="25">
        <v>110000</v>
      </c>
      <c r="K23" s="25">
        <v>0</v>
      </c>
      <c r="L23" s="25">
        <f t="shared" si="1"/>
        <v>0</v>
      </c>
      <c r="N23" s="28">
        <f>SUM(N8:N22)</f>
        <v>910199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f>3</f>
        <v>3</v>
      </c>
      <c r="L24" s="25">
        <f t="shared" si="1"/>
        <v>429000</v>
      </c>
      <c r="P24" s="8"/>
      <c r="Q24" s="8"/>
    </row>
    <row r="25" spans="1:17" x14ac:dyDescent="0.2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v>0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P26" s="8"/>
      <c r="Q26" s="32"/>
    </row>
    <row r="27" spans="1:17" x14ac:dyDescent="0.2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f>+K21+K22</f>
        <v>6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">
      <c r="K28" s="25">
        <f>SUM(K16:K27)</f>
        <v>10</v>
      </c>
      <c r="L28" s="25">
        <f>SUM(L16:L27)*1.2</f>
        <v>1256640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6</v>
      </c>
      <c r="L29" s="52">
        <v>0.2</v>
      </c>
      <c r="P29" s="8"/>
      <c r="Q29" s="32"/>
    </row>
    <row r="30" spans="1:17" hidden="1" x14ac:dyDescent="0.2">
      <c r="L30" s="25">
        <f>L28*1.2</f>
        <v>1507968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10</v>
      </c>
      <c r="L34" s="37">
        <f>+J34*K34</f>
        <v>482701.81250000012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AR39"/>
  <sheetViews>
    <sheetView zoomScaleNormal="100" workbookViewId="0">
      <selection activeCell="H13" sqref="H1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7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85546875" customWidth="1"/>
    <col min="14" max="14" width="16.85546875" customWidth="1"/>
    <col min="15" max="15" width="17.7109375" customWidth="1"/>
    <col min="16" max="16" width="10.28515625" customWidth="1"/>
    <col min="17" max="17" width="10.7109375" customWidth="1"/>
  </cols>
  <sheetData>
    <row r="1" spans="1:44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0" t="s">
        <v>275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985248</v>
      </c>
      <c r="M8" s="49"/>
      <c r="Q8" s="15"/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v>178200</v>
      </c>
      <c r="I10" s="42"/>
      <c r="J10" s="17"/>
      <c r="K10" s="17"/>
      <c r="L10" s="43"/>
      <c r="M10" s="49"/>
      <c r="N10" s="124"/>
      <c r="O10" s="124"/>
      <c r="P10" s="124"/>
      <c r="Q10" s="15"/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</f>
        <v>35640</v>
      </c>
      <c r="I11" s="42" t="s">
        <v>15</v>
      </c>
      <c r="J11" s="17">
        <f>(E12+E13+E14+E15+E16+E17+E18+E19+E20+E21+E22)/E29</f>
        <v>48270.181250000009</v>
      </c>
      <c r="K11" s="17">
        <f>K28</f>
        <v>5</v>
      </c>
      <c r="L11" s="43">
        <f>J11*K11</f>
        <v>241350.90625000006</v>
      </c>
      <c r="M11" s="49"/>
      <c r="N11" s="124"/>
      <c r="O11" s="124"/>
      <c r="P11" s="124"/>
      <c r="Q11" s="15"/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>10000+4000</f>
        <v>14000</v>
      </c>
      <c r="I12" s="42"/>
      <c r="J12" s="17"/>
      <c r="K12" s="17"/>
      <c r="L12" s="43"/>
      <c r="M12" s="49"/>
      <c r="N12" s="124"/>
      <c r="O12" s="124"/>
      <c r="P12" s="124"/>
      <c r="Q12" s="15"/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14000</v>
      </c>
      <c r="I13" s="46" t="s">
        <v>20</v>
      </c>
      <c r="J13" s="47"/>
      <c r="K13" s="47"/>
      <c r="L13" s="48">
        <f>L8+L11</f>
        <v>1226598.90625</v>
      </c>
      <c r="M13" s="49"/>
      <c r="N13" s="124"/>
      <c r="O13" s="124"/>
      <c r="P13" s="124"/>
      <c r="Q13" s="15"/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2000</v>
      </c>
      <c r="M14" s="49"/>
      <c r="N14" s="124"/>
      <c r="O14" s="124"/>
      <c r="P14" s="124"/>
      <c r="Q14" s="15"/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8000</v>
      </c>
      <c r="M15" s="49"/>
      <c r="Q15" s="15"/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M16" s="49"/>
      <c r="Q16" s="15"/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98.333333333333329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M17" s="49"/>
      <c r="Q17" s="15"/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-8.4666666666453241E-2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M18" s="49"/>
      <c r="Q18" s="15"/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1820.1720000000003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M19" s="49"/>
      <c r="Q19" s="15"/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0.26666666666666666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M20" s="49"/>
      <c r="Q20" s="15"/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2400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M21" s="49"/>
      <c r="P21" s="8"/>
      <c r="Q21" s="32"/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2</v>
      </c>
      <c r="L22" s="25">
        <f t="shared" si="1"/>
        <v>178200</v>
      </c>
      <c r="M22" s="49"/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256158.68733333334</v>
      </c>
      <c r="I23" s="25" t="s">
        <v>48</v>
      </c>
      <c r="J23" s="25">
        <v>110000</v>
      </c>
      <c r="K23" s="25">
        <v>1</v>
      </c>
      <c r="L23" s="25">
        <f t="shared" si="1"/>
        <v>110000</v>
      </c>
      <c r="M23" s="29"/>
      <c r="P23" s="8"/>
      <c r="Q23" s="29"/>
    </row>
    <row r="24" spans="1:17" x14ac:dyDescent="0.2">
      <c r="I24" s="25" t="s">
        <v>49</v>
      </c>
      <c r="J24" s="25">
        <v>143000</v>
      </c>
      <c r="K24" s="25">
        <v>0</v>
      </c>
      <c r="L24" s="25">
        <f t="shared" si="1"/>
        <v>0</v>
      </c>
      <c r="P24" s="8"/>
      <c r="Q24" s="8"/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v>0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1"/>
        <v>396000</v>
      </c>
      <c r="P26" s="8"/>
      <c r="Q26" s="32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2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">
      <c r="K28" s="25">
        <f>SUM(K16:K27)</f>
        <v>5</v>
      </c>
      <c r="L28" s="25">
        <f>SUM(L16:L27)*1.2</f>
        <v>821040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2</v>
      </c>
      <c r="L29" s="52">
        <v>0.2</v>
      </c>
      <c r="P29" s="8"/>
      <c r="Q29" s="32"/>
    </row>
    <row r="30" spans="1:17" hidden="1" x14ac:dyDescent="0.2">
      <c r="L30" s="25">
        <f>L28*1.2</f>
        <v>985248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5</v>
      </c>
      <c r="L34" s="37">
        <f>+J34*K34</f>
        <v>241350.90625000006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AR39"/>
  <sheetViews>
    <sheetView zoomScaleNormal="100" workbookViewId="0">
      <selection activeCell="M8" sqref="M8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42578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6.85546875" hidden="1" customWidth="1"/>
    <col min="15" max="15" width="15.85546875" hidden="1" customWidth="1"/>
    <col min="16" max="16" width="14" hidden="1" customWidth="1"/>
    <col min="17" max="17" width="10.7109375" customWidth="1"/>
  </cols>
  <sheetData>
    <row r="1" spans="1:44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0" t="s">
        <v>276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128304</v>
      </c>
      <c r="Q8" s="15"/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89100</v>
      </c>
      <c r="I10" s="42"/>
      <c r="J10" s="17"/>
      <c r="K10" s="17"/>
      <c r="L10" s="43"/>
      <c r="Q10" s="15"/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</f>
        <v>17820</v>
      </c>
      <c r="I11" s="42" t="s">
        <v>15</v>
      </c>
      <c r="J11" s="17">
        <f>(E12+E13+E14+E15+E16+E17+E18+E19+E20+E21+E22)/E29</f>
        <v>48270.181250000009</v>
      </c>
      <c r="K11" s="17">
        <f>K28</f>
        <v>1</v>
      </c>
      <c r="L11" s="43">
        <f>J11*K11</f>
        <v>48270.181250000009</v>
      </c>
      <c r="N11" s="124" t="s">
        <v>258</v>
      </c>
      <c r="O11" s="124" t="s">
        <v>257</v>
      </c>
      <c r="P11" s="124" t="s">
        <v>259</v>
      </c>
      <c r="Q11" s="15"/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6162.4737499999974</v>
      </c>
      <c r="I12" s="42"/>
      <c r="J12" s="17"/>
      <c r="K12" s="17"/>
      <c r="L12" s="43"/>
      <c r="N12" s="124" t="s">
        <v>260</v>
      </c>
      <c r="O12" s="124" t="s">
        <v>253</v>
      </c>
      <c r="P12" s="124" t="s">
        <v>259</v>
      </c>
      <c r="Q12" s="15"/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5484.9569166666679</v>
      </c>
      <c r="I13" s="46" t="s">
        <v>20</v>
      </c>
      <c r="J13" s="47"/>
      <c r="K13" s="47"/>
      <c r="L13" s="48">
        <f>L8+L11</f>
        <v>176574.18125000002</v>
      </c>
      <c r="N13" s="124" t="s">
        <v>261</v>
      </c>
      <c r="O13" s="124" t="s">
        <v>253</v>
      </c>
      <c r="P13" s="124" t="s">
        <v>259</v>
      </c>
      <c r="Q13" s="15"/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2.0000000001649215E-3</v>
      </c>
      <c r="N14" s="124" t="s">
        <v>262</v>
      </c>
      <c r="O14" s="124" t="s">
        <v>254</v>
      </c>
      <c r="P14" s="124" t="s">
        <v>259</v>
      </c>
      <c r="Q14" s="15"/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871.35833333333323</v>
      </c>
      <c r="N15" s="124" t="s">
        <v>263</v>
      </c>
      <c r="O15" s="124" t="s">
        <v>255</v>
      </c>
      <c r="P15" s="124" t="s">
        <v>259</v>
      </c>
      <c r="Q15" s="15"/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N16" s="124" t="s">
        <v>264</v>
      </c>
      <c r="O16" s="124" t="s">
        <v>255</v>
      </c>
      <c r="P16" s="124" t="s">
        <v>259</v>
      </c>
      <c r="Q16" s="15"/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49.166666666666664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N17" s="125" t="s">
        <v>265</v>
      </c>
      <c r="O17" s="125" t="s">
        <v>36</v>
      </c>
      <c r="P17" s="124" t="s">
        <v>259</v>
      </c>
      <c r="Q17" s="15"/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892.9576666666668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910.08600000000001</v>
      </c>
      <c r="I19" s="25" t="s">
        <v>36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0.13333333333333333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1131.574249999999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1</v>
      </c>
      <c r="L22" s="25">
        <f t="shared" si="2"/>
        <v>89100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122422.70891666667</v>
      </c>
      <c r="I23" s="25" t="s">
        <v>48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0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1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1</v>
      </c>
      <c r="L28" s="25">
        <f>SUM(L16:L27)*1.2</f>
        <v>106920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1</v>
      </c>
      <c r="L29" s="52">
        <v>0.2</v>
      </c>
      <c r="P29" s="8"/>
      <c r="Q29" s="32"/>
    </row>
    <row r="30" spans="1:17" hidden="1" x14ac:dyDescent="0.2">
      <c r="L30" s="25">
        <f>L28*1.2</f>
        <v>128304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</v>
      </c>
      <c r="L34" s="37">
        <f>+J34*K34</f>
        <v>48270.181250000009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scale="9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AQ50"/>
  <sheetViews>
    <sheetView zoomScale="80" zoomScaleNormal="100" workbookViewId="0">
      <selection activeCell="M8" sqref="M8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22.710937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5" max="15" width="10.28515625" customWidth="1"/>
    <col min="16" max="16" width="10.7109375" customWidth="1"/>
  </cols>
  <sheetData>
    <row r="1" spans="1:43" ht="18" x14ac:dyDescent="0.25">
      <c r="B1" s="140" t="str">
        <f>'[20]Team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40" t="s">
        <v>272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I4" s="39"/>
      <c r="J4" s="40"/>
      <c r="K4" s="40"/>
      <c r="L4" s="41"/>
    </row>
    <row r="5" spans="1:43" x14ac:dyDescent="0.2">
      <c r="I5" s="42"/>
      <c r="J5" s="17" t="s">
        <v>1</v>
      </c>
      <c r="K5" s="17" t="s">
        <v>2</v>
      </c>
      <c r="L5" s="43" t="s">
        <v>3</v>
      </c>
    </row>
    <row r="6" spans="1:43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P6" s="44"/>
    </row>
    <row r="7" spans="1:43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P7" s="12"/>
    </row>
    <row r="8" spans="1:43" x14ac:dyDescent="0.2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1956240</v>
      </c>
      <c r="P8" s="15"/>
    </row>
    <row r="9" spans="1:43" hidden="1" x14ac:dyDescent="0.2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P9" s="15"/>
    </row>
    <row r="10" spans="1:43" x14ac:dyDescent="0.2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60500</v>
      </c>
      <c r="I10" s="42"/>
      <c r="J10" s="17"/>
      <c r="K10" s="17"/>
      <c r="L10" s="43"/>
      <c r="P10" s="15"/>
    </row>
    <row r="11" spans="1:43" x14ac:dyDescent="0.2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</f>
        <v>12100</v>
      </c>
      <c r="I11" s="42" t="s">
        <v>15</v>
      </c>
      <c r="J11" s="17">
        <f>(E12+E13+E14+E15+E16+E17+E18+E19+E20+E21+E22)/E29</f>
        <v>48270.181250000009</v>
      </c>
      <c r="K11" s="17">
        <f>K28</f>
        <v>10</v>
      </c>
      <c r="L11" s="43">
        <f>J11*K11</f>
        <v>482701.81250000012</v>
      </c>
      <c r="P11" s="15"/>
    </row>
    <row r="12" spans="1:43" x14ac:dyDescent="0.2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7500</v>
      </c>
      <c r="I12" s="42"/>
      <c r="J12" s="17"/>
      <c r="K12" s="17"/>
      <c r="L12" s="43"/>
      <c r="P12" s="15"/>
    </row>
    <row r="13" spans="1:43" ht="13.5" thickBot="1" x14ac:dyDescent="0.2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25000</v>
      </c>
      <c r="I13" s="46" t="s">
        <v>20</v>
      </c>
      <c r="J13" s="47"/>
      <c r="K13" s="47"/>
      <c r="L13" s="48">
        <f>L8+L11</f>
        <v>2438941.8125</v>
      </c>
      <c r="O13" s="49"/>
      <c r="P13" s="15"/>
    </row>
    <row r="14" spans="1:43" x14ac:dyDescent="0.2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P14" s="15"/>
    </row>
    <row r="15" spans="1:43" x14ac:dyDescent="0.2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5000</v>
      </c>
      <c r="P15" s="15"/>
    </row>
    <row r="16" spans="1:43" x14ac:dyDescent="0.2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P16" s="15"/>
    </row>
    <row r="17" spans="1:16" x14ac:dyDescent="0.2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59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P17" s="15"/>
    </row>
    <row r="18" spans="1:16" x14ac:dyDescent="0.2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7500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P18" s="15"/>
    </row>
    <row r="19" spans="1:16" x14ac:dyDescent="0.2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10000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P19" s="15"/>
    </row>
    <row r="20" spans="1:16" x14ac:dyDescent="0.2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0.2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P20" s="15"/>
    </row>
    <row r="21" spans="1:16" x14ac:dyDescent="0.2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1500</v>
      </c>
      <c r="I21" s="25" t="s">
        <v>42</v>
      </c>
      <c r="J21" s="25">
        <v>60500</v>
      </c>
      <c r="K21" s="25">
        <v>1</v>
      </c>
      <c r="L21" s="25">
        <f t="shared" si="1"/>
        <v>60500</v>
      </c>
      <c r="O21" s="8"/>
      <c r="P21" s="32"/>
    </row>
    <row r="22" spans="1:16" x14ac:dyDescent="0.2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O22" s="8"/>
      <c r="P22" s="32"/>
    </row>
    <row r="23" spans="1:16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129159.2</v>
      </c>
      <c r="I23" s="25" t="s">
        <v>48</v>
      </c>
      <c r="J23" s="25">
        <v>110000</v>
      </c>
      <c r="K23" s="25">
        <f>2+1</f>
        <v>3</v>
      </c>
      <c r="L23" s="25">
        <f t="shared" si="1"/>
        <v>330000</v>
      </c>
      <c r="O23" s="8"/>
      <c r="P23" s="29"/>
    </row>
    <row r="24" spans="1:16" x14ac:dyDescent="0.2">
      <c r="I24" s="25" t="s">
        <v>49</v>
      </c>
      <c r="J24" s="25">
        <v>143000</v>
      </c>
      <c r="K24" s="25">
        <f>2+1+1</f>
        <v>4</v>
      </c>
      <c r="L24" s="25">
        <f t="shared" si="1"/>
        <v>572000</v>
      </c>
      <c r="O24" s="8"/>
      <c r="P24" s="8"/>
    </row>
    <row r="25" spans="1:16" x14ac:dyDescent="0.2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v>0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O25" s="8"/>
      <c r="P25" s="32"/>
    </row>
    <row r="26" spans="1:16" x14ac:dyDescent="0.2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1"/>
        <v>396000</v>
      </c>
      <c r="O26" s="8"/>
      <c r="P26" s="32"/>
    </row>
    <row r="27" spans="1:16" x14ac:dyDescent="0.2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v>1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O27" s="8"/>
      <c r="P27" s="32"/>
    </row>
    <row r="28" spans="1:16" x14ac:dyDescent="0.2">
      <c r="K28" s="25">
        <f>SUM(K16:K27)</f>
        <v>10</v>
      </c>
      <c r="L28" s="25">
        <f>SUM(L16:L27)*1.2</f>
        <v>1630200</v>
      </c>
      <c r="O28" s="8"/>
      <c r="P28" s="8"/>
    </row>
    <row r="29" spans="1:16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1</v>
      </c>
      <c r="L29" s="52">
        <v>0.2</v>
      </c>
      <c r="O29" s="8"/>
      <c r="P29" s="32"/>
    </row>
    <row r="30" spans="1:16" hidden="1" x14ac:dyDescent="0.2">
      <c r="L30" s="25">
        <f>L28*1.2</f>
        <v>1956240</v>
      </c>
      <c r="O30" s="8"/>
      <c r="P30" s="8"/>
    </row>
    <row r="31" spans="1:16" hidden="1" x14ac:dyDescent="0.2">
      <c r="H31" s="33" t="s">
        <v>56</v>
      </c>
      <c r="L31"/>
      <c r="O31" s="8"/>
      <c r="P31" s="8"/>
    </row>
    <row r="32" spans="1:16" hidden="1" x14ac:dyDescent="0.2">
      <c r="B32" s="14" t="s">
        <v>22</v>
      </c>
      <c r="C32" s="15">
        <v>254512</v>
      </c>
      <c r="L32"/>
      <c r="O32" s="8"/>
      <c r="P32" s="8"/>
    </row>
    <row r="33" spans="2:16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O33" s="8"/>
      <c r="P33" s="8"/>
    </row>
    <row r="34" spans="2:16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10</v>
      </c>
      <c r="L34" s="37">
        <f>+J34*K34</f>
        <v>482701.81250000012</v>
      </c>
      <c r="O34" s="8"/>
      <c r="P34" s="8"/>
    </row>
    <row r="35" spans="2:16" hidden="1" x14ac:dyDescent="0.2">
      <c r="O35" s="8"/>
      <c r="P35" s="8"/>
    </row>
    <row r="36" spans="2:16" hidden="1" x14ac:dyDescent="0.2">
      <c r="O36" s="8"/>
      <c r="P36" s="8"/>
    </row>
    <row r="37" spans="2:16" hidden="1" x14ac:dyDescent="0.2">
      <c r="O37" s="8"/>
      <c r="P37" s="8"/>
    </row>
    <row r="38" spans="2:16" hidden="1" x14ac:dyDescent="0.2">
      <c r="O38" s="8"/>
      <c r="P38" s="8"/>
    </row>
    <row r="39" spans="2:16" x14ac:dyDescent="0.2">
      <c r="O39" s="8"/>
      <c r="P39" s="8"/>
    </row>
    <row r="42" spans="2:16" x14ac:dyDescent="0.2">
      <c r="B42" s="124"/>
      <c r="C42" s="124"/>
      <c r="D42" s="124"/>
    </row>
    <row r="43" spans="2:16" x14ac:dyDescent="0.2">
      <c r="B43" s="124"/>
      <c r="C43" s="124"/>
      <c r="D43" s="124"/>
    </row>
    <row r="44" spans="2:16" x14ac:dyDescent="0.2">
      <c r="B44" s="124"/>
      <c r="C44" s="124"/>
      <c r="D44" s="124"/>
    </row>
    <row r="45" spans="2:16" x14ac:dyDescent="0.2">
      <c r="B45" s="124"/>
      <c r="C45" s="124"/>
      <c r="D45" s="124"/>
    </row>
    <row r="46" spans="2:16" x14ac:dyDescent="0.2">
      <c r="B46" s="124"/>
      <c r="C46" s="124"/>
      <c r="D46" s="124"/>
    </row>
    <row r="47" spans="2:16" x14ac:dyDescent="0.2">
      <c r="B47" s="124"/>
      <c r="C47" s="124"/>
      <c r="D47" s="124"/>
    </row>
    <row r="48" spans="2:16" x14ac:dyDescent="0.2">
      <c r="B48" s="124"/>
      <c r="C48" s="124"/>
      <c r="D48" s="124"/>
    </row>
    <row r="49" spans="2:4" x14ac:dyDescent="0.2">
      <c r="B49" s="124"/>
      <c r="C49" s="124"/>
      <c r="D49" s="124"/>
    </row>
    <row r="50" spans="2:4" x14ac:dyDescent="0.2">
      <c r="B50" s="1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X88"/>
  <sheetViews>
    <sheetView zoomScaleNormal="100" workbookViewId="0">
      <selection activeCell="Q30" sqref="Q30"/>
    </sheetView>
  </sheetViews>
  <sheetFormatPr defaultRowHeight="12.75" x14ac:dyDescent="0.2"/>
  <cols>
    <col min="4" max="4" width="29.28515625" customWidth="1"/>
    <col min="5" max="5" width="18.5703125" customWidth="1"/>
    <col min="6" max="6" width="2.7109375" customWidth="1"/>
    <col min="7" max="7" width="18.5703125" customWidth="1"/>
    <col min="8" max="8" width="15.5703125" hidden="1" customWidth="1"/>
    <col min="9" max="9" width="2.5703125" hidden="1" customWidth="1"/>
    <col min="10" max="10" width="10.7109375" hidden="1" customWidth="1"/>
    <col min="11" max="11" width="2.85546875" hidden="1" customWidth="1"/>
    <col min="12" max="12" width="15.5703125" hidden="1" customWidth="1"/>
    <col min="13" max="13" width="2.7109375" hidden="1" customWidth="1"/>
    <col min="14" max="14" width="10.7109375" hidden="1" customWidth="1"/>
    <col min="15" max="15" width="2.7109375" customWidth="1"/>
    <col min="16" max="16" width="15.5703125" bestFit="1" customWidth="1"/>
    <col min="17" max="17" width="2.7109375" customWidth="1"/>
    <col min="18" max="18" width="10" customWidth="1"/>
    <col min="19" max="19" width="2.7109375" customWidth="1"/>
    <col min="20" max="20" width="10.7109375" bestFit="1" customWidth="1"/>
    <col min="21" max="21" width="49.42578125" bestFit="1" customWidth="1"/>
  </cols>
  <sheetData>
    <row r="1" spans="1:22" x14ac:dyDescent="0.2">
      <c r="A1" s="83" t="s">
        <v>144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2" x14ac:dyDescent="0.2">
      <c r="A2" s="83" t="s">
        <v>210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2" ht="13.5" thickBot="1" x14ac:dyDescent="0.25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2" ht="13.5" thickBot="1" x14ac:dyDescent="0.25">
      <c r="A4" s="60"/>
      <c r="H4" s="84" t="s">
        <v>199</v>
      </c>
      <c r="I4" s="111"/>
      <c r="J4" s="84">
        <v>2000</v>
      </c>
      <c r="L4" s="84" t="s">
        <v>200</v>
      </c>
      <c r="N4" s="84">
        <v>2001</v>
      </c>
      <c r="P4" s="84" t="s">
        <v>0</v>
      </c>
      <c r="T4" s="84" t="s">
        <v>0</v>
      </c>
    </row>
    <row r="5" spans="1:22" ht="13.5" thickBot="1" x14ac:dyDescent="0.25">
      <c r="E5" s="84" t="s">
        <v>145</v>
      </c>
      <c r="G5" s="121" t="s">
        <v>146</v>
      </c>
      <c r="H5" s="112" t="s">
        <v>147</v>
      </c>
      <c r="I5" s="111"/>
      <c r="J5" s="112" t="s">
        <v>50</v>
      </c>
      <c r="K5" s="111"/>
      <c r="L5" s="112" t="s">
        <v>147</v>
      </c>
      <c r="M5" s="2"/>
      <c r="N5" s="112" t="s">
        <v>50</v>
      </c>
      <c r="O5" s="2"/>
      <c r="P5" s="112" t="s">
        <v>147</v>
      </c>
      <c r="R5" s="84" t="s">
        <v>148</v>
      </c>
      <c r="T5" s="112" t="s">
        <v>50</v>
      </c>
    </row>
    <row r="6" spans="1:22" x14ac:dyDescent="0.2">
      <c r="E6" s="85"/>
      <c r="G6" s="85"/>
      <c r="H6" s="86"/>
      <c r="I6" s="110"/>
      <c r="J6" s="86"/>
      <c r="K6" s="110"/>
      <c r="L6" s="86"/>
      <c r="M6" s="2"/>
      <c r="N6" s="86"/>
      <c r="O6" s="2"/>
      <c r="P6" s="86"/>
      <c r="R6" s="85"/>
      <c r="T6" s="86"/>
    </row>
    <row r="7" spans="1:22" x14ac:dyDescent="0.2">
      <c r="E7" s="86"/>
      <c r="G7" s="86"/>
      <c r="H7" s="86"/>
      <c r="I7" s="110"/>
      <c r="J7" s="86"/>
      <c r="K7" s="110"/>
      <c r="L7" s="86"/>
      <c r="M7" s="2"/>
      <c r="N7" s="86"/>
      <c r="O7" s="2"/>
      <c r="P7" s="86"/>
      <c r="R7" s="86"/>
      <c r="T7" s="86"/>
    </row>
    <row r="8" spans="1:22" x14ac:dyDescent="0.2">
      <c r="B8" t="s">
        <v>209</v>
      </c>
      <c r="E8" s="87">
        <v>0</v>
      </c>
      <c r="F8" s="88"/>
      <c r="G8" s="87">
        <v>425</v>
      </c>
      <c r="H8" s="87">
        <f>67.7-0.7+4.6</f>
        <v>71.599999999999994</v>
      </c>
      <c r="I8" s="104"/>
      <c r="J8" s="113">
        <f>151+12</f>
        <v>163</v>
      </c>
      <c r="K8" s="104"/>
      <c r="L8" s="87">
        <f>29.1+5+4.1</f>
        <v>38.200000000000003</v>
      </c>
      <c r="M8" s="89" t="s">
        <v>149</v>
      </c>
      <c r="N8" s="90">
        <f>164-37+16</f>
        <v>143</v>
      </c>
      <c r="O8" s="89"/>
      <c r="P8" s="87">
        <v>20.6</v>
      </c>
      <c r="Q8" s="88"/>
      <c r="R8" s="87">
        <f>G8-P8</f>
        <v>404.4</v>
      </c>
      <c r="T8" s="90">
        <v>90</v>
      </c>
    </row>
    <row r="9" spans="1:22" x14ac:dyDescent="0.2">
      <c r="E9" s="87"/>
      <c r="F9" s="88"/>
      <c r="G9" s="87"/>
      <c r="H9" s="87"/>
      <c r="I9" s="104"/>
      <c r="J9" s="101"/>
      <c r="K9" s="104"/>
      <c r="L9" s="103" t="s">
        <v>149</v>
      </c>
      <c r="M9" s="88"/>
      <c r="N9" s="90"/>
      <c r="O9" s="88"/>
      <c r="P9" s="87"/>
      <c r="Q9" s="88"/>
      <c r="R9" s="87"/>
      <c r="T9" s="90"/>
    </row>
    <row r="10" spans="1:22" x14ac:dyDescent="0.2">
      <c r="B10" t="s">
        <v>178</v>
      </c>
      <c r="E10" s="87">
        <v>0</v>
      </c>
      <c r="F10" s="88"/>
      <c r="G10" s="87">
        <v>250</v>
      </c>
      <c r="H10" s="87">
        <v>29.9</v>
      </c>
      <c r="I10" s="104"/>
      <c r="J10" s="93">
        <v>147</v>
      </c>
      <c r="K10" s="104"/>
      <c r="L10" s="87">
        <f>32.8+6.4+0.5</f>
        <v>39.699999999999996</v>
      </c>
      <c r="M10" s="88"/>
      <c r="N10" s="90">
        <f>216-29</f>
        <v>187</v>
      </c>
      <c r="O10" s="88"/>
      <c r="P10" s="87">
        <v>10.6</v>
      </c>
      <c r="Q10" s="88"/>
      <c r="R10" s="87">
        <f>G10-P10</f>
        <v>239.4</v>
      </c>
      <c r="T10" s="90">
        <v>64</v>
      </c>
    </row>
    <row r="11" spans="1:22" x14ac:dyDescent="0.2">
      <c r="E11" s="87"/>
      <c r="F11" s="88"/>
      <c r="G11" s="87"/>
      <c r="H11" s="87"/>
      <c r="I11" s="104"/>
      <c r="J11" s="101"/>
      <c r="K11" s="104"/>
      <c r="L11" s="87"/>
      <c r="M11" s="88"/>
      <c r="N11" s="90"/>
      <c r="O11" s="88"/>
      <c r="P11" s="87"/>
      <c r="Q11" s="88"/>
      <c r="R11" s="87"/>
      <c r="T11" s="90"/>
    </row>
    <row r="12" spans="1:22" x14ac:dyDescent="0.2">
      <c r="B12" t="s">
        <v>150</v>
      </c>
      <c r="E12" s="87">
        <v>0</v>
      </c>
      <c r="F12" s="88"/>
      <c r="G12" s="87">
        <v>150</v>
      </c>
      <c r="H12" s="87">
        <v>18.100000000000001</v>
      </c>
      <c r="I12" s="104"/>
      <c r="J12" s="93">
        <v>67</v>
      </c>
      <c r="K12" s="104"/>
      <c r="L12" s="87">
        <f>27.3+6.5</f>
        <v>33.799999999999997</v>
      </c>
      <c r="M12" s="88"/>
      <c r="N12" s="90">
        <f>106-10</f>
        <v>96</v>
      </c>
      <c r="O12" s="88"/>
      <c r="P12" s="87">
        <v>7.9</v>
      </c>
      <c r="Q12" s="88"/>
      <c r="R12" s="87">
        <f>G12-P12</f>
        <v>142.1</v>
      </c>
      <c r="T12" s="90">
        <v>42</v>
      </c>
    </row>
    <row r="13" spans="1:22" x14ac:dyDescent="0.2">
      <c r="E13" s="87"/>
      <c r="F13" s="88"/>
      <c r="G13" s="87"/>
      <c r="H13" s="87"/>
      <c r="I13" s="104"/>
      <c r="J13" s="101"/>
      <c r="K13" s="104"/>
      <c r="L13" s="87"/>
      <c r="M13" s="88"/>
      <c r="N13" s="90"/>
      <c r="O13" s="88"/>
      <c r="P13" s="87"/>
      <c r="Q13" s="88"/>
      <c r="R13" s="87"/>
      <c r="T13" s="90"/>
    </row>
    <row r="14" spans="1:22" x14ac:dyDescent="0.2">
      <c r="B14" t="s">
        <v>179</v>
      </c>
      <c r="E14" s="87">
        <v>0</v>
      </c>
      <c r="F14" s="88"/>
      <c r="G14" s="87">
        <v>50</v>
      </c>
      <c r="H14" s="87">
        <v>8</v>
      </c>
      <c r="I14" s="104"/>
      <c r="J14" s="93">
        <v>47</v>
      </c>
      <c r="K14" s="104"/>
      <c r="L14" s="87">
        <v>9</v>
      </c>
      <c r="M14" s="88"/>
      <c r="N14" s="90">
        <v>49</v>
      </c>
      <c r="O14" s="88"/>
      <c r="P14" s="87">
        <v>4.8</v>
      </c>
      <c r="Q14" s="88"/>
      <c r="R14" s="87">
        <f>G14-P14</f>
        <v>45.2</v>
      </c>
      <c r="T14" s="90">
        <v>27</v>
      </c>
      <c r="V14" s="8"/>
    </row>
    <row r="15" spans="1:22" hidden="1" x14ac:dyDescent="0.2">
      <c r="E15" s="87"/>
      <c r="F15" s="88"/>
      <c r="G15" s="87"/>
      <c r="H15" s="87"/>
      <c r="I15" s="104"/>
      <c r="J15" s="101"/>
      <c r="K15" s="104"/>
      <c r="L15" s="87"/>
      <c r="M15" s="88"/>
      <c r="N15" s="90"/>
      <c r="O15" s="88"/>
      <c r="P15" s="87"/>
      <c r="Q15" s="88"/>
      <c r="R15" s="87"/>
      <c r="T15" s="90"/>
      <c r="V15" s="8"/>
    </row>
    <row r="16" spans="1:22" hidden="1" x14ac:dyDescent="0.2">
      <c r="B16" t="s">
        <v>68</v>
      </c>
      <c r="E16" s="87"/>
      <c r="F16" s="88"/>
      <c r="G16" s="87">
        <v>0</v>
      </c>
      <c r="H16" s="87">
        <v>0</v>
      </c>
      <c r="I16" s="104"/>
      <c r="J16" s="93">
        <v>0</v>
      </c>
      <c r="K16" s="104"/>
      <c r="L16" s="87">
        <v>0</v>
      </c>
      <c r="M16" s="88"/>
      <c r="N16" s="90">
        <v>0</v>
      </c>
      <c r="O16" s="88"/>
      <c r="P16" s="87">
        <v>0</v>
      </c>
      <c r="Q16" s="88"/>
      <c r="R16" s="87">
        <f>G16-P16</f>
        <v>0</v>
      </c>
      <c r="T16" s="90">
        <v>0</v>
      </c>
      <c r="V16" s="8"/>
    </row>
    <row r="17" spans="2:24" x14ac:dyDescent="0.2">
      <c r="E17" s="87"/>
      <c r="F17" s="88"/>
      <c r="G17" s="87"/>
      <c r="H17" s="87"/>
      <c r="I17" s="104"/>
      <c r="J17" s="101"/>
      <c r="K17" s="104"/>
      <c r="L17" s="87"/>
      <c r="M17" s="88"/>
      <c r="N17" s="90"/>
      <c r="O17" s="88"/>
      <c r="P17" s="87"/>
      <c r="Q17" s="88"/>
      <c r="R17" s="87"/>
      <c r="T17" s="90"/>
      <c r="V17" s="8"/>
    </row>
    <row r="18" spans="2:24" hidden="1" x14ac:dyDescent="0.2">
      <c r="B18" t="s">
        <v>201</v>
      </c>
      <c r="E18" s="87"/>
      <c r="F18" s="88"/>
      <c r="G18" s="87"/>
      <c r="H18" s="87">
        <v>162</v>
      </c>
      <c r="I18" s="104"/>
      <c r="J18" s="93">
        <v>151</v>
      </c>
      <c r="K18" s="104"/>
      <c r="L18" s="87">
        <v>140</v>
      </c>
      <c r="M18" s="88"/>
      <c r="N18" s="113">
        <f>25+17</f>
        <v>42</v>
      </c>
      <c r="O18" s="88"/>
      <c r="P18" s="87">
        <v>0</v>
      </c>
      <c r="Q18" s="88"/>
      <c r="R18" s="87"/>
      <c r="T18" s="101">
        <v>0</v>
      </c>
      <c r="V18" s="8"/>
    </row>
    <row r="19" spans="2:24" hidden="1" x14ac:dyDescent="0.2">
      <c r="E19" s="87"/>
      <c r="F19" s="88"/>
      <c r="G19" s="87"/>
      <c r="H19" s="87"/>
      <c r="I19" s="104"/>
      <c r="J19" s="101" t="s">
        <v>149</v>
      </c>
      <c r="K19" s="104"/>
      <c r="L19" s="87"/>
      <c r="M19" s="88"/>
      <c r="N19" s="90" t="s">
        <v>149</v>
      </c>
      <c r="O19" s="88"/>
      <c r="P19" s="87"/>
      <c r="Q19" s="88"/>
      <c r="R19" s="87"/>
      <c r="T19" s="90" t="s">
        <v>149</v>
      </c>
      <c r="V19" s="8"/>
    </row>
    <row r="20" spans="2:24" hidden="1" x14ac:dyDescent="0.2">
      <c r="B20" t="s">
        <v>202</v>
      </c>
      <c r="E20" s="87"/>
      <c r="F20" s="88"/>
      <c r="G20" s="87"/>
      <c r="H20" s="87">
        <v>31</v>
      </c>
      <c r="I20" s="104"/>
      <c r="J20" s="93">
        <v>107</v>
      </c>
      <c r="K20" s="104"/>
      <c r="L20" s="87">
        <v>7</v>
      </c>
      <c r="M20" s="88"/>
      <c r="N20" s="93">
        <v>36</v>
      </c>
      <c r="O20" s="88"/>
      <c r="P20" s="87">
        <v>0</v>
      </c>
      <c r="Q20" s="88"/>
      <c r="R20" s="87"/>
      <c r="T20" s="101">
        <v>0</v>
      </c>
      <c r="V20" s="8"/>
    </row>
    <row r="21" spans="2:24" hidden="1" x14ac:dyDescent="0.2">
      <c r="E21" s="87"/>
      <c r="F21" s="88"/>
      <c r="G21" s="87"/>
      <c r="H21" s="87"/>
      <c r="I21" s="104"/>
      <c r="J21" s="101"/>
      <c r="K21" s="104"/>
      <c r="L21" s="87"/>
      <c r="M21" s="88"/>
      <c r="N21" s="90"/>
      <c r="O21" s="88"/>
      <c r="P21" s="87"/>
      <c r="Q21" s="88"/>
      <c r="R21" s="87"/>
      <c r="T21" s="90"/>
      <c r="V21" s="8"/>
    </row>
    <row r="22" spans="2:24" x14ac:dyDescent="0.2">
      <c r="B22" t="s">
        <v>203</v>
      </c>
      <c r="E22" s="90"/>
      <c r="G22" s="90"/>
      <c r="H22" s="90">
        <v>34.299999999999997</v>
      </c>
      <c r="I22" s="8"/>
      <c r="J22" s="93">
        <v>65</v>
      </c>
      <c r="K22" s="8"/>
      <c r="L22" s="90">
        <v>257.10000000000002</v>
      </c>
      <c r="N22" s="90">
        <v>5</v>
      </c>
      <c r="P22" s="87">
        <v>2.1</v>
      </c>
      <c r="R22" s="87">
        <f>G22-P22</f>
        <v>-2.1</v>
      </c>
      <c r="T22" s="90">
        <v>6</v>
      </c>
    </row>
    <row r="23" spans="2:24" x14ac:dyDescent="0.2">
      <c r="E23" s="92"/>
      <c r="G23" s="92"/>
      <c r="H23" s="90"/>
      <c r="I23" s="8"/>
      <c r="J23" s="92"/>
      <c r="K23" s="8"/>
      <c r="L23" s="90"/>
      <c r="N23" s="92"/>
      <c r="P23" s="91"/>
      <c r="R23" s="92"/>
      <c r="T23" s="92"/>
    </row>
    <row r="24" spans="2:24" x14ac:dyDescent="0.2">
      <c r="D24" s="33" t="s">
        <v>151</v>
      </c>
      <c r="E24" s="94">
        <v>60</v>
      </c>
      <c r="G24" s="95">
        <f>G14+G12+G10+G8</f>
        <v>875</v>
      </c>
      <c r="H24" s="95">
        <f>+H8+H10+H12+H14+H16+H22+H18+H20</f>
        <v>354.9</v>
      </c>
      <c r="I24" s="105"/>
      <c r="J24" s="96">
        <f>+J8+J10+J12+J14+J16+J18+J20+J22</f>
        <v>747</v>
      </c>
      <c r="K24" s="105"/>
      <c r="L24" s="95">
        <f>+L8+L10+L12+L14+L16+L22+L18+L20</f>
        <v>524.79999999999995</v>
      </c>
      <c r="N24" s="96">
        <f>+N8+N10+N12+N14+N16+N22+N18+N20</f>
        <v>558</v>
      </c>
      <c r="P24" s="95">
        <f>+P8+P10+P12+P14+P16+P22+P18+P20</f>
        <v>46</v>
      </c>
      <c r="R24" s="87">
        <f>G24-P24</f>
        <v>829</v>
      </c>
      <c r="T24" s="96">
        <f>+T8+T10+T12+T14+T16+T22+T18+T20</f>
        <v>229</v>
      </c>
    </row>
    <row r="25" spans="2:24" x14ac:dyDescent="0.2">
      <c r="H25" s="90"/>
      <c r="I25" s="8"/>
      <c r="J25" s="97"/>
      <c r="L25" s="90"/>
      <c r="N25" s="97"/>
      <c r="P25" s="87"/>
      <c r="R25" s="97"/>
      <c r="T25" s="97"/>
    </row>
    <row r="26" spans="2:24" x14ac:dyDescent="0.2">
      <c r="B26" t="s">
        <v>152</v>
      </c>
      <c r="H26" s="114">
        <v>14</v>
      </c>
      <c r="I26" s="115"/>
      <c r="J26" s="93">
        <v>128</v>
      </c>
      <c r="L26" s="90">
        <v>7.9</v>
      </c>
      <c r="M26" t="s">
        <v>149</v>
      </c>
      <c r="N26" s="90">
        <v>122</v>
      </c>
      <c r="P26" s="87">
        <v>6.8</v>
      </c>
      <c r="R26" s="98">
        <f>G26-P26</f>
        <v>-6.8</v>
      </c>
      <c r="T26" s="90">
        <v>45</v>
      </c>
      <c r="U26" t="s">
        <v>149</v>
      </c>
      <c r="V26" t="s">
        <v>149</v>
      </c>
      <c r="W26" t="s">
        <v>149</v>
      </c>
      <c r="X26" t="s">
        <v>149</v>
      </c>
    </row>
    <row r="27" spans="2:24" x14ac:dyDescent="0.2">
      <c r="H27" s="90"/>
      <c r="I27" s="8"/>
      <c r="J27" s="90"/>
      <c r="L27" s="90"/>
      <c r="N27" s="90"/>
      <c r="P27" s="87"/>
      <c r="R27" s="98"/>
      <c r="T27" s="90"/>
    </row>
    <row r="28" spans="2:24" x14ac:dyDescent="0.2">
      <c r="B28" t="s">
        <v>204</v>
      </c>
      <c r="E28" t="s">
        <v>149</v>
      </c>
      <c r="H28" s="90">
        <v>5.7</v>
      </c>
      <c r="I28" s="8"/>
      <c r="J28" s="93">
        <v>30</v>
      </c>
      <c r="L28" s="90">
        <v>2.5</v>
      </c>
      <c r="M28" t="s">
        <v>149</v>
      </c>
      <c r="N28" s="90">
        <f>28+7</f>
        <v>35</v>
      </c>
      <c r="P28" s="87">
        <f>1.1+1</f>
        <v>2.1</v>
      </c>
      <c r="R28" s="98">
        <f>G28-P28</f>
        <v>-2.1</v>
      </c>
      <c r="T28" s="90">
        <f>6+4</f>
        <v>10</v>
      </c>
    </row>
    <row r="29" spans="2:24" x14ac:dyDescent="0.2">
      <c r="H29" s="90"/>
      <c r="I29" s="8"/>
      <c r="J29" s="90"/>
      <c r="L29" s="90" t="s">
        <v>149</v>
      </c>
      <c r="N29" s="90"/>
      <c r="P29" s="87"/>
      <c r="R29" s="98"/>
      <c r="T29" s="90"/>
    </row>
    <row r="30" spans="2:24" x14ac:dyDescent="0.2">
      <c r="B30" t="s">
        <v>116</v>
      </c>
      <c r="H30" s="90">
        <v>11.4</v>
      </c>
      <c r="I30" s="8"/>
      <c r="J30" s="116" t="s">
        <v>149</v>
      </c>
      <c r="L30" s="90">
        <v>9.5</v>
      </c>
      <c r="M30" t="s">
        <v>149</v>
      </c>
      <c r="N30" s="93"/>
      <c r="P30" s="87">
        <v>2.2000000000000002</v>
      </c>
      <c r="R30" s="98">
        <f>G30-P30</f>
        <v>-2.2000000000000002</v>
      </c>
      <c r="T30" s="90">
        <v>10</v>
      </c>
    </row>
    <row r="31" spans="2:24" x14ac:dyDescent="0.2">
      <c r="H31" s="90"/>
      <c r="I31" s="8"/>
      <c r="J31" s="90"/>
      <c r="L31" s="90"/>
      <c r="M31" t="s">
        <v>149</v>
      </c>
      <c r="N31" s="90"/>
      <c r="P31" s="87"/>
      <c r="R31" s="90"/>
      <c r="T31" s="90"/>
    </row>
    <row r="32" spans="2:24" x14ac:dyDescent="0.2">
      <c r="B32" t="s">
        <v>121</v>
      </c>
      <c r="H32" s="90">
        <v>11.4</v>
      </c>
      <c r="I32" s="8"/>
      <c r="J32" s="116" t="s">
        <v>149</v>
      </c>
      <c r="L32" s="114">
        <v>7.3</v>
      </c>
      <c r="N32" s="101"/>
      <c r="P32" s="87">
        <v>2.2999999999999998</v>
      </c>
      <c r="R32" s="98">
        <f>G32-P32</f>
        <v>-2.2999999999999998</v>
      </c>
      <c r="T32" s="90">
        <v>15</v>
      </c>
    </row>
    <row r="33" spans="2:22" x14ac:dyDescent="0.2">
      <c r="H33" s="90"/>
      <c r="I33" s="8"/>
      <c r="J33" s="90"/>
      <c r="L33" s="90"/>
      <c r="N33" s="90"/>
      <c r="P33" s="87"/>
      <c r="R33" s="90"/>
      <c r="T33" s="90"/>
    </row>
    <row r="34" spans="2:22" x14ac:dyDescent="0.2">
      <c r="B34" t="s">
        <v>217</v>
      </c>
      <c r="H34" s="90">
        <v>1.2</v>
      </c>
      <c r="I34" s="8"/>
      <c r="J34" s="116">
        <v>0</v>
      </c>
      <c r="L34" s="90">
        <v>0.7</v>
      </c>
      <c r="M34" t="s">
        <v>149</v>
      </c>
      <c r="N34" s="90">
        <v>26</v>
      </c>
      <c r="P34" s="87">
        <v>2.2000000000000002</v>
      </c>
      <c r="R34" s="98">
        <f>G34-P34</f>
        <v>-2.2000000000000002</v>
      </c>
      <c r="T34" s="90">
        <v>11</v>
      </c>
    </row>
    <row r="35" spans="2:22" x14ac:dyDescent="0.2">
      <c r="H35" s="90"/>
      <c r="I35" s="8"/>
      <c r="J35" s="90"/>
      <c r="L35" s="90"/>
      <c r="N35" s="90"/>
      <c r="P35" s="87"/>
      <c r="R35" s="98"/>
      <c r="T35" s="90"/>
    </row>
    <row r="36" spans="2:22" hidden="1" x14ac:dyDescent="0.2">
      <c r="B36" t="s">
        <v>177</v>
      </c>
      <c r="H36" s="90">
        <v>1.1000000000000001</v>
      </c>
      <c r="I36" s="8"/>
      <c r="J36" s="116">
        <v>0</v>
      </c>
      <c r="L36" s="90">
        <v>0.7</v>
      </c>
      <c r="N36" s="90">
        <v>27</v>
      </c>
      <c r="P36" s="87">
        <v>0</v>
      </c>
      <c r="R36" s="98">
        <f>G36-P36</f>
        <v>0</v>
      </c>
      <c r="T36" s="90">
        <v>0</v>
      </c>
    </row>
    <row r="37" spans="2:22" hidden="1" x14ac:dyDescent="0.2">
      <c r="H37" s="90"/>
      <c r="I37" s="8"/>
      <c r="J37" s="90" t="s">
        <v>149</v>
      </c>
      <c r="L37" s="90"/>
      <c r="N37" s="90" t="s">
        <v>149</v>
      </c>
      <c r="P37" s="87"/>
      <c r="R37" s="90"/>
      <c r="T37" s="90" t="s">
        <v>149</v>
      </c>
    </row>
    <row r="38" spans="2:22" x14ac:dyDescent="0.2">
      <c r="B38" t="s">
        <v>153</v>
      </c>
      <c r="H38" s="90"/>
      <c r="I38" s="8"/>
      <c r="J38" s="116" t="s">
        <v>149</v>
      </c>
      <c r="L38" s="90"/>
      <c r="M38" t="s">
        <v>149</v>
      </c>
      <c r="N38" s="90"/>
      <c r="P38" s="87"/>
      <c r="R38" s="98"/>
      <c r="T38" s="90"/>
    </row>
    <row r="39" spans="2:22" x14ac:dyDescent="0.2">
      <c r="C39" t="s">
        <v>154</v>
      </c>
      <c r="H39" s="90">
        <v>10.199999999999999</v>
      </c>
      <c r="I39" s="8"/>
      <c r="J39" s="113" t="s">
        <v>149</v>
      </c>
      <c r="L39" s="114">
        <v>7.6</v>
      </c>
      <c r="N39" s="87"/>
      <c r="P39" s="87">
        <f>(T39/$T$49)*$P$49</f>
        <v>5.3565217391304349</v>
      </c>
      <c r="R39" s="98">
        <f t="shared" ref="R39:R47" si="0">G39-P39</f>
        <v>-5.3565217391304349</v>
      </c>
      <c r="T39" s="90">
        <v>32</v>
      </c>
      <c r="U39">
        <v>5</v>
      </c>
      <c r="V39">
        <v>0.5</v>
      </c>
    </row>
    <row r="40" spans="2:22" x14ac:dyDescent="0.2">
      <c r="C40" t="s">
        <v>155</v>
      </c>
      <c r="H40" s="90">
        <v>8.6</v>
      </c>
      <c r="I40" s="8"/>
      <c r="J40" s="113" t="s">
        <v>149</v>
      </c>
      <c r="L40" s="114">
        <v>6</v>
      </c>
      <c r="N40" s="87"/>
      <c r="P40" s="87">
        <f t="shared" ref="P40:P47" si="1">(T40/$T$49)*$P$49</f>
        <v>6.5282608695652176</v>
      </c>
      <c r="R40" s="98">
        <f t="shared" si="0"/>
        <v>-6.5282608695652176</v>
      </c>
      <c r="T40" s="90">
        <v>39</v>
      </c>
      <c r="U40">
        <v>4</v>
      </c>
      <c r="V40">
        <v>0.5</v>
      </c>
    </row>
    <row r="41" spans="2:22" x14ac:dyDescent="0.2">
      <c r="C41" t="s">
        <v>156</v>
      </c>
      <c r="H41" s="90">
        <v>5.9</v>
      </c>
      <c r="I41" s="8"/>
      <c r="J41" s="113" t="s">
        <v>149</v>
      </c>
      <c r="L41" s="114">
        <v>4</v>
      </c>
      <c r="N41" s="87"/>
      <c r="P41" s="87">
        <f t="shared" si="1"/>
        <v>4.8543478260869568</v>
      </c>
      <c r="R41" s="98">
        <f t="shared" si="0"/>
        <v>-4.8543478260869568</v>
      </c>
      <c r="T41" s="90">
        <f>21+8</f>
        <v>29</v>
      </c>
      <c r="U41">
        <v>4</v>
      </c>
      <c r="V41">
        <v>0.5</v>
      </c>
    </row>
    <row r="42" spans="2:22" x14ac:dyDescent="0.2">
      <c r="C42" t="s">
        <v>157</v>
      </c>
      <c r="H42" s="90">
        <v>3.1</v>
      </c>
      <c r="I42" s="8"/>
      <c r="J42" s="116" t="s">
        <v>149</v>
      </c>
      <c r="L42" s="90">
        <v>2.7</v>
      </c>
      <c r="N42" s="87"/>
      <c r="P42" s="87">
        <f t="shared" si="1"/>
        <v>1.0043478260869565</v>
      </c>
      <c r="R42" s="98">
        <f t="shared" si="0"/>
        <v>-1.0043478260869565</v>
      </c>
      <c r="T42" s="90">
        <v>6</v>
      </c>
      <c r="U42">
        <v>4</v>
      </c>
      <c r="V42">
        <v>0.5</v>
      </c>
    </row>
    <row r="43" spans="2:22" x14ac:dyDescent="0.2">
      <c r="C43" t="s">
        <v>158</v>
      </c>
      <c r="H43" s="90">
        <v>2.7</v>
      </c>
      <c r="I43" s="8"/>
      <c r="J43" s="116" t="s">
        <v>149</v>
      </c>
      <c r="L43" s="90">
        <v>2.1</v>
      </c>
      <c r="M43" s="67"/>
      <c r="N43" s="87"/>
      <c r="O43" s="67"/>
      <c r="P43" s="87">
        <f t="shared" si="1"/>
        <v>2.3434782608695652</v>
      </c>
      <c r="R43" s="98">
        <f t="shared" si="0"/>
        <v>-2.3434782608695652</v>
      </c>
      <c r="T43" s="90">
        <v>14</v>
      </c>
      <c r="U43">
        <v>4</v>
      </c>
      <c r="V43">
        <v>0.5</v>
      </c>
    </row>
    <row r="44" spans="2:22" x14ac:dyDescent="0.2">
      <c r="C44" t="s">
        <v>159</v>
      </c>
      <c r="H44" s="90">
        <v>2.7</v>
      </c>
      <c r="I44" s="8"/>
      <c r="J44" s="116" t="s">
        <v>149</v>
      </c>
      <c r="L44" s="90">
        <v>2.1</v>
      </c>
      <c r="N44" s="87"/>
      <c r="P44" s="87">
        <f t="shared" si="1"/>
        <v>1.8413043478260871</v>
      </c>
      <c r="R44" s="98">
        <f t="shared" si="0"/>
        <v>-1.8413043478260871</v>
      </c>
      <c r="T44" s="90">
        <v>11</v>
      </c>
      <c r="U44">
        <v>4</v>
      </c>
      <c r="V44">
        <v>0.5</v>
      </c>
    </row>
    <row r="45" spans="2:22" x14ac:dyDescent="0.2">
      <c r="C45" t="s">
        <v>160</v>
      </c>
      <c r="H45" s="90">
        <v>2.7</v>
      </c>
      <c r="I45" s="8"/>
      <c r="J45" s="116" t="s">
        <v>149</v>
      </c>
      <c r="L45" s="90">
        <v>2.5</v>
      </c>
      <c r="N45" s="87"/>
      <c r="P45" s="87">
        <f t="shared" si="1"/>
        <v>1.3391304347826087</v>
      </c>
      <c r="R45" s="98">
        <f t="shared" si="0"/>
        <v>-1.3391304347826087</v>
      </c>
      <c r="T45" s="90">
        <v>8</v>
      </c>
      <c r="U45">
        <v>5</v>
      </c>
      <c r="V45">
        <v>0.5</v>
      </c>
    </row>
    <row r="46" spans="2:22" x14ac:dyDescent="0.2">
      <c r="C46" t="s">
        <v>161</v>
      </c>
      <c r="H46" s="92">
        <v>3.3</v>
      </c>
      <c r="I46" s="8"/>
      <c r="J46" s="117" t="s">
        <v>149</v>
      </c>
      <c r="L46" s="92">
        <v>2.9</v>
      </c>
      <c r="N46" s="91"/>
      <c r="P46" s="87">
        <f t="shared" si="1"/>
        <v>2.3434782608695652</v>
      </c>
      <c r="R46" s="98">
        <f t="shared" si="0"/>
        <v>-2.3434782608695652</v>
      </c>
      <c r="T46" s="90">
        <v>14</v>
      </c>
      <c r="U46" s="122">
        <v>6</v>
      </c>
      <c r="V46">
        <v>0.05</v>
      </c>
    </row>
    <row r="47" spans="2:22" x14ac:dyDescent="0.2">
      <c r="C47" t="s">
        <v>218</v>
      </c>
      <c r="H47" s="90"/>
      <c r="I47" s="8"/>
      <c r="J47" s="116"/>
      <c r="L47" s="90"/>
      <c r="N47" s="87"/>
      <c r="P47" s="87">
        <f t="shared" si="1"/>
        <v>4.8543478260869568</v>
      </c>
      <c r="R47" s="98">
        <f t="shared" si="0"/>
        <v>-4.8543478260869568</v>
      </c>
      <c r="T47" s="90">
        <v>29</v>
      </c>
      <c r="U47" s="8"/>
    </row>
    <row r="48" spans="2:22" x14ac:dyDescent="0.2">
      <c r="C48" t="s">
        <v>219</v>
      </c>
      <c r="H48" s="90"/>
      <c r="I48" s="8"/>
      <c r="J48" s="116"/>
      <c r="L48" s="90"/>
      <c r="N48" s="87"/>
      <c r="P48" s="91">
        <f>(T48/$T$49)*$P$49+0.1</f>
        <v>0.43478260869565222</v>
      </c>
      <c r="R48" s="94">
        <f>G48-P48+0.06</f>
        <v>-0.37478260869565222</v>
      </c>
      <c r="T48" s="92">
        <v>2</v>
      </c>
      <c r="U48" s="8"/>
    </row>
    <row r="49" spans="2:23" x14ac:dyDescent="0.2">
      <c r="H49" s="100">
        <f>SUM(H39:H46)</f>
        <v>39.199999999999996</v>
      </c>
      <c r="I49" s="118"/>
      <c r="J49" s="99">
        <v>452</v>
      </c>
      <c r="L49" s="100">
        <f>SUM(L39:L46)</f>
        <v>29.900000000000002</v>
      </c>
      <c r="N49" s="99"/>
      <c r="P49" s="100">
        <v>30.8</v>
      </c>
      <c r="R49" s="98">
        <f>SUM(R39:R48)</f>
        <v>-30.840000000000003</v>
      </c>
      <c r="T49" s="99">
        <f>SUM(T39:T48)</f>
        <v>184</v>
      </c>
      <c r="U49">
        <v>178</v>
      </c>
      <c r="V49">
        <f>SUM(V39:V46)</f>
        <v>3.55</v>
      </c>
      <c r="W49" t="s">
        <v>162</v>
      </c>
    </row>
    <row r="50" spans="2:23" x14ac:dyDescent="0.2">
      <c r="H50" s="90"/>
      <c r="I50" s="8"/>
      <c r="J50" s="90"/>
      <c r="L50" s="90"/>
      <c r="N50" s="90"/>
      <c r="P50" s="90"/>
      <c r="R50" s="90"/>
      <c r="T50" s="90"/>
    </row>
    <row r="51" spans="2:23" x14ac:dyDescent="0.2">
      <c r="B51" t="s">
        <v>163</v>
      </c>
      <c r="H51" s="90">
        <v>10.7</v>
      </c>
      <c r="I51" s="8"/>
      <c r="J51" s="93">
        <v>39</v>
      </c>
      <c r="L51" s="90">
        <v>4.0999999999999996</v>
      </c>
      <c r="M51" t="s">
        <v>149</v>
      </c>
      <c r="N51" s="99">
        <v>105</v>
      </c>
      <c r="P51" s="87">
        <v>1.6</v>
      </c>
      <c r="R51" s="98">
        <f>G51-P51</f>
        <v>-1.6</v>
      </c>
      <c r="T51" s="99">
        <v>14</v>
      </c>
    </row>
    <row r="52" spans="2:23" x14ac:dyDescent="0.2">
      <c r="H52" s="90"/>
      <c r="I52" s="8"/>
      <c r="J52" s="90"/>
      <c r="L52" s="90"/>
      <c r="N52" s="90"/>
      <c r="P52" s="90"/>
      <c r="R52" s="90"/>
      <c r="T52" s="90"/>
    </row>
    <row r="53" spans="2:23" x14ac:dyDescent="0.2">
      <c r="B53" t="s">
        <v>180</v>
      </c>
      <c r="H53" s="90">
        <v>27.5</v>
      </c>
      <c r="I53" s="8"/>
      <c r="J53" s="93">
        <v>175</v>
      </c>
      <c r="L53" s="114">
        <v>29</v>
      </c>
      <c r="M53" t="s">
        <v>149</v>
      </c>
      <c r="N53" s="99"/>
      <c r="P53" s="87">
        <v>36</v>
      </c>
      <c r="R53" s="98">
        <f>G53-P53</f>
        <v>-36</v>
      </c>
      <c r="T53" s="99">
        <v>140</v>
      </c>
      <c r="U53" t="s">
        <v>149</v>
      </c>
      <c r="V53" t="s">
        <v>149</v>
      </c>
    </row>
    <row r="54" spans="2:23" x14ac:dyDescent="0.2">
      <c r="B54" t="s">
        <v>181</v>
      </c>
      <c r="H54" s="90">
        <v>48.9</v>
      </c>
      <c r="I54" s="8"/>
      <c r="J54" s="116" t="s">
        <v>149</v>
      </c>
      <c r="L54" s="114">
        <v>55</v>
      </c>
      <c r="N54" s="99"/>
      <c r="P54" s="87">
        <v>50.1</v>
      </c>
      <c r="R54" s="98">
        <f>G54-P54</f>
        <v>-50.1</v>
      </c>
      <c r="T54" s="99">
        <v>59</v>
      </c>
    </row>
    <row r="55" spans="2:23" hidden="1" x14ac:dyDescent="0.2">
      <c r="B55" t="s">
        <v>182</v>
      </c>
      <c r="H55" s="90">
        <v>1.1000000000000001</v>
      </c>
      <c r="I55" s="8"/>
      <c r="J55" s="116" t="s">
        <v>149</v>
      </c>
      <c r="L55" s="90">
        <v>7.7</v>
      </c>
      <c r="N55" s="99"/>
      <c r="P55" s="87">
        <v>0</v>
      </c>
      <c r="R55" s="98">
        <f>G55-P55</f>
        <v>0</v>
      </c>
      <c r="T55" s="99">
        <v>0</v>
      </c>
    </row>
    <row r="56" spans="2:23" x14ac:dyDescent="0.2">
      <c r="B56" t="s">
        <v>183</v>
      </c>
      <c r="H56" s="90">
        <v>0.8</v>
      </c>
      <c r="I56" s="8"/>
      <c r="J56" s="116" t="s">
        <v>149</v>
      </c>
      <c r="L56" s="90">
        <v>5.2</v>
      </c>
      <c r="N56" s="99"/>
      <c r="P56" s="87">
        <v>5.9</v>
      </c>
      <c r="R56" s="98">
        <f>G56-P56</f>
        <v>-5.9</v>
      </c>
      <c r="T56" s="99">
        <v>39</v>
      </c>
    </row>
    <row r="57" spans="2:23" x14ac:dyDescent="0.2">
      <c r="H57" s="90"/>
      <c r="I57" s="8"/>
      <c r="J57" s="99"/>
      <c r="L57" s="90"/>
      <c r="N57" s="99"/>
      <c r="P57" s="87"/>
      <c r="R57" s="98"/>
      <c r="T57" s="99"/>
    </row>
    <row r="58" spans="2:23" x14ac:dyDescent="0.2">
      <c r="H58" s="90"/>
      <c r="I58" s="8"/>
      <c r="J58" s="90"/>
      <c r="L58" s="90"/>
      <c r="N58" s="90"/>
      <c r="P58" s="93"/>
      <c r="R58" s="90"/>
      <c r="T58" s="90"/>
    </row>
    <row r="59" spans="2:23" x14ac:dyDescent="0.2">
      <c r="B59" t="s">
        <v>164</v>
      </c>
      <c r="H59" s="90">
        <v>2.8</v>
      </c>
      <c r="I59" s="8"/>
      <c r="J59" s="116">
        <v>0</v>
      </c>
      <c r="L59" s="90">
        <v>3.5</v>
      </c>
      <c r="M59" t="s">
        <v>149</v>
      </c>
      <c r="N59" s="99">
        <v>96</v>
      </c>
      <c r="P59" s="87">
        <v>4.8</v>
      </c>
      <c r="R59" s="98">
        <f>G59-P59</f>
        <v>-4.8</v>
      </c>
      <c r="T59" s="99">
        <v>33</v>
      </c>
    </row>
    <row r="60" spans="2:23" x14ac:dyDescent="0.2">
      <c r="H60" s="90"/>
      <c r="I60" s="8"/>
      <c r="J60" s="90"/>
      <c r="L60" s="90"/>
      <c r="N60" s="90"/>
      <c r="P60" s="93"/>
      <c r="R60" s="90"/>
      <c r="T60" s="90"/>
    </row>
    <row r="61" spans="2:23" x14ac:dyDescent="0.2">
      <c r="B61" t="s">
        <v>129</v>
      </c>
      <c r="H61" s="90">
        <v>39.299999999999997</v>
      </c>
      <c r="I61" s="8"/>
      <c r="J61" s="93">
        <v>90</v>
      </c>
      <c r="L61" s="90">
        <v>10.1</v>
      </c>
      <c r="M61" t="s">
        <v>149</v>
      </c>
      <c r="N61" s="99">
        <v>116</v>
      </c>
      <c r="P61" s="87">
        <v>9.5</v>
      </c>
      <c r="R61" s="98">
        <f>G61-P61</f>
        <v>-9.5</v>
      </c>
      <c r="T61" s="99">
        <v>21</v>
      </c>
      <c r="U61" t="s">
        <v>149</v>
      </c>
      <c r="V61" t="s">
        <v>149</v>
      </c>
    </row>
    <row r="62" spans="2:23" x14ac:dyDescent="0.2">
      <c r="H62" s="90"/>
      <c r="I62" s="8"/>
      <c r="J62" s="99"/>
      <c r="L62" s="90"/>
      <c r="N62" s="99"/>
      <c r="P62" s="87"/>
      <c r="R62" s="98"/>
      <c r="T62" s="99"/>
      <c r="V62" t="s">
        <v>149</v>
      </c>
    </row>
    <row r="63" spans="2:23" x14ac:dyDescent="0.2">
      <c r="B63" t="s">
        <v>165</v>
      </c>
      <c r="H63" s="90"/>
      <c r="I63" s="8"/>
      <c r="J63" s="99"/>
      <c r="L63" s="90"/>
      <c r="M63" t="s">
        <v>149</v>
      </c>
      <c r="N63" s="99"/>
      <c r="P63" s="87"/>
      <c r="R63" s="98"/>
      <c r="T63" s="99"/>
    </row>
    <row r="64" spans="2:23" x14ac:dyDescent="0.2">
      <c r="C64" t="s">
        <v>184</v>
      </c>
      <c r="H64" s="114">
        <f>15.3+0.7</f>
        <v>16</v>
      </c>
      <c r="I64" s="8"/>
      <c r="J64" s="99"/>
      <c r="L64" s="114">
        <v>6</v>
      </c>
      <c r="N64" s="99"/>
      <c r="P64" s="87">
        <v>5</v>
      </c>
      <c r="R64" s="98">
        <f>G64-P64</f>
        <v>-5</v>
      </c>
      <c r="T64" s="99"/>
    </row>
    <row r="65" spans="2:21" x14ac:dyDescent="0.2">
      <c r="C65" t="s">
        <v>185</v>
      </c>
      <c r="H65" s="114">
        <v>1</v>
      </c>
      <c r="I65" s="115"/>
      <c r="J65" s="99"/>
      <c r="L65" s="90">
        <v>0.8</v>
      </c>
      <c r="N65" s="99"/>
      <c r="P65" s="87">
        <v>1</v>
      </c>
      <c r="R65" s="98">
        <f>G65-P65</f>
        <v>-1</v>
      </c>
      <c r="T65" s="99"/>
    </row>
    <row r="66" spans="2:21" x14ac:dyDescent="0.2">
      <c r="C66" t="s">
        <v>162</v>
      </c>
      <c r="H66" s="114">
        <v>1</v>
      </c>
      <c r="I66" s="115"/>
      <c r="J66" s="99"/>
      <c r="L66" s="114">
        <v>0.1</v>
      </c>
      <c r="N66" s="99"/>
      <c r="P66" s="87">
        <v>1</v>
      </c>
      <c r="R66" s="98">
        <f>G66-P66</f>
        <v>-1</v>
      </c>
      <c r="T66" s="99"/>
    </row>
    <row r="67" spans="2:21" x14ac:dyDescent="0.2">
      <c r="C67" t="s">
        <v>68</v>
      </c>
      <c r="H67" s="90">
        <v>0.4</v>
      </c>
      <c r="I67" s="8"/>
      <c r="J67" s="99"/>
      <c r="L67" s="90">
        <v>0.1</v>
      </c>
      <c r="N67" s="99"/>
      <c r="P67" s="87">
        <v>0.6</v>
      </c>
      <c r="R67" s="98">
        <f>G67-P67</f>
        <v>-0.6</v>
      </c>
      <c r="T67" s="99"/>
    </row>
    <row r="68" spans="2:21" x14ac:dyDescent="0.2">
      <c r="H68" s="90"/>
      <c r="I68" s="8"/>
      <c r="J68" s="99"/>
      <c r="L68" s="90"/>
      <c r="N68" s="99"/>
      <c r="P68" s="87"/>
      <c r="R68" s="98"/>
      <c r="T68" s="99"/>
    </row>
    <row r="69" spans="2:21" hidden="1" x14ac:dyDescent="0.2">
      <c r="B69" t="s">
        <v>205</v>
      </c>
      <c r="H69" s="90">
        <f>7.3-0.4</f>
        <v>6.8999999999999995</v>
      </c>
      <c r="I69" s="8"/>
      <c r="J69" s="99"/>
      <c r="L69" s="90">
        <v>37.4</v>
      </c>
      <c r="N69" s="99"/>
      <c r="P69" s="87">
        <v>0</v>
      </c>
      <c r="R69" s="98"/>
      <c r="T69" s="99"/>
    </row>
    <row r="70" spans="2:21" hidden="1" x14ac:dyDescent="0.2">
      <c r="H70" s="90"/>
      <c r="I70" s="8"/>
      <c r="J70" s="99"/>
      <c r="L70" s="90"/>
      <c r="N70" s="99"/>
      <c r="P70" s="87"/>
      <c r="R70" s="98"/>
      <c r="T70" s="99"/>
    </row>
    <row r="71" spans="2:21" hidden="1" x14ac:dyDescent="0.2">
      <c r="B71" t="s">
        <v>15</v>
      </c>
      <c r="H71" s="101">
        <v>0</v>
      </c>
      <c r="I71" s="8"/>
      <c r="J71" s="99"/>
      <c r="L71" s="90">
        <v>20.9</v>
      </c>
      <c r="N71" s="99"/>
      <c r="P71" s="87"/>
      <c r="R71" s="98"/>
      <c r="T71" s="99"/>
    </row>
    <row r="72" spans="2:21" hidden="1" x14ac:dyDescent="0.2">
      <c r="H72" s="90"/>
      <c r="I72" s="8"/>
      <c r="J72" s="99"/>
      <c r="L72" s="90"/>
      <c r="N72" s="99"/>
      <c r="P72" s="87"/>
      <c r="R72" s="98"/>
      <c r="T72" s="99"/>
    </row>
    <row r="73" spans="2:21" x14ac:dyDescent="0.2">
      <c r="B73" t="s">
        <v>186</v>
      </c>
      <c r="H73" s="90">
        <v>0.1</v>
      </c>
      <c r="I73" s="8"/>
      <c r="J73" s="99">
        <v>0</v>
      </c>
      <c r="L73" s="114">
        <v>13.6</v>
      </c>
      <c r="N73" s="99">
        <f>29+29+10+37+24</f>
        <v>129</v>
      </c>
      <c r="P73" s="87">
        <f>4.3+1.1+1</f>
        <v>6.4</v>
      </c>
      <c r="R73" s="98">
        <f>G73-P73</f>
        <v>-6.4</v>
      </c>
      <c r="T73" s="99">
        <f>29+6+5</f>
        <v>40</v>
      </c>
    </row>
    <row r="74" spans="2:21" x14ac:dyDescent="0.2">
      <c r="H74" s="90"/>
      <c r="I74" s="8"/>
      <c r="J74" s="99"/>
      <c r="L74" s="90"/>
      <c r="N74" s="99"/>
      <c r="P74" s="87"/>
      <c r="R74" s="98"/>
      <c r="T74" s="99"/>
    </row>
    <row r="75" spans="2:21" x14ac:dyDescent="0.2">
      <c r="H75" s="90"/>
      <c r="I75" s="8"/>
      <c r="J75" s="99"/>
      <c r="L75" s="90"/>
      <c r="N75" s="99"/>
      <c r="P75" s="87"/>
      <c r="R75" s="98"/>
      <c r="T75" s="99"/>
    </row>
    <row r="76" spans="2:21" x14ac:dyDescent="0.2">
      <c r="B76" t="s">
        <v>187</v>
      </c>
      <c r="H76" s="90"/>
      <c r="I76" s="8"/>
      <c r="J76" s="99"/>
      <c r="L76" s="87"/>
      <c r="N76" s="99"/>
      <c r="P76" s="87">
        <f>9+2.4+2</f>
        <v>13.4</v>
      </c>
      <c r="R76" s="98">
        <f>G76-P76</f>
        <v>-13.4</v>
      </c>
      <c r="T76" s="99"/>
      <c r="U76" t="s">
        <v>206</v>
      </c>
    </row>
    <row r="77" spans="2:21" x14ac:dyDescent="0.2">
      <c r="H77" s="90"/>
      <c r="I77" s="8"/>
      <c r="J77" s="99"/>
      <c r="L77" s="90"/>
      <c r="N77" s="99"/>
      <c r="P77" s="87"/>
      <c r="R77" s="98"/>
      <c r="T77" s="99"/>
      <c r="U77" t="s">
        <v>207</v>
      </c>
    </row>
    <row r="78" spans="2:21" x14ac:dyDescent="0.2">
      <c r="B78" t="s">
        <v>166</v>
      </c>
      <c r="H78" s="90">
        <v>130.6</v>
      </c>
      <c r="I78" s="8"/>
      <c r="J78" s="90"/>
      <c r="L78" s="87">
        <v>61.2</v>
      </c>
      <c r="N78" s="90"/>
      <c r="P78" s="87">
        <v>0</v>
      </c>
      <c r="R78" s="101">
        <v>0</v>
      </c>
      <c r="T78" s="90"/>
    </row>
    <row r="79" spans="2:21" x14ac:dyDescent="0.2">
      <c r="H79" s="90"/>
      <c r="I79" s="8"/>
      <c r="J79" s="92"/>
      <c r="L79" s="90"/>
      <c r="N79" s="92"/>
      <c r="P79" s="87"/>
      <c r="Q79" s="8"/>
      <c r="R79" s="98"/>
      <c r="T79" s="92"/>
    </row>
    <row r="80" spans="2:21" x14ac:dyDescent="0.2">
      <c r="D80" s="33" t="s">
        <v>167</v>
      </c>
      <c r="H80" s="119">
        <f>+H26+H28+H30+H32+H34+H36+H49+H51+H53+H54+H55+H56+H59+H61+H64+H65+H66+H67+H73+H76+H69+H78</f>
        <v>371.1</v>
      </c>
      <c r="I80" s="104"/>
      <c r="J80" s="120">
        <f>+J26+J28+J49+J51+J53+J61</f>
        <v>914</v>
      </c>
      <c r="L80" s="119">
        <f>+L26+L28+L30+L32+L34+L36+L49+L51+L53+L54+L55+L56+L59+L61+L64+L65+L66+L67+L73+L76+L69+L78+L71</f>
        <v>313.19999999999993</v>
      </c>
      <c r="N80" s="120">
        <f>+N26+N28+N30+N32+N34+N36+N49+N51+N53+N54+N55+N56+N59+N61+N64+N65+N66+N67+N73+N76+N69+N78</f>
        <v>656</v>
      </c>
      <c r="P80" s="119">
        <f>+P26+P28+P30+P32+P34+P36+P49+P51+P53+P54+P55+P56+P59+P61+P64+P65+P66+P67+P73+P76+P69+P78</f>
        <v>181.70000000000002</v>
      </c>
      <c r="Q80" s="103" t="s">
        <v>149</v>
      </c>
      <c r="R80" s="102">
        <f>+R26+R28+R30+R32+R34+R36+R49+R51+R53+R54+R55+R56+R59+R61+R64+R65+R66+R67+R73+R76</f>
        <v>-181.74000000000004</v>
      </c>
      <c r="T80" s="120">
        <f>+T26+T28+T30+T32+T34+T36+T49+T51+T53+T54+T55+T56+T59+T61+T64+T65+T66+T67+T73+T76+T69+T78</f>
        <v>621</v>
      </c>
    </row>
    <row r="81" spans="2:20" x14ac:dyDescent="0.2">
      <c r="E81" s="104"/>
      <c r="F81" s="8"/>
      <c r="G81" s="104"/>
      <c r="H81" s="87"/>
      <c r="I81" s="104"/>
      <c r="J81" s="102"/>
      <c r="K81" s="104"/>
      <c r="L81" s="87"/>
      <c r="N81" s="102"/>
      <c r="P81" s="102"/>
      <c r="R81" s="102"/>
      <c r="T81" s="102"/>
    </row>
    <row r="82" spans="2:20" x14ac:dyDescent="0.2">
      <c r="E82" s="104"/>
      <c r="F82" s="8"/>
      <c r="G82" s="104"/>
      <c r="H82" s="87"/>
      <c r="I82" s="104"/>
      <c r="J82" s="87"/>
      <c r="K82" s="104"/>
      <c r="L82" s="87"/>
      <c r="N82" s="87"/>
      <c r="P82" s="87"/>
      <c r="R82" s="87"/>
      <c r="T82" s="87"/>
    </row>
    <row r="83" spans="2:20" x14ac:dyDescent="0.2">
      <c r="D83" s="33" t="s">
        <v>208</v>
      </c>
      <c r="E83" s="105"/>
      <c r="F83" s="8"/>
      <c r="G83" s="95">
        <f>G24</f>
        <v>875</v>
      </c>
      <c r="H83" s="106">
        <f>H80+H24</f>
        <v>726</v>
      </c>
      <c r="I83" s="118"/>
      <c r="J83" s="107">
        <f>J80+J24</f>
        <v>1661</v>
      </c>
      <c r="K83" s="105"/>
      <c r="L83" s="106">
        <f>L80+L24</f>
        <v>837.99999999999989</v>
      </c>
      <c r="N83" s="107">
        <f>N80+N24</f>
        <v>1214</v>
      </c>
      <c r="P83" s="106">
        <f>P80+P24</f>
        <v>227.70000000000002</v>
      </c>
      <c r="R83" s="106">
        <f>G83-P83</f>
        <v>647.29999999999995</v>
      </c>
      <c r="T83" s="107">
        <f>T80+T24</f>
        <v>850</v>
      </c>
    </row>
    <row r="84" spans="2:20" x14ac:dyDescent="0.2">
      <c r="F84" s="8"/>
      <c r="G84" s="104"/>
      <c r="H84" s="104"/>
      <c r="I84" s="104"/>
      <c r="J84" s="104"/>
      <c r="K84" s="104"/>
      <c r="L84" s="104"/>
      <c r="P84" s="104"/>
      <c r="R84" s="104"/>
      <c r="T84" s="104"/>
    </row>
    <row r="85" spans="2:20" x14ac:dyDescent="0.2">
      <c r="B85" t="s">
        <v>211</v>
      </c>
      <c r="G85" s="8"/>
      <c r="H85" s="8"/>
      <c r="I85" s="8"/>
      <c r="J85" s="8"/>
      <c r="K85" s="8"/>
      <c r="L85" s="8"/>
      <c r="P85" s="8"/>
      <c r="Q85" s="8"/>
      <c r="R85" s="8"/>
      <c r="S85" s="8"/>
      <c r="T85" s="8"/>
    </row>
    <row r="86" spans="2:20" x14ac:dyDescent="0.2">
      <c r="B86" t="s">
        <v>212</v>
      </c>
      <c r="G86" s="8"/>
      <c r="H86" s="8"/>
      <c r="I86" s="8"/>
      <c r="J86" s="8"/>
      <c r="K86" s="8"/>
      <c r="L86" s="8"/>
    </row>
    <row r="87" spans="2:20" x14ac:dyDescent="0.2">
      <c r="B87" t="s">
        <v>213</v>
      </c>
      <c r="G87" s="8"/>
      <c r="H87" s="8"/>
      <c r="I87" s="8"/>
      <c r="J87" s="8"/>
      <c r="K87" s="8"/>
      <c r="L87" s="8"/>
    </row>
    <row r="88" spans="2:20" x14ac:dyDescent="0.2">
      <c r="B88" t="s">
        <v>214</v>
      </c>
      <c r="G88" s="8"/>
      <c r="H88" s="8"/>
      <c r="I88" s="8"/>
      <c r="J88" s="8"/>
      <c r="K88" s="8"/>
      <c r="L88" s="8"/>
    </row>
  </sheetData>
  <phoneticPr fontId="0" type="noConversion"/>
  <pageMargins left="0.52" right="0.46" top="1" bottom="1" header="0.5" footer="0.5"/>
  <pageSetup scale="68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R39"/>
  <sheetViews>
    <sheetView zoomScaleNormal="100" workbookViewId="0">
      <selection activeCell="M8" sqref="M8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22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4" max="14" width="21" customWidth="1"/>
    <col min="15" max="15" width="19" customWidth="1"/>
    <col min="16" max="16" width="28.42578125" bestFit="1" customWidth="1"/>
    <col min="17" max="17" width="10.7109375" customWidth="1"/>
  </cols>
  <sheetData>
    <row r="1" spans="1:44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0" t="s">
        <v>274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128304</v>
      </c>
      <c r="Q8" s="15"/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89100</v>
      </c>
      <c r="I10" s="42"/>
      <c r="J10" s="17"/>
      <c r="K10" s="17"/>
      <c r="L10" s="43"/>
      <c r="Q10" s="15"/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+H10*0.2+6384</f>
        <v>24204</v>
      </c>
      <c r="I11" s="42" t="s">
        <v>15</v>
      </c>
      <c r="J11" s="17">
        <f>(E12+E13+E14+E15+E16+E17+E18+E19+E20+E21+E22)/E29</f>
        <v>48270.181250000009</v>
      </c>
      <c r="K11" s="17">
        <f>K28</f>
        <v>1</v>
      </c>
      <c r="L11" s="43">
        <f>J11*K11</f>
        <v>48270.181250000009</v>
      </c>
      <c r="N11" s="124"/>
      <c r="O11" s="124"/>
      <c r="P11" s="124"/>
      <c r="Q11" s="15"/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>(E12/$E$29)*$K$11</f>
        <v>6162.4737499999974</v>
      </c>
      <c r="I12" s="42"/>
      <c r="J12" s="17"/>
      <c r="K12" s="17"/>
      <c r="L12" s="43"/>
      <c r="N12" s="124"/>
      <c r="O12" s="124"/>
      <c r="P12" s="124"/>
      <c r="Q12" s="15"/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15000</v>
      </c>
      <c r="I13" s="46" t="s">
        <v>20</v>
      </c>
      <c r="J13" s="47"/>
      <c r="K13" s="47"/>
      <c r="L13" s="48">
        <f>L8+L11</f>
        <v>176574.18125000002</v>
      </c>
      <c r="N13" s="124"/>
      <c r="O13" s="124"/>
      <c r="P13" s="124"/>
      <c r="Q13" s="15"/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ref="H14:H21" si="1">(E14/$E$29)*$K$11</f>
        <v>2.0000000001649215E-3</v>
      </c>
      <c r="N14" s="124"/>
      <c r="O14" s="124"/>
      <c r="P14" s="124"/>
      <c r="Q14" s="15"/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871.35833333333323</v>
      </c>
      <c r="N15" s="124"/>
      <c r="O15" s="124"/>
      <c r="P15" s="124"/>
      <c r="Q15" s="15"/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N16" s="124"/>
      <c r="O16" s="124"/>
      <c r="P16" s="124"/>
      <c r="Q16" s="15"/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49.166666666666664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N17" s="124"/>
      <c r="O17" s="124"/>
      <c r="P17" s="124"/>
      <c r="Q17" s="15"/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892.9576666666668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N18" s="124"/>
      <c r="O18" s="124"/>
      <c r="P18" s="124"/>
      <c r="Q18" s="15"/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910.08600000000001</v>
      </c>
      <c r="I19" s="25" t="s">
        <v>36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0.13333333333333333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1131.574249999999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1</v>
      </c>
      <c r="L22" s="25">
        <f t="shared" si="2"/>
        <v>89100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138321.75200000001</v>
      </c>
      <c r="I23" s="25" t="s">
        <v>48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0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1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1</v>
      </c>
      <c r="L28" s="25">
        <f>SUM(L16:L27)*1.2</f>
        <v>106920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1</v>
      </c>
      <c r="L29" s="52">
        <v>0.2</v>
      </c>
      <c r="P29" s="8"/>
      <c r="Q29" s="32"/>
    </row>
    <row r="30" spans="1:17" hidden="1" x14ac:dyDescent="0.2">
      <c r="L30" s="25">
        <f>L28*1.2</f>
        <v>128304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</v>
      </c>
      <c r="L34" s="37">
        <f>+J34*K34</f>
        <v>48270.181250000009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AR39"/>
  <sheetViews>
    <sheetView zoomScaleNormal="100" workbookViewId="0">
      <selection activeCell="M4" sqref="M4:M5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42578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4" max="14" width="16.85546875" customWidth="1"/>
    <col min="15" max="15" width="15.85546875" customWidth="1"/>
    <col min="16" max="16" width="14" customWidth="1"/>
    <col min="17" max="17" width="10.7109375" customWidth="1"/>
  </cols>
  <sheetData>
    <row r="1" spans="1:44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0" t="s">
        <v>248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1037520</v>
      </c>
      <c r="I8" s="42" t="s">
        <v>10</v>
      </c>
      <c r="J8" s="17">
        <v>0</v>
      </c>
      <c r="K8" s="17"/>
      <c r="L8" s="43">
        <f>L30</f>
        <v>1351944</v>
      </c>
      <c r="Q8" s="15"/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89100</v>
      </c>
      <c r="I10" s="42"/>
      <c r="J10" s="17"/>
      <c r="K10" s="17"/>
      <c r="L10" s="43"/>
      <c r="Q10" s="15"/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225324</v>
      </c>
      <c r="I11" s="42" t="s">
        <v>15</v>
      </c>
      <c r="J11" s="17">
        <f>(E12+E13+E14+E15+E16+E17+E18+E19+E20+E21+E22)/E29</f>
        <v>48270.181250000009</v>
      </c>
      <c r="K11" s="17">
        <f>K28</f>
        <v>7</v>
      </c>
      <c r="L11" s="43">
        <f>J11*K11</f>
        <v>337891.26875000005</v>
      </c>
      <c r="N11" s="124"/>
      <c r="O11" s="124"/>
      <c r="P11" s="124"/>
      <c r="Q11" s="15"/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43137.316249999982</v>
      </c>
      <c r="I12" s="42"/>
      <c r="J12" s="17"/>
      <c r="K12" s="17"/>
      <c r="L12" s="43"/>
      <c r="N12" s="124"/>
      <c r="O12" s="124"/>
      <c r="P12" s="124"/>
      <c r="Q12" s="15"/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38394.698416666673</v>
      </c>
      <c r="I13" s="46" t="s">
        <v>20</v>
      </c>
      <c r="J13" s="47"/>
      <c r="K13" s="47"/>
      <c r="L13" s="48">
        <f>L8+L11</f>
        <v>1689835.26875</v>
      </c>
      <c r="N13" s="124"/>
      <c r="O13" s="124"/>
      <c r="P13" s="124"/>
      <c r="Q13" s="15"/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1.400000000115445E-2</v>
      </c>
      <c r="N14" s="124"/>
      <c r="O14" s="124"/>
      <c r="P14" s="124"/>
      <c r="Q14" s="15"/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6099.5083333333323</v>
      </c>
      <c r="N15" s="124"/>
      <c r="O15" s="124"/>
      <c r="P15" s="124"/>
      <c r="Q15" s="15"/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N16" s="124"/>
      <c r="O16" s="124"/>
      <c r="P16" s="124"/>
      <c r="Q16" s="15"/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344.16666666666663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N17" s="125"/>
      <c r="O17" s="125"/>
      <c r="P17" s="124"/>
      <c r="Q17" s="15"/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6250.7036666666672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6370.6019999999999</v>
      </c>
      <c r="I19" s="25" t="s">
        <v>36</v>
      </c>
      <c r="J19" s="25">
        <v>57750</v>
      </c>
      <c r="K19" s="25">
        <v>1</v>
      </c>
      <c r="L19" s="25">
        <f t="shared" si="2"/>
        <v>57750</v>
      </c>
      <c r="Q19" s="15"/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0.93333333333333335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7921.0197499999931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1</v>
      </c>
      <c r="L22" s="25">
        <f t="shared" si="2"/>
        <v>89100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1460462.9624166666</v>
      </c>
      <c r="I23" s="25" t="s">
        <v>48</v>
      </c>
      <c r="J23" s="25">
        <v>110000</v>
      </c>
      <c r="K23" s="25">
        <v>1</v>
      </c>
      <c r="L23" s="25">
        <f t="shared" si="2"/>
        <v>110000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v>2</v>
      </c>
      <c r="L24" s="25">
        <f t="shared" si="2"/>
        <v>286000</v>
      </c>
      <c r="P24" s="8"/>
      <c r="Q24" s="8"/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6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2"/>
        <v>396000</v>
      </c>
      <c r="P26" s="8"/>
      <c r="Q26" s="32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1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7</v>
      </c>
      <c r="L28" s="25">
        <f>SUM(L16:L27)*1.2</f>
        <v>1126620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7</v>
      </c>
      <c r="L29" s="52">
        <v>0.2</v>
      </c>
      <c r="P29" s="8"/>
      <c r="Q29" s="32"/>
    </row>
    <row r="30" spans="1:17" hidden="1" x14ac:dyDescent="0.2">
      <c r="L30" s="25">
        <f>L28*1.2</f>
        <v>1351944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7</v>
      </c>
      <c r="L34" s="37">
        <f>+J34*K34</f>
        <v>337891.26875000005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scale="95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S34"/>
  <sheetViews>
    <sheetView topLeftCell="A6"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36" width="9.140625" hidden="1" customWidth="1"/>
  </cols>
  <sheetData>
    <row r="1" spans="1:45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0" t="s">
        <v>87</v>
      </c>
      <c r="C2" s="140"/>
      <c r="D2" s="140"/>
      <c r="E2" s="140"/>
      <c r="F2" s="140"/>
      <c r="G2" s="140"/>
      <c r="H2" s="14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x14ac:dyDescent="0.2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 t="e">
        <f>#REF!+#REF!+#REF!+'East Power Admins'!F8</f>
        <v>#REF!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9273600</v>
      </c>
      <c r="O8" s="15" t="e">
        <f>+F8/$F$29*$O$29</f>
        <v>#REF!</v>
      </c>
    </row>
    <row r="9" spans="1:45" hidden="1" x14ac:dyDescent="0.2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 t="e">
        <f>#REF!+#REF!+#REF!+'East Power Admins'!F9</f>
        <v>#REF!</v>
      </c>
      <c r="H9" s="16">
        <f t="shared" si="0"/>
        <v>7.1688649731631054E-2</v>
      </c>
      <c r="J9" s="7"/>
      <c r="K9" s="8"/>
      <c r="L9" s="8"/>
      <c r="M9" s="9"/>
      <c r="O9" s="15" t="e">
        <f t="shared" ref="O9:O22" si="1">+F9/$F$29*$O$29</f>
        <v>#REF!</v>
      </c>
    </row>
    <row r="10" spans="1:45" x14ac:dyDescent="0.2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 t="e">
        <f>#REF!+#REF!+#REF!+'East Power Admins'!F10</f>
        <v>#REF!</v>
      </c>
      <c r="H10" s="16">
        <f t="shared" si="0"/>
        <v>0.17365740666634583</v>
      </c>
      <c r="J10" s="7"/>
      <c r="K10" s="8"/>
      <c r="L10" s="8"/>
      <c r="M10" s="9"/>
      <c r="O10" s="15" t="e">
        <f t="shared" si="1"/>
        <v>#REF!</v>
      </c>
    </row>
    <row r="11" spans="1:45" x14ac:dyDescent="0.2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 t="e">
        <f>#REF!+#REF!+#REF!+'East Power Admins'!F11</f>
        <v>#REF!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64</v>
      </c>
      <c r="M11" s="18">
        <f>K11*L11</f>
        <v>2027275.6416453896</v>
      </c>
      <c r="O11" s="15" t="e">
        <f t="shared" si="1"/>
        <v>#REF!</v>
      </c>
    </row>
    <row r="12" spans="1:45" x14ac:dyDescent="0.2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15" t="e">
        <f>#REF!+#REF!+#REF!+'East Power Admins'!F12</f>
        <v>#REF!</v>
      </c>
      <c r="H12" s="16">
        <f t="shared" si="0"/>
        <v>4.3716893481034705E-2</v>
      </c>
      <c r="J12" s="7"/>
      <c r="K12" s="8"/>
      <c r="L12" s="8"/>
      <c r="M12" s="9"/>
      <c r="O12" s="15" t="e">
        <f t="shared" si="1"/>
        <v>#REF!</v>
      </c>
    </row>
    <row r="13" spans="1:45" ht="13.5" thickBot="1" x14ac:dyDescent="0.2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15" t="e">
        <f>#REF!+#REF!+#REF!+'East Power Admins'!F13</f>
        <v>#REF!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11300875.641645391</v>
      </c>
      <c r="O13" s="15" t="e">
        <f t="shared" si="1"/>
        <v>#REF!</v>
      </c>
    </row>
    <row r="14" spans="1:45" x14ac:dyDescent="0.2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15" t="e">
        <f>#REF!+#REF!+#REF!+'East Power Admins'!F14</f>
        <v>#REF!</v>
      </c>
      <c r="H14" s="16">
        <f t="shared" si="0"/>
        <v>2.9853903459396468E-8</v>
      </c>
      <c r="N14" s="49"/>
      <c r="O14" s="15" t="e">
        <f t="shared" si="1"/>
        <v>#REF!</v>
      </c>
    </row>
    <row r="15" spans="1:45" x14ac:dyDescent="0.2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15" t="e">
        <f>#REF!+#REF!+#REF!+'East Power Admins'!F15</f>
        <v>#REF!</v>
      </c>
      <c r="H15" s="16">
        <f t="shared" si="0"/>
        <v>7.3241940471838168E-3</v>
      </c>
      <c r="K15" s="25"/>
      <c r="O15" s="15" t="e">
        <f t="shared" si="1"/>
        <v>#REF!</v>
      </c>
    </row>
    <row r="16" spans="1:45" x14ac:dyDescent="0.2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15" t="e">
        <f>#REF!+#REF!+#REF!+'East Power Admins'!F16</f>
        <v>#REF!</v>
      </c>
      <c r="H16" s="16">
        <f t="shared" si="0"/>
        <v>0</v>
      </c>
      <c r="J16" t="s">
        <v>27</v>
      </c>
      <c r="K16" s="25">
        <v>33600</v>
      </c>
      <c r="L16">
        <v>2</v>
      </c>
      <c r="M16" s="25">
        <f t="shared" ref="M16:M27" si="3">K16*L16</f>
        <v>67200</v>
      </c>
      <c r="O16" s="15" t="e">
        <f t="shared" si="1"/>
        <v>#REF!</v>
      </c>
    </row>
    <row r="17" spans="1:15" x14ac:dyDescent="0.2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15" t="e">
        <f>#REF!+#REF!+#REF!+'East Power Admins'!F17</f>
        <v>#REF!</v>
      </c>
      <c r="H17" s="16">
        <f t="shared" si="0"/>
        <v>4.1638339022207621E-4</v>
      </c>
      <c r="J17" t="s">
        <v>30</v>
      </c>
      <c r="K17" s="25">
        <v>52800</v>
      </c>
      <c r="L17">
        <v>2</v>
      </c>
      <c r="M17" s="25">
        <f t="shared" si="3"/>
        <v>105600</v>
      </c>
      <c r="O17" s="15" t="e">
        <f t="shared" si="1"/>
        <v>#REF!</v>
      </c>
    </row>
    <row r="18" spans="1:15" x14ac:dyDescent="0.2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15" t="e">
        <f>#REF!+#REF!+#REF!+'East Power Admins'!F18</f>
        <v>#REF!</v>
      </c>
      <c r="H18" s="16">
        <f t="shared" si="0"/>
        <v>2.2570336637150724E-5</v>
      </c>
      <c r="J18" t="s">
        <v>33</v>
      </c>
      <c r="K18" s="25">
        <v>54000</v>
      </c>
      <c r="L18">
        <f>1</f>
        <v>1</v>
      </c>
      <c r="M18" s="25">
        <f t="shared" si="3"/>
        <v>54000</v>
      </c>
      <c r="O18" s="15" t="e">
        <f t="shared" si="1"/>
        <v>#REF!</v>
      </c>
    </row>
    <row r="19" spans="1:15" x14ac:dyDescent="0.2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15" t="e">
        <f>#REF!+#REF!+#REF!+'East Power Admins'!F19</f>
        <v>#REF!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3"/>
        <v>0</v>
      </c>
      <c r="O19" s="15" t="e">
        <f t="shared" si="1"/>
        <v>#REF!</v>
      </c>
    </row>
    <row r="20" spans="1:15" x14ac:dyDescent="0.2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15" t="e">
        <f>#REF!+#REF!+#REF!+'East Power Admins'!F20</f>
        <v>#REF!</v>
      </c>
      <c r="H20" s="16">
        <f t="shared" si="0"/>
        <v>6.1420478202947023E-6</v>
      </c>
      <c r="J20" t="s">
        <v>39</v>
      </c>
      <c r="K20" s="25">
        <v>78000</v>
      </c>
      <c r="L20">
        <f>6</f>
        <v>6</v>
      </c>
      <c r="M20" s="25">
        <f t="shared" si="3"/>
        <v>468000</v>
      </c>
      <c r="O20" s="15" t="e">
        <f t="shared" si="1"/>
        <v>#REF!</v>
      </c>
    </row>
    <row r="21" spans="1:15" x14ac:dyDescent="0.2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15" t="e">
        <f>#REF!+#REF!+#REF!+'East Power Admins'!F21</f>
        <v>#REF!</v>
      </c>
      <c r="H21" s="16">
        <f t="shared" si="0"/>
        <v>4.9762411061411306E-2</v>
      </c>
      <c r="J21" t="s">
        <v>42</v>
      </c>
      <c r="K21" s="25">
        <v>66000</v>
      </c>
      <c r="L21">
        <f>6</f>
        <v>6</v>
      </c>
      <c r="M21" s="25">
        <f t="shared" si="3"/>
        <v>396000</v>
      </c>
      <c r="O21" s="15" t="e">
        <f t="shared" si="1"/>
        <v>#REF!</v>
      </c>
    </row>
    <row r="22" spans="1:15" x14ac:dyDescent="0.2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15" t="e">
        <f>#REF!+#REF!+#REF!+'East Power Admins'!F22</f>
        <v>#REF!</v>
      </c>
      <c r="H22" s="16">
        <f t="shared" si="0"/>
        <v>9.350871063734415E-5</v>
      </c>
      <c r="J22" t="s">
        <v>45</v>
      </c>
      <c r="K22" s="25">
        <v>97200</v>
      </c>
      <c r="L22">
        <f>10+1</f>
        <v>11</v>
      </c>
      <c r="M22" s="25">
        <f t="shared" si="3"/>
        <v>1069200</v>
      </c>
      <c r="O22" s="15" t="e">
        <f t="shared" si="1"/>
        <v>#REF!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 t="e">
        <f>SUM(F8:F22)</f>
        <v>#REF!</v>
      </c>
      <c r="H23" s="30">
        <f>SUM(H8:H22)</f>
        <v>1</v>
      </c>
      <c r="J23" t="s">
        <v>48</v>
      </c>
      <c r="K23" s="25">
        <v>120000</v>
      </c>
      <c r="L23">
        <f>11+4</f>
        <v>15</v>
      </c>
      <c r="M23" s="25">
        <f t="shared" si="3"/>
        <v>1800000</v>
      </c>
      <c r="O23" s="58" t="e">
        <f>SUM(O8:O22)</f>
        <v>#REF!</v>
      </c>
    </row>
    <row r="24" spans="1:15" x14ac:dyDescent="0.2">
      <c r="J24" t="s">
        <v>49</v>
      </c>
      <c r="K24" s="25">
        <v>156000</v>
      </c>
      <c r="L24">
        <f>2+4+7</f>
        <v>13</v>
      </c>
      <c r="M24" s="25">
        <f t="shared" si="3"/>
        <v>2028000</v>
      </c>
    </row>
    <row r="25" spans="1:15" x14ac:dyDescent="0.2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15" t="e">
        <f>#REF!+#REF!+#REF!+'East Power Admins'!F25</f>
        <v>#REF!</v>
      </c>
      <c r="J25" t="s">
        <v>51</v>
      </c>
      <c r="K25" s="25">
        <v>180000</v>
      </c>
      <c r="L25">
        <f>1</f>
        <v>1</v>
      </c>
      <c r="M25" s="25">
        <f t="shared" si="3"/>
        <v>180000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52</v>
      </c>
      <c r="K26" s="25">
        <v>216000</v>
      </c>
      <c r="L26">
        <f>4+1</f>
        <v>5</v>
      </c>
      <c r="M26" s="25">
        <f t="shared" si="3"/>
        <v>1080000</v>
      </c>
      <c r="O26" s="15"/>
    </row>
    <row r="27" spans="1:15" x14ac:dyDescent="0.2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15" t="e">
        <f>#REF!+#REF!+#REF!+'East Power Admins'!F27</f>
        <v>#REF!</v>
      </c>
      <c r="J27" t="s">
        <v>54</v>
      </c>
      <c r="K27" s="25">
        <v>240000</v>
      </c>
      <c r="L27">
        <v>2</v>
      </c>
      <c r="M27" s="25">
        <f t="shared" si="3"/>
        <v>480000</v>
      </c>
      <c r="O27" s="31">
        <f>SUM(U21:U22)</f>
        <v>0</v>
      </c>
    </row>
    <row r="28" spans="1:15" x14ac:dyDescent="0.2">
      <c r="B28" s="27"/>
      <c r="L28">
        <f>SUM(L16:L27)</f>
        <v>64</v>
      </c>
      <c r="M28" s="25">
        <f>SUM(M16:M27)</f>
        <v>7728000</v>
      </c>
    </row>
    <row r="29" spans="1:15" x14ac:dyDescent="0.2">
      <c r="B29" s="27" t="s">
        <v>55</v>
      </c>
      <c r="E29" s="59">
        <f>SUM(E25:E27)</f>
        <v>141</v>
      </c>
      <c r="F29" s="31" t="e">
        <f>SUM(F25:F27)</f>
        <v>#REF!</v>
      </c>
      <c r="H29" s="25"/>
      <c r="O29" s="31">
        <v>1</v>
      </c>
    </row>
    <row r="31" spans="1:15" x14ac:dyDescent="0.2">
      <c r="I31" s="33" t="s">
        <v>56</v>
      </c>
      <c r="J31" s="25"/>
      <c r="K31" s="25"/>
      <c r="L31" s="25"/>
    </row>
    <row r="32" spans="1:15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64</v>
      </c>
      <c r="M34" s="37">
        <f>+K34*L34</f>
        <v>2027275.6416453896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AR39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4" hidden="1" customWidth="1"/>
    <col min="15" max="15" width="13.85546875" hidden="1" customWidth="1"/>
    <col min="16" max="16" width="10.28515625" hidden="1" customWidth="1"/>
    <col min="17" max="17" width="10.7109375" hidden="1" customWidth="1"/>
    <col min="18" max="19" width="0" hidden="1" customWidth="1"/>
  </cols>
  <sheetData>
    <row r="1" spans="1:44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0" t="s">
        <v>250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(L28-H10+17820)*1.2</f>
        <v>385704</v>
      </c>
      <c r="I8" s="42" t="s">
        <v>10</v>
      </c>
      <c r="J8" s="17">
        <v>0</v>
      </c>
      <c r="K8" s="17"/>
      <c r="L8" s="43">
        <f>L30</f>
        <v>364320</v>
      </c>
      <c r="Q8" s="15"/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(L21+L22)*1.2</f>
        <v>0</v>
      </c>
      <c r="I10" s="42"/>
      <c r="J10" s="17"/>
      <c r="K10" s="17"/>
      <c r="L10" s="43"/>
      <c r="Q10" s="15"/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(+H8*0.2)</f>
        <v>77140.800000000003</v>
      </c>
      <c r="I11" s="42" t="s">
        <v>15</v>
      </c>
      <c r="J11" s="17">
        <f>(E12+E13+E14+E15+E16+E17+E18+E19+E20+E21+E22)/E29</f>
        <v>48270.181250000009</v>
      </c>
      <c r="K11" s="17">
        <f>K28</f>
        <v>2</v>
      </c>
      <c r="L11" s="43">
        <f>J11*K11</f>
        <v>96540.362500000017</v>
      </c>
      <c r="N11" s="124" t="s">
        <v>250</v>
      </c>
      <c r="O11" s="124" t="s">
        <v>286</v>
      </c>
      <c r="P11" s="124" t="s">
        <v>253</v>
      </c>
      <c r="Q11" s="124" t="s">
        <v>287</v>
      </c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((E12/$E$29)*$K$11)*1.2</f>
        <v>14789.936999999993</v>
      </c>
      <c r="I12" s="42"/>
      <c r="J12" s="17"/>
      <c r="K12" s="17"/>
      <c r="L12" s="43"/>
      <c r="N12" s="124" t="s">
        <v>250</v>
      </c>
      <c r="O12" s="124" t="s">
        <v>288</v>
      </c>
      <c r="P12" s="124" t="s">
        <v>254</v>
      </c>
      <c r="Q12" s="124" t="s">
        <v>287</v>
      </c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13163.896600000002</v>
      </c>
      <c r="I13" s="46" t="s">
        <v>20</v>
      </c>
      <c r="J13" s="47"/>
      <c r="K13" s="47"/>
      <c r="L13" s="48">
        <f>L8+L11</f>
        <v>460860.36250000005</v>
      </c>
      <c r="N13" s="124" t="s">
        <v>250</v>
      </c>
      <c r="O13" s="124" t="s">
        <v>289</v>
      </c>
      <c r="P13" s="124" t="s">
        <v>257</v>
      </c>
      <c r="Q13" s="124" t="s">
        <v>290</v>
      </c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4.8000000003958114E-3</v>
      </c>
      <c r="Q14" s="15"/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2091.2599999999998</v>
      </c>
      <c r="Q15" s="15"/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117.99999999999999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Q17" s="15"/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2143.0984000000003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2184.2064</v>
      </c>
      <c r="I19" s="25" t="s">
        <v>36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0.32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2715.7781999999975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500051.3014</v>
      </c>
      <c r="I23" s="25" t="s">
        <v>48</v>
      </c>
      <c r="J23" s="25">
        <v>110000</v>
      </c>
      <c r="K23" s="25">
        <v>1</v>
      </c>
      <c r="L23" s="25">
        <f t="shared" si="2"/>
        <v>110000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v>1</v>
      </c>
      <c r="L24" s="25">
        <f t="shared" si="2"/>
        <v>143000</v>
      </c>
      <c r="P24" s="8"/>
      <c r="Q24" s="8"/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2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2</v>
      </c>
      <c r="L28" s="25">
        <f>SUM(L16:L27)*1.2</f>
        <v>303600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2</v>
      </c>
      <c r="L29" s="52">
        <v>0.2</v>
      </c>
      <c r="P29" s="8"/>
      <c r="Q29" s="32"/>
    </row>
    <row r="30" spans="1:17" hidden="1" x14ac:dyDescent="0.2">
      <c r="L30" s="25">
        <f>L28*1.2</f>
        <v>364320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2</v>
      </c>
      <c r="L34" s="37">
        <f>+J34*K34</f>
        <v>96540.362500000017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S34"/>
  <sheetViews>
    <sheetView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0" width="9.140625" hidden="1" customWidth="1"/>
  </cols>
  <sheetData>
    <row r="1" spans="1:45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0" t="s">
        <v>304</v>
      </c>
      <c r="C2" s="140"/>
      <c r="D2" s="140"/>
      <c r="E2" s="140"/>
      <c r="F2" s="140"/>
      <c r="G2" s="140"/>
      <c r="H2" s="14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x14ac:dyDescent="0.2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(M16+M17+M18+M19+M20+M23+M24+M26+M27+M25)*1.2</f>
        <v>918720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918720</v>
      </c>
      <c r="O8" s="15">
        <f t="shared" ref="O8:O22" si="1">+F8/$F$29*$O$29</f>
        <v>183744</v>
      </c>
    </row>
    <row r="9" spans="1:45" hidden="1" x14ac:dyDescent="0.2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>
        <v>0</v>
      </c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(M21+M22)*1.2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(M28*0.2)</f>
        <v>153120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5</v>
      </c>
      <c r="M11" s="18">
        <f>K11*L11</f>
        <v>158380.90950354608</v>
      </c>
      <c r="O11" s="15">
        <f t="shared" si="1"/>
        <v>30624</v>
      </c>
    </row>
    <row r="12" spans="1:45" x14ac:dyDescent="0.2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21">
        <f>(E12/$E$29*$L$11-8329.76)*1.2</f>
        <v>27890.735659574468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5578.1471319148932</v>
      </c>
    </row>
    <row r="13" spans="1:45" ht="13.5" thickBot="1" x14ac:dyDescent="0.2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21">
        <f>(E13/$E$29*$L$11-26933.92)*1.2</f>
        <v>36742.472851063831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1077100.9095035461</v>
      </c>
      <c r="O13" s="15">
        <f t="shared" si="1"/>
        <v>7348.4945702127661</v>
      </c>
    </row>
    <row r="14" spans="1:45" x14ac:dyDescent="0.2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21">
        <f>(80000)*1.2</f>
        <v>96000</v>
      </c>
      <c r="H14" s="16">
        <f t="shared" si="0"/>
        <v>2.9853903459396468E-8</v>
      </c>
      <c r="N14" s="49"/>
      <c r="O14" s="15">
        <f t="shared" si="1"/>
        <v>19200</v>
      </c>
    </row>
    <row r="15" spans="1:45" x14ac:dyDescent="0.2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21">
        <f>(E15/$E$29*$L$11)*1.2</f>
        <v>6347.379063829786</v>
      </c>
      <c r="H15" s="16">
        <f t="shared" si="0"/>
        <v>7.3241940471838168E-3</v>
      </c>
      <c r="K15" s="25"/>
      <c r="O15" s="15">
        <f t="shared" si="1"/>
        <v>1269.4758127659572</v>
      </c>
    </row>
    <row r="16" spans="1:45" x14ac:dyDescent="0.2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21">
        <f>(E16/$E$29*$L$11)*1.2</f>
        <v>0</v>
      </c>
      <c r="H16" s="16">
        <f t="shared" si="0"/>
        <v>0</v>
      </c>
      <c r="J16" t="s">
        <v>27</v>
      </c>
      <c r="K16" s="25">
        <v>33600</v>
      </c>
      <c r="L16">
        <v>1</v>
      </c>
      <c r="M16" s="25">
        <f t="shared" ref="M16:M27" si="3">K16*L16</f>
        <v>33600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21">
        <f>(E17/$E$29*$L$11)*1.2</f>
        <v>360.85106382978722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3"/>
        <v>0</v>
      </c>
      <c r="O17" s="15">
        <f t="shared" si="1"/>
        <v>72.170212765957444</v>
      </c>
    </row>
    <row r="18" spans="1:15" x14ac:dyDescent="0.2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21">
        <f>(E18/$E$29*$L$11)*1.2</f>
        <v>19.560170212765723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3"/>
        <v>0</v>
      </c>
      <c r="O18" s="15">
        <f t="shared" si="1"/>
        <v>3.9120340425531444</v>
      </c>
    </row>
    <row r="19" spans="1:15" x14ac:dyDescent="0.2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21">
        <f>(E19/$E$29*$L$11)*1.2</f>
        <v>33167.60510638298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3"/>
        <v>0</v>
      </c>
      <c r="O19" s="15">
        <f t="shared" si="1"/>
        <v>6633.521021276596</v>
      </c>
    </row>
    <row r="20" spans="1:15" x14ac:dyDescent="0.2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21">
        <v>0</v>
      </c>
      <c r="H20" s="16">
        <f t="shared" si="0"/>
        <v>6.1420478202947023E-6</v>
      </c>
      <c r="J20" t="s">
        <v>39</v>
      </c>
      <c r="K20" s="25">
        <v>78000</v>
      </c>
      <c r="L20">
        <v>0</v>
      </c>
      <c r="M20" s="25">
        <f t="shared" si="3"/>
        <v>0</v>
      </c>
      <c r="O20" s="15">
        <f t="shared" si="1"/>
        <v>0</v>
      </c>
    </row>
    <row r="21" spans="1:15" x14ac:dyDescent="0.2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21">
        <f>(E21/$E$29*$L$11)*1.2</f>
        <v>43125.685106382974</v>
      </c>
      <c r="H21" s="16">
        <f t="shared" si="0"/>
        <v>4.9762411061411306E-2</v>
      </c>
      <c r="J21" t="s">
        <v>42</v>
      </c>
      <c r="K21" s="25">
        <v>66000</v>
      </c>
      <c r="L21">
        <v>0</v>
      </c>
      <c r="M21" s="25">
        <f t="shared" si="3"/>
        <v>0</v>
      </c>
      <c r="O21" s="15">
        <f t="shared" si="1"/>
        <v>8625.1370212765942</v>
      </c>
    </row>
    <row r="22" spans="1:15" x14ac:dyDescent="0.2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21">
        <f>(E22/$E$29*$L$11)*1.2</f>
        <v>81.037617021276589</v>
      </c>
      <c r="H22" s="16">
        <f t="shared" si="0"/>
        <v>9.350871063734415E-5</v>
      </c>
      <c r="J22" t="s">
        <v>45</v>
      </c>
      <c r="K22" s="25">
        <v>97200</v>
      </c>
      <c r="L22">
        <v>0</v>
      </c>
      <c r="M22" s="25">
        <f t="shared" si="3"/>
        <v>0</v>
      </c>
      <c r="O22" s="15">
        <f t="shared" si="1"/>
        <v>16.207523404255319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1315575.3266382979</v>
      </c>
      <c r="H23" s="30">
        <f>SUM(H8:H22)</f>
        <v>1</v>
      </c>
      <c r="J23" t="s">
        <v>48</v>
      </c>
      <c r="K23" s="25">
        <v>120000</v>
      </c>
      <c r="L23">
        <v>0</v>
      </c>
      <c r="M23" s="25">
        <f t="shared" si="3"/>
        <v>0</v>
      </c>
      <c r="O23" s="58">
        <f>SUM(O8:O22)</f>
        <v>263115.06532765954</v>
      </c>
    </row>
    <row r="24" spans="1:15" x14ac:dyDescent="0.2">
      <c r="J24" t="s">
        <v>49</v>
      </c>
      <c r="K24" s="25">
        <v>156000</v>
      </c>
      <c r="L24">
        <v>2</v>
      </c>
      <c r="M24" s="25">
        <f t="shared" si="3"/>
        <v>312000</v>
      </c>
    </row>
    <row r="25" spans="1:15" x14ac:dyDescent="0.2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31">
        <f>SUM(L16:L20,L23:L27)</f>
        <v>5</v>
      </c>
      <c r="J25" t="s">
        <v>51</v>
      </c>
      <c r="K25" s="25">
        <v>180000</v>
      </c>
      <c r="L25">
        <v>1</v>
      </c>
      <c r="M25" s="25">
        <f t="shared" si="3"/>
        <v>180000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52</v>
      </c>
      <c r="K26" s="25">
        <v>216000</v>
      </c>
      <c r="L26">
        <v>0</v>
      </c>
      <c r="M26" s="25">
        <f t="shared" si="3"/>
        <v>0</v>
      </c>
      <c r="O26" s="15"/>
    </row>
    <row r="27" spans="1:15" x14ac:dyDescent="0.2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31">
        <f>SUM(L21:L22)</f>
        <v>0</v>
      </c>
      <c r="J27" t="s">
        <v>54</v>
      </c>
      <c r="K27" s="25">
        <v>240000</v>
      </c>
      <c r="L27">
        <v>1</v>
      </c>
      <c r="M27" s="25">
        <f t="shared" si="3"/>
        <v>240000</v>
      </c>
      <c r="O27" s="31">
        <f>SUM(U21:U22)</f>
        <v>0</v>
      </c>
    </row>
    <row r="28" spans="1:15" x14ac:dyDescent="0.2">
      <c r="B28" s="27"/>
      <c r="L28">
        <f>SUM(L16:L27)</f>
        <v>5</v>
      </c>
      <c r="M28" s="25">
        <f>SUM(M16:M27)</f>
        <v>765600</v>
      </c>
    </row>
    <row r="29" spans="1:15" x14ac:dyDescent="0.2">
      <c r="B29" s="27" t="s">
        <v>55</v>
      </c>
      <c r="E29" s="59">
        <f>SUM(E25:E27)</f>
        <v>141</v>
      </c>
      <c r="F29" s="31">
        <f>SUM(F25:F27)</f>
        <v>5</v>
      </c>
      <c r="H29" s="25"/>
      <c r="O29" s="31">
        <v>1</v>
      </c>
    </row>
    <row r="31" spans="1:15" x14ac:dyDescent="0.2">
      <c r="I31" s="33" t="s">
        <v>56</v>
      </c>
      <c r="J31" s="25"/>
      <c r="K31" s="25"/>
      <c r="L31" s="25"/>
    </row>
    <row r="32" spans="1:15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5</v>
      </c>
      <c r="M34" s="37">
        <f>+K34*L34</f>
        <v>158380.90950354608</v>
      </c>
    </row>
  </sheetData>
  <mergeCells count="3">
    <mergeCell ref="B1:H1"/>
    <mergeCell ref="B2:H2"/>
    <mergeCell ref="B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S34"/>
  <sheetViews>
    <sheetView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2" width="9.140625" hidden="1" customWidth="1"/>
  </cols>
  <sheetData>
    <row r="1" spans="1:45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0" t="s">
        <v>299</v>
      </c>
      <c r="C2" s="140"/>
      <c r="D2" s="140"/>
      <c r="E2" s="140"/>
      <c r="F2" s="140"/>
      <c r="G2" s="140"/>
      <c r="H2" s="14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x14ac:dyDescent="0.2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(M16+M17+M18+M19+M20+M23+M24+M26+M27+M25)*1.2</f>
        <v>756000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756000</v>
      </c>
      <c r="O8" s="15">
        <f t="shared" ref="O8:O22" si="1">+F8/$F$29*$O$29</f>
        <v>151200</v>
      </c>
    </row>
    <row r="9" spans="1:45" hidden="1" x14ac:dyDescent="0.2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>
        <v>0</v>
      </c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(M21+M22)*1.2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(M28*0.2)*1.2</f>
        <v>151200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5</v>
      </c>
      <c r="M11" s="18">
        <f>K11*L11</f>
        <v>158380.90950354608</v>
      </c>
      <c r="O11" s="15">
        <f t="shared" si="1"/>
        <v>30240</v>
      </c>
    </row>
    <row r="12" spans="1:45" x14ac:dyDescent="0.2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21">
        <f>(E12/$E$29*$L$11-8329.76)*1.2</f>
        <v>27890.735659574468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5578.1471319148932</v>
      </c>
    </row>
    <row r="13" spans="1:45" ht="13.5" thickBot="1" x14ac:dyDescent="0.2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21">
        <f>(E13/$E$29*$L$11-26933.92)*1.2</f>
        <v>36742.472851063831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914380.90950354608</v>
      </c>
      <c r="O13" s="15">
        <f t="shared" si="1"/>
        <v>7348.4945702127661</v>
      </c>
    </row>
    <row r="14" spans="1:45" x14ac:dyDescent="0.2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21">
        <f>(80000)*1.2</f>
        <v>96000</v>
      </c>
      <c r="H14" s="16">
        <f t="shared" si="0"/>
        <v>2.9853903459396468E-8</v>
      </c>
      <c r="N14" s="49"/>
      <c r="O14" s="15">
        <f t="shared" si="1"/>
        <v>19200</v>
      </c>
    </row>
    <row r="15" spans="1:45" x14ac:dyDescent="0.2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21">
        <f>(E15/$E$29*$L$11)*1.2</f>
        <v>6347.379063829786</v>
      </c>
      <c r="H15" s="16">
        <f t="shared" si="0"/>
        <v>7.3241940471838168E-3</v>
      </c>
      <c r="K15" s="25"/>
      <c r="O15" s="15">
        <f t="shared" si="1"/>
        <v>1269.4758127659572</v>
      </c>
    </row>
    <row r="16" spans="1:45" x14ac:dyDescent="0.2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21">
        <f>(E16/$E$29*$L$11)*1.2</f>
        <v>0</v>
      </c>
      <c r="H16" s="16">
        <f t="shared" si="0"/>
        <v>0</v>
      </c>
      <c r="J16" t="s">
        <v>27</v>
      </c>
      <c r="K16" s="25">
        <v>33600</v>
      </c>
      <c r="L16">
        <v>0</v>
      </c>
      <c r="M16" s="25">
        <f t="shared" ref="M16:M27" si="3">K16*L16</f>
        <v>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21">
        <f>(E17/$E$29*$L$11)*1.2</f>
        <v>360.85106382978722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3"/>
        <v>0</v>
      </c>
      <c r="O17" s="15">
        <f t="shared" si="1"/>
        <v>72.170212765957444</v>
      </c>
    </row>
    <row r="18" spans="1:15" x14ac:dyDescent="0.2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21">
        <f>(E18/$E$29*$L$11)*1.2</f>
        <v>19.560170212765723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3"/>
        <v>0</v>
      </c>
      <c r="O18" s="15">
        <f t="shared" si="1"/>
        <v>3.9120340425531444</v>
      </c>
    </row>
    <row r="19" spans="1:15" x14ac:dyDescent="0.2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21">
        <f>(E19/$E$29*$L$11)*1.2</f>
        <v>33167.60510638298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3"/>
        <v>0</v>
      </c>
      <c r="O19" s="15">
        <f t="shared" si="1"/>
        <v>6633.521021276596</v>
      </c>
    </row>
    <row r="20" spans="1:15" x14ac:dyDescent="0.2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21">
        <v>0</v>
      </c>
      <c r="H20" s="16">
        <f t="shared" si="0"/>
        <v>6.1420478202947023E-6</v>
      </c>
      <c r="J20" t="s">
        <v>39</v>
      </c>
      <c r="K20" s="25">
        <v>78000</v>
      </c>
      <c r="L20">
        <v>1</v>
      </c>
      <c r="M20" s="25">
        <f t="shared" si="3"/>
        <v>78000</v>
      </c>
      <c r="O20" s="15">
        <f t="shared" si="1"/>
        <v>0</v>
      </c>
    </row>
    <row r="21" spans="1:15" x14ac:dyDescent="0.2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21">
        <f>(E21/$E$29*$L$11)*1.2</f>
        <v>43125.685106382974</v>
      </c>
      <c r="H21" s="16">
        <f t="shared" si="0"/>
        <v>4.9762411061411306E-2</v>
      </c>
      <c r="J21" t="s">
        <v>42</v>
      </c>
      <c r="K21" s="25">
        <v>66000</v>
      </c>
      <c r="L21">
        <v>0</v>
      </c>
      <c r="M21" s="25">
        <f t="shared" si="3"/>
        <v>0</v>
      </c>
      <c r="O21" s="15">
        <f t="shared" si="1"/>
        <v>8625.1370212765942</v>
      </c>
    </row>
    <row r="22" spans="1:15" x14ac:dyDescent="0.2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21">
        <f>(E22/$E$29*$L$11)*1.2</f>
        <v>81.037617021276589</v>
      </c>
      <c r="H22" s="16">
        <f t="shared" si="0"/>
        <v>9.350871063734415E-5</v>
      </c>
      <c r="J22" t="s">
        <v>45</v>
      </c>
      <c r="K22" s="25">
        <v>97200</v>
      </c>
      <c r="L22">
        <v>0</v>
      </c>
      <c r="M22" s="25">
        <f t="shared" si="3"/>
        <v>0</v>
      </c>
      <c r="O22" s="15">
        <f t="shared" si="1"/>
        <v>16.207523404255319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1150935.3266382979</v>
      </c>
      <c r="H23" s="30">
        <f>SUM(H8:H22)</f>
        <v>1</v>
      </c>
      <c r="J23" t="s">
        <v>48</v>
      </c>
      <c r="K23" s="25">
        <v>120000</v>
      </c>
      <c r="L23">
        <v>2</v>
      </c>
      <c r="M23" s="25">
        <f t="shared" si="3"/>
        <v>240000</v>
      </c>
      <c r="O23" s="58">
        <f>SUM(O8:O22)</f>
        <v>230187.06532765954</v>
      </c>
    </row>
    <row r="24" spans="1:15" x14ac:dyDescent="0.2">
      <c r="J24" t="s">
        <v>49</v>
      </c>
      <c r="K24" s="25">
        <v>156000</v>
      </c>
      <c r="L24">
        <v>2</v>
      </c>
      <c r="M24" s="25">
        <f t="shared" si="3"/>
        <v>312000</v>
      </c>
    </row>
    <row r="25" spans="1:15" x14ac:dyDescent="0.2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31">
        <f>SUM(L16:L20,L23:L27)</f>
        <v>5</v>
      </c>
      <c r="J25" t="s">
        <v>51</v>
      </c>
      <c r="K25" s="25">
        <v>180000</v>
      </c>
      <c r="L25">
        <v>0</v>
      </c>
      <c r="M25" s="25">
        <f t="shared" si="3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52</v>
      </c>
      <c r="K26" s="25">
        <v>216000</v>
      </c>
      <c r="L26">
        <v>0</v>
      </c>
      <c r="M26" s="25">
        <f t="shared" si="3"/>
        <v>0</v>
      </c>
      <c r="O26" s="15"/>
    </row>
    <row r="27" spans="1:15" x14ac:dyDescent="0.2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31">
        <f>SUM(L21:L22)</f>
        <v>0</v>
      </c>
      <c r="J27" t="s">
        <v>54</v>
      </c>
      <c r="K27" s="25">
        <v>240000</v>
      </c>
      <c r="L27">
        <v>0</v>
      </c>
      <c r="M27" s="25">
        <f t="shared" si="3"/>
        <v>0</v>
      </c>
      <c r="O27" s="31">
        <f>SUM(U21:U22)</f>
        <v>0</v>
      </c>
    </row>
    <row r="28" spans="1:15" x14ac:dyDescent="0.2">
      <c r="B28" s="27"/>
      <c r="L28">
        <f>SUM(L16:L27)</f>
        <v>5</v>
      </c>
      <c r="M28" s="25">
        <f>SUM(M16:M27)</f>
        <v>630000</v>
      </c>
    </row>
    <row r="29" spans="1:15" x14ac:dyDescent="0.2">
      <c r="B29" s="27" t="s">
        <v>55</v>
      </c>
      <c r="E29" s="59">
        <f>SUM(E25:E27)</f>
        <v>141</v>
      </c>
      <c r="F29" s="31">
        <f>SUM(F25:F27)</f>
        <v>5</v>
      </c>
      <c r="H29" s="25"/>
      <c r="O29" s="31">
        <v>1</v>
      </c>
    </row>
    <row r="31" spans="1:15" x14ac:dyDescent="0.2">
      <c r="I31" s="33" t="s">
        <v>56</v>
      </c>
      <c r="J31" s="25"/>
      <c r="K31" s="25"/>
      <c r="L31" s="25"/>
    </row>
    <row r="32" spans="1:15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5</v>
      </c>
      <c r="M34" s="37">
        <f>+K34*L34</f>
        <v>158380.90950354608</v>
      </c>
    </row>
  </sheetData>
  <mergeCells count="3">
    <mergeCell ref="B1:H1"/>
    <mergeCell ref="B2:H2"/>
    <mergeCell ref="B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S34"/>
  <sheetViews>
    <sheetView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19" width="9.140625" hidden="1" customWidth="1"/>
  </cols>
  <sheetData>
    <row r="1" spans="1:45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0" t="s">
        <v>300</v>
      </c>
      <c r="C2" s="140"/>
      <c r="D2" s="140"/>
      <c r="E2" s="140"/>
      <c r="F2" s="140"/>
      <c r="G2" s="140"/>
      <c r="H2" s="14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x14ac:dyDescent="0.2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(M16+M17+M18+M19+M20+M23+M24+M26+M27+M25)*1.2</f>
        <v>1116000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1116000</v>
      </c>
      <c r="O8" s="15">
        <f t="shared" ref="O8:O22" si="1">+F8/$F$29*$O$29</f>
        <v>159428.57142857142</v>
      </c>
    </row>
    <row r="9" spans="1:45" hidden="1" x14ac:dyDescent="0.2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>
        <v>0</v>
      </c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(M21+M22)*1.2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(M28*0.2)*1.2</f>
        <v>223200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7</v>
      </c>
      <c r="M11" s="18">
        <f>K11*L11</f>
        <v>221733.27330496447</v>
      </c>
      <c r="O11" s="15">
        <f t="shared" si="1"/>
        <v>31885.714285714286</v>
      </c>
    </row>
    <row r="12" spans="1:45" x14ac:dyDescent="0.2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21">
        <f>(E12/$E$29*$L$11-11974.03)*1.2</f>
        <v>38672.190723404252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5524.5986747720362</v>
      </c>
    </row>
    <row r="13" spans="1:45" ht="13.5" thickBot="1" x14ac:dyDescent="0.2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21">
        <f>(E13/$E$29*$L$11-38717.51)*1.2</f>
        <v>50227.43559148936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1337733.2733049644</v>
      </c>
      <c r="O13" s="15">
        <f t="shared" si="1"/>
        <v>7175.3479416413375</v>
      </c>
    </row>
    <row r="14" spans="1:45" x14ac:dyDescent="0.2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21">
        <v>138000</v>
      </c>
      <c r="H14" s="16">
        <f t="shared" si="0"/>
        <v>2.9853903459396468E-8</v>
      </c>
      <c r="N14" s="49"/>
      <c r="O14" s="15">
        <f t="shared" si="1"/>
        <v>19714.285714285714</v>
      </c>
    </row>
    <row r="15" spans="1:45" x14ac:dyDescent="0.2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21">
        <f>(E15/$E$29*$L$11)*1.2</f>
        <v>8886.3306893617009</v>
      </c>
      <c r="H15" s="16">
        <f t="shared" si="0"/>
        <v>7.3241940471838168E-3</v>
      </c>
      <c r="K15" s="25"/>
      <c r="O15" s="15">
        <f t="shared" si="1"/>
        <v>1269.4758127659572</v>
      </c>
    </row>
    <row r="16" spans="1:45" x14ac:dyDescent="0.2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21">
        <f>(E16/$E$29*$L$11)*1.2</f>
        <v>0</v>
      </c>
      <c r="H16" s="16">
        <f t="shared" si="0"/>
        <v>0</v>
      </c>
      <c r="J16" t="s">
        <v>27</v>
      </c>
      <c r="K16" s="25">
        <v>33600</v>
      </c>
      <c r="L16">
        <v>0</v>
      </c>
      <c r="M16" s="25">
        <f t="shared" ref="M16:M27" si="3">K16*L16</f>
        <v>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21">
        <f>(E17/$E$29*$L$11)*1.2</f>
        <v>505.19148936170211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3"/>
        <v>0</v>
      </c>
      <c r="O17" s="15">
        <f t="shared" si="1"/>
        <v>72.170212765957444</v>
      </c>
    </row>
    <row r="18" spans="1:15" x14ac:dyDescent="0.2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21">
        <f>(E18/$E$29*$L$11)*1.2</f>
        <v>27.384238297872013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3"/>
        <v>0</v>
      </c>
      <c r="O18" s="15">
        <f t="shared" si="1"/>
        <v>3.9120340425531448</v>
      </c>
    </row>
    <row r="19" spans="1:15" x14ac:dyDescent="0.2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21">
        <f>(E19/$E$29*$L$11)*1.2</f>
        <v>46434.647148936172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3"/>
        <v>0</v>
      </c>
      <c r="O19" s="15">
        <f t="shared" si="1"/>
        <v>6633.521021276596</v>
      </c>
    </row>
    <row r="20" spans="1:15" x14ac:dyDescent="0.2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21">
        <v>0</v>
      </c>
      <c r="H20" s="16">
        <f t="shared" si="0"/>
        <v>6.1420478202947023E-6</v>
      </c>
      <c r="J20" t="s">
        <v>39</v>
      </c>
      <c r="K20" s="25">
        <v>78000</v>
      </c>
      <c r="L20">
        <v>1</v>
      </c>
      <c r="M20" s="25">
        <f t="shared" si="3"/>
        <v>78000</v>
      </c>
      <c r="O20" s="15">
        <f t="shared" si="1"/>
        <v>0</v>
      </c>
    </row>
    <row r="21" spans="1:15" x14ac:dyDescent="0.2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21">
        <f>(E21/$E$29*$L$11)*1.2</f>
        <v>60375.959148936156</v>
      </c>
      <c r="H21" s="16">
        <f t="shared" si="0"/>
        <v>4.9762411061411306E-2</v>
      </c>
      <c r="J21" t="s">
        <v>42</v>
      </c>
      <c r="K21" s="25">
        <v>66000</v>
      </c>
      <c r="L21">
        <v>0</v>
      </c>
      <c r="M21" s="25">
        <f t="shared" si="3"/>
        <v>0</v>
      </c>
      <c r="O21" s="15">
        <f t="shared" si="1"/>
        <v>8625.1370212765942</v>
      </c>
    </row>
    <row r="22" spans="1:15" x14ac:dyDescent="0.2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21">
        <f>(E22/$E$29*$L$11)*1.2</f>
        <v>113.45266382978723</v>
      </c>
      <c r="H22" s="16">
        <f t="shared" si="0"/>
        <v>9.350871063734415E-5</v>
      </c>
      <c r="J22" t="s">
        <v>45</v>
      </c>
      <c r="K22" s="25">
        <v>97200</v>
      </c>
      <c r="L22">
        <v>0</v>
      </c>
      <c r="M22" s="25">
        <f t="shared" si="3"/>
        <v>0</v>
      </c>
      <c r="O22" s="15">
        <f t="shared" si="1"/>
        <v>16.207523404255319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1682442.5916936169</v>
      </c>
      <c r="H23" s="30">
        <f>SUM(H8:H22)</f>
        <v>1</v>
      </c>
      <c r="J23" t="s">
        <v>48</v>
      </c>
      <c r="K23" s="25">
        <v>120000</v>
      </c>
      <c r="L23">
        <v>4</v>
      </c>
      <c r="M23" s="25">
        <f t="shared" si="3"/>
        <v>480000</v>
      </c>
      <c r="O23" s="58">
        <f>SUM(O8:O22)</f>
        <v>240348.94167051671</v>
      </c>
    </row>
    <row r="24" spans="1:15" x14ac:dyDescent="0.2">
      <c r="J24" t="s">
        <v>49</v>
      </c>
      <c r="K24" s="25">
        <v>156000</v>
      </c>
      <c r="L24">
        <v>1</v>
      </c>
      <c r="M24" s="25">
        <f t="shared" si="3"/>
        <v>156000</v>
      </c>
    </row>
    <row r="25" spans="1:15" x14ac:dyDescent="0.2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31">
        <f>SUM(L16:L20,L23:L27)</f>
        <v>7</v>
      </c>
      <c r="J25" t="s">
        <v>51</v>
      </c>
      <c r="K25" s="25">
        <v>180000</v>
      </c>
      <c r="L25">
        <v>0</v>
      </c>
      <c r="M25" s="25">
        <f t="shared" si="3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52</v>
      </c>
      <c r="K26" s="25">
        <v>216000</v>
      </c>
      <c r="L26">
        <v>1</v>
      </c>
      <c r="M26" s="25">
        <f t="shared" si="3"/>
        <v>216000</v>
      </c>
      <c r="O26" s="15"/>
    </row>
    <row r="27" spans="1:15" x14ac:dyDescent="0.2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31">
        <f>SUM(L21:L22)</f>
        <v>0</v>
      </c>
      <c r="J27" t="s">
        <v>54</v>
      </c>
      <c r="K27" s="25">
        <v>240000</v>
      </c>
      <c r="L27">
        <v>0</v>
      </c>
      <c r="M27" s="25">
        <f t="shared" si="3"/>
        <v>0</v>
      </c>
      <c r="O27" s="31">
        <f>SUM(U21:U22)</f>
        <v>0</v>
      </c>
    </row>
    <row r="28" spans="1:15" x14ac:dyDescent="0.2">
      <c r="B28" s="27"/>
      <c r="L28">
        <f>SUM(L16:L27)</f>
        <v>7</v>
      </c>
      <c r="M28" s="25">
        <f>SUM(M16:M27)</f>
        <v>930000</v>
      </c>
    </row>
    <row r="29" spans="1:15" x14ac:dyDescent="0.2">
      <c r="B29" s="27" t="s">
        <v>55</v>
      </c>
      <c r="E29" s="59">
        <f>SUM(E25:E27)</f>
        <v>141</v>
      </c>
      <c r="F29" s="31">
        <f>SUM(F25:F27)</f>
        <v>7</v>
      </c>
      <c r="H29" s="25"/>
      <c r="O29" s="31">
        <v>1</v>
      </c>
    </row>
    <row r="31" spans="1:15" x14ac:dyDescent="0.2">
      <c r="I31" s="33" t="s">
        <v>56</v>
      </c>
      <c r="J31" s="25"/>
      <c r="K31" s="25"/>
      <c r="L31" s="25"/>
    </row>
    <row r="32" spans="1:15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7</v>
      </c>
      <c r="M34" s="37">
        <f>+K34*L34</f>
        <v>221733.27330496447</v>
      </c>
    </row>
  </sheetData>
  <mergeCells count="3">
    <mergeCell ref="B1:H1"/>
    <mergeCell ref="B2:H2"/>
    <mergeCell ref="B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AS34"/>
  <sheetViews>
    <sheetView workbookViewId="0">
      <selection activeCell="AI12" sqref="AI12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34" width="9.140625" hidden="1" customWidth="1"/>
  </cols>
  <sheetData>
    <row r="1" spans="1:45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0" t="s">
        <v>301</v>
      </c>
      <c r="C2" s="140"/>
      <c r="D2" s="140"/>
      <c r="E2" s="140"/>
      <c r="F2" s="140"/>
      <c r="G2" s="140"/>
      <c r="H2" s="14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x14ac:dyDescent="0.2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(M16+M17+M18+M19+M20+M23+M24+M26+M27+M25)*1.2</f>
        <v>590400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590400</v>
      </c>
      <c r="O8" s="15">
        <f t="shared" ref="O8:O22" si="1">+F8/$F$29*$O$29</f>
        <v>147600</v>
      </c>
    </row>
    <row r="9" spans="1:45" hidden="1" x14ac:dyDescent="0.2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>
        <v>0</v>
      </c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(M21+M22)*1.2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(M28*0.2)*1.2</f>
        <v>118080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4</v>
      </c>
      <c r="M11" s="18">
        <f>K11*L11</f>
        <v>126704.72760283685</v>
      </c>
      <c r="O11" s="15">
        <f t="shared" si="1"/>
        <v>29520</v>
      </c>
    </row>
    <row r="12" spans="1:45" x14ac:dyDescent="0.2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21">
        <f>(E12/$E$29*$L$11-6767.93)*1.2</f>
        <v>22187.642127659572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5546.910531914893</v>
      </c>
    </row>
    <row r="13" spans="1:45" ht="13.5" thickBot="1" x14ac:dyDescent="0.2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21">
        <f>(E13/$E$29*$L$11-21883.81)*1.2</f>
        <v>28989.969480851065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717104.72760283691</v>
      </c>
      <c r="O13" s="15">
        <f t="shared" si="1"/>
        <v>7247.4923702127662</v>
      </c>
    </row>
    <row r="14" spans="1:45" x14ac:dyDescent="0.2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21">
        <v>78000</v>
      </c>
      <c r="H14" s="16">
        <f t="shared" si="0"/>
        <v>2.9853903459396468E-8</v>
      </c>
      <c r="N14" s="49"/>
      <c r="O14" s="15">
        <f t="shared" si="1"/>
        <v>19500</v>
      </c>
    </row>
    <row r="15" spans="1:45" x14ac:dyDescent="0.2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21">
        <f>(E15/$E$29*$L$11)*1.2</f>
        <v>5077.903251063829</v>
      </c>
      <c r="H15" s="16">
        <f t="shared" si="0"/>
        <v>7.3241940471838168E-3</v>
      </c>
      <c r="K15" s="25"/>
      <c r="O15" s="15">
        <f t="shared" si="1"/>
        <v>1269.4758127659572</v>
      </c>
    </row>
    <row r="16" spans="1:45" x14ac:dyDescent="0.2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21">
        <f>(E16/$E$29*$L$11)*1.2</f>
        <v>0</v>
      </c>
      <c r="H16" s="16">
        <f t="shared" si="0"/>
        <v>0</v>
      </c>
      <c r="J16" t="s">
        <v>27</v>
      </c>
      <c r="K16" s="25">
        <v>33600</v>
      </c>
      <c r="L16">
        <v>0</v>
      </c>
      <c r="M16" s="25">
        <f t="shared" ref="M16:M27" si="3">K16*L16</f>
        <v>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21">
        <f>(E17/$E$29*$L$11)*1.2</f>
        <v>288.68085106382978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3"/>
        <v>0</v>
      </c>
      <c r="O17" s="15">
        <f t="shared" si="1"/>
        <v>72.170212765957444</v>
      </c>
    </row>
    <row r="18" spans="1:15" x14ac:dyDescent="0.2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21">
        <f>(E18/$E$29*$L$11)*1.2</f>
        <v>15.648136170212577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3"/>
        <v>0</v>
      </c>
      <c r="O18" s="15">
        <f t="shared" si="1"/>
        <v>3.9120340425531444</v>
      </c>
    </row>
    <row r="19" spans="1:15" x14ac:dyDescent="0.2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21">
        <f>(E19/$E$29*$L$11)*1.2</f>
        <v>26534.084085106384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3"/>
        <v>0</v>
      </c>
      <c r="O19" s="15">
        <f t="shared" si="1"/>
        <v>6633.521021276596</v>
      </c>
    </row>
    <row r="20" spans="1:15" x14ac:dyDescent="0.2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21">
        <v>0</v>
      </c>
      <c r="H20" s="16">
        <f t="shared" si="0"/>
        <v>6.1420478202947023E-6</v>
      </c>
      <c r="J20" t="s">
        <v>39</v>
      </c>
      <c r="K20" s="25">
        <v>78000</v>
      </c>
      <c r="L20">
        <v>2</v>
      </c>
      <c r="M20" s="25">
        <f t="shared" si="3"/>
        <v>156000</v>
      </c>
      <c r="O20" s="15">
        <f t="shared" si="1"/>
        <v>0</v>
      </c>
    </row>
    <row r="21" spans="1:15" x14ac:dyDescent="0.2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21">
        <f>(E21/$E$29*$L$11)*1.2</f>
        <v>34500.548085106377</v>
      </c>
      <c r="H21" s="16">
        <f t="shared" si="0"/>
        <v>4.9762411061411306E-2</v>
      </c>
      <c r="J21" t="s">
        <v>42</v>
      </c>
      <c r="K21" s="25">
        <v>66000</v>
      </c>
      <c r="L21">
        <v>0</v>
      </c>
      <c r="M21" s="25">
        <f t="shared" si="3"/>
        <v>0</v>
      </c>
      <c r="O21" s="15">
        <f t="shared" si="1"/>
        <v>8625.1370212765942</v>
      </c>
    </row>
    <row r="22" spans="1:15" x14ac:dyDescent="0.2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21">
        <f>(E22/$E$29*$L$11)*1.2</f>
        <v>64.830093617021276</v>
      </c>
      <c r="H22" s="16">
        <f t="shared" si="0"/>
        <v>9.350871063734415E-5</v>
      </c>
      <c r="J22" t="s">
        <v>45</v>
      </c>
      <c r="K22" s="25">
        <v>97200</v>
      </c>
      <c r="L22">
        <v>0</v>
      </c>
      <c r="M22" s="25">
        <f t="shared" si="3"/>
        <v>0</v>
      </c>
      <c r="O22" s="15">
        <f t="shared" si="1"/>
        <v>16.207523404255319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904139.30611063819</v>
      </c>
      <c r="H23" s="30">
        <f>SUM(H8:H22)</f>
        <v>1</v>
      </c>
      <c r="J23" t="s">
        <v>48</v>
      </c>
      <c r="K23" s="25">
        <v>120000</v>
      </c>
      <c r="L23">
        <v>1</v>
      </c>
      <c r="M23" s="25">
        <f t="shared" si="3"/>
        <v>120000</v>
      </c>
      <c r="O23" s="58">
        <f>SUM(O8:O22)</f>
        <v>226034.82652765955</v>
      </c>
    </row>
    <row r="24" spans="1:15" x14ac:dyDescent="0.2">
      <c r="J24" t="s">
        <v>49</v>
      </c>
      <c r="K24" s="25">
        <v>156000</v>
      </c>
      <c r="L24">
        <v>0</v>
      </c>
      <c r="M24" s="25">
        <f t="shared" si="3"/>
        <v>0</v>
      </c>
    </row>
    <row r="25" spans="1:15" x14ac:dyDescent="0.2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31">
        <f>SUM(L16:L20,L23:L27)</f>
        <v>4</v>
      </c>
      <c r="J25" t="s">
        <v>51</v>
      </c>
      <c r="K25" s="25">
        <v>180000</v>
      </c>
      <c r="L25">
        <v>0</v>
      </c>
      <c r="M25" s="25">
        <f t="shared" si="3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52</v>
      </c>
      <c r="K26" s="25">
        <v>216000</v>
      </c>
      <c r="L26">
        <v>1</v>
      </c>
      <c r="M26" s="25">
        <f t="shared" si="3"/>
        <v>216000</v>
      </c>
      <c r="O26" s="15"/>
    </row>
    <row r="27" spans="1:15" x14ac:dyDescent="0.2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31">
        <f>SUM(L21:L22)</f>
        <v>0</v>
      </c>
      <c r="J27" t="s">
        <v>54</v>
      </c>
      <c r="K27" s="25">
        <v>240000</v>
      </c>
      <c r="L27">
        <v>0</v>
      </c>
      <c r="M27" s="25">
        <f t="shared" si="3"/>
        <v>0</v>
      </c>
      <c r="O27" s="31">
        <f>SUM(U21:U22)</f>
        <v>0</v>
      </c>
    </row>
    <row r="28" spans="1:15" x14ac:dyDescent="0.2">
      <c r="B28" s="27"/>
      <c r="L28">
        <f>SUM(L16:L27)</f>
        <v>4</v>
      </c>
      <c r="M28" s="25">
        <f>SUM(M16:M27)</f>
        <v>492000</v>
      </c>
    </row>
    <row r="29" spans="1:15" x14ac:dyDescent="0.2">
      <c r="B29" s="27" t="s">
        <v>55</v>
      </c>
      <c r="E29" s="59">
        <f>SUM(E25:E27)</f>
        <v>141</v>
      </c>
      <c r="F29" s="31">
        <f>SUM(F25:F27)</f>
        <v>4</v>
      </c>
      <c r="H29" s="25"/>
      <c r="O29" s="31">
        <v>1</v>
      </c>
    </row>
    <row r="31" spans="1:15" x14ac:dyDescent="0.2">
      <c r="I31" s="33" t="s">
        <v>56</v>
      </c>
      <c r="J31" s="25"/>
      <c r="K31" s="25"/>
      <c r="L31" s="25"/>
    </row>
    <row r="32" spans="1:15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4</v>
      </c>
      <c r="M34" s="37">
        <f>+K34*L34</f>
        <v>126704.72760283685</v>
      </c>
    </row>
  </sheetData>
  <mergeCells count="3">
    <mergeCell ref="B1:H1"/>
    <mergeCell ref="B2:H2"/>
    <mergeCell ref="B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:AS34"/>
  <sheetViews>
    <sheetView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19" width="9.140625" hidden="1" customWidth="1"/>
  </cols>
  <sheetData>
    <row r="1" spans="1:45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0" t="s">
        <v>302</v>
      </c>
      <c r="C2" s="140"/>
      <c r="D2" s="140"/>
      <c r="E2" s="140"/>
      <c r="F2" s="140"/>
      <c r="G2" s="140"/>
      <c r="H2" s="14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x14ac:dyDescent="0.2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(M16+M17+M18+M19+M20+M23+M24+M26+M27+M25)*1.2</f>
        <v>842400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842400</v>
      </c>
      <c r="O8" s="15">
        <f t="shared" ref="O8:O22" si="1">+F8/$F$29*$O$29</f>
        <v>140400</v>
      </c>
    </row>
    <row r="9" spans="1:45" hidden="1" x14ac:dyDescent="0.2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>
        <v>0</v>
      </c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(M21+M22)*1.2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(M28*0.2)*1.2</f>
        <v>168480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6</v>
      </c>
      <c r="M11" s="18">
        <f>K11*L11</f>
        <v>190057.09140425528</v>
      </c>
      <c r="O11" s="15">
        <f t="shared" si="1"/>
        <v>28080</v>
      </c>
    </row>
    <row r="12" spans="1:45" x14ac:dyDescent="0.2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21">
        <f>(E12/$E$29*$L$11-9891.59)*1.2</f>
        <v>33593.829191489356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5598.9715319148927</v>
      </c>
    </row>
    <row r="13" spans="1:45" ht="13.5" thickBot="1" x14ac:dyDescent="0.2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21">
        <f>(E13/$E$29*$L$11-31984.03)*1.2</f>
        <v>44494.9762212766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1032457.0914042552</v>
      </c>
      <c r="O13" s="15">
        <f t="shared" si="1"/>
        <v>7415.8293702127667</v>
      </c>
    </row>
    <row r="14" spans="1:45" x14ac:dyDescent="0.2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21">
        <v>114000</v>
      </c>
      <c r="H14" s="16">
        <f t="shared" si="0"/>
        <v>2.9853903459396468E-8</v>
      </c>
      <c r="N14" s="49"/>
      <c r="O14" s="15">
        <f t="shared" si="1"/>
        <v>19000</v>
      </c>
    </row>
    <row r="15" spans="1:45" x14ac:dyDescent="0.2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21">
        <f>(E15/$E$29*$L$11)*1.2</f>
        <v>7616.8548765957439</v>
      </c>
      <c r="H15" s="16">
        <f t="shared" si="0"/>
        <v>7.3241940471838168E-3</v>
      </c>
      <c r="K15" s="25"/>
      <c r="O15" s="15">
        <f t="shared" si="1"/>
        <v>1269.4758127659572</v>
      </c>
    </row>
    <row r="16" spans="1:45" x14ac:dyDescent="0.2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21">
        <f>(E16/$E$29*$L$11)*1.2</f>
        <v>0</v>
      </c>
      <c r="H16" s="16">
        <f t="shared" si="0"/>
        <v>0</v>
      </c>
      <c r="J16" t="s">
        <v>27</v>
      </c>
      <c r="K16" s="25">
        <v>33600</v>
      </c>
      <c r="L16">
        <v>0</v>
      </c>
      <c r="M16" s="25">
        <f t="shared" ref="M16:M27" si="3">K16*L16</f>
        <v>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21">
        <f>(E17/$E$29*$L$11)*1.2</f>
        <v>433.02127659574467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3"/>
        <v>0</v>
      </c>
      <c r="O17" s="15">
        <f t="shared" si="1"/>
        <v>72.170212765957444</v>
      </c>
    </row>
    <row r="18" spans="1:15" x14ac:dyDescent="0.2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21">
        <f>(E18/$E$29*$L$11)*1.2</f>
        <v>23.472204255318868</v>
      </c>
      <c r="H18" s="16">
        <f t="shared" si="0"/>
        <v>2.2570336637150724E-5</v>
      </c>
      <c r="J18" t="s">
        <v>33</v>
      </c>
      <c r="K18" s="25">
        <v>54000</v>
      </c>
      <c r="L18">
        <v>1</v>
      </c>
      <c r="M18" s="25">
        <f t="shared" si="3"/>
        <v>54000</v>
      </c>
      <c r="O18" s="15">
        <f t="shared" si="1"/>
        <v>3.9120340425531448</v>
      </c>
    </row>
    <row r="19" spans="1:15" x14ac:dyDescent="0.2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21">
        <f>(E19/$E$29*$L$11)*1.2</f>
        <v>39801.126127659576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3"/>
        <v>0</v>
      </c>
      <c r="O19" s="15">
        <f t="shared" si="1"/>
        <v>6633.521021276596</v>
      </c>
    </row>
    <row r="20" spans="1:15" x14ac:dyDescent="0.2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21">
        <v>0</v>
      </c>
      <c r="H20" s="16">
        <f t="shared" si="0"/>
        <v>6.1420478202947023E-6</v>
      </c>
      <c r="J20" t="s">
        <v>39</v>
      </c>
      <c r="K20" s="25">
        <v>78000</v>
      </c>
      <c r="L20">
        <v>2</v>
      </c>
      <c r="M20" s="25">
        <f t="shared" si="3"/>
        <v>156000</v>
      </c>
      <c r="O20" s="15">
        <f t="shared" si="1"/>
        <v>0</v>
      </c>
    </row>
    <row r="21" spans="1:15" x14ac:dyDescent="0.2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21">
        <f>(E21/$E$29*$L$11)*1.2</f>
        <v>51750.822127659558</v>
      </c>
      <c r="H21" s="16">
        <f t="shared" si="0"/>
        <v>4.9762411061411306E-2</v>
      </c>
      <c r="J21" t="s">
        <v>42</v>
      </c>
      <c r="K21" s="25">
        <v>66000</v>
      </c>
      <c r="L21">
        <v>0</v>
      </c>
      <c r="M21" s="25">
        <f t="shared" si="3"/>
        <v>0</v>
      </c>
      <c r="O21" s="15">
        <f t="shared" si="1"/>
        <v>8625.1370212765923</v>
      </c>
    </row>
    <row r="22" spans="1:15" x14ac:dyDescent="0.2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21">
        <f>(E22/$E$29*$L$11)*1.2</f>
        <v>97.245140425531901</v>
      </c>
      <c r="H22" s="16">
        <f t="shared" si="0"/>
        <v>9.350871063734415E-5</v>
      </c>
      <c r="J22" t="s">
        <v>45</v>
      </c>
      <c r="K22" s="25">
        <v>97200</v>
      </c>
      <c r="L22">
        <v>0</v>
      </c>
      <c r="M22" s="25">
        <f t="shared" si="3"/>
        <v>0</v>
      </c>
      <c r="O22" s="15">
        <f t="shared" si="1"/>
        <v>16.207523404255316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1302691.3471659578</v>
      </c>
      <c r="H23" s="30">
        <f>SUM(H8:H22)</f>
        <v>1</v>
      </c>
      <c r="J23" t="s">
        <v>48</v>
      </c>
      <c r="K23" s="25">
        <v>120000</v>
      </c>
      <c r="L23">
        <v>1</v>
      </c>
      <c r="M23" s="25">
        <f t="shared" si="3"/>
        <v>120000</v>
      </c>
      <c r="O23" s="58">
        <f>SUM(O8:O22)</f>
        <v>217115.22452765956</v>
      </c>
    </row>
    <row r="24" spans="1:15" x14ac:dyDescent="0.2">
      <c r="J24" t="s">
        <v>49</v>
      </c>
      <c r="K24" s="25">
        <v>156000</v>
      </c>
      <c r="L24">
        <v>1</v>
      </c>
      <c r="M24" s="25">
        <f t="shared" si="3"/>
        <v>156000</v>
      </c>
    </row>
    <row r="25" spans="1:15" x14ac:dyDescent="0.2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31">
        <f>SUM(L16:L20,L23:L27)</f>
        <v>6</v>
      </c>
      <c r="J25" t="s">
        <v>51</v>
      </c>
      <c r="K25" s="25">
        <v>180000</v>
      </c>
      <c r="L25">
        <v>0</v>
      </c>
      <c r="M25" s="25">
        <f t="shared" si="3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52</v>
      </c>
      <c r="K26" s="25">
        <v>216000</v>
      </c>
      <c r="L26">
        <v>1</v>
      </c>
      <c r="M26" s="25">
        <f t="shared" si="3"/>
        <v>216000</v>
      </c>
      <c r="O26" s="15"/>
    </row>
    <row r="27" spans="1:15" x14ac:dyDescent="0.2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31">
        <f>SUM(L21:L22)</f>
        <v>0</v>
      </c>
      <c r="J27" t="s">
        <v>54</v>
      </c>
      <c r="K27" s="25">
        <v>240000</v>
      </c>
      <c r="L27">
        <v>0</v>
      </c>
      <c r="M27" s="25">
        <f t="shared" si="3"/>
        <v>0</v>
      </c>
      <c r="O27" s="31">
        <f>SUM(U21:U22)</f>
        <v>0</v>
      </c>
    </row>
    <row r="28" spans="1:15" x14ac:dyDescent="0.2">
      <c r="B28" s="27"/>
      <c r="L28">
        <f>SUM(L16:L27)</f>
        <v>6</v>
      </c>
      <c r="M28" s="25">
        <f>SUM(M16:M27)</f>
        <v>702000</v>
      </c>
    </row>
    <row r="29" spans="1:15" x14ac:dyDescent="0.2">
      <c r="B29" s="27" t="s">
        <v>55</v>
      </c>
      <c r="E29" s="59">
        <f>SUM(E25:E27)</f>
        <v>141</v>
      </c>
      <c r="F29" s="31">
        <f>SUM(F25:F27)</f>
        <v>6</v>
      </c>
      <c r="H29" s="25"/>
      <c r="O29" s="31">
        <v>1</v>
      </c>
    </row>
    <row r="31" spans="1:15" x14ac:dyDescent="0.2">
      <c r="I31" s="33" t="s">
        <v>56</v>
      </c>
      <c r="J31" s="25"/>
      <c r="K31" s="25"/>
      <c r="L31" s="25"/>
    </row>
    <row r="32" spans="1:15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</v>
      </c>
      <c r="M34" s="37">
        <f>+K34*L34</f>
        <v>190057.09140425528</v>
      </c>
    </row>
  </sheetData>
  <mergeCells count="3">
    <mergeCell ref="B1:H1"/>
    <mergeCell ref="B2:H2"/>
    <mergeCell ref="B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:AS34"/>
  <sheetViews>
    <sheetView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19" width="9.140625" hidden="1" customWidth="1"/>
  </cols>
  <sheetData>
    <row r="1" spans="1:45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0" t="s">
        <v>303</v>
      </c>
      <c r="C2" s="140"/>
      <c r="D2" s="140"/>
      <c r="E2" s="140"/>
      <c r="F2" s="140"/>
      <c r="G2" s="140"/>
      <c r="H2" s="14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x14ac:dyDescent="0.2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(M16+M17+M18+M19+M20+M23+M24+M26+M27+M25)*1.2</f>
        <v>691200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691200</v>
      </c>
      <c r="O8" s="15">
        <f t="shared" ref="O8:O22" si="1">+F8/$F$29*$O$29</f>
        <v>172800</v>
      </c>
    </row>
    <row r="9" spans="1:45" hidden="1" x14ac:dyDescent="0.2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>
        <v>0</v>
      </c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(M21+M22)*1.2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(M28*0.2)*1.2</f>
        <v>138240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4</v>
      </c>
      <c r="M11" s="18">
        <f>K11*L11</f>
        <v>126704.72760283685</v>
      </c>
      <c r="O11" s="15">
        <f t="shared" si="1"/>
        <v>34560</v>
      </c>
    </row>
    <row r="12" spans="1:45" x14ac:dyDescent="0.2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21">
        <f>(E12/$E$29*$L$11-6767.93)*1.2</f>
        <v>22187.642127659572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5546.910531914893</v>
      </c>
    </row>
    <row r="13" spans="1:45" ht="13.5" thickBot="1" x14ac:dyDescent="0.2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21">
        <f>(E13/$E$29*$L$11-21883.81)*1.2</f>
        <v>28989.969480851065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817904.72760283691</v>
      </c>
      <c r="O13" s="15">
        <f t="shared" si="1"/>
        <v>7247.4923702127662</v>
      </c>
    </row>
    <row r="14" spans="1:45" x14ac:dyDescent="0.2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21">
        <v>78000</v>
      </c>
      <c r="H14" s="16">
        <f t="shared" si="0"/>
        <v>2.9853903459396468E-8</v>
      </c>
      <c r="N14" s="49"/>
      <c r="O14" s="15">
        <f t="shared" si="1"/>
        <v>19500</v>
      </c>
    </row>
    <row r="15" spans="1:45" x14ac:dyDescent="0.2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21">
        <f>(E15/$E$29*$L$11)*1.2</f>
        <v>5077.903251063829</v>
      </c>
      <c r="H15" s="16">
        <f t="shared" si="0"/>
        <v>7.3241940471838168E-3</v>
      </c>
      <c r="K15" s="25"/>
      <c r="O15" s="15">
        <f t="shared" si="1"/>
        <v>1269.4758127659572</v>
      </c>
    </row>
    <row r="16" spans="1:45" x14ac:dyDescent="0.2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21">
        <f>(E16/$E$29*$L$11)*1.2</f>
        <v>0</v>
      </c>
      <c r="H16" s="16">
        <f t="shared" si="0"/>
        <v>0</v>
      </c>
      <c r="J16" t="s">
        <v>27</v>
      </c>
      <c r="K16" s="25">
        <v>33600</v>
      </c>
      <c r="L16">
        <v>0</v>
      </c>
      <c r="M16" s="25">
        <f t="shared" ref="M16:M27" si="3">K16*L16</f>
        <v>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21">
        <f>(E17/$E$29*$L$11)*1.2</f>
        <v>288.68085106382978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3"/>
        <v>0</v>
      </c>
      <c r="O17" s="15">
        <f t="shared" si="1"/>
        <v>72.170212765957444</v>
      </c>
    </row>
    <row r="18" spans="1:15" x14ac:dyDescent="0.2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21">
        <f>(E18/$E$29*$L$11)*1.2</f>
        <v>15.648136170212577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3"/>
        <v>0</v>
      </c>
      <c r="O18" s="15">
        <f t="shared" si="1"/>
        <v>3.9120340425531444</v>
      </c>
    </row>
    <row r="19" spans="1:15" x14ac:dyDescent="0.2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21">
        <f>(E19/$E$29*$L$11)*1.2</f>
        <v>26534.084085106384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3"/>
        <v>0</v>
      </c>
      <c r="O19" s="15">
        <f t="shared" si="1"/>
        <v>6633.521021276596</v>
      </c>
    </row>
    <row r="20" spans="1:15" x14ac:dyDescent="0.2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21">
        <v>0</v>
      </c>
      <c r="H20" s="16">
        <f t="shared" si="0"/>
        <v>6.1420478202947023E-6</v>
      </c>
      <c r="J20" t="s">
        <v>39</v>
      </c>
      <c r="K20" s="25">
        <v>78000</v>
      </c>
      <c r="L20">
        <v>0</v>
      </c>
      <c r="M20" s="25">
        <f t="shared" si="3"/>
        <v>0</v>
      </c>
      <c r="O20" s="15">
        <f t="shared" si="1"/>
        <v>0</v>
      </c>
    </row>
    <row r="21" spans="1:15" x14ac:dyDescent="0.2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21">
        <f>(E21/$E$29*$L$11)*1.2</f>
        <v>34500.548085106377</v>
      </c>
      <c r="H21" s="16">
        <f t="shared" si="0"/>
        <v>4.9762411061411306E-2</v>
      </c>
      <c r="J21" t="s">
        <v>42</v>
      </c>
      <c r="K21" s="25">
        <v>66000</v>
      </c>
      <c r="L21">
        <v>0</v>
      </c>
      <c r="M21" s="25">
        <f t="shared" si="3"/>
        <v>0</v>
      </c>
      <c r="O21" s="15">
        <f t="shared" si="1"/>
        <v>8625.1370212765942</v>
      </c>
    </row>
    <row r="22" spans="1:15" x14ac:dyDescent="0.2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21">
        <f>(E22/$E$29*$L$11)*1.2</f>
        <v>64.830093617021276</v>
      </c>
      <c r="H22" s="16">
        <f t="shared" si="0"/>
        <v>9.350871063734415E-5</v>
      </c>
      <c r="J22" t="s">
        <v>45</v>
      </c>
      <c r="K22" s="25">
        <v>97200</v>
      </c>
      <c r="L22">
        <v>0</v>
      </c>
      <c r="M22" s="25">
        <f t="shared" si="3"/>
        <v>0</v>
      </c>
      <c r="O22" s="15">
        <f t="shared" si="1"/>
        <v>16.207523404255319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1025099.3061106382</v>
      </c>
      <c r="H23" s="30">
        <f>SUM(H8:H22)</f>
        <v>1</v>
      </c>
      <c r="J23" t="s">
        <v>48</v>
      </c>
      <c r="K23" s="25">
        <v>120000</v>
      </c>
      <c r="L23">
        <v>3</v>
      </c>
      <c r="M23" s="25">
        <f t="shared" si="3"/>
        <v>360000</v>
      </c>
      <c r="O23" s="58">
        <f>SUM(O8:O22)</f>
        <v>256274.82652765955</v>
      </c>
    </row>
    <row r="24" spans="1:15" x14ac:dyDescent="0.2">
      <c r="J24" t="s">
        <v>49</v>
      </c>
      <c r="K24" s="25">
        <v>156000</v>
      </c>
      <c r="L24">
        <v>0</v>
      </c>
      <c r="M24" s="25">
        <f t="shared" si="3"/>
        <v>0</v>
      </c>
    </row>
    <row r="25" spans="1:15" x14ac:dyDescent="0.2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31">
        <f>SUM(L16:L20,L23:L27)</f>
        <v>4</v>
      </c>
      <c r="J25" t="s">
        <v>51</v>
      </c>
      <c r="K25" s="25">
        <v>180000</v>
      </c>
      <c r="L25">
        <v>0</v>
      </c>
      <c r="M25" s="25">
        <f t="shared" si="3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52</v>
      </c>
      <c r="K26" s="25">
        <v>216000</v>
      </c>
      <c r="L26">
        <v>1</v>
      </c>
      <c r="M26" s="25">
        <f t="shared" si="3"/>
        <v>216000</v>
      </c>
      <c r="O26" s="15"/>
    </row>
    <row r="27" spans="1:15" x14ac:dyDescent="0.2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31">
        <f>SUM(L21:L22)</f>
        <v>0</v>
      </c>
      <c r="J27" t="s">
        <v>54</v>
      </c>
      <c r="K27" s="25">
        <v>240000</v>
      </c>
      <c r="L27">
        <v>0</v>
      </c>
      <c r="M27" s="25">
        <f t="shared" si="3"/>
        <v>0</v>
      </c>
      <c r="O27" s="31">
        <f>SUM(U21:U22)</f>
        <v>0</v>
      </c>
    </row>
    <row r="28" spans="1:15" x14ac:dyDescent="0.2">
      <c r="B28" s="27"/>
      <c r="L28">
        <f>SUM(L16:L27)</f>
        <v>4</v>
      </c>
      <c r="M28" s="25">
        <f>SUM(M16:M27)</f>
        <v>576000</v>
      </c>
    </row>
    <row r="29" spans="1:15" x14ac:dyDescent="0.2">
      <c r="B29" s="27" t="s">
        <v>55</v>
      </c>
      <c r="E29" s="59">
        <f>SUM(E25:E27)</f>
        <v>141</v>
      </c>
      <c r="F29" s="31">
        <f>SUM(F25:F27)</f>
        <v>4</v>
      </c>
      <c r="H29" s="25"/>
      <c r="O29" s="31">
        <v>1</v>
      </c>
    </row>
    <row r="31" spans="1:15" x14ac:dyDescent="0.2">
      <c r="I31" s="33" t="s">
        <v>56</v>
      </c>
      <c r="J31" s="25"/>
      <c r="K31" s="25"/>
      <c r="L31" s="25"/>
    </row>
    <row r="32" spans="1:15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4</v>
      </c>
      <c r="M34" s="37">
        <f>+K34*L34</f>
        <v>126704.72760283685</v>
      </c>
    </row>
  </sheetData>
  <mergeCells count="3">
    <mergeCell ref="B1:H1"/>
    <mergeCell ref="B2:H2"/>
    <mergeCell ref="B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AR39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710937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85546875" customWidth="1"/>
    <col min="14" max="14" width="16.85546875" customWidth="1"/>
    <col min="15" max="15" width="17.7109375" customWidth="1"/>
    <col min="16" max="16" width="10.28515625" customWidth="1"/>
    <col min="17" max="17" width="10.7109375" customWidth="1"/>
  </cols>
  <sheetData>
    <row r="1" spans="1:44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0" t="s">
        <v>256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771408</v>
      </c>
      <c r="I8" s="42" t="s">
        <v>10</v>
      </c>
      <c r="J8" s="17">
        <v>0</v>
      </c>
      <c r="K8" s="17"/>
      <c r="L8" s="43">
        <f>L30</f>
        <v>985248</v>
      </c>
      <c r="M8" s="49"/>
      <c r="Q8" s="15"/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v>0</v>
      </c>
      <c r="I10" s="42"/>
      <c r="J10" s="17"/>
      <c r="K10" s="17"/>
      <c r="L10" s="43"/>
      <c r="M10" s="49"/>
      <c r="N10" s="124"/>
      <c r="O10" s="124"/>
      <c r="P10" s="124"/>
      <c r="Q10" s="15"/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(+H8*0.2)</f>
        <v>154281.60000000001</v>
      </c>
      <c r="I11" s="42" t="s">
        <v>15</v>
      </c>
      <c r="J11" s="17">
        <f>(E12+E13+E14+E15+E16+E17+E18+E19+E20+E21+E22)/E29</f>
        <v>48270.181250000009</v>
      </c>
      <c r="K11" s="17">
        <f>K28</f>
        <v>5</v>
      </c>
      <c r="L11" s="43">
        <f>J11*K11</f>
        <v>241350.90625000006</v>
      </c>
      <c r="M11" s="49"/>
      <c r="N11" s="124"/>
      <c r="O11" s="124"/>
      <c r="P11" s="124"/>
      <c r="Q11" s="15"/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>(15000+6000)*1.2</f>
        <v>25200</v>
      </c>
      <c r="I12" s="42"/>
      <c r="J12" s="17"/>
      <c r="K12" s="17"/>
      <c r="L12" s="43"/>
      <c r="M12" s="49"/>
      <c r="N12" s="124"/>
      <c r="O12" s="124"/>
      <c r="P12" s="124"/>
      <c r="Q12" s="15"/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25200</v>
      </c>
      <c r="I13" s="46" t="s">
        <v>20</v>
      </c>
      <c r="J13" s="47"/>
      <c r="K13" s="47"/>
      <c r="L13" s="48">
        <f>L8+L11</f>
        <v>1226598.90625</v>
      </c>
      <c r="M13" s="49"/>
      <c r="N13" s="124">
        <v>1.2</v>
      </c>
      <c r="O13" s="124"/>
      <c r="P13" s="124"/>
      <c r="Q13" s="15"/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3600</v>
      </c>
      <c r="M14" s="49"/>
      <c r="N14" s="124"/>
      <c r="O14" s="124"/>
      <c r="P14" s="124"/>
      <c r="Q14" s="15"/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14400</v>
      </c>
      <c r="M15" s="49"/>
      <c r="Q15" s="15"/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M16" s="49"/>
      <c r="Q16" s="15"/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177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M17" s="49"/>
      <c r="Q17" s="15"/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-0.15239999999961582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M18" s="49"/>
      <c r="Q18" s="15"/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3276.3096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M19" s="49"/>
      <c r="Q19" s="15"/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0.48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M20" s="49"/>
      <c r="Q20" s="15"/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4320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M21" s="49"/>
      <c r="P21" s="8"/>
      <c r="Q21" s="32"/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2</v>
      </c>
      <c r="L22" s="25">
        <f t="shared" si="1"/>
        <v>178200</v>
      </c>
      <c r="M22" s="49"/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1001863.2372</v>
      </c>
      <c r="I23" s="25" t="s">
        <v>48</v>
      </c>
      <c r="J23" s="25">
        <v>110000</v>
      </c>
      <c r="K23" s="25">
        <v>1</v>
      </c>
      <c r="L23" s="25">
        <f t="shared" si="1"/>
        <v>110000</v>
      </c>
      <c r="M23" s="29"/>
      <c r="P23" s="8"/>
      <c r="Q23" s="29"/>
    </row>
    <row r="24" spans="1:17" x14ac:dyDescent="0.2">
      <c r="I24" s="25" t="s">
        <v>49</v>
      </c>
      <c r="J24" s="25">
        <v>143000</v>
      </c>
      <c r="K24" s="25">
        <v>0</v>
      </c>
      <c r="L24" s="25">
        <f t="shared" si="1"/>
        <v>0</v>
      </c>
      <c r="P24" s="8"/>
      <c r="Q24" s="8"/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3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1"/>
        <v>396000</v>
      </c>
      <c r="P26" s="8"/>
      <c r="Q26" s="32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">
      <c r="K28" s="25">
        <f>SUM(K16:K27)</f>
        <v>5</v>
      </c>
      <c r="L28" s="25">
        <f>SUM(L16:L27)*1.2</f>
        <v>821040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3</v>
      </c>
      <c r="L29" s="52">
        <v>0.2</v>
      </c>
      <c r="P29" s="8"/>
      <c r="Q29" s="32"/>
    </row>
    <row r="30" spans="1:17" hidden="1" x14ac:dyDescent="0.2">
      <c r="L30" s="25">
        <f>L28*1.2</f>
        <v>985248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5</v>
      </c>
      <c r="L34" s="37">
        <f>+J34*K34</f>
        <v>241350.90625000006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AS34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19" width="9.140625" hidden="1" customWidth="1"/>
  </cols>
  <sheetData>
    <row r="1" spans="1:45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0" t="s">
        <v>220</v>
      </c>
      <c r="C2" s="140"/>
      <c r="D2" s="140"/>
      <c r="E2" s="140"/>
      <c r="F2" s="140"/>
      <c r="G2" s="140"/>
      <c r="H2" s="14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x14ac:dyDescent="0.2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(M16+M17+M18+M19+M20+M23+M24+M26+M27)*1.2</f>
        <v>2711520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2711520</v>
      </c>
      <c r="O8" s="15">
        <f t="shared" ref="O8:O22" si="1">+F8/$F$29*$O$29</f>
        <v>169470</v>
      </c>
    </row>
    <row r="9" spans="1:45" hidden="1" x14ac:dyDescent="0.2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>
        <v>0</v>
      </c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(M21+M22)*1.2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(M28*0.2)*1.2</f>
        <v>542304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16</v>
      </c>
      <c r="M11" s="18">
        <f>K11*L11</f>
        <v>506818.9104113474</v>
      </c>
      <c r="O11" s="15">
        <f t="shared" si="1"/>
        <v>33894</v>
      </c>
    </row>
    <row r="12" spans="1:45" x14ac:dyDescent="0.2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21">
        <f>(E12/$E$29*$L$11)*1.2</f>
        <v>121236.63251063829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7577.2895319148929</v>
      </c>
    </row>
    <row r="13" spans="1:45" ht="13.5" thickBot="1" x14ac:dyDescent="0.2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21">
        <f>(E13/$E$29*$L$11+370363)*1.2</f>
        <v>665437.76592340425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3218338.9104113476</v>
      </c>
      <c r="O13" s="15">
        <f t="shared" si="1"/>
        <v>41589.860370212766</v>
      </c>
    </row>
    <row r="14" spans="1:45" x14ac:dyDescent="0.2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21">
        <f t="shared" ref="F14:F22" si="3">(E14/$E$29*$L$11)*1.2</f>
        <v>8.2791489388080342E-2</v>
      </c>
      <c r="H14" s="16">
        <f t="shared" si="0"/>
        <v>2.9853903459396468E-8</v>
      </c>
      <c r="N14" s="49"/>
      <c r="O14" s="15">
        <f t="shared" si="1"/>
        <v>5.1744680867550213E-3</v>
      </c>
    </row>
    <row r="15" spans="1:45" x14ac:dyDescent="0.2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21">
        <f t="shared" si="3"/>
        <v>20311.613004255316</v>
      </c>
      <c r="H15" s="16">
        <f t="shared" si="0"/>
        <v>7.3241940471838168E-3</v>
      </c>
      <c r="K15" s="25"/>
      <c r="O15" s="15">
        <f t="shared" si="1"/>
        <v>1269.4758127659572</v>
      </c>
    </row>
    <row r="16" spans="1:45" x14ac:dyDescent="0.2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27</v>
      </c>
      <c r="K16" s="25">
        <v>33600</v>
      </c>
      <c r="L16">
        <v>1</v>
      </c>
      <c r="M16" s="25">
        <f t="shared" ref="M16:M27" si="4">K16*L16</f>
        <v>33600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21">
        <f t="shared" si="3"/>
        <v>1154.7234042553191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4"/>
        <v>0</v>
      </c>
      <c r="O17" s="15">
        <f t="shared" si="1"/>
        <v>72.170212765957444</v>
      </c>
    </row>
    <row r="18" spans="1:15" x14ac:dyDescent="0.2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21">
        <f t="shared" si="3"/>
        <v>62.59254468085031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4"/>
        <v>0</v>
      </c>
      <c r="O18" s="15">
        <f t="shared" si="1"/>
        <v>3.9120340425531444</v>
      </c>
    </row>
    <row r="19" spans="1:15" x14ac:dyDescent="0.2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21">
        <f t="shared" si="3"/>
        <v>106136.33634042554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4"/>
        <v>0</v>
      </c>
      <c r="O19" s="15">
        <f t="shared" si="1"/>
        <v>6633.521021276596</v>
      </c>
    </row>
    <row r="20" spans="1:15" x14ac:dyDescent="0.2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21">
        <f t="shared" si="3"/>
        <v>17.033259574468087</v>
      </c>
      <c r="H20" s="16">
        <f t="shared" si="0"/>
        <v>6.1420478202947023E-6</v>
      </c>
      <c r="J20" t="s">
        <v>39</v>
      </c>
      <c r="K20" s="25">
        <v>78000</v>
      </c>
      <c r="L20">
        <v>1</v>
      </c>
      <c r="M20" s="25">
        <f t="shared" si="4"/>
        <v>78000</v>
      </c>
      <c r="O20" s="15">
        <f t="shared" si="1"/>
        <v>1.0645787234042554</v>
      </c>
    </row>
    <row r="21" spans="1:15" x14ac:dyDescent="0.2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21">
        <f t="shared" si="3"/>
        <v>138002.19234042551</v>
      </c>
      <c r="H21" s="16">
        <f t="shared" si="0"/>
        <v>4.9762411061411306E-2</v>
      </c>
      <c r="J21" t="s">
        <v>42</v>
      </c>
      <c r="K21" s="25">
        <v>66000</v>
      </c>
      <c r="L21">
        <v>0</v>
      </c>
      <c r="M21" s="25">
        <f t="shared" si="4"/>
        <v>0</v>
      </c>
      <c r="O21" s="15">
        <f t="shared" si="1"/>
        <v>8625.1370212765942</v>
      </c>
    </row>
    <row r="22" spans="1:15" x14ac:dyDescent="0.2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21">
        <f t="shared" si="3"/>
        <v>259.32037446808511</v>
      </c>
      <c r="H22" s="16">
        <f t="shared" si="0"/>
        <v>9.350871063734415E-5</v>
      </c>
      <c r="J22" t="s">
        <v>45</v>
      </c>
      <c r="K22" s="25">
        <v>97200</v>
      </c>
      <c r="L22">
        <v>0</v>
      </c>
      <c r="M22" s="25">
        <f t="shared" si="4"/>
        <v>0</v>
      </c>
      <c r="O22" s="15">
        <f t="shared" si="1"/>
        <v>16.207523404255319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4306442.2924936172</v>
      </c>
      <c r="H23" s="30">
        <f>SUM(H8:H22)</f>
        <v>1</v>
      </c>
      <c r="J23" t="s">
        <v>48</v>
      </c>
      <c r="K23" s="25">
        <v>120000</v>
      </c>
      <c r="L23">
        <v>5</v>
      </c>
      <c r="M23" s="25">
        <f t="shared" si="4"/>
        <v>600000</v>
      </c>
      <c r="O23" s="58">
        <f>SUM(O8:O22)</f>
        <v>269152.64328085107</v>
      </c>
    </row>
    <row r="24" spans="1:15" x14ac:dyDescent="0.2">
      <c r="J24" t="s">
        <v>49</v>
      </c>
      <c r="K24" s="25">
        <v>156000</v>
      </c>
      <c r="L24">
        <v>7</v>
      </c>
      <c r="M24" s="25">
        <f t="shared" si="4"/>
        <v>1092000</v>
      </c>
    </row>
    <row r="25" spans="1:15" x14ac:dyDescent="0.2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31">
        <f>SUM(L16:L20,L23:L27)</f>
        <v>16</v>
      </c>
      <c r="J25" t="s">
        <v>51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52</v>
      </c>
      <c r="K26" s="25">
        <v>216000</v>
      </c>
      <c r="L26">
        <v>1</v>
      </c>
      <c r="M26" s="25">
        <f t="shared" si="4"/>
        <v>216000</v>
      </c>
      <c r="O26" s="15"/>
    </row>
    <row r="27" spans="1:15" x14ac:dyDescent="0.2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31">
        <f>SUM(L21:L22)</f>
        <v>0</v>
      </c>
      <c r="J27" t="s">
        <v>54</v>
      </c>
      <c r="K27" s="25">
        <v>240000</v>
      </c>
      <c r="L27">
        <f>2-1</f>
        <v>1</v>
      </c>
      <c r="M27" s="25">
        <f t="shared" si="4"/>
        <v>240000</v>
      </c>
      <c r="O27" s="31">
        <f>SUM(U21:U22)</f>
        <v>0</v>
      </c>
    </row>
    <row r="28" spans="1:15" x14ac:dyDescent="0.2">
      <c r="B28" s="27"/>
      <c r="L28">
        <f>SUM(L16:L27)</f>
        <v>16</v>
      </c>
      <c r="M28" s="25">
        <f>SUM(M16:M27)</f>
        <v>2259600</v>
      </c>
    </row>
    <row r="29" spans="1:15" x14ac:dyDescent="0.2">
      <c r="B29" s="27" t="s">
        <v>55</v>
      </c>
      <c r="E29" s="59">
        <f>SUM(E25:E27)</f>
        <v>141</v>
      </c>
      <c r="F29" s="31">
        <f>SUM(F25:F27)</f>
        <v>16</v>
      </c>
      <c r="H29" s="25"/>
      <c r="O29" s="31">
        <v>1</v>
      </c>
    </row>
    <row r="31" spans="1:15" x14ac:dyDescent="0.2">
      <c r="I31" s="33" t="s">
        <v>56</v>
      </c>
      <c r="J31" s="25"/>
      <c r="K31" s="25"/>
      <c r="L31" s="25"/>
    </row>
    <row r="32" spans="1:15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16</v>
      </c>
      <c r="M34" s="37">
        <f>+K34*L34</f>
        <v>506818.9104113474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AU34"/>
  <sheetViews>
    <sheetView zoomScaleNormal="100" workbookViewId="0">
      <selection activeCell="G13" sqref="G1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hidden="1" customWidth="1"/>
    <col min="5" max="5" width="13.85546875" hidden="1" customWidth="1"/>
    <col min="6" max="6" width="2.5703125" customWidth="1"/>
    <col min="7" max="7" width="13.5703125" customWidth="1"/>
    <col min="8" max="8" width="2.5703125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16" width="19.42578125" hidden="1" customWidth="1"/>
    <col min="17" max="17" width="20.5703125" hidden="1" customWidth="1"/>
    <col min="18" max="18" width="0" hidden="1" customWidth="1"/>
  </cols>
  <sheetData>
    <row r="1" spans="1:47" ht="18" x14ac:dyDescent="0.25">
      <c r="B1" s="140" t="str">
        <f>'[22]Team Report'!B1</f>
        <v>Enron North America</v>
      </c>
      <c r="C1" s="140"/>
      <c r="D1" s="142"/>
      <c r="E1" s="142"/>
      <c r="F1" s="142"/>
      <c r="G1" s="142"/>
      <c r="H1" s="142"/>
      <c r="I1" s="14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40" t="s">
        <v>231</v>
      </c>
      <c r="C2" s="140"/>
      <c r="D2" s="142"/>
      <c r="E2" s="142"/>
      <c r="F2" s="142"/>
      <c r="G2" s="142"/>
      <c r="H2" s="142"/>
      <c r="I2" s="14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43" t="s">
        <v>0</v>
      </c>
      <c r="C3" s="143"/>
      <c r="D3" s="144"/>
      <c r="E3" s="144"/>
      <c r="F3" s="144"/>
      <c r="G3" s="144"/>
      <c r="H3" s="144"/>
      <c r="I3" s="14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1</v>
      </c>
      <c r="M5" s="8" t="s">
        <v>2</v>
      </c>
      <c r="N5" s="9" t="s">
        <v>3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47" x14ac:dyDescent="0.2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47" x14ac:dyDescent="0.2">
      <c r="A8" s="13" t="s">
        <v>9</v>
      </c>
      <c r="B8" s="14" t="s">
        <v>10</v>
      </c>
      <c r="C8" s="15">
        <f>'[23]Executive Orig'!C8+[23]Trading!C8+[23]Origination!C8+'[23]Mid Market'!C8+[23]Services!C8+[23]Fundamentals!C8</f>
        <v>4789958.9899999993</v>
      </c>
      <c r="E8" s="15">
        <f>(C8/9)*12</f>
        <v>6386611.9866666663</v>
      </c>
      <c r="F8" s="15"/>
      <c r="G8" s="15">
        <f>(SUM(N16:N20,N23:N27))*1.2</f>
        <v>2588400</v>
      </c>
      <c r="H8" s="15"/>
      <c r="I8" s="16">
        <f t="shared" ref="I8:I22" si="0">+G8/$G$23</f>
        <v>0.6024975030814318</v>
      </c>
      <c r="K8" s="7" t="s">
        <v>10</v>
      </c>
      <c r="L8" s="17">
        <v>0</v>
      </c>
      <c r="M8" s="8">
        <v>64</v>
      </c>
      <c r="N8" s="18">
        <f>N28</f>
        <v>2588400</v>
      </c>
      <c r="O8" s="15">
        <f t="shared" ref="O8:O22" si="1">+G8/$G$29*$O$29</f>
        <v>161775</v>
      </c>
    </row>
    <row r="9" spans="1:47" hidden="1" x14ac:dyDescent="0.2">
      <c r="A9" s="13"/>
      <c r="B9" s="14" t="s">
        <v>11</v>
      </c>
      <c r="C9" s="15">
        <f>'[23]Executive Orig'!C9+[23]Trading!C9+[23]Origination!C9+'[23]Mid Market'!C9+[23]Services!C9+[23]Fundamentals!C9</f>
        <v>1464000</v>
      </c>
      <c r="E9" s="15">
        <f>+C9</f>
        <v>1464000</v>
      </c>
      <c r="F9" s="15"/>
      <c r="G9" s="15">
        <v>0</v>
      </c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12</v>
      </c>
      <c r="C10" s="15">
        <f>'[23]Executive Orig'!C10+[23]Trading!C10+[23]Origination!C10+'[23]Mid Market'!C10+[23]Services!C10+[23]Fundamentals!C10</f>
        <v>804567</v>
      </c>
      <c r="E10" s="15">
        <f>(C10/9)*12</f>
        <v>1072756</v>
      </c>
      <c r="F10" s="15"/>
      <c r="G10" s="15">
        <f>(+N21+N22)*1.2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  <c r="P10" s="124"/>
      <c r="Q10" s="124"/>
      <c r="R10" s="124"/>
    </row>
    <row r="11" spans="1:47" x14ac:dyDescent="0.2">
      <c r="A11" s="13" t="s">
        <v>13</v>
      </c>
      <c r="B11" s="14" t="s">
        <v>14</v>
      </c>
      <c r="C11" s="15">
        <f>'[23]Executive Orig'!C11+[23]Trading!C11+[23]Origination!C11+'[23]Mid Market'!C11+[23]Services!C11+[23]Fundamentals!C11</f>
        <v>1096068.21</v>
      </c>
      <c r="E11" s="15">
        <f>(C11/9)*12</f>
        <v>1461424.2799999998</v>
      </c>
      <c r="F11" s="15"/>
      <c r="G11" s="15">
        <f>(+G8*0.2+(N21+N22)*0.2)*1.2</f>
        <v>621216</v>
      </c>
      <c r="H11" s="15"/>
      <c r="I11" s="16">
        <f t="shared" si="0"/>
        <v>0.14459940073954364</v>
      </c>
      <c r="K11" s="7" t="s">
        <v>15</v>
      </c>
      <c r="L11" s="19">
        <f>(E12+E13+E14+E15+E16+E17+E18+E19+E20+E21+E22)/E29</f>
        <v>47533.855280898868</v>
      </c>
      <c r="M11" s="8">
        <f>M28</f>
        <v>16</v>
      </c>
      <c r="N11" s="18">
        <f>L11*M11</f>
        <v>760541.68449438189</v>
      </c>
      <c r="O11" s="15">
        <f t="shared" si="1"/>
        <v>38826</v>
      </c>
      <c r="P11" s="124"/>
      <c r="Q11" s="124"/>
      <c r="R11" s="124"/>
    </row>
    <row r="12" spans="1:47" x14ac:dyDescent="0.2">
      <c r="A12" s="13" t="s">
        <v>16</v>
      </c>
      <c r="B12" s="14" t="s">
        <v>17</v>
      </c>
      <c r="C12" s="15">
        <f>'[23]Executive Orig'!C12+[23]Trading!C12+[23]Origination!C12+'[23]Mid Market'!C12+[23]Services!C12+[23]Fundamentals!C12</f>
        <v>658117.68000000005</v>
      </c>
      <c r="E12" s="20">
        <f t="shared" ref="E12:E22" si="2">((C12/9)*12)*1.2</f>
        <v>1052988.2880000002</v>
      </c>
      <c r="F12" s="15"/>
      <c r="G12" s="21">
        <f>(+(100*12*16)+(500*12*11)+((10000/9)*4)+30000+25000+25000)*1.2+50000</f>
        <v>253573.33333333331</v>
      </c>
      <c r="H12" s="15"/>
      <c r="I12" s="16">
        <f t="shared" si="0"/>
        <v>5.9023837189525925E-2</v>
      </c>
      <c r="K12" s="7"/>
      <c r="L12" s="8"/>
      <c r="M12" s="8"/>
      <c r="N12" s="9"/>
      <c r="O12" s="15">
        <f t="shared" si="1"/>
        <v>15848.333333333332</v>
      </c>
      <c r="P12" s="124"/>
      <c r="Q12" s="124"/>
      <c r="R12" s="124"/>
    </row>
    <row r="13" spans="1:47" ht="13.5" thickBot="1" x14ac:dyDescent="0.25">
      <c r="A13" s="13" t="s">
        <v>18</v>
      </c>
      <c r="B13" s="14" t="s">
        <v>19</v>
      </c>
      <c r="C13" s="15">
        <f>'[23]Executive Orig'!C13+[23]Trading!C13+[23]Origination!C13+'[23]Mid Market'!C13+[23]Services!C13+[23]Fundamentals!C13</f>
        <v>719773.79999999993</v>
      </c>
      <c r="E13" s="20">
        <f t="shared" si="2"/>
        <v>1151638.0799999998</v>
      </c>
      <c r="F13" s="15"/>
      <c r="G13" s="21">
        <f>(+(3*1100*11)+(2*1100*5)+(8*1100*11)+(5*1100*5)+(16*300*6))*1.2</f>
        <v>240480</v>
      </c>
      <c r="H13" s="15"/>
      <c r="I13" s="16">
        <f t="shared" si="0"/>
        <v>5.5976124069317998E-2</v>
      </c>
      <c r="K13" s="22" t="s">
        <v>20</v>
      </c>
      <c r="L13" s="23"/>
      <c r="M13" s="23"/>
      <c r="N13" s="24">
        <f>N8+N11</f>
        <v>3348941.6844943818</v>
      </c>
      <c r="O13" s="15">
        <f t="shared" si="1"/>
        <v>15030</v>
      </c>
      <c r="P13" s="124"/>
      <c r="Q13" s="124"/>
      <c r="R13" s="124"/>
    </row>
    <row r="14" spans="1:47" x14ac:dyDescent="0.2">
      <c r="A14" s="13" t="s">
        <v>21</v>
      </c>
      <c r="B14" s="14" t="s">
        <v>22</v>
      </c>
      <c r="C14" s="15">
        <f>'[23]Executive Orig'!C14+[23]Trading!C14+[23]Origination!C14+'[23]Mid Market'!C14+[23]Services!C14+[23]Fundamentals!C14-C32</f>
        <v>0.23999999975785613</v>
      </c>
      <c r="E14" s="20">
        <f t="shared" si="2"/>
        <v>0.38399999961256975</v>
      </c>
      <c r="F14" s="15"/>
      <c r="G14" s="21">
        <f>(120000+40000)*1.2</f>
        <v>192000</v>
      </c>
      <c r="H14" s="15"/>
      <c r="I14" s="16">
        <f t="shared" si="0"/>
        <v>4.4691516223008383E-2</v>
      </c>
      <c r="O14" s="15">
        <f t="shared" si="1"/>
        <v>12000</v>
      </c>
      <c r="P14" s="124"/>
      <c r="Q14" s="124"/>
      <c r="R14" s="124"/>
    </row>
    <row r="15" spans="1:47" x14ac:dyDescent="0.2">
      <c r="A15" s="13" t="s">
        <v>23</v>
      </c>
      <c r="B15" s="14" t="s">
        <v>24</v>
      </c>
      <c r="C15" s="15">
        <f>'[23]Executive Orig'!C15+[23]Trading!C15+[23]Origination!C15+'[23]Mid Market'!C15+[23]Services!C15+[23]Fundamentals!C15</f>
        <v>128890.14</v>
      </c>
      <c r="E15" s="20">
        <f t="shared" si="2"/>
        <v>206224.22400000002</v>
      </c>
      <c r="F15" s="15"/>
      <c r="G15" s="21">
        <v>55296</v>
      </c>
      <c r="H15" s="15"/>
      <c r="I15" s="16">
        <f t="shared" si="0"/>
        <v>1.2871156672226415E-2</v>
      </c>
      <c r="O15" s="15">
        <f t="shared" si="1"/>
        <v>3456</v>
      </c>
      <c r="P15" s="124"/>
      <c r="Q15" s="124"/>
      <c r="R15" s="124"/>
    </row>
    <row r="16" spans="1:47" x14ac:dyDescent="0.2">
      <c r="A16" s="13" t="s">
        <v>25</v>
      </c>
      <c r="B16" s="14" t="s">
        <v>26</v>
      </c>
      <c r="C16" s="15">
        <f>'[23]Executive Orig'!C16+[23]Trading!C16+[23]Origination!C16+'[23]Mid Market'!C16+[23]Services!C16+[23]Fundamentals!C16</f>
        <v>0</v>
      </c>
      <c r="E16" s="20">
        <f t="shared" si="2"/>
        <v>0</v>
      </c>
      <c r="F16" s="15"/>
      <c r="G16" s="21">
        <v>24000</v>
      </c>
      <c r="H16" s="15"/>
      <c r="I16" s="16">
        <f t="shared" si="0"/>
        <v>5.5864395278760479E-3</v>
      </c>
      <c r="K16" t="s">
        <v>27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1500</v>
      </c>
      <c r="P16" s="124"/>
      <c r="Q16" s="124"/>
      <c r="R16" s="124"/>
    </row>
    <row r="17" spans="1:18" x14ac:dyDescent="0.2">
      <c r="A17" s="13" t="s">
        <v>28</v>
      </c>
      <c r="B17" s="14" t="s">
        <v>29</v>
      </c>
      <c r="C17" s="15">
        <f>'[23]Executive Orig'!C17+[23]Trading!C17+[23]Origination!C17+'[23]Mid Market'!C17+[23]Services!C17+[23]Fundamentals!C17</f>
        <v>11300</v>
      </c>
      <c r="E17" s="20">
        <f t="shared" si="2"/>
        <v>18080</v>
      </c>
      <c r="F17" s="15"/>
      <c r="G17" s="21">
        <v>7312.8</v>
      </c>
      <c r="H17" s="15"/>
      <c r="I17" s="16">
        <f t="shared" si="0"/>
        <v>1.7021881241438318E-3</v>
      </c>
      <c r="K17" t="s">
        <v>30</v>
      </c>
      <c r="L17" s="25">
        <v>52800</v>
      </c>
      <c r="M17">
        <v>0</v>
      </c>
      <c r="N17" s="25">
        <f t="shared" si="3"/>
        <v>0</v>
      </c>
      <c r="O17" s="15">
        <f t="shared" si="1"/>
        <v>457.05</v>
      </c>
      <c r="P17" s="124"/>
      <c r="Q17" s="124"/>
      <c r="R17" s="124"/>
    </row>
    <row r="18" spans="1:18" x14ac:dyDescent="0.2">
      <c r="A18" s="13" t="s">
        <v>31</v>
      </c>
      <c r="B18" s="14" t="s">
        <v>32</v>
      </c>
      <c r="C18" s="15">
        <f>'[23]Executive Orig'!C18+[23]Trading!C18+[23]Origination!C18+'[23]Mid Market'!C18+[23]Services!C18+[23]Fundamentals!C18</f>
        <v>327447.74000000005</v>
      </c>
      <c r="E18" s="20">
        <f t="shared" si="2"/>
        <v>523916.38400000002</v>
      </c>
      <c r="F18" s="15"/>
      <c r="G18" s="21">
        <f>(+(75*12*16)+(3000*12)+(3000*12)+(500*12))*1.2</f>
        <v>110880</v>
      </c>
      <c r="H18" s="15"/>
      <c r="I18" s="16">
        <f t="shared" si="0"/>
        <v>2.5809350618787343E-2</v>
      </c>
      <c r="K18" t="s">
        <v>33</v>
      </c>
      <c r="L18" s="25">
        <v>54000</v>
      </c>
      <c r="M18">
        <v>0</v>
      </c>
      <c r="N18" s="25">
        <f t="shared" si="3"/>
        <v>0</v>
      </c>
      <c r="O18" s="15">
        <f t="shared" si="1"/>
        <v>6930</v>
      </c>
      <c r="P18" s="124"/>
      <c r="Q18" s="124"/>
      <c r="R18" s="124"/>
    </row>
    <row r="19" spans="1:18" x14ac:dyDescent="0.2">
      <c r="A19" s="13" t="s">
        <v>34</v>
      </c>
      <c r="B19" s="14" t="s">
        <v>35</v>
      </c>
      <c r="C19" s="15">
        <f>'[23]Executive Orig'!C19+[23]Trading!C19+[23]Origination!C19+'[23]Mid Market'!C19+[23]Services!C19+[23]Fundamentals!C19</f>
        <v>155845.37</v>
      </c>
      <c r="E19" s="20">
        <f t="shared" si="2"/>
        <v>249352.59199999998</v>
      </c>
      <c r="F19" s="15"/>
      <c r="G19" s="21">
        <f>((82000/15*11)+(22000/9*5))*1.2</f>
        <v>86826.666666666672</v>
      </c>
      <c r="H19" s="15"/>
      <c r="I19" s="16">
        <f t="shared" si="0"/>
        <v>2.0210496780849348E-2</v>
      </c>
      <c r="K19" t="s">
        <v>36</v>
      </c>
      <c r="L19" s="25">
        <v>63000</v>
      </c>
      <c r="M19">
        <f>5</f>
        <v>5</v>
      </c>
      <c r="N19" s="25">
        <f t="shared" si="3"/>
        <v>315000</v>
      </c>
      <c r="O19" s="15">
        <f t="shared" si="1"/>
        <v>5426.666666666667</v>
      </c>
      <c r="P19" s="124"/>
      <c r="Q19" s="124"/>
      <c r="R19" s="124"/>
    </row>
    <row r="20" spans="1:18" x14ac:dyDescent="0.2">
      <c r="A20" s="13" t="s">
        <v>37</v>
      </c>
      <c r="B20" s="14" t="s">
        <v>38</v>
      </c>
      <c r="C20" s="15">
        <f>'[23]Executive Orig'!C20+[23]Trading!C20+[23]Origination!C20+'[23]Mid Market'!C20+[23]Services!C20+[23]Fundamentals!C20</f>
        <v>116.15</v>
      </c>
      <c r="E20" s="20">
        <f t="shared" si="2"/>
        <v>185.84</v>
      </c>
      <c r="F20" s="15"/>
      <c r="G20" s="21">
        <v>0</v>
      </c>
      <c r="H20" s="15"/>
      <c r="I20" s="16">
        <f t="shared" si="0"/>
        <v>0</v>
      </c>
      <c r="K20" t="s">
        <v>39</v>
      </c>
      <c r="L20" s="25">
        <v>78000</v>
      </c>
      <c r="M20">
        <f>1</f>
        <v>1</v>
      </c>
      <c r="N20" s="25">
        <f t="shared" si="3"/>
        <v>78000</v>
      </c>
      <c r="O20" s="15">
        <f t="shared" si="1"/>
        <v>0</v>
      </c>
      <c r="P20" s="124"/>
      <c r="Q20" s="124"/>
      <c r="R20" s="124"/>
    </row>
    <row r="21" spans="1:18" x14ac:dyDescent="0.2">
      <c r="A21" s="13" t="s">
        <v>40</v>
      </c>
      <c r="B21" s="14" t="s">
        <v>41</v>
      </c>
      <c r="C21" s="15">
        <f>'[23]Executive Orig'!C21+[23]Trading!C21+[23]Origination!C21+'[23]Mid Market'!C21+[23]Services!C21+[23]Fundamentals!C21</f>
        <v>566869.93000000017</v>
      </c>
      <c r="E21" s="20">
        <f t="shared" si="2"/>
        <v>906991.88800000027</v>
      </c>
      <c r="F21" s="15"/>
      <c r="G21" s="21">
        <v>90000</v>
      </c>
      <c r="H21" s="15"/>
      <c r="I21" s="16">
        <f t="shared" si="0"/>
        <v>2.094914822953518E-2</v>
      </c>
      <c r="K21" t="s">
        <v>42</v>
      </c>
      <c r="L21" s="25">
        <v>66000</v>
      </c>
      <c r="M21">
        <v>0</v>
      </c>
      <c r="N21" s="25">
        <f t="shared" si="3"/>
        <v>0</v>
      </c>
      <c r="O21" s="15">
        <f t="shared" si="1"/>
        <v>5625</v>
      </c>
      <c r="P21" s="124"/>
      <c r="Q21" s="124"/>
      <c r="R21" s="124"/>
    </row>
    <row r="22" spans="1:18" x14ac:dyDescent="0.2">
      <c r="A22" s="13" t="s">
        <v>43</v>
      </c>
      <c r="B22" s="14" t="s">
        <v>44</v>
      </c>
      <c r="C22" s="15">
        <f>'[23]Executive Orig'!C22+[23]Trading!C22+[23]Origination!C22+'[23]Mid Market'!C22+[23]Services!C22+[23]Fundamentals!C22</f>
        <v>75709.649999999965</v>
      </c>
      <c r="E22" s="20">
        <f t="shared" si="2"/>
        <v>121135.43999999994</v>
      </c>
      <c r="F22" s="15"/>
      <c r="G22" s="21">
        <f>(+E22/$E$29*$M$11)*1.2</f>
        <v>26132.589303370776</v>
      </c>
      <c r="H22" s="15"/>
      <c r="I22" s="16">
        <f t="shared" si="0"/>
        <v>6.0828387437542207E-3</v>
      </c>
      <c r="K22" t="s">
        <v>45</v>
      </c>
      <c r="L22" s="25">
        <v>97200</v>
      </c>
      <c r="M22">
        <v>0</v>
      </c>
      <c r="N22" s="25">
        <f t="shared" si="3"/>
        <v>0</v>
      </c>
      <c r="O22" s="15">
        <f t="shared" si="1"/>
        <v>1633.2868314606735</v>
      </c>
      <c r="P22" s="124"/>
      <c r="Q22" s="124"/>
      <c r="R22" s="124"/>
    </row>
    <row r="23" spans="1:18" x14ac:dyDescent="0.2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4296117.3893033704</v>
      </c>
      <c r="H23" s="29"/>
      <c r="I23" s="30">
        <f>SUM(I8:I22)</f>
        <v>1</v>
      </c>
      <c r="K23" t="s">
        <v>48</v>
      </c>
      <c r="L23" s="25">
        <v>120000</v>
      </c>
      <c r="M23">
        <v>0</v>
      </c>
      <c r="N23" s="25">
        <f t="shared" si="3"/>
        <v>0</v>
      </c>
      <c r="O23" s="28">
        <f>SUM(O8:O22)</f>
        <v>268507.33683146065</v>
      </c>
      <c r="P23" s="124"/>
      <c r="Q23" s="124"/>
      <c r="R23" s="124"/>
    </row>
    <row r="24" spans="1:18" x14ac:dyDescent="0.2">
      <c r="K24" t="s">
        <v>49</v>
      </c>
      <c r="L24" s="25">
        <v>156000</v>
      </c>
      <c r="M24">
        <v>7</v>
      </c>
      <c r="N24" s="25">
        <f t="shared" si="3"/>
        <v>1092000</v>
      </c>
      <c r="P24" s="124"/>
      <c r="Q24" s="124"/>
      <c r="R24" s="124"/>
    </row>
    <row r="25" spans="1:18" x14ac:dyDescent="0.2">
      <c r="B25" s="27" t="s">
        <v>50</v>
      </c>
      <c r="C25" s="15"/>
      <c r="E25" s="31">
        <f>'[23]Executive Orig'!E25+[23]Trading!E25+[23]Origination!E25+'[23]Mid Market'!E25+[23]Services!E25+[23]Fundamentals!E25</f>
        <v>74</v>
      </c>
      <c r="F25" s="32"/>
      <c r="G25" s="31">
        <f>SUM(M16:M20,M23:M27)</f>
        <v>16</v>
      </c>
      <c r="H25" s="32"/>
      <c r="K25" t="s">
        <v>51</v>
      </c>
      <c r="L25" s="25">
        <v>180000</v>
      </c>
      <c r="M25">
        <v>0</v>
      </c>
      <c r="N25" s="25">
        <f t="shared" si="3"/>
        <v>0</v>
      </c>
      <c r="O25" s="31">
        <f>SUM(U16:U20,U23:U27)</f>
        <v>0</v>
      </c>
      <c r="P25" s="124"/>
      <c r="Q25" s="124"/>
      <c r="R25" s="124"/>
    </row>
    <row r="26" spans="1:18" x14ac:dyDescent="0.2">
      <c r="C26" s="15"/>
      <c r="E26" s="15"/>
      <c r="F26" s="15"/>
      <c r="G26" s="15"/>
      <c r="H26" s="15"/>
      <c r="K26" t="s">
        <v>52</v>
      </c>
      <c r="L26" s="25">
        <v>216000</v>
      </c>
      <c r="M26">
        <v>2</v>
      </c>
      <c r="N26" s="25">
        <f t="shared" si="3"/>
        <v>432000</v>
      </c>
      <c r="O26" s="15"/>
    </row>
    <row r="27" spans="1:18" x14ac:dyDescent="0.2">
      <c r="B27" s="27" t="s">
        <v>53</v>
      </c>
      <c r="C27" s="15"/>
      <c r="E27" s="31">
        <f>'[23]Executive Orig'!E27+[23]Trading!E27+[23]Origination!E27+'[23]Mid Market'!E27+[23]Services!E27+[23]Fundamentals!E27</f>
        <v>15</v>
      </c>
      <c r="F27" s="32"/>
      <c r="G27" s="31">
        <f>+M21+M22</f>
        <v>0</v>
      </c>
      <c r="H27" s="32"/>
      <c r="K27" t="s">
        <v>54</v>
      </c>
      <c r="L27" s="25">
        <v>240000</v>
      </c>
      <c r="M27">
        <v>1</v>
      </c>
      <c r="N27" s="25">
        <f t="shared" si="3"/>
        <v>240000</v>
      </c>
      <c r="O27" s="31">
        <f>+U21+U22</f>
        <v>0</v>
      </c>
    </row>
    <row r="28" spans="1:18" x14ac:dyDescent="0.2">
      <c r="M28">
        <f>SUM(M16:M27)</f>
        <v>16</v>
      </c>
      <c r="N28" s="25">
        <f>SUM(N16:N27)*1.2</f>
        <v>2588400</v>
      </c>
    </row>
    <row r="29" spans="1:18" x14ac:dyDescent="0.2">
      <c r="B29" s="27" t="s">
        <v>55</v>
      </c>
      <c r="C29" s="15"/>
      <c r="E29" s="31">
        <f>+E27+E25</f>
        <v>89</v>
      </c>
      <c r="F29" s="32"/>
      <c r="G29" s="31">
        <f>+G27+G25</f>
        <v>16</v>
      </c>
      <c r="H29" s="32"/>
      <c r="I29" s="25"/>
      <c r="O29" s="31">
        <v>1</v>
      </c>
    </row>
    <row r="31" spans="1:18" x14ac:dyDescent="0.2">
      <c r="J31" s="33" t="s">
        <v>56</v>
      </c>
      <c r="K31" s="25"/>
      <c r="L31" s="25"/>
      <c r="M31" s="25"/>
    </row>
    <row r="32" spans="1:18" hidden="1" x14ac:dyDescent="0.2">
      <c r="B32" s="14" t="s">
        <v>22</v>
      </c>
      <c r="C32" s="15">
        <v>677322</v>
      </c>
      <c r="K32" s="25"/>
      <c r="L32" s="25"/>
      <c r="M32" s="25"/>
    </row>
    <row r="33" spans="10:14" x14ac:dyDescent="0.2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16</v>
      </c>
      <c r="N34" s="37">
        <f>+L34*M34</f>
        <v>760541.68449438189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AU34"/>
  <sheetViews>
    <sheetView zoomScaleNormal="100" workbookViewId="0">
      <selection activeCell="R144" sqref="R144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16" width="20.28515625" hidden="1" customWidth="1"/>
    <col min="17" max="17" width="20.85546875" hidden="1" customWidth="1"/>
    <col min="18" max="18" width="0" hidden="1" customWidth="1"/>
  </cols>
  <sheetData>
    <row r="1" spans="1:47" ht="18" x14ac:dyDescent="0.25">
      <c r="B1" s="140" t="str">
        <f>'[22]Team Report'!B1</f>
        <v>Enron North America</v>
      </c>
      <c r="C1" s="140"/>
      <c r="D1" s="142"/>
      <c r="E1" s="142"/>
      <c r="F1" s="142"/>
      <c r="G1" s="142"/>
      <c r="H1" s="142"/>
      <c r="I1" s="14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40" t="s">
        <v>232</v>
      </c>
      <c r="C2" s="140"/>
      <c r="D2" s="142"/>
      <c r="E2" s="142"/>
      <c r="F2" s="142"/>
      <c r="G2" s="142"/>
      <c r="H2" s="142"/>
      <c r="I2" s="14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43" t="s">
        <v>0</v>
      </c>
      <c r="C3" s="143"/>
      <c r="D3" s="144"/>
      <c r="E3" s="144"/>
      <c r="F3" s="144"/>
      <c r="G3" s="144"/>
      <c r="H3" s="144"/>
      <c r="I3" s="14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1</v>
      </c>
      <c r="M5" s="8" t="s">
        <v>2</v>
      </c>
      <c r="N5" s="9" t="s">
        <v>3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47" x14ac:dyDescent="0.2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47" x14ac:dyDescent="0.2">
      <c r="A8" s="13" t="s">
        <v>9</v>
      </c>
      <c r="B8" s="14" t="s">
        <v>10</v>
      </c>
      <c r="C8" s="15">
        <f>'[23]Executive Orig'!C8+[23]Trading!C8+[23]Origination!C8+'[23]Mid Market'!C8+[23]Services!C8+[23]Fundamentals!C8</f>
        <v>4789958.9899999993</v>
      </c>
      <c r="E8" s="15">
        <f>(C8/9)*12</f>
        <v>6386611.9866666663</v>
      </c>
      <c r="F8" s="15"/>
      <c r="G8" s="15">
        <f>(SUM(N16:N20,N23:N27))*1.2</f>
        <v>2275200</v>
      </c>
      <c r="H8" s="15"/>
      <c r="I8" s="16">
        <f t="shared" ref="I8:I22" si="0">+G8/$G$23</f>
        <v>0.55829671032197115</v>
      </c>
      <c r="K8" s="7" t="s">
        <v>10</v>
      </c>
      <c r="L8" s="17">
        <v>0</v>
      </c>
      <c r="M8" s="8">
        <v>64</v>
      </c>
      <c r="N8" s="18">
        <f>N28</f>
        <v>2275200</v>
      </c>
      <c r="O8" s="15">
        <f t="shared" ref="O8:O22" si="1">+G8/$G$29*$O$29</f>
        <v>189600</v>
      </c>
    </row>
    <row r="9" spans="1:47" hidden="1" x14ac:dyDescent="0.2">
      <c r="A9" s="13"/>
      <c r="B9" s="14" t="s">
        <v>11</v>
      </c>
      <c r="C9" s="15">
        <f>'[23]Executive Orig'!C9+[23]Trading!C9+[23]Origination!C9+'[23]Mid Market'!C9+[23]Services!C9+[23]Fundamentals!C9</f>
        <v>1464000</v>
      </c>
      <c r="E9" s="15">
        <f>+C9</f>
        <v>1464000</v>
      </c>
      <c r="F9" s="15"/>
      <c r="G9" s="15">
        <v>0</v>
      </c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12</v>
      </c>
      <c r="C10" s="15">
        <f>'[23]Executive Orig'!C10+[23]Trading!C10+[23]Origination!C10+'[23]Mid Market'!C10+[23]Services!C10+[23]Fundamentals!C10</f>
        <v>804567</v>
      </c>
      <c r="E10" s="15">
        <f>(C10/9)*12</f>
        <v>1072756</v>
      </c>
      <c r="F10" s="15"/>
      <c r="G10" s="15">
        <f>(+N21+N22)*1.2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  <c r="P10" s="124"/>
      <c r="Q10" s="124"/>
      <c r="R10" s="124"/>
    </row>
    <row r="11" spans="1:47" x14ac:dyDescent="0.2">
      <c r="A11" s="13" t="s">
        <v>13</v>
      </c>
      <c r="B11" s="14" t="s">
        <v>14</v>
      </c>
      <c r="C11" s="15">
        <f>'[23]Executive Orig'!C11+[23]Trading!C11+[23]Origination!C11+'[23]Mid Market'!C11+[23]Services!C11+[23]Fundamentals!C11</f>
        <v>1096068.21</v>
      </c>
      <c r="E11" s="15">
        <f>(C11/9)*12</f>
        <v>1461424.2799999998</v>
      </c>
      <c r="F11" s="15"/>
      <c r="G11" s="15">
        <f>(+G8*0.2+(N21+N22)*0.2)*1.2</f>
        <v>546048</v>
      </c>
      <c r="H11" s="15"/>
      <c r="I11" s="16">
        <f t="shared" si="0"/>
        <v>0.13399121047727305</v>
      </c>
      <c r="K11" s="7" t="s">
        <v>15</v>
      </c>
      <c r="L11" s="19">
        <f>(E12+E13+E14+E15+E16+E17+E18+E19+E20+E21+E22)/E29</f>
        <v>47533.855280898868</v>
      </c>
      <c r="M11" s="8">
        <f>M28</f>
        <v>12</v>
      </c>
      <c r="N11" s="18">
        <f>L11*M11</f>
        <v>570406.26337078644</v>
      </c>
      <c r="O11" s="15">
        <f t="shared" si="1"/>
        <v>45504</v>
      </c>
      <c r="P11" s="124"/>
      <c r="Q11" s="124"/>
      <c r="R11" s="124"/>
    </row>
    <row r="12" spans="1:47" x14ac:dyDescent="0.2">
      <c r="A12" s="13" t="s">
        <v>16</v>
      </c>
      <c r="B12" s="14" t="s">
        <v>17</v>
      </c>
      <c r="C12" s="15">
        <f>'[23]Executive Orig'!C12+[23]Trading!C12+[23]Origination!C12+'[23]Mid Market'!C12+[23]Services!C12+[23]Fundamentals!C12</f>
        <v>658117.68000000005</v>
      </c>
      <c r="E12" s="20">
        <f t="shared" ref="E12:E22" si="2">((C12/9)*12)*1.2</f>
        <v>1052988.2880000002</v>
      </c>
      <c r="F12" s="15"/>
      <c r="G12" s="21">
        <f>(+E12/$E$29*$M$11)*1.2</f>
        <v>170371.13873258431</v>
      </c>
      <c r="H12" s="15"/>
      <c r="I12" s="16">
        <f t="shared" si="0"/>
        <v>4.1806279135113388E-2</v>
      </c>
      <c r="K12" s="7"/>
      <c r="L12" s="8"/>
      <c r="M12" s="8"/>
      <c r="N12" s="9"/>
      <c r="O12" s="15">
        <f t="shared" si="1"/>
        <v>14197.594894382026</v>
      </c>
      <c r="P12" s="124"/>
      <c r="Q12" s="124"/>
      <c r="R12" s="124"/>
    </row>
    <row r="13" spans="1:47" ht="13.5" thickBot="1" x14ac:dyDescent="0.25">
      <c r="A13" s="13" t="s">
        <v>18</v>
      </c>
      <c r="B13" s="14" t="s">
        <v>19</v>
      </c>
      <c r="C13" s="15">
        <f>'[23]Executive Orig'!C13+[23]Trading!C13+[23]Origination!C13+'[23]Mid Market'!C13+[23]Services!C13+[23]Fundamentals!C13</f>
        <v>719773.79999999993</v>
      </c>
      <c r="E13" s="20">
        <f t="shared" si="2"/>
        <v>1151638.0799999998</v>
      </c>
      <c r="F13" s="15"/>
      <c r="G13" s="21">
        <f>(+(4000*12)*12)*1.2</f>
        <v>691200</v>
      </c>
      <c r="H13" s="15"/>
      <c r="I13" s="16">
        <f t="shared" si="0"/>
        <v>0.1696091271864216</v>
      </c>
      <c r="K13" s="22" t="s">
        <v>20</v>
      </c>
      <c r="L13" s="23"/>
      <c r="M13" s="23"/>
      <c r="N13" s="24">
        <f>N8+N11</f>
        <v>2845606.2633707863</v>
      </c>
      <c r="O13" s="15">
        <f t="shared" si="1"/>
        <v>57600</v>
      </c>
      <c r="P13" s="124"/>
      <c r="Q13" s="124"/>
      <c r="R13" s="124"/>
    </row>
    <row r="14" spans="1:47" x14ac:dyDescent="0.2">
      <c r="A14" s="13" t="s">
        <v>21</v>
      </c>
      <c r="B14" s="14" t="s">
        <v>22</v>
      </c>
      <c r="C14" s="15">
        <f>'[23]Executive Orig'!C14+[23]Trading!C14+[23]Origination!C14+'[23]Mid Market'!C14+[23]Services!C14+[23]Fundamentals!C14-C32</f>
        <v>0.23999999975785613</v>
      </c>
      <c r="E14" s="20">
        <f t="shared" si="2"/>
        <v>0.38399999961256975</v>
      </c>
      <c r="F14" s="15"/>
      <c r="G14" s="21">
        <v>60000</v>
      </c>
      <c r="H14" s="15"/>
      <c r="I14" s="16">
        <f t="shared" si="0"/>
        <v>1.4723014512710209E-2</v>
      </c>
      <c r="O14" s="15">
        <f t="shared" si="1"/>
        <v>5000</v>
      </c>
      <c r="P14" s="124"/>
      <c r="Q14" s="124"/>
      <c r="R14" s="124"/>
    </row>
    <row r="15" spans="1:47" x14ac:dyDescent="0.2">
      <c r="A15" s="13" t="s">
        <v>23</v>
      </c>
      <c r="B15" s="14" t="s">
        <v>24</v>
      </c>
      <c r="C15" s="15">
        <f>'[23]Executive Orig'!C15+[23]Trading!C15+[23]Origination!C15+'[23]Mid Market'!C15+[23]Services!C15+[23]Fundamentals!C15</f>
        <v>128890.14</v>
      </c>
      <c r="E15" s="20">
        <f t="shared" si="2"/>
        <v>206224.22400000002</v>
      </c>
      <c r="F15" s="15"/>
      <c r="G15" s="21">
        <v>38016</v>
      </c>
      <c r="H15" s="15"/>
      <c r="I15" s="16">
        <f t="shared" si="0"/>
        <v>9.3285019952531884E-3</v>
      </c>
      <c r="O15" s="15">
        <f t="shared" si="1"/>
        <v>3168</v>
      </c>
      <c r="P15" s="124"/>
      <c r="Q15" s="124"/>
      <c r="R15" s="124"/>
    </row>
    <row r="16" spans="1:47" x14ac:dyDescent="0.2">
      <c r="A16" s="13" t="s">
        <v>25</v>
      </c>
      <c r="B16" s="14" t="s">
        <v>26</v>
      </c>
      <c r="C16" s="15">
        <f>'[23]Executive Orig'!C16+[23]Trading!C16+[23]Origination!C16+'[23]Mid Market'!C16+[23]Services!C16+[23]Fundamentals!C16</f>
        <v>0</v>
      </c>
      <c r="E16" s="20">
        <f t="shared" si="2"/>
        <v>0</v>
      </c>
      <c r="F16" s="15"/>
      <c r="G16" s="21">
        <f t="shared" ref="G16:G22" si="3">(+E16/$E$29*$M$11)*1.2</f>
        <v>0</v>
      </c>
      <c r="H16" s="15"/>
      <c r="I16" s="16">
        <f t="shared" si="0"/>
        <v>0</v>
      </c>
      <c r="K16" t="s">
        <v>27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  <c r="P16" s="124"/>
      <c r="Q16" s="124"/>
      <c r="R16" s="124"/>
    </row>
    <row r="17" spans="1:18" x14ac:dyDescent="0.2">
      <c r="A17" s="13" t="s">
        <v>28</v>
      </c>
      <c r="B17" s="14" t="s">
        <v>29</v>
      </c>
      <c r="C17" s="15">
        <f>'[23]Executive Orig'!C17+[23]Trading!C17+[23]Origination!C17+'[23]Mid Market'!C17+[23]Services!C17+[23]Fundamentals!C17</f>
        <v>11300</v>
      </c>
      <c r="E17" s="20">
        <f t="shared" si="2"/>
        <v>18080</v>
      </c>
      <c r="F17" s="15"/>
      <c r="G17" s="21">
        <f t="shared" si="3"/>
        <v>2925.3033707865166</v>
      </c>
      <c r="H17" s="15"/>
      <c r="I17" s="16">
        <f t="shared" si="0"/>
        <v>7.1782139970283289E-4</v>
      </c>
      <c r="K17" t="s">
        <v>30</v>
      </c>
      <c r="L17" s="25">
        <v>52800</v>
      </c>
      <c r="M17">
        <v>0</v>
      </c>
      <c r="N17" s="25">
        <f t="shared" si="4"/>
        <v>0</v>
      </c>
      <c r="O17" s="15">
        <f t="shared" si="1"/>
        <v>243.77528089887639</v>
      </c>
      <c r="P17" s="124"/>
      <c r="Q17" s="124"/>
      <c r="R17" s="124"/>
    </row>
    <row r="18" spans="1:18" x14ac:dyDescent="0.2">
      <c r="A18" s="13" t="s">
        <v>31</v>
      </c>
      <c r="B18" s="14" t="s">
        <v>32</v>
      </c>
      <c r="C18" s="15">
        <f>'[23]Executive Orig'!C18+[23]Trading!C18+[23]Origination!C18+'[23]Mid Market'!C18+[23]Services!C18+[23]Fundamentals!C18</f>
        <v>327447.74000000005</v>
      </c>
      <c r="E18" s="20">
        <f t="shared" si="2"/>
        <v>523916.38400000002</v>
      </c>
      <c r="F18" s="15"/>
      <c r="G18" s="21">
        <f t="shared" si="3"/>
        <v>84768.493591011225</v>
      </c>
      <c r="H18" s="15"/>
      <c r="I18" s="16">
        <f t="shared" si="0"/>
        <v>2.0800796022684007E-2</v>
      </c>
      <c r="K18" t="s">
        <v>33</v>
      </c>
      <c r="L18" s="25">
        <v>54000</v>
      </c>
      <c r="M18">
        <v>0</v>
      </c>
      <c r="N18" s="25">
        <f t="shared" si="4"/>
        <v>0</v>
      </c>
      <c r="O18" s="15">
        <f t="shared" si="1"/>
        <v>7064.0411325842688</v>
      </c>
      <c r="P18" s="124"/>
      <c r="Q18" s="124"/>
      <c r="R18" s="124"/>
    </row>
    <row r="19" spans="1:18" x14ac:dyDescent="0.2">
      <c r="A19" s="13" t="s">
        <v>34</v>
      </c>
      <c r="B19" s="14" t="s">
        <v>35</v>
      </c>
      <c r="C19" s="15">
        <f>'[23]Executive Orig'!C19+[23]Trading!C19+[23]Origination!C19+'[23]Mid Market'!C19+[23]Services!C19+[23]Fundamentals!C19</f>
        <v>155845.37</v>
      </c>
      <c r="E19" s="20">
        <f t="shared" si="2"/>
        <v>249352.59199999998</v>
      </c>
      <c r="F19" s="15"/>
      <c r="G19" s="21">
        <f t="shared" si="3"/>
        <v>40344.689042696627</v>
      </c>
      <c r="H19" s="15"/>
      <c r="I19" s="16">
        <f t="shared" si="0"/>
        <v>9.8999240381067166E-3</v>
      </c>
      <c r="K19" t="s">
        <v>36</v>
      </c>
      <c r="L19" s="25">
        <v>63000</v>
      </c>
      <c r="M19">
        <v>0</v>
      </c>
      <c r="N19" s="25">
        <f t="shared" si="4"/>
        <v>0</v>
      </c>
      <c r="O19" s="15">
        <f t="shared" si="1"/>
        <v>3362.057420224719</v>
      </c>
      <c r="P19" s="124"/>
      <c r="Q19" s="124"/>
      <c r="R19" s="124"/>
    </row>
    <row r="20" spans="1:18" x14ac:dyDescent="0.2">
      <c r="A20" s="13" t="s">
        <v>37</v>
      </c>
      <c r="B20" s="14" t="s">
        <v>38</v>
      </c>
      <c r="C20" s="15">
        <f>'[23]Executive Orig'!C20+[23]Trading!C20+[23]Origination!C20+'[23]Mid Market'!C20+[23]Services!C20+[23]Fundamentals!C20</f>
        <v>116.15</v>
      </c>
      <c r="E20" s="20">
        <f t="shared" si="2"/>
        <v>185.84</v>
      </c>
      <c r="F20" s="15"/>
      <c r="G20" s="21">
        <f t="shared" si="3"/>
        <v>30.068494382022472</v>
      </c>
      <c r="H20" s="15"/>
      <c r="I20" s="16">
        <f t="shared" si="0"/>
        <v>7.3783146526977039E-6</v>
      </c>
      <c r="K20" t="s">
        <v>39</v>
      </c>
      <c r="L20" s="25">
        <v>78000</v>
      </c>
      <c r="M20">
        <v>0</v>
      </c>
      <c r="N20" s="25">
        <f t="shared" si="4"/>
        <v>0</v>
      </c>
      <c r="O20" s="15">
        <f t="shared" si="1"/>
        <v>2.5057078651685392</v>
      </c>
      <c r="P20" s="124"/>
      <c r="Q20" s="124"/>
      <c r="R20" s="124"/>
    </row>
    <row r="21" spans="1:18" x14ac:dyDescent="0.2">
      <c r="A21" s="13" t="s">
        <v>40</v>
      </c>
      <c r="B21" s="14" t="s">
        <v>41</v>
      </c>
      <c r="C21" s="15">
        <f>'[23]Executive Orig'!C21+[23]Trading!C21+[23]Origination!C21+'[23]Mid Market'!C21+[23]Services!C21+[23]Fundamentals!C21</f>
        <v>566869.93000000017</v>
      </c>
      <c r="E21" s="20">
        <f t="shared" si="2"/>
        <v>906991.88800000027</v>
      </c>
      <c r="F21" s="15"/>
      <c r="G21" s="21">
        <f t="shared" si="3"/>
        <v>146749.24929438208</v>
      </c>
      <c r="H21" s="15"/>
      <c r="I21" s="16">
        <f t="shared" si="0"/>
        <v>3.6009855451508595E-2</v>
      </c>
      <c r="K21" t="s">
        <v>42</v>
      </c>
      <c r="L21" s="25">
        <v>66000</v>
      </c>
      <c r="M21">
        <v>0</v>
      </c>
      <c r="N21" s="25">
        <f t="shared" si="4"/>
        <v>0</v>
      </c>
      <c r="O21" s="15">
        <f t="shared" si="1"/>
        <v>12229.104107865174</v>
      </c>
      <c r="P21" s="124"/>
      <c r="Q21" s="124"/>
      <c r="R21" s="124"/>
    </row>
    <row r="22" spans="1:18" x14ac:dyDescent="0.2">
      <c r="A22" s="13" t="s">
        <v>43</v>
      </c>
      <c r="B22" s="14" t="s">
        <v>44</v>
      </c>
      <c r="C22" s="15">
        <f>'[23]Executive Orig'!C22+[23]Trading!C22+[23]Origination!C22+'[23]Mid Market'!C22+[23]Services!C22+[23]Fundamentals!C22</f>
        <v>75709.649999999965</v>
      </c>
      <c r="E22" s="20">
        <f t="shared" si="2"/>
        <v>121135.43999999994</v>
      </c>
      <c r="F22" s="15"/>
      <c r="G22" s="21">
        <f t="shared" si="3"/>
        <v>19599.44197752808</v>
      </c>
      <c r="H22" s="15"/>
      <c r="I22" s="16">
        <f t="shared" si="0"/>
        <v>4.809381144602793E-3</v>
      </c>
      <c r="K22" t="s">
        <v>45</v>
      </c>
      <c r="L22" s="25">
        <v>97200</v>
      </c>
      <c r="M22">
        <v>0</v>
      </c>
      <c r="N22" s="25">
        <f t="shared" si="4"/>
        <v>0</v>
      </c>
      <c r="O22" s="15">
        <f t="shared" si="1"/>
        <v>1633.2868314606733</v>
      </c>
    </row>
    <row r="23" spans="1:18" x14ac:dyDescent="0.2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4075252.3845033702</v>
      </c>
      <c r="H23" s="29"/>
      <c r="I23" s="30">
        <f>SUM(I8:I22)</f>
        <v>1</v>
      </c>
      <c r="K23" t="s">
        <v>48</v>
      </c>
      <c r="L23" s="25">
        <v>120000</v>
      </c>
      <c r="M23">
        <v>5</v>
      </c>
      <c r="N23" s="25">
        <f t="shared" si="4"/>
        <v>600000</v>
      </c>
      <c r="O23" s="28">
        <f>SUM(O8:O22)</f>
        <v>339604.36537528096</v>
      </c>
    </row>
    <row r="24" spans="1:18" x14ac:dyDescent="0.2">
      <c r="K24" t="s">
        <v>49</v>
      </c>
      <c r="L24" s="25">
        <v>156000</v>
      </c>
      <c r="M24">
        <v>4</v>
      </c>
      <c r="N24" s="25">
        <f t="shared" si="4"/>
        <v>624000</v>
      </c>
    </row>
    <row r="25" spans="1:18" x14ac:dyDescent="0.2">
      <c r="B25" s="27" t="s">
        <v>50</v>
      </c>
      <c r="C25" s="15"/>
      <c r="E25" s="31">
        <f>'[23]Executive Orig'!E25+[23]Trading!E25+[23]Origination!E25+'[23]Mid Market'!E25+[23]Services!E25+[23]Fundamentals!E25</f>
        <v>74</v>
      </c>
      <c r="F25" s="32"/>
      <c r="G25" s="31">
        <f>SUM(M16:M20,M23:M27)</f>
        <v>12</v>
      </c>
      <c r="H25" s="32"/>
      <c r="K25" t="s">
        <v>51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8" x14ac:dyDescent="0.2">
      <c r="C26" s="15"/>
      <c r="E26" s="15"/>
      <c r="F26" s="15"/>
      <c r="G26" s="15"/>
      <c r="H26" s="15"/>
      <c r="K26" t="s">
        <v>52</v>
      </c>
      <c r="L26" s="25">
        <v>216000</v>
      </c>
      <c r="M26">
        <v>2</v>
      </c>
      <c r="N26" s="25">
        <f t="shared" si="4"/>
        <v>432000</v>
      </c>
      <c r="O26" s="15"/>
    </row>
    <row r="27" spans="1:18" x14ac:dyDescent="0.2">
      <c r="B27" s="27" t="s">
        <v>53</v>
      </c>
      <c r="C27" s="15"/>
      <c r="E27" s="31">
        <f>'[23]Executive Orig'!E27+[23]Trading!E27+[23]Origination!E27+'[23]Mid Market'!E27+[23]Services!E27+[23]Fundamentals!E27</f>
        <v>15</v>
      </c>
      <c r="F27" s="32"/>
      <c r="G27" s="31">
        <f>+M21+M22</f>
        <v>0</v>
      </c>
      <c r="H27" s="32"/>
      <c r="K27" t="s">
        <v>54</v>
      </c>
      <c r="L27" s="25">
        <v>240000</v>
      </c>
      <c r="M27">
        <v>1</v>
      </c>
      <c r="N27" s="25">
        <f t="shared" si="4"/>
        <v>240000</v>
      </c>
      <c r="O27" s="31">
        <f>+U21+U22</f>
        <v>0</v>
      </c>
    </row>
    <row r="28" spans="1:18" x14ac:dyDescent="0.2">
      <c r="M28">
        <f>SUM(M16:M27)</f>
        <v>12</v>
      </c>
      <c r="N28" s="25">
        <f>SUM(N16:N27)*1.2</f>
        <v>2275200</v>
      </c>
    </row>
    <row r="29" spans="1:18" x14ac:dyDescent="0.2">
      <c r="B29" s="27" t="s">
        <v>55</v>
      </c>
      <c r="C29" s="15"/>
      <c r="E29" s="31">
        <f>+E27+E25</f>
        <v>89</v>
      </c>
      <c r="F29" s="32"/>
      <c r="G29" s="31">
        <f>+G27+G25</f>
        <v>12</v>
      </c>
      <c r="H29" s="32"/>
      <c r="I29" s="25"/>
      <c r="O29" s="31">
        <v>1</v>
      </c>
    </row>
    <row r="31" spans="1:18" x14ac:dyDescent="0.2">
      <c r="J31" s="33" t="s">
        <v>56</v>
      </c>
      <c r="K31" s="25"/>
      <c r="L31" s="25"/>
      <c r="M31" s="25"/>
    </row>
    <row r="32" spans="1:18" hidden="1" x14ac:dyDescent="0.2">
      <c r="B32" s="14" t="s">
        <v>22</v>
      </c>
      <c r="C32" s="15">
        <v>677322</v>
      </c>
      <c r="K32" s="25"/>
      <c r="L32" s="25"/>
      <c r="M32" s="25"/>
    </row>
    <row r="33" spans="10:14" x14ac:dyDescent="0.2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12</v>
      </c>
      <c r="N34" s="37">
        <f>+L34*M34</f>
        <v>570406.26337078644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scale="88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AQ49"/>
  <sheetViews>
    <sheetView topLeftCell="A2" zoomScaleNormal="100" workbookViewId="0">
      <selection activeCell="R144" sqref="R144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2" width="0" hidden="1" customWidth="1"/>
  </cols>
  <sheetData>
    <row r="1" spans="1:43" ht="18" x14ac:dyDescent="0.25">
      <c r="B1" s="140" t="str">
        <f>'[2]Team Report'!B1</f>
        <v>Enron North America</v>
      </c>
      <c r="C1" s="140"/>
      <c r="D1" s="140"/>
      <c r="E1" s="140"/>
      <c r="F1" s="140"/>
      <c r="G1" s="140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40" t="s">
        <v>235</v>
      </c>
      <c r="C2" s="140"/>
      <c r="D2" s="140"/>
      <c r="E2" s="140"/>
      <c r="F2" s="140"/>
      <c r="G2" s="140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41" t="s">
        <v>0</v>
      </c>
      <c r="C3" s="141"/>
      <c r="D3" s="141"/>
      <c r="E3" s="141"/>
      <c r="F3" s="141"/>
      <c r="G3" s="141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1</v>
      </c>
      <c r="J5" s="8" t="s">
        <v>2</v>
      </c>
      <c r="K5" s="9" t="s">
        <v>3</v>
      </c>
    </row>
    <row r="6" spans="1:43" x14ac:dyDescent="0.2">
      <c r="C6" s="10">
        <v>37135</v>
      </c>
      <c r="E6" s="44" t="s">
        <v>63</v>
      </c>
      <c r="G6" s="44" t="s">
        <v>63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5</v>
      </c>
      <c r="E7" s="12" t="s">
        <v>6</v>
      </c>
      <c r="G7" s="12" t="s">
        <v>7</v>
      </c>
      <c r="H7" s="7"/>
      <c r="I7" s="17"/>
      <c r="J7" s="8"/>
      <c r="K7" s="9"/>
      <c r="O7" s="12" t="s">
        <v>7</v>
      </c>
      <c r="AK7" s="12"/>
    </row>
    <row r="8" spans="1:43" x14ac:dyDescent="0.2">
      <c r="A8" s="13" t="s">
        <v>9</v>
      </c>
      <c r="B8" s="14" t="s">
        <v>10</v>
      </c>
      <c r="C8" s="15">
        <f>+'[1]Natural Gas'!C8+[1]Ontario!C8+[1]Finance!C8+[1]Executive!C8+[1]Alberta!C8</f>
        <v>2855922.0300000003</v>
      </c>
      <c r="E8" s="15">
        <f>+'[1]Natural Gas'!E8+[1]Ontario!E8+[1]Finance!E8+[1]Executive!E8+[1]Alberta!E8</f>
        <v>3807896.0399999991</v>
      </c>
      <c r="G8" s="15">
        <f>(K28-G10-137496-390504)*1.2</f>
        <v>720000</v>
      </c>
      <c r="H8" s="7" t="s">
        <v>10</v>
      </c>
      <c r="I8" s="17">
        <v>0</v>
      </c>
      <c r="J8" s="8"/>
      <c r="K8" s="18">
        <f>K28</f>
        <v>1128000</v>
      </c>
      <c r="O8" s="15">
        <f t="shared" ref="O8:O22" si="0">+G8/$G$29*$O$29</f>
        <v>144000</v>
      </c>
      <c r="AK8" s="32"/>
    </row>
    <row r="9" spans="1:43" hidden="1" x14ac:dyDescent="0.2">
      <c r="A9" s="13"/>
      <c r="B9" s="14" t="s">
        <v>11</v>
      </c>
      <c r="C9" s="15">
        <f>+'[1]Natural Gas'!C9+[1]Ontario!C9+[1]Finance!C9+[1]Executive!C9+[1]Alberta!C9</f>
        <v>0</v>
      </c>
      <c r="E9" s="15">
        <f>+'[1]Natural Gas'!E9+[1]Ontario!E9+[1]Finance!E9+[1]Executive!E9+[1]Alberta!E9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89</v>
      </c>
      <c r="C10" s="15">
        <v>0</v>
      </c>
      <c r="E10" s="15">
        <v>0</v>
      </c>
      <c r="G10" s="15">
        <f>(K22+K21)*1.2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x14ac:dyDescent="0.2">
      <c r="A11" s="13" t="s">
        <v>13</v>
      </c>
      <c r="B11" s="14" t="s">
        <v>14</v>
      </c>
      <c r="C11" s="15">
        <f>+'[1]Natural Gas'!C11+[1]Ontario!C11+[1]Finance!C11+[1]Executive!C10+[1]Alberta!C11</f>
        <v>312682.37</v>
      </c>
      <c r="E11" s="15">
        <f>+'[1]Natural Gas'!E11+[1]Ontario!E11+[1]Finance!E11+[1]Executive!E10+[1]Alberta!E11</f>
        <v>416909.82666666666</v>
      </c>
      <c r="G11" s="15">
        <f>(G8*0.3105+52-96352)*1.2</f>
        <v>152712</v>
      </c>
      <c r="H11" s="7" t="s">
        <v>15</v>
      </c>
      <c r="I11" s="19">
        <f>(E12+E13+E14+E15+E16+E17+E18+E19+E20+E21+E22)/E29</f>
        <v>31253.507839999998</v>
      </c>
      <c r="J11" s="8">
        <f>J28</f>
        <v>7</v>
      </c>
      <c r="K11" s="18">
        <f>I11*J11</f>
        <v>218774.55487999998</v>
      </c>
      <c r="O11" s="15">
        <f t="shared" si="0"/>
        <v>30542.400000000001</v>
      </c>
      <c r="AK11" s="32"/>
    </row>
    <row r="12" spans="1:43" x14ac:dyDescent="0.2">
      <c r="A12" s="13" t="s">
        <v>16</v>
      </c>
      <c r="B12" s="14" t="s">
        <v>17</v>
      </c>
      <c r="C12" s="15">
        <f>+'[1]Natural Gas'!C12+[1]Ontario!C12+[1]Finance!C12+[1]Executive!C12+[1]Alberta!C12</f>
        <v>67320.12999999999</v>
      </c>
      <c r="E12" s="20">
        <f>(+'[1]Natural Gas'!E12+[1]Ontario!E12+[1]Finance!E12+[1]Executive!E12+[1]Alberta!E12)*1.2</f>
        <v>107712.20799999998</v>
      </c>
      <c r="G12" s="21">
        <f t="shared" ref="G12:G22" si="1">((E12/$E$29)*$G$29)*1.2</f>
        <v>12925.464959999999</v>
      </c>
      <c r="H12" s="7"/>
      <c r="I12" s="17"/>
      <c r="J12" s="8"/>
      <c r="K12" s="9"/>
      <c r="O12" s="15">
        <f t="shared" si="0"/>
        <v>2585.0929919999999</v>
      </c>
      <c r="AK12" s="32"/>
    </row>
    <row r="13" spans="1:43" ht="13.5" thickBot="1" x14ac:dyDescent="0.25">
      <c r="A13" s="13" t="s">
        <v>18</v>
      </c>
      <c r="B13" s="14" t="s">
        <v>19</v>
      </c>
      <c r="C13" s="15">
        <f>+'[1]Natural Gas'!C13+[1]Ontario!C13+[1]Finance!C13+[1]Executive!C13+[1]Alberta!C13</f>
        <v>297871.83999999997</v>
      </c>
      <c r="E13" s="20">
        <f>(+'[1]Natural Gas'!E13+[1]Ontario!E13+[1]Finance!E13+[1]Executive!E13+[1]Alberta!E13)*1.2</f>
        <v>476594.94399999996</v>
      </c>
      <c r="G13" s="21">
        <f t="shared" si="1"/>
        <v>57191.393279999997</v>
      </c>
      <c r="H13" s="22" t="s">
        <v>20</v>
      </c>
      <c r="I13" s="47"/>
      <c r="J13" s="23"/>
      <c r="K13" s="24">
        <f>K8+K11</f>
        <v>1346774.55488</v>
      </c>
      <c r="O13" s="15">
        <f t="shared" si="0"/>
        <v>11438.278655999999</v>
      </c>
      <c r="AK13" s="32"/>
    </row>
    <row r="14" spans="1:43" x14ac:dyDescent="0.2">
      <c r="A14" s="13" t="s">
        <v>21</v>
      </c>
      <c r="B14" s="14" t="s">
        <v>22</v>
      </c>
      <c r="C14" s="15">
        <f>+'[1]Natural Gas'!C14+[1]Ontario!C14+[1]Finance!C14+[1]Executive!C14+[1]Alberta!C14</f>
        <v>505739.98</v>
      </c>
      <c r="E14" s="20">
        <f>(+'[1]Natural Gas'!E14+[1]Ontario!E14+[1]Finance!E14+[1]Executive!E14+[1]Alberta!E14)*1.2</f>
        <v>809183.96799999999</v>
      </c>
      <c r="G14" s="21">
        <f t="shared" si="1"/>
        <v>97102.076159999997</v>
      </c>
      <c r="O14" s="15">
        <f t="shared" si="0"/>
        <v>19420.415231999999</v>
      </c>
      <c r="AK14" s="32"/>
    </row>
    <row r="15" spans="1:43" x14ac:dyDescent="0.2">
      <c r="A15" s="13" t="s">
        <v>23</v>
      </c>
      <c r="B15" s="14" t="s">
        <v>24</v>
      </c>
      <c r="C15" s="15">
        <f>+'[1]Natural Gas'!C15+[1]Ontario!C15+[1]Finance!C15+[1]Executive!C15+[1]Alberta!C15</f>
        <v>6427.4199999999992</v>
      </c>
      <c r="E15" s="20">
        <f>(+'[1]Natural Gas'!E15+[1]Ontario!E15+[1]Finance!E15+[1]Executive!E15+[1]Alberta!E15)*1.2</f>
        <v>10283.871999999998</v>
      </c>
      <c r="G15" s="21">
        <f t="shared" si="1"/>
        <v>1234.0646399999998</v>
      </c>
      <c r="O15" s="15">
        <f t="shared" si="0"/>
        <v>246.81292799999997</v>
      </c>
      <c r="AK15" s="32"/>
    </row>
    <row r="16" spans="1:43" x14ac:dyDescent="0.2">
      <c r="A16" s="13" t="s">
        <v>25</v>
      </c>
      <c r="B16" s="14" t="s">
        <v>26</v>
      </c>
      <c r="C16" s="15">
        <f>+'[1]Natural Gas'!C16+[1]Ontario!C16+[1]Finance!C16+[1]Executive!C16+[1]Alberta!C16</f>
        <v>0</v>
      </c>
      <c r="E16" s="20">
        <f>(+'[1]Natural Gas'!E16+[1]Ontario!E16+[1]Finance!E16+[1]Executive!E16+[1]Alberta!E16)*1.2</f>
        <v>0</v>
      </c>
      <c r="G16" s="21">
        <f t="shared" si="1"/>
        <v>0</v>
      </c>
      <c r="H16" t="s">
        <v>27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28</v>
      </c>
      <c r="B17" s="14" t="s">
        <v>29</v>
      </c>
      <c r="C17" s="15">
        <f>+'[1]Natural Gas'!C17+[1]Ontario!C17+[1]Finance!C17+[1]Executive!C17+[1]Alberta!C17</f>
        <v>1883.62</v>
      </c>
      <c r="E17" s="20">
        <f>(+'[1]Natural Gas'!E17+[1]Ontario!E17+[1]Finance!E17+[1]Executive!E17+[1]Alberta!E17)*1.2</f>
        <v>3013.7920000000004</v>
      </c>
      <c r="G17" s="21">
        <f t="shared" si="1"/>
        <v>361.65504000000004</v>
      </c>
      <c r="H17" t="s">
        <v>30</v>
      </c>
      <c r="I17" s="25">
        <v>52800</v>
      </c>
      <c r="J17">
        <v>0</v>
      </c>
      <c r="K17">
        <f t="shared" si="2"/>
        <v>0</v>
      </c>
      <c r="O17" s="15">
        <f t="shared" si="0"/>
        <v>72.331008000000011</v>
      </c>
      <c r="AK17" s="32"/>
    </row>
    <row r="18" spans="1:37" x14ac:dyDescent="0.2">
      <c r="A18" s="13" t="s">
        <v>31</v>
      </c>
      <c r="B18" s="14" t="s">
        <v>32</v>
      </c>
      <c r="C18" s="15">
        <f>+'[1]Natural Gas'!C18+[1]Ontario!C18+[1]Finance!C18+[1]Executive!C18+[1]Alberta!C18</f>
        <v>19208.419999999998</v>
      </c>
      <c r="E18" s="20">
        <f>(+'[1]Natural Gas'!E18+[1]Ontario!E18+[1]Finance!E18+[1]Executive!E18+[1]Alberta!E18)*1.2</f>
        <v>30733.471999999998</v>
      </c>
      <c r="G18" s="21">
        <f t="shared" si="1"/>
        <v>3688.0166399999998</v>
      </c>
      <c r="H18" t="s">
        <v>33</v>
      </c>
      <c r="I18" s="25">
        <v>54000</v>
      </c>
      <c r="J18">
        <v>0</v>
      </c>
      <c r="K18">
        <f t="shared" si="2"/>
        <v>0</v>
      </c>
      <c r="O18" s="15">
        <f t="shared" si="0"/>
        <v>737.60332799999992</v>
      </c>
      <c r="AK18" s="32"/>
    </row>
    <row r="19" spans="1:37" x14ac:dyDescent="0.2">
      <c r="A19" s="13" t="s">
        <v>34</v>
      </c>
      <c r="B19" s="14" t="s">
        <v>35</v>
      </c>
      <c r="C19" s="15">
        <f>+'[1]Natural Gas'!C19+[1]Ontario!C19+[1]Finance!C19+[1]Executive!C19+[1]Alberta!C19</f>
        <v>52344.84</v>
      </c>
      <c r="E19" s="20">
        <f>(+'[1]Natural Gas'!E19+[1]Ontario!E19+[1]Finance!E19+[1]Executive!E19+[1]Alberta!E19)*1.2</f>
        <v>83751.743999999992</v>
      </c>
      <c r="G19" s="21">
        <f t="shared" si="1"/>
        <v>10050.209279999999</v>
      </c>
      <c r="H19" t="s">
        <v>36</v>
      </c>
      <c r="I19" s="25">
        <v>63000</v>
      </c>
      <c r="J19">
        <v>0</v>
      </c>
      <c r="K19">
        <f t="shared" si="2"/>
        <v>0</v>
      </c>
      <c r="O19" s="15">
        <f t="shared" si="0"/>
        <v>2010.0418559999998</v>
      </c>
      <c r="AK19" s="32"/>
    </row>
    <row r="20" spans="1:37" x14ac:dyDescent="0.2">
      <c r="A20" s="13" t="s">
        <v>37</v>
      </c>
      <c r="B20" s="14" t="s">
        <v>38</v>
      </c>
      <c r="C20" s="15">
        <f>+'[1]Natural Gas'!C20+[1]Ontario!C20+[1]Finance!C20+[1]Executive!C20+[1]Alberta!C20</f>
        <v>0</v>
      </c>
      <c r="E20" s="20">
        <f>(+'[1]Natural Gas'!E20+[1]Ontario!E20+[1]Finance!E20+[1]Executive!E20+[1]Alberta!E20)*1.2</f>
        <v>0</v>
      </c>
      <c r="G20" s="21">
        <f t="shared" si="1"/>
        <v>0</v>
      </c>
      <c r="H20" t="s">
        <v>39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40</v>
      </c>
      <c r="B21" s="14" t="s">
        <v>41</v>
      </c>
      <c r="C21" s="15">
        <f>+'[1]Natural Gas'!C21+[1]Ontario!C21+[1]Finance!C21+[1]Executive!C21+[1]Alberta!C21</f>
        <v>19769.170000000046</v>
      </c>
      <c r="E21" s="20">
        <f>(+'[1]Natural Gas'!E21+[1]Ontario!E21+[1]Finance!E21+[1]Executive!E21+[1]Alberta!E21)*1.2</f>
        <v>31630.672000000071</v>
      </c>
      <c r="G21" s="21">
        <f t="shared" si="1"/>
        <v>3795.6806400000087</v>
      </c>
      <c r="H21" t="s">
        <v>42</v>
      </c>
      <c r="I21" s="25">
        <v>66000</v>
      </c>
      <c r="J21">
        <v>0</v>
      </c>
      <c r="K21">
        <f t="shared" si="2"/>
        <v>0</v>
      </c>
      <c r="O21" s="15">
        <f t="shared" si="0"/>
        <v>759.13612800000169</v>
      </c>
      <c r="AK21" s="32"/>
    </row>
    <row r="22" spans="1:37" x14ac:dyDescent="0.2">
      <c r="A22" s="13" t="s">
        <v>43</v>
      </c>
      <c r="B22" s="14" t="s">
        <v>44</v>
      </c>
      <c r="C22" s="15">
        <f>+'[1]Natural Gas'!C22+[1]Ontario!C22+[1]Finance!C22+[1]Executive!C22+[1]Alberta!C22</f>
        <v>6106.7000000000089</v>
      </c>
      <c r="E22" s="20">
        <f>(+'[1]Natural Gas'!E22+[1]Ontario!E22+[1]Finance!E22+[1]Executive!E22+[1]Alberta!E22)*1.2</f>
        <v>9770.7200000000139</v>
      </c>
      <c r="G22" s="21">
        <f t="shared" si="1"/>
        <v>1172.4864000000018</v>
      </c>
      <c r="H22" t="s">
        <v>45</v>
      </c>
      <c r="I22" s="25">
        <v>97200</v>
      </c>
      <c r="J22">
        <v>0</v>
      </c>
      <c r="K22">
        <f t="shared" si="2"/>
        <v>0</v>
      </c>
      <c r="O22" s="15">
        <f t="shared" si="0"/>
        <v>234.49728000000036</v>
      </c>
      <c r="AK22" s="32"/>
    </row>
    <row r="23" spans="1:37" x14ac:dyDescent="0.2">
      <c r="A23" s="26" t="s">
        <v>46</v>
      </c>
      <c r="B23" s="27" t="s">
        <v>47</v>
      </c>
      <c r="C23" s="28">
        <f>SUM(C8:C22)</f>
        <v>4145276.52</v>
      </c>
      <c r="E23" s="28">
        <f>SUM(E8:E22)</f>
        <v>5787481.2586666662</v>
      </c>
      <c r="G23" s="28">
        <f>SUM(G8:G22)</f>
        <v>1060233.0470399999</v>
      </c>
      <c r="H23" t="s">
        <v>48</v>
      </c>
      <c r="I23" s="25">
        <v>120000</v>
      </c>
      <c r="J23">
        <v>3</v>
      </c>
      <c r="K23">
        <f t="shared" si="2"/>
        <v>360000</v>
      </c>
      <c r="O23" s="28">
        <f>SUM(O8:O22)</f>
        <v>212046.60940800002</v>
      </c>
      <c r="AK23" s="29"/>
    </row>
    <row r="24" spans="1:37" x14ac:dyDescent="0.2">
      <c r="H24" t="s">
        <v>49</v>
      </c>
      <c r="I24" s="25">
        <v>156000</v>
      </c>
      <c r="J24">
        <v>2</v>
      </c>
      <c r="K24">
        <f t="shared" si="2"/>
        <v>312000</v>
      </c>
      <c r="AK24" s="8"/>
    </row>
    <row r="25" spans="1:37" x14ac:dyDescent="0.2">
      <c r="B25" s="27" t="s">
        <v>50</v>
      </c>
      <c r="C25" s="60"/>
      <c r="E25" s="61">
        <f>+'[1]Natural Gas'!E25+[1]Ontario!E25+[1]Finance!E25+[1]Executive!E25+[1]Alberta!E25</f>
        <v>30</v>
      </c>
      <c r="G25" s="61">
        <v>5</v>
      </c>
      <c r="H25" t="s">
        <v>51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52</v>
      </c>
      <c r="I26" s="25">
        <v>216000</v>
      </c>
      <c r="J26">
        <v>1</v>
      </c>
      <c r="K26">
        <f t="shared" si="2"/>
        <v>216000</v>
      </c>
      <c r="O26" s="15"/>
      <c r="AK26" s="32"/>
    </row>
    <row r="27" spans="1:37" x14ac:dyDescent="0.2">
      <c r="B27" s="27" t="s">
        <v>53</v>
      </c>
      <c r="C27" s="15"/>
      <c r="E27" s="61">
        <f>+'[1]Natural Gas'!E27+[1]Ontario!E27+[1]Finance!E27+[1]Executive!E27+[1]Alberta!E27</f>
        <v>20</v>
      </c>
      <c r="G27" s="61">
        <f>SUM(J21:J22)</f>
        <v>0</v>
      </c>
      <c r="H27" t="s">
        <v>90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">
      <c r="J28">
        <f>SUM(J16:J27)</f>
        <v>7</v>
      </c>
      <c r="K28">
        <f>SUM(K16:K27)</f>
        <v>1128000</v>
      </c>
      <c r="AK28" s="8"/>
    </row>
    <row r="29" spans="1:37" x14ac:dyDescent="0.2">
      <c r="B29" s="27" t="s">
        <v>55</v>
      </c>
      <c r="C29" s="15"/>
      <c r="E29" s="31">
        <f>+E27+E25</f>
        <v>50</v>
      </c>
      <c r="F29" s="32"/>
      <c r="G29" s="31">
        <f>+G27+G25</f>
        <v>5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71</v>
      </c>
      <c r="B31" s="14" t="s">
        <v>91</v>
      </c>
      <c r="C31" s="15"/>
      <c r="E31" s="15"/>
      <c r="G31" s="33" t="s">
        <v>56</v>
      </c>
      <c r="H31" s="25"/>
      <c r="J31" s="25"/>
    </row>
    <row r="32" spans="1:37" hidden="1" x14ac:dyDescent="0.2">
      <c r="A32" s="13" t="s">
        <v>73</v>
      </c>
      <c r="B32" s="14"/>
      <c r="C32" s="15"/>
      <c r="E32" s="15"/>
      <c r="H32" s="25"/>
      <c r="J32" s="25"/>
    </row>
    <row r="33" spans="1:11" hidden="1" x14ac:dyDescent="0.2">
      <c r="A33" s="13" t="s">
        <v>75</v>
      </c>
      <c r="B33" s="14"/>
      <c r="C33" s="15"/>
      <c r="E33" s="15"/>
      <c r="G33" s="34" t="s">
        <v>57</v>
      </c>
      <c r="H33" s="35" t="s">
        <v>58</v>
      </c>
      <c r="I33" s="35" t="s">
        <v>59</v>
      </c>
      <c r="J33" s="35" t="s">
        <v>2</v>
      </c>
      <c r="K33" s="35" t="s">
        <v>60</v>
      </c>
    </row>
    <row r="34" spans="1:11" hidden="1" x14ac:dyDescent="0.2">
      <c r="A34" s="13" t="s">
        <v>77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7</v>
      </c>
      <c r="K34" s="37">
        <f>+I34*J34</f>
        <v>218774.55487999998</v>
      </c>
    </row>
    <row r="35" spans="1:11" hidden="1" x14ac:dyDescent="0.2">
      <c r="A35" s="13" t="s">
        <v>79</v>
      </c>
      <c r="B35" s="14"/>
      <c r="C35" s="15"/>
      <c r="E35" s="15"/>
    </row>
    <row r="36" spans="1:11" hidden="1" x14ac:dyDescent="0.2">
      <c r="A36" s="13" t="s">
        <v>81</v>
      </c>
      <c r="B36" s="14"/>
      <c r="C36" s="15"/>
      <c r="E36" s="15"/>
    </row>
    <row r="37" spans="1:11" hidden="1" x14ac:dyDescent="0.2">
      <c r="A37" s="13" t="s">
        <v>83</v>
      </c>
      <c r="B37" s="14"/>
      <c r="C37" s="15"/>
      <c r="E37" s="15"/>
    </row>
    <row r="38" spans="1:11" hidden="1" x14ac:dyDescent="0.2">
      <c r="A38" s="13" t="s">
        <v>85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AQ49"/>
  <sheetViews>
    <sheetView topLeftCell="A2" zoomScaleNormal="100" workbookViewId="0">
      <selection activeCell="R144" sqref="R144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34" width="9.140625" hidden="1" customWidth="1"/>
    <col min="35" max="44" width="9.140625" customWidth="1"/>
  </cols>
  <sheetData>
    <row r="1" spans="1:43" ht="18" x14ac:dyDescent="0.25">
      <c r="B1" s="140" t="str">
        <f>'[2]Team Report'!B1</f>
        <v>Enron North America</v>
      </c>
      <c r="C1" s="140"/>
      <c r="D1" s="140"/>
      <c r="E1" s="140"/>
      <c r="F1" s="140"/>
      <c r="G1" s="140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40" t="s">
        <v>236</v>
      </c>
      <c r="C2" s="140"/>
      <c r="D2" s="140"/>
      <c r="E2" s="140"/>
      <c r="F2" s="140"/>
      <c r="G2" s="140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41" t="s">
        <v>0</v>
      </c>
      <c r="C3" s="141"/>
      <c r="D3" s="141"/>
      <c r="E3" s="141"/>
      <c r="F3" s="141"/>
      <c r="G3" s="141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1</v>
      </c>
      <c r="J5" s="8" t="s">
        <v>2</v>
      </c>
      <c r="K5" s="9" t="s">
        <v>3</v>
      </c>
    </row>
    <row r="6" spans="1:43" x14ac:dyDescent="0.2">
      <c r="C6" s="10">
        <v>37135</v>
      </c>
      <c r="E6" s="44" t="s">
        <v>63</v>
      </c>
      <c r="G6" s="44" t="s">
        <v>63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5</v>
      </c>
      <c r="E7" s="12" t="s">
        <v>6</v>
      </c>
      <c r="G7" s="12" t="s">
        <v>7</v>
      </c>
      <c r="H7" s="7"/>
      <c r="I7" s="17"/>
      <c r="J7" s="8"/>
      <c r="K7" s="9"/>
      <c r="O7" s="12" t="s">
        <v>7</v>
      </c>
      <c r="AK7" s="12"/>
    </row>
    <row r="8" spans="1:43" x14ac:dyDescent="0.2">
      <c r="A8" s="13" t="s">
        <v>9</v>
      </c>
      <c r="B8" s="14" t="s">
        <v>10</v>
      </c>
      <c r="C8" s="15">
        <f>+'[1]Natural Gas'!C8+[1]Ontario!C8+[1]Finance!C8+[1]Executive!C8+[1]Alberta!C8</f>
        <v>2855922.0300000003</v>
      </c>
      <c r="E8" s="15">
        <f>+'[1]Natural Gas'!E8+[1]Ontario!E8+[1]Finance!E8+[1]Executive!E8+[1]Alberta!E8</f>
        <v>3807896.0399999991</v>
      </c>
      <c r="G8" s="15">
        <f>(K28-G10-137496+293496)*1.2</f>
        <v>1800000</v>
      </c>
      <c r="H8" s="7" t="s">
        <v>10</v>
      </c>
      <c r="I8" s="17">
        <v>0</v>
      </c>
      <c r="J8" s="8"/>
      <c r="K8" s="18">
        <f>K28</f>
        <v>1344000</v>
      </c>
      <c r="O8" s="15">
        <f t="shared" ref="O8:O22" si="0">+G8/$G$29*$O$29</f>
        <v>163636.36363636365</v>
      </c>
      <c r="AK8" s="32"/>
    </row>
    <row r="9" spans="1:43" hidden="1" x14ac:dyDescent="0.2">
      <c r="A9" s="13"/>
      <c r="B9" s="14" t="s">
        <v>11</v>
      </c>
      <c r="C9" s="15">
        <f>+'[1]Natural Gas'!C9+[1]Ontario!C9+[1]Finance!C9+[1]Executive!C9+[1]Alberta!C9</f>
        <v>0</v>
      </c>
      <c r="E9" s="15">
        <f>+'[1]Natural Gas'!E9+[1]Ontario!E9+[1]Finance!E9+[1]Executive!E9+[1]Alberta!E9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89</v>
      </c>
      <c r="C10" s="15">
        <v>0</v>
      </c>
      <c r="E10" s="15">
        <v>0</v>
      </c>
      <c r="G10" s="15">
        <f>(K22+K21)*1.2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x14ac:dyDescent="0.2">
      <c r="A11" s="13" t="s">
        <v>13</v>
      </c>
      <c r="B11" s="14" t="s">
        <v>14</v>
      </c>
      <c r="C11" s="15">
        <f>+'[1]Natural Gas'!C11+[1]Ontario!C11+[1]Finance!C11+[1]Executive!C10+[1]Alberta!C11</f>
        <v>312682.37</v>
      </c>
      <c r="E11" s="15">
        <f>+'[1]Natural Gas'!E11+[1]Ontario!E11+[1]Finance!E11+[1]Executive!E10+[1]Alberta!E11</f>
        <v>416909.82666666666</v>
      </c>
      <c r="G11" s="15">
        <f>(G8*0.3105+52-240802)*1.2</f>
        <v>381780</v>
      </c>
      <c r="H11" s="7" t="s">
        <v>15</v>
      </c>
      <c r="I11" s="19">
        <f>(E12+E13+E14+E15+E16+E17+E18+E19+E20+E21+E22)/E29</f>
        <v>31253.507839999998</v>
      </c>
      <c r="J11" s="8">
        <f>J28</f>
        <v>9</v>
      </c>
      <c r="K11" s="18">
        <f>I11*J11</f>
        <v>281281.57055999996</v>
      </c>
      <c r="O11" s="15">
        <f t="shared" si="0"/>
        <v>34707.272727272728</v>
      </c>
      <c r="AK11" s="32"/>
    </row>
    <row r="12" spans="1:43" x14ac:dyDescent="0.2">
      <c r="A12" s="13" t="s">
        <v>16</v>
      </c>
      <c r="B12" s="14" t="s">
        <v>17</v>
      </c>
      <c r="C12" s="15">
        <f>+'[1]Natural Gas'!C12+[1]Ontario!C12+[1]Finance!C12+[1]Executive!C12+[1]Alberta!C12</f>
        <v>67320.12999999999</v>
      </c>
      <c r="E12" s="20">
        <f>(+'[1]Natural Gas'!E12+[1]Ontario!E12+[1]Finance!E12+[1]Executive!E12+[1]Alberta!E12)*1.2</f>
        <v>107712.20799999998</v>
      </c>
      <c r="G12" s="21">
        <f t="shared" ref="G12:G22" si="1">((E12/$E$29)*$G$29)*1.2</f>
        <v>28436.022911999997</v>
      </c>
      <c r="H12" s="7"/>
      <c r="I12" s="17"/>
      <c r="J12" s="8"/>
      <c r="K12" s="9"/>
      <c r="O12" s="15">
        <f t="shared" si="0"/>
        <v>2585.0929919999999</v>
      </c>
      <c r="AK12" s="32"/>
    </row>
    <row r="13" spans="1:43" ht="13.5" thickBot="1" x14ac:dyDescent="0.25">
      <c r="A13" s="13" t="s">
        <v>18</v>
      </c>
      <c r="B13" s="14" t="s">
        <v>19</v>
      </c>
      <c r="C13" s="15">
        <f>+'[1]Natural Gas'!C13+[1]Ontario!C13+[1]Finance!C13+[1]Executive!C13+[1]Alberta!C13</f>
        <v>297871.83999999997</v>
      </c>
      <c r="E13" s="20">
        <f>(+'[1]Natural Gas'!E13+[1]Ontario!E13+[1]Finance!E13+[1]Executive!E13+[1]Alberta!E13)*1.2</f>
        <v>476594.94399999996</v>
      </c>
      <c r="G13" s="21">
        <f t="shared" si="1"/>
        <v>125821.06521599997</v>
      </c>
      <c r="H13" s="22" t="s">
        <v>20</v>
      </c>
      <c r="I13" s="47"/>
      <c r="J13" s="23"/>
      <c r="K13" s="24">
        <f>K8+K11</f>
        <v>1625281.5705599999</v>
      </c>
      <c r="O13" s="15">
        <f t="shared" si="0"/>
        <v>11438.278655999997</v>
      </c>
      <c r="AK13" s="32"/>
    </row>
    <row r="14" spans="1:43" x14ac:dyDescent="0.2">
      <c r="A14" s="13" t="s">
        <v>21</v>
      </c>
      <c r="B14" s="14" t="s">
        <v>22</v>
      </c>
      <c r="C14" s="15">
        <f>+'[1]Natural Gas'!C14+[1]Ontario!C14+[1]Finance!C14+[1]Executive!C14+[1]Alberta!C14</f>
        <v>505739.98</v>
      </c>
      <c r="E14" s="20">
        <f>(+'[1]Natural Gas'!E14+[1]Ontario!E14+[1]Finance!E14+[1]Executive!E14+[1]Alberta!E14)*1.2</f>
        <v>809183.96799999999</v>
      </c>
      <c r="G14" s="21">
        <f t="shared" si="1"/>
        <v>213624.56755200002</v>
      </c>
      <c r="O14" s="15">
        <f t="shared" si="0"/>
        <v>19420.415232000003</v>
      </c>
      <c r="AK14" s="32"/>
    </row>
    <row r="15" spans="1:43" x14ac:dyDescent="0.2">
      <c r="A15" s="13" t="s">
        <v>23</v>
      </c>
      <c r="B15" s="14" t="s">
        <v>24</v>
      </c>
      <c r="C15" s="15">
        <f>+'[1]Natural Gas'!C15+[1]Ontario!C15+[1]Finance!C15+[1]Executive!C15+[1]Alberta!C15</f>
        <v>6427.4199999999992</v>
      </c>
      <c r="E15" s="20">
        <f>(+'[1]Natural Gas'!E15+[1]Ontario!E15+[1]Finance!E15+[1]Executive!E15+[1]Alberta!E15)*1.2</f>
        <v>10283.871999999998</v>
      </c>
      <c r="G15" s="21">
        <f t="shared" si="1"/>
        <v>2714.9422079999995</v>
      </c>
      <c r="O15" s="15">
        <f t="shared" si="0"/>
        <v>246.81292799999994</v>
      </c>
      <c r="AK15" s="32"/>
    </row>
    <row r="16" spans="1:43" x14ac:dyDescent="0.2">
      <c r="A16" s="13" t="s">
        <v>25</v>
      </c>
      <c r="B16" s="14" t="s">
        <v>26</v>
      </c>
      <c r="C16" s="15">
        <f>+'[1]Natural Gas'!C16+[1]Ontario!C16+[1]Finance!C16+[1]Executive!C16+[1]Alberta!C16</f>
        <v>0</v>
      </c>
      <c r="E16" s="20">
        <f>(+'[1]Natural Gas'!E16+[1]Ontario!E16+[1]Finance!E16+[1]Executive!E16+[1]Alberta!E16)*1.2</f>
        <v>0</v>
      </c>
      <c r="G16" s="21">
        <f t="shared" si="1"/>
        <v>0</v>
      </c>
      <c r="H16" t="s">
        <v>27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28</v>
      </c>
      <c r="B17" s="14" t="s">
        <v>29</v>
      </c>
      <c r="C17" s="15">
        <f>+'[1]Natural Gas'!C17+[1]Ontario!C17+[1]Finance!C17+[1]Executive!C17+[1]Alberta!C17</f>
        <v>1883.62</v>
      </c>
      <c r="E17" s="20">
        <f>(+'[1]Natural Gas'!E17+[1]Ontario!E17+[1]Finance!E17+[1]Executive!E17+[1]Alberta!E17)*1.2</f>
        <v>3013.7920000000004</v>
      </c>
      <c r="G17" s="21">
        <f t="shared" si="1"/>
        <v>795.64108800000008</v>
      </c>
      <c r="H17" t="s">
        <v>30</v>
      </c>
      <c r="I17" s="25">
        <v>52800</v>
      </c>
      <c r="J17">
        <v>0</v>
      </c>
      <c r="K17">
        <f t="shared" si="2"/>
        <v>0</v>
      </c>
      <c r="O17" s="15">
        <f t="shared" si="0"/>
        <v>72.331008000000011</v>
      </c>
      <c r="AK17" s="32"/>
    </row>
    <row r="18" spans="1:37" x14ac:dyDescent="0.2">
      <c r="A18" s="13" t="s">
        <v>31</v>
      </c>
      <c r="B18" s="14" t="s">
        <v>32</v>
      </c>
      <c r="C18" s="15">
        <f>+'[1]Natural Gas'!C18+[1]Ontario!C18+[1]Finance!C18+[1]Executive!C18+[1]Alberta!C18</f>
        <v>19208.419999999998</v>
      </c>
      <c r="E18" s="20">
        <f>(+'[1]Natural Gas'!E18+[1]Ontario!E18+[1]Finance!E18+[1]Executive!E18+[1]Alberta!E18)*1.2</f>
        <v>30733.471999999998</v>
      </c>
      <c r="G18" s="21">
        <f t="shared" si="1"/>
        <v>8113.6366079999998</v>
      </c>
      <c r="H18" t="s">
        <v>33</v>
      </c>
      <c r="I18" s="25">
        <v>54000</v>
      </c>
      <c r="J18">
        <v>0</v>
      </c>
      <c r="K18">
        <f t="shared" si="2"/>
        <v>0</v>
      </c>
      <c r="O18" s="15">
        <f t="shared" si="0"/>
        <v>737.60332800000003</v>
      </c>
      <c r="AK18" s="32"/>
    </row>
    <row r="19" spans="1:37" x14ac:dyDescent="0.2">
      <c r="A19" s="13" t="s">
        <v>34</v>
      </c>
      <c r="B19" s="14" t="s">
        <v>35</v>
      </c>
      <c r="C19" s="15">
        <f>+'[1]Natural Gas'!C19+[1]Ontario!C19+[1]Finance!C19+[1]Executive!C19+[1]Alberta!C19</f>
        <v>52344.84</v>
      </c>
      <c r="E19" s="20">
        <f>(+'[1]Natural Gas'!E19+[1]Ontario!E19+[1]Finance!E19+[1]Executive!E19+[1]Alberta!E19)*1.2</f>
        <v>83751.743999999992</v>
      </c>
      <c r="G19" s="21">
        <f t="shared" si="1"/>
        <v>22110.460415999998</v>
      </c>
      <c r="H19" t="s">
        <v>36</v>
      </c>
      <c r="I19" s="25">
        <v>63000</v>
      </c>
      <c r="J19">
        <v>0</v>
      </c>
      <c r="K19">
        <f t="shared" si="2"/>
        <v>0</v>
      </c>
      <c r="O19" s="15">
        <f t="shared" si="0"/>
        <v>2010.0418559999998</v>
      </c>
      <c r="AK19" s="32"/>
    </row>
    <row r="20" spans="1:37" x14ac:dyDescent="0.2">
      <c r="A20" s="13" t="s">
        <v>37</v>
      </c>
      <c r="B20" s="14" t="s">
        <v>38</v>
      </c>
      <c r="C20" s="15">
        <f>+'[1]Natural Gas'!C20+[1]Ontario!C20+[1]Finance!C20+[1]Executive!C20+[1]Alberta!C20</f>
        <v>0</v>
      </c>
      <c r="E20" s="20">
        <f>(+'[1]Natural Gas'!E20+[1]Ontario!E20+[1]Finance!E20+[1]Executive!E20+[1]Alberta!E20)*1.2</f>
        <v>0</v>
      </c>
      <c r="G20" s="21">
        <f t="shared" si="1"/>
        <v>0</v>
      </c>
      <c r="H20" t="s">
        <v>39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40</v>
      </c>
      <c r="B21" s="14" t="s">
        <v>41</v>
      </c>
      <c r="C21" s="15">
        <f>+'[1]Natural Gas'!C21+[1]Ontario!C21+[1]Finance!C21+[1]Executive!C21+[1]Alberta!C21</f>
        <v>19769.170000000046</v>
      </c>
      <c r="E21" s="20">
        <f>(+'[1]Natural Gas'!E21+[1]Ontario!E21+[1]Finance!E21+[1]Executive!E21+[1]Alberta!E21)*1.2</f>
        <v>31630.672000000071</v>
      </c>
      <c r="G21" s="21">
        <f t="shared" si="1"/>
        <v>8350.4974080000193</v>
      </c>
      <c r="H21" t="s">
        <v>42</v>
      </c>
      <c r="I21" s="25">
        <v>66000</v>
      </c>
      <c r="J21">
        <v>0</v>
      </c>
      <c r="K21">
        <f t="shared" si="2"/>
        <v>0</v>
      </c>
      <c r="O21" s="15">
        <f t="shared" si="0"/>
        <v>759.1361280000018</v>
      </c>
      <c r="AK21" s="32"/>
    </row>
    <row r="22" spans="1:37" x14ac:dyDescent="0.2">
      <c r="A22" s="13" t="s">
        <v>43</v>
      </c>
      <c r="B22" s="14" t="s">
        <v>44</v>
      </c>
      <c r="C22" s="15">
        <f>+'[1]Natural Gas'!C22+[1]Ontario!C22+[1]Finance!C22+[1]Executive!C22+[1]Alberta!C22</f>
        <v>6106.7000000000089</v>
      </c>
      <c r="E22" s="20">
        <f>(+'[1]Natural Gas'!E22+[1]Ontario!E22+[1]Finance!E22+[1]Executive!E22+[1]Alberta!E22)*1.2</f>
        <v>9770.7200000000139</v>
      </c>
      <c r="G22" s="21">
        <f t="shared" si="1"/>
        <v>2579.4700800000037</v>
      </c>
      <c r="H22" t="s">
        <v>45</v>
      </c>
      <c r="I22" s="25">
        <v>97200</v>
      </c>
      <c r="J22">
        <v>0</v>
      </c>
      <c r="K22">
        <f t="shared" si="2"/>
        <v>0</v>
      </c>
      <c r="O22" s="15">
        <f t="shared" si="0"/>
        <v>234.49728000000033</v>
      </c>
      <c r="AK22" s="32"/>
    </row>
    <row r="23" spans="1:37" x14ac:dyDescent="0.2">
      <c r="A23" s="26" t="s">
        <v>46</v>
      </c>
      <c r="B23" s="27" t="s">
        <v>47</v>
      </c>
      <c r="C23" s="28">
        <f>SUM(C8:C22)</f>
        <v>4145276.52</v>
      </c>
      <c r="E23" s="28">
        <f>SUM(E8:E22)</f>
        <v>5787481.2586666662</v>
      </c>
      <c r="G23" s="28">
        <f>SUM(G8:G22)</f>
        <v>2594326.3034879994</v>
      </c>
      <c r="H23" t="s">
        <v>48</v>
      </c>
      <c r="I23" s="25">
        <v>120000</v>
      </c>
      <c r="J23">
        <v>5</v>
      </c>
      <c r="K23">
        <f t="shared" si="2"/>
        <v>600000</v>
      </c>
      <c r="O23" s="28">
        <f>SUM(O8:O22)</f>
        <v>235847.84577163641</v>
      </c>
      <c r="AK23" s="29"/>
    </row>
    <row r="24" spans="1:37" x14ac:dyDescent="0.2">
      <c r="H24" t="s">
        <v>49</v>
      </c>
      <c r="I24" s="25">
        <v>156000</v>
      </c>
      <c r="J24">
        <v>2</v>
      </c>
      <c r="K24">
        <f t="shared" si="2"/>
        <v>312000</v>
      </c>
      <c r="AK24" s="8"/>
    </row>
    <row r="25" spans="1:37" x14ac:dyDescent="0.2">
      <c r="B25" s="27" t="s">
        <v>50</v>
      </c>
      <c r="C25" s="60"/>
      <c r="E25" s="61">
        <f>+'[1]Natural Gas'!E25+[1]Ontario!E25+[1]Finance!E25+[1]Executive!E25+[1]Alberta!E25</f>
        <v>30</v>
      </c>
      <c r="G25" s="61">
        <v>11</v>
      </c>
      <c r="H25" t="s">
        <v>51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52</v>
      </c>
      <c r="I26" s="25">
        <v>216000</v>
      </c>
      <c r="J26">
        <v>2</v>
      </c>
      <c r="K26">
        <f t="shared" si="2"/>
        <v>432000</v>
      </c>
      <c r="O26" s="15"/>
      <c r="AK26" s="32"/>
    </row>
    <row r="27" spans="1:37" x14ac:dyDescent="0.2">
      <c r="B27" s="27" t="s">
        <v>53</v>
      </c>
      <c r="C27" s="15"/>
      <c r="E27" s="61">
        <f>+'[1]Natural Gas'!E27+[1]Ontario!E27+[1]Finance!E27+[1]Executive!E27+[1]Alberta!E27</f>
        <v>20</v>
      </c>
      <c r="G27" s="61">
        <f>SUM(J21:J22)</f>
        <v>0</v>
      </c>
      <c r="H27" t="s">
        <v>90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9</v>
      </c>
      <c r="K28">
        <f>SUM(K16:K27)</f>
        <v>1344000</v>
      </c>
      <c r="AK28" s="8"/>
    </row>
    <row r="29" spans="1:37" x14ac:dyDescent="0.2">
      <c r="B29" s="27" t="s">
        <v>55</v>
      </c>
      <c r="C29" s="15"/>
      <c r="E29" s="31">
        <f>+E27+E25</f>
        <v>50</v>
      </c>
      <c r="F29" s="32"/>
      <c r="G29" s="31">
        <f>+G27+G25</f>
        <v>11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71</v>
      </c>
      <c r="B31" s="14" t="s">
        <v>91</v>
      </c>
      <c r="C31" s="15"/>
      <c r="E31" s="15"/>
      <c r="G31" s="33" t="s">
        <v>56</v>
      </c>
      <c r="H31" s="25"/>
      <c r="J31" s="25"/>
    </row>
    <row r="32" spans="1:37" hidden="1" x14ac:dyDescent="0.2">
      <c r="A32" s="13" t="s">
        <v>73</v>
      </c>
      <c r="B32" s="14"/>
      <c r="C32" s="15"/>
      <c r="E32" s="15"/>
      <c r="H32" s="25"/>
      <c r="J32" s="25"/>
    </row>
    <row r="33" spans="1:11" hidden="1" x14ac:dyDescent="0.2">
      <c r="A33" s="13" t="s">
        <v>75</v>
      </c>
      <c r="B33" s="14"/>
      <c r="C33" s="15"/>
      <c r="E33" s="15"/>
      <c r="G33" s="34" t="s">
        <v>57</v>
      </c>
      <c r="H33" s="35" t="s">
        <v>58</v>
      </c>
      <c r="I33" s="35" t="s">
        <v>59</v>
      </c>
      <c r="J33" s="35" t="s">
        <v>2</v>
      </c>
      <c r="K33" s="35" t="s">
        <v>60</v>
      </c>
    </row>
    <row r="34" spans="1:11" hidden="1" x14ac:dyDescent="0.2">
      <c r="A34" s="13" t="s">
        <v>77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9</v>
      </c>
      <c r="K34" s="37">
        <f>+I34*J34</f>
        <v>281281.57055999996</v>
      </c>
    </row>
    <row r="35" spans="1:11" hidden="1" x14ac:dyDescent="0.2">
      <c r="A35" s="13" t="s">
        <v>79</v>
      </c>
      <c r="B35" s="14"/>
      <c r="C35" s="15"/>
      <c r="E35" s="15"/>
    </row>
    <row r="36" spans="1:11" hidden="1" x14ac:dyDescent="0.2">
      <c r="A36" s="13" t="s">
        <v>81</v>
      </c>
      <c r="B36" s="14"/>
      <c r="C36" s="15"/>
      <c r="E36" s="15"/>
    </row>
    <row r="37" spans="1:11" hidden="1" x14ac:dyDescent="0.2">
      <c r="A37" s="13" t="s">
        <v>83</v>
      </c>
      <c r="B37" s="14"/>
      <c r="C37" s="15"/>
      <c r="E37" s="15"/>
    </row>
    <row r="38" spans="1:11" hidden="1" x14ac:dyDescent="0.2">
      <c r="A38" s="13" t="s">
        <v>85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S44"/>
  <sheetViews>
    <sheetView zoomScaleNormal="100" workbookViewId="0">
      <selection activeCell="A29" sqref="A29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13.85546875" customWidth="1"/>
    <col min="7" max="7" width="2.28515625" hidden="1" customWidth="1"/>
    <col min="8" max="8" width="4.42578125" hidden="1" customWidth="1"/>
    <col min="9" max="9" width="13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0" hidden="1" customWidth="1"/>
    <col min="15" max="15" width="9.140625" hidden="1" customWidth="1"/>
    <col min="16" max="20" width="0" hidden="1" customWidth="1"/>
  </cols>
  <sheetData>
    <row r="1" spans="1:45" ht="18" x14ac:dyDescent="0.25">
      <c r="B1" s="140" t="str">
        <f>'[15]Team Report'!B1</f>
        <v>Enron North America</v>
      </c>
      <c r="C1" s="140"/>
      <c r="D1" s="140"/>
      <c r="E1" s="140"/>
      <c r="F1" s="140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0" t="str">
        <f>'[15]Pull Sheet'!E9</f>
        <v>Office of the Chair</v>
      </c>
      <c r="C2" s="140"/>
      <c r="D2" s="140"/>
      <c r="E2" s="140"/>
      <c r="F2" s="140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40" t="s">
        <v>0</v>
      </c>
      <c r="C3" s="140"/>
      <c r="D3" s="140"/>
      <c r="E3" s="140"/>
      <c r="F3" s="140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45"/>
      <c r="K4" s="145"/>
      <c r="L4" s="145"/>
      <c r="M4" s="145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>
        <v>2002</v>
      </c>
      <c r="J6" s="7"/>
      <c r="K6" s="19" t="s">
        <v>1</v>
      </c>
      <c r="L6" s="19" t="s">
        <v>2</v>
      </c>
      <c r="M6" s="74" t="s">
        <v>107</v>
      </c>
      <c r="O6" s="44" t="s">
        <v>63</v>
      </c>
    </row>
    <row r="7" spans="1:45" x14ac:dyDescent="0.2">
      <c r="C7" s="12" t="s">
        <v>5</v>
      </c>
      <c r="E7" s="12" t="s">
        <v>69</v>
      </c>
      <c r="F7" s="12" t="s">
        <v>7</v>
      </c>
      <c r="J7" s="7"/>
      <c r="K7" s="17"/>
      <c r="L7" s="17"/>
      <c r="M7" s="43"/>
      <c r="O7" s="12" t="s">
        <v>7</v>
      </c>
    </row>
    <row r="8" spans="1:45" x14ac:dyDescent="0.2">
      <c r="A8" s="13" t="s">
        <v>9</v>
      </c>
      <c r="B8" s="14" t="s">
        <v>10</v>
      </c>
      <c r="C8" s="53">
        <f>'[15]Team Report'!BA25</f>
        <v>888807.72</v>
      </c>
      <c r="E8" s="15">
        <f t="shared" ref="E8:E22" si="0">(C8/9)*12</f>
        <v>1185076.96</v>
      </c>
      <c r="F8" s="15">
        <f>+M21</f>
        <v>1098000</v>
      </c>
      <c r="J8" s="7"/>
      <c r="K8" s="17"/>
      <c r="L8" s="17"/>
      <c r="M8" s="43"/>
      <c r="O8" s="15">
        <f>+F8/$F$29*$O$29</f>
        <v>183000</v>
      </c>
    </row>
    <row r="9" spans="1:45" hidden="1" x14ac:dyDescent="0.2">
      <c r="A9" s="13"/>
      <c r="B9" s="14" t="s">
        <v>11</v>
      </c>
      <c r="C9" s="15">
        <v>0</v>
      </c>
      <c r="E9" s="15">
        <f t="shared" si="0"/>
        <v>0</v>
      </c>
      <c r="F9" s="15"/>
      <c r="J9" s="7" t="s">
        <v>10</v>
      </c>
      <c r="K9" s="17">
        <v>0</v>
      </c>
      <c r="L9" s="17">
        <f>+L21</f>
        <v>6</v>
      </c>
      <c r="M9" s="43">
        <f>M21</f>
        <v>1098000</v>
      </c>
      <c r="O9" s="15">
        <f t="shared" ref="O9:O22" si="1">+F9/$F$29*$O$29</f>
        <v>0</v>
      </c>
    </row>
    <row r="10" spans="1:45" x14ac:dyDescent="0.2">
      <c r="A10" s="13"/>
      <c r="B10" s="14" t="s">
        <v>70</v>
      </c>
      <c r="C10" s="15">
        <v>0</v>
      </c>
      <c r="E10" s="15">
        <f t="shared" si="0"/>
        <v>0</v>
      </c>
      <c r="F10" s="15"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'[15]Team Report'!BA26</f>
        <v>249788.37</v>
      </c>
      <c r="E11" s="15">
        <f t="shared" si="0"/>
        <v>333051.15999999997</v>
      </c>
      <c r="F11" s="15">
        <f>+F8*0.2</f>
        <v>219600</v>
      </c>
      <c r="J11" s="7"/>
      <c r="K11" s="17"/>
      <c r="L11" s="17"/>
      <c r="M11" s="43"/>
      <c r="O11" s="15">
        <f t="shared" si="1"/>
        <v>36600</v>
      </c>
    </row>
    <row r="12" spans="1:45" x14ac:dyDescent="0.2">
      <c r="A12" s="13" t="s">
        <v>16</v>
      </c>
      <c r="B12" s="14" t="s">
        <v>17</v>
      </c>
      <c r="C12" s="15">
        <f>'[15]Team Report'!BA27</f>
        <v>180082.12999999998</v>
      </c>
      <c r="E12" s="21">
        <f t="shared" si="0"/>
        <v>240109.50666666665</v>
      </c>
      <c r="F12" s="21">
        <f>+E12/$E$29*$F$29</f>
        <v>288131.40799999994</v>
      </c>
      <c r="J12" s="7" t="s">
        <v>15</v>
      </c>
      <c r="K12" s="17">
        <f>(E12+E13+E14+E15+E16+E17+E18+E19+E20+E21+E22)/E29</f>
        <v>123221.09066666474</v>
      </c>
      <c r="L12" s="17">
        <f>+L21</f>
        <v>6</v>
      </c>
      <c r="M12" s="43">
        <f>K12*L12</f>
        <v>739326.54399998835</v>
      </c>
      <c r="O12" s="15">
        <f t="shared" si="1"/>
        <v>48021.901333333321</v>
      </c>
    </row>
    <row r="13" spans="1:45" x14ac:dyDescent="0.2">
      <c r="A13" s="13" t="s">
        <v>18</v>
      </c>
      <c r="B13" s="14" t="s">
        <v>19</v>
      </c>
      <c r="C13" s="15">
        <f>'[15]Team Report'!BA28</f>
        <v>201416.5</v>
      </c>
      <c r="E13" s="21">
        <f t="shared" si="0"/>
        <v>268555.33333333331</v>
      </c>
      <c r="F13" s="21">
        <f t="shared" ref="F13:F22" si="2">+E13/$E$29*$F$29</f>
        <v>322266.40000000002</v>
      </c>
      <c r="J13" s="7"/>
      <c r="K13" s="17"/>
      <c r="L13" s="17"/>
      <c r="M13" s="43"/>
      <c r="O13" s="15">
        <f t="shared" si="1"/>
        <v>53711.066666666673</v>
      </c>
    </row>
    <row r="14" spans="1:45" ht="13.5" thickBot="1" x14ac:dyDescent="0.25">
      <c r="A14" s="13" t="s">
        <v>21</v>
      </c>
      <c r="B14" s="14" t="s">
        <v>22</v>
      </c>
      <c r="C14" s="15">
        <v>0</v>
      </c>
      <c r="E14" s="21">
        <f t="shared" si="0"/>
        <v>0</v>
      </c>
      <c r="F14" s="21">
        <f t="shared" si="2"/>
        <v>0</v>
      </c>
      <c r="J14" s="22" t="s">
        <v>20</v>
      </c>
      <c r="K14" s="47"/>
      <c r="L14" s="47"/>
      <c r="M14" s="48">
        <f>SUM(M9:M12)</f>
        <v>1837326.5439999884</v>
      </c>
      <c r="O14" s="15">
        <f t="shared" si="1"/>
        <v>0</v>
      </c>
    </row>
    <row r="15" spans="1:45" x14ac:dyDescent="0.2">
      <c r="A15" s="13" t="s">
        <v>23</v>
      </c>
      <c r="B15" s="14" t="s">
        <v>24</v>
      </c>
      <c r="C15" s="15">
        <f>'[15]Team Report'!BA33</f>
        <v>10998.160000000003</v>
      </c>
      <c r="E15" s="21">
        <f t="shared" si="0"/>
        <v>14664.213333333337</v>
      </c>
      <c r="F15" s="21">
        <f t="shared" si="2"/>
        <v>17597.056000000004</v>
      </c>
      <c r="J15" s="8"/>
      <c r="K15" s="17"/>
      <c r="L15" s="17"/>
      <c r="M15" s="17"/>
      <c r="O15" s="15">
        <f t="shared" si="1"/>
        <v>2932.8426666666674</v>
      </c>
    </row>
    <row r="16" spans="1:45" x14ac:dyDescent="0.2">
      <c r="A16" s="13" t="s">
        <v>25</v>
      </c>
      <c r="B16" s="14" t="s">
        <v>26</v>
      </c>
      <c r="C16" s="15">
        <f>'[15]Team Report'!BA34</f>
        <v>0</v>
      </c>
      <c r="E16" s="21">
        <f t="shared" si="0"/>
        <v>0</v>
      </c>
      <c r="F16" s="21">
        <f t="shared" si="2"/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'[15]Team Report'!BA35</f>
        <v>25000</v>
      </c>
      <c r="E17" s="21">
        <f t="shared" si="0"/>
        <v>33333.333333333336</v>
      </c>
      <c r="F17" s="21">
        <f t="shared" si="2"/>
        <v>40000</v>
      </c>
      <c r="M17" s="17"/>
      <c r="O17" s="15">
        <f t="shared" si="1"/>
        <v>6666.666666666667</v>
      </c>
    </row>
    <row r="18" spans="1:15" x14ac:dyDescent="0.2">
      <c r="A18" s="13" t="s">
        <v>31</v>
      </c>
      <c r="B18" s="14" t="s">
        <v>32</v>
      </c>
      <c r="C18" s="15">
        <f>'[15]Team Report'!BA36</f>
        <v>2602.3200000000002</v>
      </c>
      <c r="E18" s="21">
        <f t="shared" si="0"/>
        <v>3469.76</v>
      </c>
      <c r="F18" s="21">
        <f t="shared" si="2"/>
        <v>4163.7119999999995</v>
      </c>
      <c r="J18" t="s">
        <v>30</v>
      </c>
      <c r="K18" s="25">
        <v>55000</v>
      </c>
      <c r="L18" s="25">
        <v>3</v>
      </c>
      <c r="M18" s="17">
        <f>K18*L18</f>
        <v>165000</v>
      </c>
      <c r="O18" s="15">
        <f t="shared" si="1"/>
        <v>693.95199999999988</v>
      </c>
    </row>
    <row r="19" spans="1:15" x14ac:dyDescent="0.2">
      <c r="A19" s="13" t="s">
        <v>34</v>
      </c>
      <c r="B19" s="14" t="s">
        <v>35</v>
      </c>
      <c r="C19" s="15">
        <f>'[15]Team Report'!BA37</f>
        <v>40643.17</v>
      </c>
      <c r="E19" s="21">
        <f t="shared" si="0"/>
        <v>54190.893333333326</v>
      </c>
      <c r="F19" s="21">
        <f t="shared" si="2"/>
        <v>65029.071999999986</v>
      </c>
      <c r="J19" t="s">
        <v>143</v>
      </c>
      <c r="K19" s="25">
        <v>250000</v>
      </c>
      <c r="L19" s="25">
        <v>1</v>
      </c>
      <c r="M19" s="17">
        <f>K19*L19</f>
        <v>250000</v>
      </c>
      <c r="O19" s="15">
        <f t="shared" si="1"/>
        <v>10838.178666666665</v>
      </c>
    </row>
    <row r="20" spans="1:15" x14ac:dyDescent="0.2">
      <c r="A20" s="13" t="s">
        <v>37</v>
      </c>
      <c r="B20" s="14" t="s">
        <v>38</v>
      </c>
      <c r="C20" s="15">
        <f>'[15]Team Report'!BA38</f>
        <v>1258.2</v>
      </c>
      <c r="E20" s="21">
        <f t="shared" si="0"/>
        <v>1677.6000000000001</v>
      </c>
      <c r="F20" s="21">
        <f t="shared" si="2"/>
        <v>2013.1200000000003</v>
      </c>
      <c r="J20" t="s">
        <v>90</v>
      </c>
      <c r="K20" s="25">
        <v>250000</v>
      </c>
      <c r="L20" s="25">
        <v>2</v>
      </c>
      <c r="M20" s="17">
        <f>K20*L20</f>
        <v>500000</v>
      </c>
      <c r="O20" s="15">
        <f t="shared" si="1"/>
        <v>335.52000000000004</v>
      </c>
    </row>
    <row r="21" spans="1:15" x14ac:dyDescent="0.2">
      <c r="A21" s="13" t="s">
        <v>40</v>
      </c>
      <c r="B21" s="14" t="s">
        <v>41</v>
      </c>
      <c r="C21" s="15">
        <f>'[15]Team Report'!BA42-C40</f>
        <v>-0.18000000715255737</v>
      </c>
      <c r="E21" s="21">
        <f t="shared" si="0"/>
        <v>-0.24000000953674316</v>
      </c>
      <c r="F21" s="21">
        <f t="shared" si="2"/>
        <v>-0.28800001144409182</v>
      </c>
      <c r="L21" s="25">
        <f>SUM(L18:L20)</f>
        <v>6</v>
      </c>
      <c r="M21" s="25">
        <f>SUM(M18:M20)*1.2</f>
        <v>1098000</v>
      </c>
      <c r="O21" s="15">
        <f t="shared" si="1"/>
        <v>-4.8000001907348634E-2</v>
      </c>
    </row>
    <row r="22" spans="1:15" x14ac:dyDescent="0.2">
      <c r="A22" s="13" t="s">
        <v>43</v>
      </c>
      <c r="B22" s="14" t="s">
        <v>44</v>
      </c>
      <c r="C22" s="15">
        <f>'[15]Team Report'!BA44</f>
        <v>78.789999999999992</v>
      </c>
      <c r="E22" s="21">
        <f t="shared" si="0"/>
        <v>105.05333333333331</v>
      </c>
      <c r="F22" s="21">
        <f t="shared" si="2"/>
        <v>126.06399999999996</v>
      </c>
      <c r="L22" s="52"/>
      <c r="M22" s="52"/>
      <c r="O22" s="15">
        <f t="shared" si="1"/>
        <v>21.010666666666662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1600675.1799999925</v>
      </c>
      <c r="E23" s="28">
        <f>SUM(E8:E22)</f>
        <v>2134233.5733333235</v>
      </c>
      <c r="F23" s="28">
        <f>SUM(F8:F22)</f>
        <v>2056926.5439999886</v>
      </c>
      <c r="O23" s="58">
        <f>SUM(O8:O22)</f>
        <v>342821.09066666476</v>
      </c>
    </row>
    <row r="25" spans="1:15" x14ac:dyDescent="0.2">
      <c r="B25" s="27" t="s">
        <v>50</v>
      </c>
      <c r="C25" s="55"/>
      <c r="E25" s="55">
        <v>5</v>
      </c>
      <c r="F25" s="79">
        <v>6</v>
      </c>
      <c r="I25" s="33" t="s">
        <v>56</v>
      </c>
      <c r="J25" s="25"/>
      <c r="M25"/>
      <c r="O25" s="31">
        <f>SUM(U16:U20,U23:U27)</f>
        <v>0</v>
      </c>
    </row>
    <row r="26" spans="1:15" x14ac:dyDescent="0.2">
      <c r="J26" s="25"/>
      <c r="M26"/>
      <c r="O26" s="15"/>
    </row>
    <row r="27" spans="1:15" x14ac:dyDescent="0.2">
      <c r="B27" s="27" t="s">
        <v>67</v>
      </c>
      <c r="C27" s="55"/>
      <c r="E27" s="55"/>
      <c r="F27" s="55"/>
      <c r="I27" s="34" t="s">
        <v>57</v>
      </c>
      <c r="J27" s="35" t="s">
        <v>58</v>
      </c>
      <c r="K27" s="35" t="s">
        <v>59</v>
      </c>
      <c r="L27" s="35" t="s">
        <v>2</v>
      </c>
      <c r="M27" s="35" t="s">
        <v>60</v>
      </c>
      <c r="O27" s="31">
        <f>SUM(U21:U22)</f>
        <v>0</v>
      </c>
    </row>
    <row r="28" spans="1:15" x14ac:dyDescent="0.2">
      <c r="I28" s="36">
        <f>SUM(E12:E22)</f>
        <v>616105.45333332371</v>
      </c>
      <c r="J28" s="56">
        <f>+E29</f>
        <v>5</v>
      </c>
      <c r="K28" s="37">
        <f>+I28/J28</f>
        <v>123221.09066666474</v>
      </c>
      <c r="L28" s="37">
        <f>+L12</f>
        <v>6</v>
      </c>
      <c r="M28" s="37">
        <f>+K28*L28</f>
        <v>739326.54399998835</v>
      </c>
    </row>
    <row r="29" spans="1:15" x14ac:dyDescent="0.2">
      <c r="B29" s="27" t="s">
        <v>55</v>
      </c>
      <c r="C29" s="55"/>
      <c r="E29" s="55">
        <f>SUM(E25:E28)</f>
        <v>5</v>
      </c>
      <c r="F29" s="55">
        <f>SUM(F25:F28)</f>
        <v>6</v>
      </c>
      <c r="K29"/>
      <c r="M29"/>
      <c r="O29" s="31">
        <v>1</v>
      </c>
    </row>
    <row r="30" spans="1:15" x14ac:dyDescent="0.2">
      <c r="B30" s="27"/>
      <c r="K30"/>
      <c r="M30"/>
    </row>
    <row r="31" spans="1:15" hidden="1" x14ac:dyDescent="0.2">
      <c r="A31" s="13" t="s">
        <v>71</v>
      </c>
      <c r="B31" s="14" t="s">
        <v>72</v>
      </c>
      <c r="C31" s="15">
        <f>'[15]Team Report'!BA29</f>
        <v>143473.75</v>
      </c>
      <c r="E31" s="15">
        <f t="shared" ref="E31:E38" si="3">(C31/9)*12</f>
        <v>191298.33333333331</v>
      </c>
      <c r="F31" s="15"/>
    </row>
    <row r="32" spans="1:15" hidden="1" x14ac:dyDescent="0.2">
      <c r="A32" s="13" t="s">
        <v>73</v>
      </c>
      <c r="B32" s="14" t="s">
        <v>74</v>
      </c>
      <c r="C32" s="15">
        <f>'[15]Team Report'!BA30</f>
        <v>0</v>
      </c>
      <c r="E32" s="15">
        <f t="shared" si="3"/>
        <v>0</v>
      </c>
      <c r="F32" s="15"/>
    </row>
    <row r="33" spans="1:14" hidden="1" x14ac:dyDescent="0.2">
      <c r="A33" s="13" t="s">
        <v>75</v>
      </c>
      <c r="B33" s="14" t="s">
        <v>76</v>
      </c>
      <c r="C33" s="15">
        <f>'[15]Team Report'!BA31</f>
        <v>0</v>
      </c>
      <c r="E33" s="15">
        <f t="shared" si="3"/>
        <v>0</v>
      </c>
      <c r="F33" s="15"/>
    </row>
    <row r="34" spans="1:14" hidden="1" x14ac:dyDescent="0.2">
      <c r="A34" s="13" t="s">
        <v>77</v>
      </c>
      <c r="B34" s="14" t="s">
        <v>78</v>
      </c>
      <c r="C34" s="15">
        <f>'[15]Team Report'!BA39</f>
        <v>0</v>
      </c>
      <c r="E34" s="15">
        <f t="shared" si="3"/>
        <v>0</v>
      </c>
      <c r="F34" s="15"/>
    </row>
    <row r="35" spans="1:14" hidden="1" x14ac:dyDescent="0.2">
      <c r="A35" s="13" t="s">
        <v>79</v>
      </c>
      <c r="B35" s="14" t="s">
        <v>80</v>
      </c>
      <c r="C35" s="15">
        <f>'[15]Team Report'!BA40</f>
        <v>47150.06</v>
      </c>
      <c r="E35" s="15">
        <f t="shared" si="3"/>
        <v>62866.746666666659</v>
      </c>
      <c r="F35" s="15"/>
    </row>
    <row r="36" spans="1:14" hidden="1" x14ac:dyDescent="0.2">
      <c r="A36" s="13" t="s">
        <v>81</v>
      </c>
      <c r="B36" s="14" t="s">
        <v>82</v>
      </c>
      <c r="C36" s="15">
        <f>'[15]Team Report'!BA41</f>
        <v>150417.00999999998</v>
      </c>
      <c r="E36" s="15">
        <f t="shared" si="3"/>
        <v>200556.01333333331</v>
      </c>
      <c r="F36" s="15"/>
    </row>
    <row r="37" spans="1:14" hidden="1" x14ac:dyDescent="0.2">
      <c r="A37" s="13" t="s">
        <v>83</v>
      </c>
      <c r="B37" s="14" t="s">
        <v>84</v>
      </c>
      <c r="C37" s="15">
        <f>'[15]Team Report'!BA43</f>
        <v>7417.54</v>
      </c>
      <c r="E37" s="15">
        <f t="shared" si="3"/>
        <v>9890.0533333333333</v>
      </c>
      <c r="F37" s="15"/>
    </row>
    <row r="38" spans="1:14" hidden="1" x14ac:dyDescent="0.2">
      <c r="A38" s="13" t="s">
        <v>85</v>
      </c>
      <c r="B38" s="14" t="s">
        <v>86</v>
      </c>
      <c r="C38" s="15">
        <f>'[15]Team Report'!BA45</f>
        <v>11194108.379999999</v>
      </c>
      <c r="E38" s="15">
        <f t="shared" si="3"/>
        <v>14925477.839999998</v>
      </c>
      <c r="F38" s="15"/>
    </row>
    <row r="39" spans="1:14" hidden="1" x14ac:dyDescent="0.2">
      <c r="A39" s="13" t="s">
        <v>21</v>
      </c>
      <c r="B39" s="14" t="s">
        <v>22</v>
      </c>
      <c r="C39" s="15">
        <v>24143776.43</v>
      </c>
      <c r="E39" s="15">
        <v>32191701.906666666</v>
      </c>
      <c r="F39" s="15"/>
    </row>
    <row r="40" spans="1:14" hidden="1" x14ac:dyDescent="0.2">
      <c r="B40" s="14" t="s">
        <v>41</v>
      </c>
      <c r="C40" s="15">
        <v>243106037</v>
      </c>
      <c r="E40" s="15"/>
      <c r="F40" s="15"/>
      <c r="N40" s="25"/>
    </row>
    <row r="44" spans="1:14" x14ac:dyDescent="0.2">
      <c r="C44" s="54">
        <f>C23+C31+C32+C33+C34+C35+C36+C37+C38</f>
        <v>13143241.919999991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63" bottom="0.48" header="0.76" footer="0.5"/>
  <pageSetup orientation="portrait" verticalDpi="196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S44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13.85546875" customWidth="1"/>
    <col min="7" max="7" width="2.28515625" customWidth="1"/>
    <col min="8" max="8" width="4.42578125" customWidth="1"/>
    <col min="9" max="9" width="13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5" width="9.140625" hidden="1" customWidth="1"/>
  </cols>
  <sheetData>
    <row r="1" spans="1:45" ht="18" x14ac:dyDescent="0.25">
      <c r="B1" s="140" t="str">
        <f>'[15]Team Report'!B1</f>
        <v>Enron North America</v>
      </c>
      <c r="C1" s="140"/>
      <c r="D1" s="140"/>
      <c r="E1" s="140"/>
      <c r="F1" s="140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0" t="str">
        <f>'[15]Pull Sheet'!E9</f>
        <v>Office of the Chair</v>
      </c>
      <c r="C2" s="140"/>
      <c r="D2" s="140"/>
      <c r="E2" s="140"/>
      <c r="F2" s="140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40" t="s">
        <v>0</v>
      </c>
      <c r="C3" s="140"/>
      <c r="D3" s="140"/>
      <c r="E3" s="140"/>
      <c r="F3" s="140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45"/>
      <c r="K4" s="145"/>
      <c r="L4" s="145"/>
      <c r="M4" s="145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>
        <v>2002</v>
      </c>
      <c r="J6" s="7"/>
      <c r="K6" s="19" t="s">
        <v>1</v>
      </c>
      <c r="L6" s="19" t="s">
        <v>2</v>
      </c>
      <c r="M6" s="74" t="s">
        <v>107</v>
      </c>
      <c r="O6" s="44" t="s">
        <v>63</v>
      </c>
    </row>
    <row r="7" spans="1:45" x14ac:dyDescent="0.2">
      <c r="C7" s="12" t="s">
        <v>5</v>
      </c>
      <c r="E7" s="12" t="s">
        <v>69</v>
      </c>
      <c r="F7" s="12" t="s">
        <v>7</v>
      </c>
      <c r="J7" s="7"/>
      <c r="K7" s="17"/>
      <c r="L7" s="17"/>
      <c r="M7" s="43"/>
      <c r="O7" s="12" t="s">
        <v>7</v>
      </c>
    </row>
    <row r="8" spans="1:45" x14ac:dyDescent="0.2">
      <c r="A8" s="13" t="s">
        <v>9</v>
      </c>
      <c r="B8" s="14" t="s">
        <v>10</v>
      </c>
      <c r="C8" s="53">
        <f>'[15]Team Report'!BA25</f>
        <v>888807.72</v>
      </c>
      <c r="E8" s="15">
        <f t="shared" ref="E8:E22" si="0">(C8/9)*12</f>
        <v>1185076.96</v>
      </c>
      <c r="F8" s="15">
        <f>(+M21)*1.2</f>
        <v>1080000</v>
      </c>
      <c r="J8" s="7"/>
      <c r="K8" s="17"/>
      <c r="L8" s="17"/>
      <c r="M8" s="43"/>
      <c r="O8" s="15">
        <f t="shared" ref="O8:O22" si="1">+F8/$F$29*$O$29</f>
        <v>360000</v>
      </c>
    </row>
    <row r="9" spans="1:45" hidden="1" x14ac:dyDescent="0.2">
      <c r="A9" s="13"/>
      <c r="B9" s="14" t="s">
        <v>11</v>
      </c>
      <c r="C9" s="15">
        <v>0</v>
      </c>
      <c r="E9" s="15">
        <f t="shared" si="0"/>
        <v>0</v>
      </c>
      <c r="F9" s="15">
        <v>0</v>
      </c>
      <c r="J9" s="7" t="s">
        <v>10</v>
      </c>
      <c r="K9" s="17">
        <v>0</v>
      </c>
      <c r="L9" s="17">
        <f>+L21</f>
        <v>3</v>
      </c>
      <c r="M9" s="43">
        <f>M21</f>
        <v>900000</v>
      </c>
      <c r="O9" s="15">
        <f t="shared" si="1"/>
        <v>0</v>
      </c>
    </row>
    <row r="10" spans="1:45" x14ac:dyDescent="0.2">
      <c r="A10" s="13"/>
      <c r="B10" s="14" t="s">
        <v>70</v>
      </c>
      <c r="C10" s="15">
        <v>0</v>
      </c>
      <c r="E10" s="15">
        <f t="shared" si="0"/>
        <v>0</v>
      </c>
      <c r="F10" s="15"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'[15]Team Report'!BA26</f>
        <v>249788.37</v>
      </c>
      <c r="E11" s="15">
        <f t="shared" si="0"/>
        <v>333051.15999999997</v>
      </c>
      <c r="F11" s="15">
        <f>(+F8*0.2)*1.2</f>
        <v>259200</v>
      </c>
      <c r="J11" s="7"/>
      <c r="K11" s="17"/>
      <c r="L11" s="17"/>
      <c r="M11" s="43"/>
      <c r="O11" s="15">
        <f t="shared" si="1"/>
        <v>86400</v>
      </c>
    </row>
    <row r="12" spans="1:45" x14ac:dyDescent="0.2">
      <c r="A12" s="13" t="s">
        <v>16</v>
      </c>
      <c r="B12" s="14" t="s">
        <v>17</v>
      </c>
      <c r="C12" s="15">
        <f>'[15]Team Report'!BA27</f>
        <v>180082.12999999998</v>
      </c>
      <c r="E12" s="21">
        <f t="shared" si="0"/>
        <v>240109.50666666665</v>
      </c>
      <c r="F12" s="21">
        <f>(+'Office of the Chair'!F12-'OOC Admin'!F12)*1.2</f>
        <v>304266.76684799994</v>
      </c>
      <c r="J12" s="7" t="s">
        <v>15</v>
      </c>
      <c r="K12" s="17">
        <f>(E12+E13+E14+E15+E16+E17+E18+E19+E20+E21+E22)/E29</f>
        <v>123221.09066666474</v>
      </c>
      <c r="L12" s="17">
        <f>+L21</f>
        <v>3</v>
      </c>
      <c r="M12" s="43">
        <f>K12*L12</f>
        <v>369663.27199999418</v>
      </c>
      <c r="O12" s="15">
        <f t="shared" si="1"/>
        <v>101422.25561599998</v>
      </c>
    </row>
    <row r="13" spans="1:45" x14ac:dyDescent="0.2">
      <c r="A13" s="13" t="s">
        <v>18</v>
      </c>
      <c r="B13" s="14" t="s">
        <v>19</v>
      </c>
      <c r="C13" s="15">
        <f>'[15]Team Report'!BA28</f>
        <v>201416.5</v>
      </c>
      <c r="E13" s="21">
        <f t="shared" si="0"/>
        <v>268555.33333333331</v>
      </c>
      <c r="F13" s="21">
        <f>(+'Office of the Chair'!F13-'OOC Admin'!F13)*1.2</f>
        <v>340313.31840000005</v>
      </c>
      <c r="J13" s="7"/>
      <c r="K13" s="17"/>
      <c r="L13" s="17"/>
      <c r="M13" s="43"/>
      <c r="O13" s="15">
        <f t="shared" si="1"/>
        <v>113437.77280000002</v>
      </c>
    </row>
    <row r="14" spans="1:45" ht="13.5" thickBot="1" x14ac:dyDescent="0.25">
      <c r="A14" s="13" t="s">
        <v>21</v>
      </c>
      <c r="B14" s="14" t="s">
        <v>22</v>
      </c>
      <c r="C14" s="15">
        <v>0</v>
      </c>
      <c r="E14" s="21">
        <f t="shared" si="0"/>
        <v>0</v>
      </c>
      <c r="F14" s="21">
        <f>(+E14/$E$29*$F$29)*1.2</f>
        <v>0</v>
      </c>
      <c r="J14" s="22" t="s">
        <v>20</v>
      </c>
      <c r="K14" s="47"/>
      <c r="L14" s="47"/>
      <c r="M14" s="48">
        <f>SUM(M9:M12)</f>
        <v>1269663.2719999943</v>
      </c>
      <c r="O14" s="15">
        <f t="shared" si="1"/>
        <v>0</v>
      </c>
    </row>
    <row r="15" spans="1:45" x14ac:dyDescent="0.2">
      <c r="A15" s="13" t="s">
        <v>23</v>
      </c>
      <c r="B15" s="14" t="s">
        <v>24</v>
      </c>
      <c r="C15" s="15">
        <f>'[15]Team Report'!BA33</f>
        <v>10998.160000000003</v>
      </c>
      <c r="E15" s="21">
        <f t="shared" si="0"/>
        <v>14664.213333333337</v>
      </c>
      <c r="F15" s="21">
        <f>(+E15/$E$29*$F$29)*1.2</f>
        <v>10558.233600000001</v>
      </c>
      <c r="J15" s="8"/>
      <c r="K15" s="17"/>
      <c r="L15" s="17"/>
      <c r="M15" s="17"/>
      <c r="O15" s="15">
        <f t="shared" si="1"/>
        <v>3519.4112000000005</v>
      </c>
    </row>
    <row r="16" spans="1:45" x14ac:dyDescent="0.2">
      <c r="A16" s="13" t="s">
        <v>25</v>
      </c>
      <c r="B16" s="14" t="s">
        <v>26</v>
      </c>
      <c r="C16" s="15">
        <f>'[15]Team Report'!BA34</f>
        <v>0</v>
      </c>
      <c r="E16" s="21">
        <f t="shared" si="0"/>
        <v>0</v>
      </c>
      <c r="F16" s="21">
        <f>(+E16/$E$29*$F$29)*1.2</f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'[15]Team Report'!BA35</f>
        <v>25000</v>
      </c>
      <c r="E17" s="21">
        <f t="shared" si="0"/>
        <v>33333.333333333336</v>
      </c>
      <c r="F17" s="21">
        <f>(+'Office of the Chair'!F17-'OOC Admin'!F17)*1.2</f>
        <v>48000</v>
      </c>
      <c r="M17" s="17"/>
      <c r="O17" s="15">
        <f t="shared" si="1"/>
        <v>16000</v>
      </c>
    </row>
    <row r="18" spans="1:15" x14ac:dyDescent="0.2">
      <c r="A18" s="13" t="s">
        <v>31</v>
      </c>
      <c r="B18" s="14" t="s">
        <v>32</v>
      </c>
      <c r="C18" s="15">
        <f>'[15]Team Report'!BA36</f>
        <v>2602.3200000000002</v>
      </c>
      <c r="E18" s="21">
        <f t="shared" si="0"/>
        <v>3469.76</v>
      </c>
      <c r="F18" s="21">
        <f>(+E18/$E$29*$F$29)*1.2</f>
        <v>2498.2271999999998</v>
      </c>
      <c r="J18" t="s">
        <v>30</v>
      </c>
      <c r="K18" s="25">
        <v>55000</v>
      </c>
      <c r="L18" s="25">
        <v>0</v>
      </c>
      <c r="M18" s="17">
        <f>K18*L18</f>
        <v>0</v>
      </c>
      <c r="O18" s="15">
        <f t="shared" si="1"/>
        <v>832.74239999999998</v>
      </c>
    </row>
    <row r="19" spans="1:15" x14ac:dyDescent="0.2">
      <c r="A19" s="13" t="s">
        <v>34</v>
      </c>
      <c r="B19" s="14" t="s">
        <v>35</v>
      </c>
      <c r="C19" s="15">
        <f>'[15]Team Report'!BA37</f>
        <v>40643.17</v>
      </c>
      <c r="E19" s="21">
        <f t="shared" si="0"/>
        <v>54190.893333333326</v>
      </c>
      <c r="F19" s="21">
        <f>(+'Office of the Chair'!F19-'OOC Admin'!F19)*1.2</f>
        <v>54624.420479999993</v>
      </c>
      <c r="J19" t="s">
        <v>143</v>
      </c>
      <c r="K19" s="25">
        <v>250000</v>
      </c>
      <c r="L19" s="25">
        <v>1</v>
      </c>
      <c r="M19" s="17">
        <f>K19*L19</f>
        <v>250000</v>
      </c>
      <c r="O19" s="15">
        <f t="shared" si="1"/>
        <v>18208.140159999999</v>
      </c>
    </row>
    <row r="20" spans="1:15" x14ac:dyDescent="0.2">
      <c r="A20" s="13" t="s">
        <v>37</v>
      </c>
      <c r="B20" s="14" t="s">
        <v>38</v>
      </c>
      <c r="C20" s="15">
        <f>'[15]Team Report'!BA38</f>
        <v>1258.2</v>
      </c>
      <c r="E20" s="21">
        <f t="shared" si="0"/>
        <v>1677.6000000000001</v>
      </c>
      <c r="F20" s="21">
        <f>(+E20/$E$29*$F$29)*1.2</f>
        <v>1207.8720000000001</v>
      </c>
      <c r="J20" t="s">
        <v>90</v>
      </c>
      <c r="K20" s="25">
        <v>250000</v>
      </c>
      <c r="L20" s="25">
        <v>2</v>
      </c>
      <c r="M20" s="17">
        <f>K20*L20</f>
        <v>500000</v>
      </c>
      <c r="O20" s="15">
        <f t="shared" si="1"/>
        <v>402.62400000000002</v>
      </c>
    </row>
    <row r="21" spans="1:15" x14ac:dyDescent="0.2">
      <c r="A21" s="13" t="s">
        <v>40</v>
      </c>
      <c r="B21" s="14" t="s">
        <v>41</v>
      </c>
      <c r="C21" s="15">
        <f>'[15]Team Report'!BA42-C40</f>
        <v>-0.18000000715255737</v>
      </c>
      <c r="E21" s="21">
        <f t="shared" si="0"/>
        <v>-0.24000000953674316</v>
      </c>
      <c r="F21" s="21">
        <f>(+E21/$E$29*$F$29)*1.2</f>
        <v>-0.17280000686645508</v>
      </c>
      <c r="L21" s="25">
        <f>SUM(L18:L20)</f>
        <v>3</v>
      </c>
      <c r="M21" s="25">
        <f>SUM(M18:M20)*1.2</f>
        <v>900000</v>
      </c>
      <c r="O21" s="15">
        <f t="shared" si="1"/>
        <v>-5.7600002288818362E-2</v>
      </c>
    </row>
    <row r="22" spans="1:15" x14ac:dyDescent="0.2">
      <c r="A22" s="13" t="s">
        <v>43</v>
      </c>
      <c r="B22" s="14" t="s">
        <v>44</v>
      </c>
      <c r="C22" s="15">
        <f>'[15]Team Report'!BA44</f>
        <v>78.789999999999992</v>
      </c>
      <c r="E22" s="21">
        <f t="shared" si="0"/>
        <v>105.05333333333331</v>
      </c>
      <c r="F22" s="21">
        <f>(+E22/$E$29*$F$29)*1.2</f>
        <v>75.638399999999976</v>
      </c>
      <c r="L22" s="52"/>
      <c r="M22" s="52"/>
      <c r="O22" s="15">
        <f t="shared" si="1"/>
        <v>25.212799999999991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1600675.1799999925</v>
      </c>
      <c r="E23" s="28">
        <f>SUM(E8:E22)</f>
        <v>2134233.5733333235</v>
      </c>
      <c r="F23" s="28">
        <f>SUM(F8:F22)</f>
        <v>2100744.3041279931</v>
      </c>
      <c r="O23" s="58">
        <f>SUM(O8:O22)</f>
        <v>700248.10137599753</v>
      </c>
    </row>
    <row r="25" spans="1:15" x14ac:dyDescent="0.2">
      <c r="B25" s="27" t="s">
        <v>50</v>
      </c>
      <c r="C25" s="55"/>
      <c r="E25" s="55">
        <v>5</v>
      </c>
      <c r="F25" s="79">
        <f>SUM(L18:L20)</f>
        <v>3</v>
      </c>
      <c r="I25" s="33" t="s">
        <v>56</v>
      </c>
      <c r="J25" s="25"/>
      <c r="M25"/>
      <c r="O25" s="31">
        <f>SUM(U16:U20,U23:U27)</f>
        <v>0</v>
      </c>
    </row>
    <row r="26" spans="1:15" x14ac:dyDescent="0.2">
      <c r="J26" s="25"/>
      <c r="M26"/>
      <c r="O26" s="15"/>
    </row>
    <row r="27" spans="1:15" x14ac:dyDescent="0.2">
      <c r="B27" s="27" t="s">
        <v>67</v>
      </c>
      <c r="C27" s="55"/>
      <c r="E27" s="55"/>
      <c r="F27" s="55"/>
      <c r="I27" s="34" t="s">
        <v>57</v>
      </c>
      <c r="J27" s="35" t="s">
        <v>58</v>
      </c>
      <c r="K27" s="35" t="s">
        <v>59</v>
      </c>
      <c r="L27" s="35" t="s">
        <v>2</v>
      </c>
      <c r="M27" s="35" t="s">
        <v>60</v>
      </c>
      <c r="O27" s="31">
        <f>SUM(U21:U22)</f>
        <v>0</v>
      </c>
    </row>
    <row r="28" spans="1:15" x14ac:dyDescent="0.2">
      <c r="I28" s="36">
        <f>SUM(E12:E22)</f>
        <v>616105.45333332371</v>
      </c>
      <c r="J28" s="56">
        <f>+E29</f>
        <v>5</v>
      </c>
      <c r="K28" s="37">
        <f>+I28/J28</f>
        <v>123221.09066666474</v>
      </c>
      <c r="L28" s="37">
        <f>+L12</f>
        <v>3</v>
      </c>
      <c r="M28" s="37">
        <f>+K28*L28</f>
        <v>369663.27199999418</v>
      </c>
    </row>
    <row r="29" spans="1:15" x14ac:dyDescent="0.2">
      <c r="B29" s="27" t="s">
        <v>55</v>
      </c>
      <c r="C29" s="55"/>
      <c r="E29" s="55">
        <f>SUM(E25:E28)</f>
        <v>5</v>
      </c>
      <c r="F29" s="55">
        <f>SUM(F25:F28)</f>
        <v>3</v>
      </c>
      <c r="K29"/>
      <c r="M29"/>
      <c r="O29" s="31">
        <v>1</v>
      </c>
    </row>
    <row r="30" spans="1:15" x14ac:dyDescent="0.2">
      <c r="B30" s="27"/>
      <c r="K30"/>
      <c r="M30"/>
    </row>
    <row r="31" spans="1:15" hidden="1" x14ac:dyDescent="0.2">
      <c r="A31" s="13" t="s">
        <v>71</v>
      </c>
      <c r="B31" s="14" t="s">
        <v>72</v>
      </c>
      <c r="C31" s="15">
        <f>'[15]Team Report'!BA29</f>
        <v>143473.75</v>
      </c>
      <c r="E31" s="15">
        <f t="shared" ref="E31:E38" si="2">(C31/9)*12</f>
        <v>191298.33333333331</v>
      </c>
      <c r="F31" s="15"/>
    </row>
    <row r="32" spans="1:15" hidden="1" x14ac:dyDescent="0.2">
      <c r="A32" s="13" t="s">
        <v>73</v>
      </c>
      <c r="B32" s="14" t="s">
        <v>74</v>
      </c>
      <c r="C32" s="15">
        <f>'[15]Team Report'!BA30</f>
        <v>0</v>
      </c>
      <c r="E32" s="15">
        <f t="shared" si="2"/>
        <v>0</v>
      </c>
      <c r="F32" s="15"/>
    </row>
    <row r="33" spans="1:14" hidden="1" x14ac:dyDescent="0.2">
      <c r="A33" s="13" t="s">
        <v>75</v>
      </c>
      <c r="B33" s="14" t="s">
        <v>76</v>
      </c>
      <c r="C33" s="15">
        <f>'[15]Team Report'!BA31</f>
        <v>0</v>
      </c>
      <c r="E33" s="15">
        <f t="shared" si="2"/>
        <v>0</v>
      </c>
      <c r="F33" s="15"/>
    </row>
    <row r="34" spans="1:14" hidden="1" x14ac:dyDescent="0.2">
      <c r="A34" s="13" t="s">
        <v>77</v>
      </c>
      <c r="B34" s="14" t="s">
        <v>78</v>
      </c>
      <c r="C34" s="15">
        <f>'[15]Team Report'!BA39</f>
        <v>0</v>
      </c>
      <c r="E34" s="15">
        <f t="shared" si="2"/>
        <v>0</v>
      </c>
      <c r="F34" s="15"/>
    </row>
    <row r="35" spans="1:14" hidden="1" x14ac:dyDescent="0.2">
      <c r="A35" s="13" t="s">
        <v>79</v>
      </c>
      <c r="B35" s="14" t="s">
        <v>80</v>
      </c>
      <c r="C35" s="15">
        <f>'[15]Team Report'!BA40</f>
        <v>47150.06</v>
      </c>
      <c r="E35" s="15">
        <f t="shared" si="2"/>
        <v>62866.746666666659</v>
      </c>
      <c r="F35" s="15"/>
    </row>
    <row r="36" spans="1:14" hidden="1" x14ac:dyDescent="0.2">
      <c r="A36" s="13" t="s">
        <v>81</v>
      </c>
      <c r="B36" s="14" t="s">
        <v>82</v>
      </c>
      <c r="C36" s="15">
        <f>'[15]Team Report'!BA41</f>
        <v>150417.00999999998</v>
      </c>
      <c r="E36" s="15">
        <f t="shared" si="2"/>
        <v>200556.01333333331</v>
      </c>
      <c r="F36" s="15"/>
    </row>
    <row r="37" spans="1:14" hidden="1" x14ac:dyDescent="0.2">
      <c r="A37" s="13" t="s">
        <v>83</v>
      </c>
      <c r="B37" s="14" t="s">
        <v>84</v>
      </c>
      <c r="C37" s="15">
        <f>'[15]Team Report'!BA43</f>
        <v>7417.54</v>
      </c>
      <c r="E37" s="15">
        <f t="shared" si="2"/>
        <v>9890.0533333333333</v>
      </c>
      <c r="F37" s="15"/>
    </row>
    <row r="38" spans="1:14" hidden="1" x14ac:dyDescent="0.2">
      <c r="A38" s="13" t="s">
        <v>85</v>
      </c>
      <c r="B38" s="14" t="s">
        <v>86</v>
      </c>
      <c r="C38" s="15">
        <f>'[15]Team Report'!BA45</f>
        <v>11194108.379999999</v>
      </c>
      <c r="E38" s="15">
        <f t="shared" si="2"/>
        <v>14925477.839999998</v>
      </c>
      <c r="F38" s="15"/>
    </row>
    <row r="39" spans="1:14" hidden="1" x14ac:dyDescent="0.2">
      <c r="A39" s="13" t="s">
        <v>21</v>
      </c>
      <c r="B39" s="14" t="s">
        <v>22</v>
      </c>
      <c r="C39" s="15">
        <v>24143776.43</v>
      </c>
      <c r="E39" s="15">
        <v>32191701.906666666</v>
      </c>
      <c r="F39" s="15"/>
    </row>
    <row r="40" spans="1:14" hidden="1" x14ac:dyDescent="0.2">
      <c r="B40" s="14" t="s">
        <v>41</v>
      </c>
      <c r="C40" s="15">
        <v>243106037</v>
      </c>
      <c r="E40" s="15"/>
      <c r="F40" s="15"/>
      <c r="N40" s="25"/>
    </row>
    <row r="44" spans="1:14" x14ac:dyDescent="0.2">
      <c r="C44" s="54">
        <f>C23+C31+C32+C33+C34+C35+C36+C37+C38</f>
        <v>13143241.919999991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63" bottom="0.48" header="0.76" footer="0.5"/>
  <pageSetup orientation="portrait" verticalDpi="196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AS34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36" width="9.140625" hidden="1" customWidth="1"/>
  </cols>
  <sheetData>
    <row r="1" spans="1:45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0" t="s">
        <v>229</v>
      </c>
      <c r="C2" s="140"/>
      <c r="D2" s="140"/>
      <c r="E2" s="140"/>
      <c r="F2" s="140"/>
      <c r="G2" s="140"/>
      <c r="H2" s="14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x14ac:dyDescent="0.2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(M16+M17+M18+M19+M20+M23+M24+M26)*1.2</f>
        <v>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1874880</v>
      </c>
      <c r="O8" s="15">
        <f t="shared" ref="O8:O22" si="1">+F8/$F$29*$O$29</f>
        <v>0</v>
      </c>
    </row>
    <row r="9" spans="1:45" hidden="1" x14ac:dyDescent="0.2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>
        <v>0</v>
      </c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(M21+M22)*1.2</f>
        <v>1874880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104160</v>
      </c>
    </row>
    <row r="11" spans="1:45" x14ac:dyDescent="0.2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(M28*0.2)*1.2</f>
        <v>374976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18</v>
      </c>
      <c r="M11" s="18">
        <f>K11*L11</f>
        <v>570171.27421276586</v>
      </c>
      <c r="O11" s="15">
        <f t="shared" si="1"/>
        <v>20832</v>
      </c>
    </row>
    <row r="12" spans="1:45" x14ac:dyDescent="0.2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21">
        <f t="shared" ref="F12:F22" si="3">(E12/$E$29*$L$11)*1.2</f>
        <v>136391.21157446809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7577.2895319148938</v>
      </c>
    </row>
    <row r="13" spans="1:45" ht="13.5" thickBot="1" x14ac:dyDescent="0.2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21">
        <f t="shared" si="3"/>
        <v>248627.43666382978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2445051.274212766</v>
      </c>
      <c r="O13" s="15">
        <f t="shared" si="1"/>
        <v>13812.635370212765</v>
      </c>
    </row>
    <row r="14" spans="1:45" x14ac:dyDescent="0.2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21">
        <f t="shared" si="3"/>
        <v>9.3140425561590384E-2</v>
      </c>
      <c r="H14" s="16">
        <f t="shared" si="0"/>
        <v>2.9853903459396468E-8</v>
      </c>
      <c r="N14" s="49"/>
      <c r="O14" s="15">
        <f t="shared" si="1"/>
        <v>5.1744680867550213E-3</v>
      </c>
    </row>
    <row r="15" spans="1:45" x14ac:dyDescent="0.2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21">
        <f t="shared" si="3"/>
        <v>22850.564629787234</v>
      </c>
      <c r="H15" s="16">
        <f t="shared" si="0"/>
        <v>7.3241940471838168E-3</v>
      </c>
      <c r="K15" s="25"/>
      <c r="O15" s="15">
        <f t="shared" si="1"/>
        <v>1269.4758127659575</v>
      </c>
    </row>
    <row r="16" spans="1:45" x14ac:dyDescent="0.2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27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21">
        <f t="shared" si="3"/>
        <v>1299.063829787234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4"/>
        <v>0</v>
      </c>
      <c r="O17" s="15">
        <f t="shared" si="1"/>
        <v>72.170212765957444</v>
      </c>
    </row>
    <row r="18" spans="1:15" x14ac:dyDescent="0.2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21">
        <f t="shared" si="3"/>
        <v>70.4166127659566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4"/>
        <v>0</v>
      </c>
      <c r="O18" s="15">
        <f t="shared" si="1"/>
        <v>3.9120340425531444</v>
      </c>
    </row>
    <row r="19" spans="1:15" x14ac:dyDescent="0.2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21">
        <f t="shared" si="3"/>
        <v>119403.37838297873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4"/>
        <v>0</v>
      </c>
      <c r="O19" s="15">
        <f t="shared" si="1"/>
        <v>6633.521021276596</v>
      </c>
    </row>
    <row r="20" spans="1:15" x14ac:dyDescent="0.2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21">
        <f t="shared" si="3"/>
        <v>19.162417021276596</v>
      </c>
      <c r="H20" s="16">
        <f t="shared" si="0"/>
        <v>6.1420478202947023E-6</v>
      </c>
      <c r="J20" t="s">
        <v>39</v>
      </c>
      <c r="K20" s="25">
        <v>78000</v>
      </c>
      <c r="L20">
        <v>0</v>
      </c>
      <c r="M20" s="25">
        <f t="shared" si="4"/>
        <v>0</v>
      </c>
      <c r="O20" s="15">
        <f t="shared" si="1"/>
        <v>1.0645787234042554</v>
      </c>
    </row>
    <row r="21" spans="1:15" x14ac:dyDescent="0.2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21">
        <f t="shared" si="3"/>
        <v>155252.46638297869</v>
      </c>
      <c r="H21" s="16">
        <f t="shared" si="0"/>
        <v>4.9762411061411306E-2</v>
      </c>
      <c r="J21" t="s">
        <v>42</v>
      </c>
      <c r="K21" s="25">
        <v>66000</v>
      </c>
      <c r="L21">
        <f>6</f>
        <v>6</v>
      </c>
      <c r="M21" s="25">
        <f t="shared" si="4"/>
        <v>396000</v>
      </c>
      <c r="O21" s="15">
        <f t="shared" si="1"/>
        <v>8625.1370212765942</v>
      </c>
    </row>
    <row r="22" spans="1:15" x14ac:dyDescent="0.2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21">
        <f t="shared" si="3"/>
        <v>291.73542127659573</v>
      </c>
      <c r="H22" s="16">
        <f t="shared" si="0"/>
        <v>9.350871063734415E-5</v>
      </c>
      <c r="J22" t="s">
        <v>45</v>
      </c>
      <c r="K22" s="25">
        <v>97200</v>
      </c>
      <c r="L22">
        <v>12</v>
      </c>
      <c r="M22" s="25">
        <f t="shared" si="4"/>
        <v>1166400</v>
      </c>
      <c r="O22" s="15">
        <f t="shared" si="1"/>
        <v>16.207523404255319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2934061.5290553183</v>
      </c>
      <c r="H23" s="30">
        <f>SUM(H8:H22)</f>
        <v>1</v>
      </c>
      <c r="J23" t="s">
        <v>48</v>
      </c>
      <c r="K23" s="25">
        <v>120000</v>
      </c>
      <c r="L23">
        <v>0</v>
      </c>
      <c r="M23" s="25">
        <f t="shared" si="4"/>
        <v>0</v>
      </c>
      <c r="O23" s="58">
        <f>SUM(O8:O22)</f>
        <v>163003.41828085104</v>
      </c>
    </row>
    <row r="24" spans="1:15" x14ac:dyDescent="0.2">
      <c r="J24" t="s">
        <v>49</v>
      </c>
      <c r="K24" s="25">
        <v>156000</v>
      </c>
      <c r="L24">
        <v>0</v>
      </c>
      <c r="M24" s="25">
        <f t="shared" si="4"/>
        <v>0</v>
      </c>
    </row>
    <row r="25" spans="1:15" x14ac:dyDescent="0.2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31">
        <f>SUM(L16:L20,L23:L27)</f>
        <v>0</v>
      </c>
      <c r="J25" t="s">
        <v>51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52</v>
      </c>
      <c r="K26" s="25">
        <v>216000</v>
      </c>
      <c r="L26">
        <v>0</v>
      </c>
      <c r="M26" s="25">
        <f t="shared" si="4"/>
        <v>0</v>
      </c>
      <c r="O26" s="15"/>
    </row>
    <row r="27" spans="1:15" x14ac:dyDescent="0.2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31">
        <f>SUM(L21:L22)</f>
        <v>18</v>
      </c>
      <c r="J27" t="s">
        <v>54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x14ac:dyDescent="0.2">
      <c r="B28" s="27"/>
      <c r="L28">
        <f>SUM(L16:L27)</f>
        <v>18</v>
      </c>
      <c r="M28" s="25">
        <f>SUM(M16:M27)</f>
        <v>1562400</v>
      </c>
    </row>
    <row r="29" spans="1:15" x14ac:dyDescent="0.2">
      <c r="B29" s="27" t="s">
        <v>55</v>
      </c>
      <c r="E29" s="59">
        <f>SUM(E25:E27)</f>
        <v>141</v>
      </c>
      <c r="F29" s="31">
        <f>SUM(F25:F27)</f>
        <v>18</v>
      </c>
      <c r="H29" s="25"/>
      <c r="O29" s="31">
        <v>1</v>
      </c>
    </row>
    <row r="31" spans="1:15" x14ac:dyDescent="0.2">
      <c r="I31" s="33" t="s">
        <v>56</v>
      </c>
      <c r="J31" s="25"/>
      <c r="K31" s="25"/>
      <c r="L31" s="25"/>
    </row>
    <row r="32" spans="1:15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18</v>
      </c>
      <c r="M34" s="37">
        <f>+K34*L34</f>
        <v>570171.27421276586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AP39"/>
  <sheetViews>
    <sheetView zoomScale="80"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7.710937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5" max="15" width="10.7109375" customWidth="1"/>
  </cols>
  <sheetData>
    <row r="1" spans="1:42" ht="18" x14ac:dyDescent="0.25">
      <c r="B1" s="140" t="str">
        <f>'[20]Team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18" x14ac:dyDescent="0.25">
      <c r="B2" s="140" t="s">
        <v>277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x14ac:dyDescent="0.2">
      <c r="I4" s="39"/>
      <c r="J4" s="40"/>
      <c r="K4" s="40"/>
      <c r="L4" s="41"/>
    </row>
    <row r="5" spans="1:42" x14ac:dyDescent="0.2">
      <c r="I5" s="42"/>
      <c r="J5" s="17" t="s">
        <v>1</v>
      </c>
      <c r="K5" s="17" t="s">
        <v>2</v>
      </c>
      <c r="L5" s="43" t="s">
        <v>3</v>
      </c>
    </row>
    <row r="6" spans="1:42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O6" s="44"/>
    </row>
    <row r="7" spans="1:42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O7" s="12"/>
    </row>
    <row r="8" spans="1:42" x14ac:dyDescent="0.2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(+'East-Trading AA'!H8+'West-Trading AA'!H8+'Texas-Trading AA'!H8+'Financial - AA'!H8+'Derivatives AA'!H8+'Central - Trading AA'!H8+'Crude AA'!H8)*1.2</f>
        <v>0</v>
      </c>
      <c r="I8" s="42" t="s">
        <v>10</v>
      </c>
      <c r="J8" s="17">
        <v>0</v>
      </c>
      <c r="K8" s="17"/>
      <c r="L8" s="43">
        <f>L30</f>
        <v>1512720</v>
      </c>
      <c r="O8" s="15"/>
    </row>
    <row r="9" spans="1:42" hidden="1" x14ac:dyDescent="0.2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>
        <f>(+'East-Trading AA'!H9+'West-Trading AA'!H9+'Texas-Trading AA'!H9+'Financial - AA'!H9+'Derivatives AA'!H9+'Central - Trading AA'!H9+'Crude AA'!H9)*1.2</f>
        <v>0</v>
      </c>
      <c r="I9" s="42"/>
      <c r="J9" s="17"/>
      <c r="K9" s="17"/>
      <c r="L9" s="43"/>
      <c r="O9" s="15"/>
    </row>
    <row r="10" spans="1:42" x14ac:dyDescent="0.2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f>(+'East-Trading AA'!H10+'West-Trading AA'!H10+'Texas-Trading AA'!H10+'Financial - AA'!H10+'Derivatives AA'!H10+'Central - Trading AA'!H10+'Crude AA'!H10)*1.2</f>
        <v>1201440</v>
      </c>
      <c r="I10" s="42"/>
      <c r="J10" s="17"/>
      <c r="K10" s="17"/>
      <c r="L10" s="43"/>
      <c r="O10" s="15"/>
    </row>
    <row r="11" spans="1:42" x14ac:dyDescent="0.2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(+'East-Trading AA'!H11+'West-Trading AA'!H11+'Texas-Trading AA'!H11+'Financial - AA'!H11+'Derivatives AA'!H11+'Central - Trading AA'!H11+'Crude AA'!H11)*1.2</f>
        <v>247948.79999999999</v>
      </c>
      <c r="I11" s="42" t="s">
        <v>15</v>
      </c>
      <c r="J11" s="17">
        <f>(E12+E13+E14+E15+E16+E17+E18+E19+E20+E21+E22)/E29</f>
        <v>48270.181250000009</v>
      </c>
      <c r="K11" s="17">
        <f>K28</f>
        <v>8</v>
      </c>
      <c r="L11" s="43">
        <f>J11*K11</f>
        <v>386161.45000000007</v>
      </c>
      <c r="O11" s="15"/>
    </row>
    <row r="12" spans="1:42" x14ac:dyDescent="0.2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(+'East-Trading AA'!H12+'West-Trading AA'!H12+'Texas-Trading AA'!H12+'Financial - AA'!H12+'Derivatives AA'!H12+'Central - Trading AA'!H12+'Crude AA'!H12)*1.2</f>
        <v>105734.90550000001</v>
      </c>
      <c r="I12" s="42"/>
      <c r="J12" s="17"/>
      <c r="K12" s="17"/>
      <c r="L12" s="43"/>
      <c r="O12" s="15"/>
    </row>
    <row r="13" spans="1:42" ht="13.5" thickBot="1" x14ac:dyDescent="0.2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(+'East-Trading AA'!H13+'West-Trading AA'!H13+'Texas-Trading AA'!H13+'Financial - AA'!H13+'Derivatives AA'!H13+'Central - Trading AA'!H13+'Crude AA'!H13)*1.2</f>
        <v>135713.89659999998</v>
      </c>
      <c r="I13" s="46" t="s">
        <v>20</v>
      </c>
      <c r="J13" s="47"/>
      <c r="K13" s="47"/>
      <c r="L13" s="48">
        <f>L8+L11</f>
        <v>1898881.4500000002</v>
      </c>
      <c r="O13" s="15"/>
    </row>
    <row r="14" spans="1:42" x14ac:dyDescent="0.2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(+'East-Trading AA'!H14+'West-Trading AA'!H14+'Texas-Trading AA'!H14+'Financial - AA'!H14+'Derivatives AA'!H14+'Central - Trading AA'!H14+'Crude AA'!H14)*1.2</f>
        <v>2400.0072000000005</v>
      </c>
      <c r="O14" s="15"/>
    </row>
    <row r="15" spans="1:42" x14ac:dyDescent="0.2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(+'East-Trading AA'!H15+'West-Trading AA'!H15+'Texas-Trading AA'!H15+'Financial - AA'!H15+'Derivatives AA'!H15+'Central - Trading AA'!H15+'Crude AA'!H15)*1.2</f>
        <v>57736.889999999985</v>
      </c>
      <c r="O15" s="15"/>
    </row>
    <row r="16" spans="1:42" x14ac:dyDescent="0.2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15">
        <f>(+'East-Trading AA'!H16+'West-Trading AA'!H16+'Texas-Trading AA'!H16+'Financial - AA'!H16+'Derivatives AA'!H16+'Central - Trading AA'!H16+'Crude AA'!H16)*1.2</f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O16" s="15"/>
    </row>
    <row r="17" spans="1:15" x14ac:dyDescent="0.2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(+'East-Trading AA'!H17+'West-Trading AA'!H17+'Texas-Trading AA'!H17+'Financial - AA'!H17+'Derivatives AA'!H17+'Central - Trading AA'!H17+'Crude AA'!H17)*1.2</f>
        <v>865.59999999999991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O17" s="15"/>
    </row>
    <row r="18" spans="1:15" x14ac:dyDescent="0.2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(+'East-Trading AA'!H18+'West-Trading AA'!H18+'Texas-Trading AA'!H18+'Financial - AA'!H18+'Derivatives AA'!H18+'Central - Trading AA'!H18+'Crude AA'!H18)*1.2</f>
        <v>12214.546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O18" s="15"/>
    </row>
    <row r="19" spans="1:15" x14ac:dyDescent="0.2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(+'East-Trading AA'!H19+'West-Trading AA'!H19+'Texas-Trading AA'!H19+'Financial - AA'!H19+'Derivatives AA'!H19+'Central - Trading AA'!H19+'Crude AA'!H19)*1.2</f>
        <v>104460.51599999999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O19" s="15"/>
    </row>
    <row r="20" spans="1:15" x14ac:dyDescent="0.2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(+'East-Trading AA'!H20+'West-Trading AA'!H20+'Texas-Trading AA'!H20+'Financial - AA'!H20+'Derivatives AA'!H20+'Central - Trading AA'!H20+'Crude AA'!H20)*1.2</f>
        <v>2.6299999999999994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O20" s="15"/>
    </row>
    <row r="21" spans="1:15" x14ac:dyDescent="0.2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(+'East-Trading AA'!H21+'West-Trading AA'!H21+'Texas-Trading AA'!H21+'Financial - AA'!H21+'Derivatives AA'!H21+'Central - Trading AA'!H21+'Crude AA'!H21)*1.2</f>
        <v>23303.66729999999</v>
      </c>
      <c r="I21" s="25" t="s">
        <v>42</v>
      </c>
      <c r="J21" s="25">
        <v>60500</v>
      </c>
      <c r="K21" s="25">
        <v>1</v>
      </c>
      <c r="L21" s="25">
        <f t="shared" si="1"/>
        <v>60500</v>
      </c>
      <c r="O21" s="32"/>
    </row>
    <row r="22" spans="1:15" x14ac:dyDescent="0.2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(+'East-Trading AA'!H22+'West-Trading AA'!H22+'Texas-Trading AA'!H22+'Financial - AA'!H22+'Derivatives AA'!H22+'Central - Trading AA'!H22+'Crude AA'!H22)*1.2</f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O22" s="32"/>
    </row>
    <row r="23" spans="1:15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1891821.4586000005</v>
      </c>
      <c r="I23" s="25" t="s">
        <v>48</v>
      </c>
      <c r="J23" s="25">
        <v>110000</v>
      </c>
      <c r="K23" s="25">
        <v>2</v>
      </c>
      <c r="L23" s="25">
        <f t="shared" si="1"/>
        <v>220000</v>
      </c>
      <c r="O23" s="29"/>
    </row>
    <row r="24" spans="1:15" x14ac:dyDescent="0.2">
      <c r="I24" s="25" t="s">
        <v>49</v>
      </c>
      <c r="J24" s="25">
        <v>143000</v>
      </c>
      <c r="K24" s="25">
        <v>4</v>
      </c>
      <c r="L24" s="25">
        <f t="shared" si="1"/>
        <v>572000</v>
      </c>
      <c r="O24" s="8"/>
    </row>
    <row r="25" spans="1:15" x14ac:dyDescent="0.2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f>+'East-Trading AA'!H25+'West-Trading AA'!H25+'Texas-Trading AA'!H25+'Financial - AA'!H25+'Derivatives AA'!H25+'Central - Trading AA'!H25</f>
        <v>0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O25" s="32"/>
    </row>
    <row r="26" spans="1:15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O26" s="32"/>
    </row>
    <row r="27" spans="1:15" x14ac:dyDescent="0.2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f>+'East-Trading AA'!H27+'West-Trading AA'!H27+'Texas-Trading AA'!H27+'Financial - AA'!H27+'Derivatives AA'!H27+'Central - Trading AA'!H27+'Crude AA'!H27</f>
        <v>13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O27" s="32"/>
    </row>
    <row r="28" spans="1:15" x14ac:dyDescent="0.2">
      <c r="K28" s="25">
        <f>SUM(K16:K27)</f>
        <v>8</v>
      </c>
      <c r="L28" s="25">
        <f>SUM(L16:L27)*1.2</f>
        <v>1260600</v>
      </c>
      <c r="O28" s="8"/>
    </row>
    <row r="29" spans="1:15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13</v>
      </c>
      <c r="L29" s="52">
        <v>0.2</v>
      </c>
      <c r="O29" s="32"/>
    </row>
    <row r="30" spans="1:15" hidden="1" x14ac:dyDescent="0.2">
      <c r="L30" s="25">
        <f>L28*1.2</f>
        <v>1512720</v>
      </c>
      <c r="O30" s="8"/>
    </row>
    <row r="31" spans="1:15" hidden="1" x14ac:dyDescent="0.2">
      <c r="H31" s="33" t="s">
        <v>56</v>
      </c>
      <c r="L31"/>
      <c r="O31" s="8"/>
    </row>
    <row r="32" spans="1:15" hidden="1" x14ac:dyDescent="0.2">
      <c r="B32" s="14" t="s">
        <v>22</v>
      </c>
      <c r="C32" s="15">
        <v>254512</v>
      </c>
      <c r="L32"/>
      <c r="O32" s="8"/>
    </row>
    <row r="33" spans="8:15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O33" s="8"/>
    </row>
    <row r="34" spans="8:15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8</v>
      </c>
      <c r="L34" s="37">
        <f>+J34*K34</f>
        <v>386161.45000000007</v>
      </c>
      <c r="O34" s="8"/>
    </row>
    <row r="35" spans="8:15" hidden="1" x14ac:dyDescent="0.2">
      <c r="O35" s="8"/>
    </row>
    <row r="36" spans="8:15" hidden="1" x14ac:dyDescent="0.2">
      <c r="O36" s="8"/>
    </row>
    <row r="37" spans="8:15" hidden="1" x14ac:dyDescent="0.2">
      <c r="O37" s="8"/>
    </row>
    <row r="38" spans="8:15" hidden="1" x14ac:dyDescent="0.2">
      <c r="O38" s="8"/>
    </row>
    <row r="39" spans="8:15" x14ac:dyDescent="0.2">
      <c r="O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AR39"/>
  <sheetViews>
    <sheetView zoomScaleNormal="100" workbookViewId="0">
      <selection activeCell="O21" sqref="O21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4" customWidth="1"/>
    <col min="15" max="15" width="13.85546875" customWidth="1"/>
    <col min="16" max="16" width="10.28515625" customWidth="1"/>
    <col min="17" max="17" width="10.7109375" customWidth="1"/>
  </cols>
  <sheetData>
    <row r="1" spans="1:44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0" t="s">
        <v>291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128304</v>
      </c>
      <c r="Q8" s="15"/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89100</v>
      </c>
      <c r="I10" s="42"/>
      <c r="J10" s="17"/>
      <c r="K10" s="17"/>
      <c r="L10" s="43"/>
      <c r="Q10" s="15"/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</f>
        <v>17820</v>
      </c>
      <c r="I11" s="42" t="s">
        <v>15</v>
      </c>
      <c r="J11" s="17">
        <f>(E12+E13+E14+E15+E16+E17+E18+E19+E20+E21+E22)/E29</f>
        <v>48270.181250000009</v>
      </c>
      <c r="K11" s="17">
        <f>K28</f>
        <v>1</v>
      </c>
      <c r="L11" s="43">
        <f>J11*K11</f>
        <v>48270.181250000009</v>
      </c>
      <c r="N11" s="124" t="s">
        <v>250</v>
      </c>
      <c r="O11" s="124" t="s">
        <v>286</v>
      </c>
      <c r="P11" s="124" t="s">
        <v>253</v>
      </c>
      <c r="Q11" s="124" t="s">
        <v>287</v>
      </c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6162.4737499999974</v>
      </c>
      <c r="I12" s="42"/>
      <c r="J12" s="17"/>
      <c r="K12" s="17"/>
      <c r="L12" s="43"/>
      <c r="N12" s="124" t="s">
        <v>250</v>
      </c>
      <c r="O12" s="124" t="s">
        <v>288</v>
      </c>
      <c r="P12" s="124" t="s">
        <v>254</v>
      </c>
      <c r="Q12" s="124" t="s">
        <v>287</v>
      </c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5484.9569166666679</v>
      </c>
      <c r="I13" s="46" t="s">
        <v>20</v>
      </c>
      <c r="J13" s="47"/>
      <c r="K13" s="47"/>
      <c r="L13" s="48">
        <f>L8+L11</f>
        <v>176574.18125000002</v>
      </c>
      <c r="N13" s="124" t="s">
        <v>250</v>
      </c>
      <c r="O13" s="124" t="s">
        <v>289</v>
      </c>
      <c r="P13" s="124" t="s">
        <v>257</v>
      </c>
      <c r="Q13" s="124" t="s">
        <v>290</v>
      </c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2.0000000001649215E-3</v>
      </c>
      <c r="Q14" s="15"/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871.35833333333323</v>
      </c>
      <c r="Q15" s="15"/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49.166666666666664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Q17" s="15"/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892.9576666666668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910.08600000000001</v>
      </c>
      <c r="I19" s="25" t="s">
        <v>36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0.13333333333333333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1131.574249999999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1</v>
      </c>
      <c r="L22" s="25">
        <f t="shared" si="2"/>
        <v>89100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122422.70891666667</v>
      </c>
      <c r="I23" s="25" t="s">
        <v>48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0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1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1</v>
      </c>
      <c r="L28" s="25">
        <f>SUM(L16:L27)*1.2</f>
        <v>106920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1</v>
      </c>
      <c r="L29" s="52">
        <v>0.2</v>
      </c>
      <c r="P29" s="8"/>
      <c r="Q29" s="32"/>
    </row>
    <row r="30" spans="1:17" hidden="1" x14ac:dyDescent="0.2">
      <c r="L30" s="25">
        <f>L28*1.2</f>
        <v>128304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</v>
      </c>
      <c r="L34" s="37">
        <f>+J34*K34</f>
        <v>48270.181250000009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AP39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5" max="15" width="10.7109375" customWidth="1"/>
  </cols>
  <sheetData>
    <row r="1" spans="1:42" ht="18" x14ac:dyDescent="0.25">
      <c r="B1" s="140" t="str">
        <f>'[20]Team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18" x14ac:dyDescent="0.25">
      <c r="B2" s="140" t="s">
        <v>270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x14ac:dyDescent="0.2">
      <c r="I4" s="39"/>
      <c r="J4" s="40"/>
      <c r="K4" s="40"/>
      <c r="L4" s="41"/>
    </row>
    <row r="5" spans="1:42" x14ac:dyDescent="0.2">
      <c r="I5" s="42"/>
      <c r="J5" s="17" t="s">
        <v>1</v>
      </c>
      <c r="K5" s="17" t="s">
        <v>2</v>
      </c>
      <c r="L5" s="43" t="s">
        <v>3</v>
      </c>
    </row>
    <row r="6" spans="1:42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O6" s="44"/>
    </row>
    <row r="7" spans="1:42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O7" s="12"/>
    </row>
    <row r="8" spans="1:42" x14ac:dyDescent="0.2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1230000</v>
      </c>
      <c r="I8" s="42" t="s">
        <v>10</v>
      </c>
      <c r="J8" s="17">
        <v>0</v>
      </c>
      <c r="K8" s="17"/>
      <c r="L8" s="43">
        <f>L30</f>
        <v>1512720</v>
      </c>
      <c r="O8" s="15"/>
    </row>
    <row r="9" spans="1:42" hidden="1" x14ac:dyDescent="0.2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O9" s="15"/>
    </row>
    <row r="10" spans="1:42" x14ac:dyDescent="0.2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0</v>
      </c>
      <c r="I10" s="42"/>
      <c r="J10" s="17"/>
      <c r="K10" s="17"/>
      <c r="L10" s="43"/>
      <c r="O10" s="15"/>
    </row>
    <row r="11" spans="1:42" x14ac:dyDescent="0.2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(+H8*0.2)</f>
        <v>246000</v>
      </c>
      <c r="I11" s="42" t="s">
        <v>15</v>
      </c>
      <c r="J11" s="17">
        <f>(E12+E13+E14+E15+E16+E17+E18+E19+E20+E21+E22)/E29</f>
        <v>48270.181250000009</v>
      </c>
      <c r="K11" s="17">
        <f>K28</f>
        <v>8</v>
      </c>
      <c r="L11" s="43">
        <f>J11*K11</f>
        <v>386161.45000000007</v>
      </c>
      <c r="O11" s="15"/>
    </row>
    <row r="12" spans="1:42" x14ac:dyDescent="0.2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26250</v>
      </c>
      <c r="I12" s="42"/>
      <c r="J12" s="17"/>
      <c r="K12" s="17"/>
      <c r="L12" s="43"/>
      <c r="O12" s="15"/>
    </row>
    <row r="13" spans="1:42" ht="13.5" thickBot="1" x14ac:dyDescent="0.2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26250</v>
      </c>
      <c r="I13" s="46" t="s">
        <v>20</v>
      </c>
      <c r="J13" s="47"/>
      <c r="K13" s="47"/>
      <c r="L13" s="48">
        <f>L8+L11</f>
        <v>1898881.4500000002</v>
      </c>
      <c r="O13" s="15"/>
    </row>
    <row r="14" spans="1:42" x14ac:dyDescent="0.2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O14" s="15"/>
    </row>
    <row r="15" spans="1:42" x14ac:dyDescent="0.2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21000</v>
      </c>
      <c r="O15" s="15"/>
    </row>
    <row r="16" spans="1:42" x14ac:dyDescent="0.2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O16" s="15"/>
    </row>
    <row r="17" spans="1:15" x14ac:dyDescent="0.2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525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O17" s="15"/>
    </row>
    <row r="18" spans="1:15" x14ac:dyDescent="0.2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O18" s="15"/>
    </row>
    <row r="19" spans="1:15" x14ac:dyDescent="0.2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105000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O19" s="15"/>
    </row>
    <row r="20" spans="1:15" x14ac:dyDescent="0.2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1.05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O20" s="15"/>
    </row>
    <row r="21" spans="1:15" x14ac:dyDescent="0.2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26250</v>
      </c>
      <c r="I21" s="25" t="s">
        <v>42</v>
      </c>
      <c r="J21" s="25">
        <v>60500</v>
      </c>
      <c r="K21" s="25">
        <v>1</v>
      </c>
      <c r="L21" s="25">
        <f t="shared" si="1"/>
        <v>60500</v>
      </c>
      <c r="O21" s="32"/>
    </row>
    <row r="22" spans="1:15" x14ac:dyDescent="0.2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4285986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O22" s="32"/>
    </row>
    <row r="23" spans="1:15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5967262.0499999998</v>
      </c>
      <c r="I23" s="25" t="s">
        <v>48</v>
      </c>
      <c r="J23" s="25">
        <v>110000</v>
      </c>
      <c r="K23" s="25">
        <v>2</v>
      </c>
      <c r="L23" s="25">
        <f t="shared" si="1"/>
        <v>220000</v>
      </c>
      <c r="O23" s="29"/>
    </row>
    <row r="24" spans="1:15" x14ac:dyDescent="0.2">
      <c r="I24" s="25" t="s">
        <v>49</v>
      </c>
      <c r="J24" s="25">
        <v>143000</v>
      </c>
      <c r="K24" s="25">
        <v>4</v>
      </c>
      <c r="L24" s="25">
        <f t="shared" si="1"/>
        <v>572000</v>
      </c>
      <c r="O24" s="8"/>
    </row>
    <row r="25" spans="1:15" x14ac:dyDescent="0.2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f>+K16+K17+K18+K19+K20+K23+K24+K25+K26+K27</f>
        <v>7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O25" s="32"/>
    </row>
    <row r="26" spans="1:15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O26" s="32"/>
    </row>
    <row r="27" spans="1:15" x14ac:dyDescent="0.2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O27" s="32"/>
    </row>
    <row r="28" spans="1:15" x14ac:dyDescent="0.2">
      <c r="K28" s="25">
        <f>SUM(K16:K27)</f>
        <v>8</v>
      </c>
      <c r="L28" s="25">
        <f>SUM(L16:L27)*1.2</f>
        <v>1260600</v>
      </c>
      <c r="O28" s="8"/>
    </row>
    <row r="29" spans="1:15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7</v>
      </c>
      <c r="L29" s="52">
        <v>0.2</v>
      </c>
      <c r="O29" s="32"/>
    </row>
    <row r="30" spans="1:15" hidden="1" x14ac:dyDescent="0.2">
      <c r="L30" s="25">
        <f>L28*1.2</f>
        <v>1512720</v>
      </c>
      <c r="O30" s="8"/>
    </row>
    <row r="31" spans="1:15" hidden="1" x14ac:dyDescent="0.2">
      <c r="H31" s="33" t="s">
        <v>56</v>
      </c>
      <c r="L31"/>
      <c r="O31" s="8"/>
    </row>
    <row r="32" spans="1:15" hidden="1" x14ac:dyDescent="0.2">
      <c r="B32" s="14" t="s">
        <v>22</v>
      </c>
      <c r="C32" s="15">
        <v>254512</v>
      </c>
      <c r="L32"/>
      <c r="O32" s="8"/>
    </row>
    <row r="33" spans="8:15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O33" s="8"/>
    </row>
    <row r="34" spans="8:15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8</v>
      </c>
      <c r="L34" s="37">
        <f>+J34*K34</f>
        <v>386161.45000000007</v>
      </c>
      <c r="O34" s="8"/>
    </row>
    <row r="35" spans="8:15" hidden="1" x14ac:dyDescent="0.2">
      <c r="O35" s="8"/>
    </row>
    <row r="36" spans="8:15" hidden="1" x14ac:dyDescent="0.2">
      <c r="O36" s="8"/>
    </row>
    <row r="37" spans="8:15" hidden="1" x14ac:dyDescent="0.2">
      <c r="O37" s="8"/>
    </row>
    <row r="38" spans="8:15" hidden="1" x14ac:dyDescent="0.2">
      <c r="O38" s="8"/>
    </row>
    <row r="39" spans="8:15" x14ac:dyDescent="0.2">
      <c r="O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B34"/>
  <sheetViews>
    <sheetView zoomScaleNormal="100" workbookViewId="0">
      <selection activeCell="R144" sqref="R144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50" width="9.140625" hidden="1" customWidth="1"/>
    <col min="51" max="51" width="0" hidden="1" customWidth="1"/>
    <col min="52" max="52" width="21.140625" hidden="1" customWidth="1"/>
    <col min="53" max="53" width="11.5703125" hidden="1" customWidth="1"/>
    <col min="54" max="54" width="8.5703125" customWidth="1"/>
  </cols>
  <sheetData>
    <row r="1" spans="1:54" ht="18" x14ac:dyDescent="0.25">
      <c r="B1" s="140" t="str">
        <f>'[22]Team Report'!B1</f>
        <v>Enron North America</v>
      </c>
      <c r="C1" s="140"/>
      <c r="D1" s="142"/>
      <c r="E1" s="142"/>
      <c r="F1" s="142"/>
      <c r="G1" s="142"/>
      <c r="H1" s="142"/>
      <c r="I1" s="14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54" ht="18" x14ac:dyDescent="0.25">
      <c r="B2" s="140" t="s">
        <v>233</v>
      </c>
      <c r="C2" s="140"/>
      <c r="D2" s="142"/>
      <c r="E2" s="142"/>
      <c r="F2" s="142"/>
      <c r="G2" s="142"/>
      <c r="H2" s="142"/>
      <c r="I2" s="14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54" ht="18.75" thickBot="1" x14ac:dyDescent="0.3">
      <c r="B3" s="143" t="s">
        <v>0</v>
      </c>
      <c r="C3" s="143"/>
      <c r="D3" s="144"/>
      <c r="E3" s="144"/>
      <c r="F3" s="144"/>
      <c r="G3" s="144"/>
      <c r="H3" s="144"/>
      <c r="I3" s="14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54" x14ac:dyDescent="0.2">
      <c r="K4" s="4"/>
      <c r="L4" s="5"/>
      <c r="M4" s="5"/>
      <c r="N4" s="6"/>
    </row>
    <row r="5" spans="1:54" x14ac:dyDescent="0.2">
      <c r="K5" s="7"/>
      <c r="L5" s="8" t="s">
        <v>1</v>
      </c>
      <c r="M5" s="8" t="s">
        <v>2</v>
      </c>
      <c r="N5" s="9" t="s">
        <v>3</v>
      </c>
    </row>
    <row r="6" spans="1:54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54" x14ac:dyDescent="0.2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54" x14ac:dyDescent="0.2">
      <c r="A8" s="13" t="s">
        <v>9</v>
      </c>
      <c r="B8" s="14" t="s">
        <v>10</v>
      </c>
      <c r="C8" s="15">
        <f>'[23]Executive Orig'!C8+[23]Trading!C8+[23]Origination!C8+'[23]Mid Market'!C8+[23]Services!C8+[23]Fundamentals!C8</f>
        <v>4789958.9899999993</v>
      </c>
      <c r="E8" s="15">
        <f>(C8/9)*12</f>
        <v>6386611.9866666663</v>
      </c>
      <c r="F8" s="15"/>
      <c r="G8" s="15">
        <f>(SUM(N16:N20,N23:N27))*1.2</f>
        <v>0</v>
      </c>
      <c r="H8" s="15"/>
      <c r="I8" s="16">
        <f t="shared" ref="I8:I22" si="0">+G8/$G$23</f>
        <v>0</v>
      </c>
      <c r="K8" s="7" t="s">
        <v>10</v>
      </c>
      <c r="L8" s="17">
        <v>0</v>
      </c>
      <c r="M8" s="8">
        <v>64</v>
      </c>
      <c r="N8" s="18">
        <f>N28</f>
        <v>671040</v>
      </c>
      <c r="O8" s="15">
        <f t="shared" ref="O8:O22" si="1">+G8/$G$29*$O$29</f>
        <v>0</v>
      </c>
    </row>
    <row r="9" spans="1:54" hidden="1" x14ac:dyDescent="0.2">
      <c r="A9" s="13"/>
      <c r="B9" s="14" t="s">
        <v>11</v>
      </c>
      <c r="C9" s="15">
        <f>'[23]Executive Orig'!C9+[23]Trading!C9+[23]Origination!C9+'[23]Mid Market'!C9+[23]Services!C9+[23]Fundamentals!C9</f>
        <v>1464000</v>
      </c>
      <c r="E9" s="15">
        <f>+C9</f>
        <v>1464000</v>
      </c>
      <c r="F9" s="15"/>
      <c r="G9" s="15">
        <v>0</v>
      </c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54" x14ac:dyDescent="0.2">
      <c r="B10" s="14" t="s">
        <v>12</v>
      </c>
      <c r="C10" s="15">
        <f>'[23]Executive Orig'!C10+[23]Trading!C10+[23]Origination!C10+'[23]Mid Market'!C10+[23]Services!C10+[23]Fundamentals!C10</f>
        <v>804567</v>
      </c>
      <c r="E10" s="15">
        <f>(C10/9)*12</f>
        <v>1072756</v>
      </c>
      <c r="F10" s="15"/>
      <c r="G10" s="15">
        <f>(+N21+N22)*1.2</f>
        <v>671040</v>
      </c>
      <c r="H10" s="15"/>
      <c r="I10" s="16">
        <f t="shared" si="0"/>
        <v>0.63153793215229115</v>
      </c>
      <c r="K10" s="7"/>
      <c r="L10" s="8"/>
      <c r="M10" s="8"/>
      <c r="N10" s="9"/>
      <c r="O10" s="15">
        <f t="shared" si="1"/>
        <v>83880</v>
      </c>
      <c r="AZ10" s="124"/>
      <c r="BA10" s="124"/>
      <c r="BB10" s="124"/>
    </row>
    <row r="11" spans="1:54" x14ac:dyDescent="0.2">
      <c r="A11" s="13" t="s">
        <v>13</v>
      </c>
      <c r="B11" s="14" t="s">
        <v>14</v>
      </c>
      <c r="C11" s="15">
        <f>'[23]Executive Orig'!C11+[23]Trading!C11+[23]Origination!C11+'[23]Mid Market'!C11+[23]Services!C11+[23]Fundamentals!C11</f>
        <v>1096068.21</v>
      </c>
      <c r="E11" s="15">
        <f>(C11/9)*12</f>
        <v>1461424.2799999998</v>
      </c>
      <c r="F11" s="15"/>
      <c r="G11" s="15">
        <f>(+G8*0.2+(N21+N22)*0.2)*1.2</f>
        <v>134208</v>
      </c>
      <c r="H11" s="15"/>
      <c r="I11" s="16">
        <f t="shared" si="0"/>
        <v>0.12630758643045822</v>
      </c>
      <c r="K11" s="7" t="s">
        <v>15</v>
      </c>
      <c r="L11" s="19">
        <f>(E12+E13+E14+E15+E16+E17+E18+E19+E20+E21+E22)/E29</f>
        <v>47533.855280898868</v>
      </c>
      <c r="M11" s="8">
        <f>M28</f>
        <v>8</v>
      </c>
      <c r="N11" s="18">
        <f>L11*M11</f>
        <v>380270.84224719094</v>
      </c>
      <c r="O11" s="15">
        <f t="shared" si="1"/>
        <v>16776</v>
      </c>
      <c r="AZ11" s="124"/>
      <c r="BA11" s="124"/>
      <c r="BB11" s="124"/>
    </row>
    <row r="12" spans="1:54" x14ac:dyDescent="0.2">
      <c r="A12" s="13" t="s">
        <v>16</v>
      </c>
      <c r="B12" s="14" t="s">
        <v>17</v>
      </c>
      <c r="C12" s="15">
        <f>'[23]Executive Orig'!C12+[23]Trading!C12+[23]Origination!C12+'[23]Mid Market'!C12+[23]Services!C12+[23]Fundamentals!C12</f>
        <v>658117.68000000005</v>
      </c>
      <c r="E12" s="20">
        <f t="shared" ref="E12:E22" si="2">((C12/9)*12)*1.2</f>
        <v>1052988.2880000002</v>
      </c>
      <c r="F12" s="15"/>
      <c r="G12" s="21">
        <f>(+(100*12*8)+(500*12*4)+((10000/9)*4))*1.2</f>
        <v>45653.333333333336</v>
      </c>
      <c r="H12" s="15"/>
      <c r="I12" s="16">
        <f t="shared" si="0"/>
        <v>4.2965861542072901E-2</v>
      </c>
      <c r="K12" s="7"/>
      <c r="L12" s="8"/>
      <c r="M12" s="8"/>
      <c r="N12" s="9"/>
      <c r="O12" s="15">
        <f t="shared" si="1"/>
        <v>5706.666666666667</v>
      </c>
      <c r="AZ12" s="124"/>
      <c r="BA12" s="124"/>
      <c r="BB12" s="124"/>
    </row>
    <row r="13" spans="1:54" ht="13.5" thickBot="1" x14ac:dyDescent="0.25">
      <c r="A13" s="13" t="s">
        <v>18</v>
      </c>
      <c r="B13" s="14" t="s">
        <v>19</v>
      </c>
      <c r="C13" s="15">
        <f>'[23]Executive Orig'!C13+[23]Trading!C13+[23]Origination!C13+'[23]Mid Market'!C13+[23]Services!C13+[23]Fundamentals!C13</f>
        <v>719773.79999999993</v>
      </c>
      <c r="E13" s="20">
        <f t="shared" si="2"/>
        <v>1151638.0799999998</v>
      </c>
      <c r="F13" s="15"/>
      <c r="G13" s="21">
        <f>(+(3*1100*4)+(2*1100*4)+(8*1100*4)+(5*1100*4)+(6*300*8))*1.2</f>
        <v>112320</v>
      </c>
      <c r="H13" s="15"/>
      <c r="I13" s="16">
        <f t="shared" si="0"/>
        <v>0.10570806589673544</v>
      </c>
      <c r="K13" s="22" t="s">
        <v>20</v>
      </c>
      <c r="L13" s="23"/>
      <c r="M13" s="23"/>
      <c r="N13" s="24">
        <f>N8+N11</f>
        <v>1051310.8422471909</v>
      </c>
      <c r="O13" s="15">
        <f t="shared" si="1"/>
        <v>14040</v>
      </c>
      <c r="AZ13" s="124"/>
      <c r="BA13" s="124"/>
      <c r="BB13" s="124"/>
    </row>
    <row r="14" spans="1:54" x14ac:dyDescent="0.2">
      <c r="A14" s="13" t="s">
        <v>21</v>
      </c>
      <c r="B14" s="14" t="s">
        <v>22</v>
      </c>
      <c r="C14" s="15">
        <f>'[23]Executive Orig'!C14+[23]Trading!C14+[23]Origination!C14+'[23]Mid Market'!C14+[23]Services!C14+[23]Fundamentals!C14-C32</f>
        <v>0.23999999975785613</v>
      </c>
      <c r="E14" s="20">
        <f t="shared" si="2"/>
        <v>0.38399999961256975</v>
      </c>
      <c r="F14" s="15"/>
      <c r="G14" s="21">
        <f>(+E14/$E$29*$M$11)*1.2</f>
        <v>4.1420224677310886E-2</v>
      </c>
      <c r="H14" s="15"/>
      <c r="I14" s="16">
        <f t="shared" si="0"/>
        <v>3.8981943016798135E-8</v>
      </c>
      <c r="O14" s="15">
        <f t="shared" si="1"/>
        <v>5.1775280846638608E-3</v>
      </c>
      <c r="AZ14" s="124"/>
      <c r="BA14" s="124"/>
      <c r="BB14" s="124"/>
    </row>
    <row r="15" spans="1:54" x14ac:dyDescent="0.2">
      <c r="A15" s="13" t="s">
        <v>23</v>
      </c>
      <c r="B15" s="14" t="s">
        <v>24</v>
      </c>
      <c r="C15" s="15">
        <f>'[23]Executive Orig'!C15+[23]Trading!C15+[23]Origination!C15+'[23]Mid Market'!C15+[23]Services!C15+[23]Fundamentals!C15</f>
        <v>128890.14</v>
      </c>
      <c r="E15" s="20">
        <f t="shared" si="2"/>
        <v>206224.22400000002</v>
      </c>
      <c r="F15" s="15"/>
      <c r="G15" s="21">
        <v>27648</v>
      </c>
      <c r="H15" s="15"/>
      <c r="I15" s="16">
        <f t="shared" si="0"/>
        <v>2.6020446989965647E-2</v>
      </c>
      <c r="O15" s="15">
        <f t="shared" si="1"/>
        <v>3456</v>
      </c>
      <c r="AZ15" s="124"/>
      <c r="BA15" s="124"/>
      <c r="BB15" s="124"/>
    </row>
    <row r="16" spans="1:54" x14ac:dyDescent="0.2">
      <c r="A16" s="13" t="s">
        <v>25</v>
      </c>
      <c r="B16" s="14" t="s">
        <v>26</v>
      </c>
      <c r="C16" s="15">
        <f>'[23]Executive Orig'!C16+[23]Trading!C16+[23]Origination!C16+'[23]Mid Market'!C16+[23]Services!C16+[23]Fundamentals!C16</f>
        <v>0</v>
      </c>
      <c r="E16" s="20">
        <f t="shared" si="2"/>
        <v>0</v>
      </c>
      <c r="F16" s="15"/>
      <c r="G16" s="21">
        <f>(+E16/$E$29*$M$11)*1.2</f>
        <v>0</v>
      </c>
      <c r="H16" s="15"/>
      <c r="I16" s="16">
        <f t="shared" si="0"/>
        <v>0</v>
      </c>
      <c r="K16" t="s">
        <v>27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0</v>
      </c>
      <c r="AZ16" s="124"/>
      <c r="BA16" s="124"/>
      <c r="BB16" s="124"/>
    </row>
    <row r="17" spans="1:54" x14ac:dyDescent="0.2">
      <c r="A17" s="13" t="s">
        <v>28</v>
      </c>
      <c r="B17" s="14" t="s">
        <v>29</v>
      </c>
      <c r="C17" s="15">
        <f>'[23]Executive Orig'!C17+[23]Trading!C17+[23]Origination!C17+'[23]Mid Market'!C17+[23]Services!C17+[23]Fundamentals!C17</f>
        <v>11300</v>
      </c>
      <c r="E17" s="20">
        <f t="shared" si="2"/>
        <v>18080</v>
      </c>
      <c r="F17" s="15"/>
      <c r="G17" s="21">
        <v>0</v>
      </c>
      <c r="H17" s="15"/>
      <c r="I17" s="16">
        <f t="shared" si="0"/>
        <v>0</v>
      </c>
      <c r="K17" t="s">
        <v>30</v>
      </c>
      <c r="L17" s="25">
        <v>52800</v>
      </c>
      <c r="M17">
        <v>0</v>
      </c>
      <c r="N17" s="25">
        <f t="shared" si="3"/>
        <v>0</v>
      </c>
      <c r="O17" s="15">
        <f t="shared" si="1"/>
        <v>0</v>
      </c>
      <c r="AZ17" s="124"/>
      <c r="BA17" s="124"/>
      <c r="BB17" s="124"/>
    </row>
    <row r="18" spans="1:54" x14ac:dyDescent="0.2">
      <c r="A18" s="13" t="s">
        <v>31</v>
      </c>
      <c r="B18" s="14" t="s">
        <v>32</v>
      </c>
      <c r="C18" s="15">
        <f>'[23]Executive Orig'!C18+[23]Trading!C18+[23]Origination!C18+'[23]Mid Market'!C18+[23]Services!C18+[23]Fundamentals!C18</f>
        <v>327447.74000000005</v>
      </c>
      <c r="E18" s="20">
        <f t="shared" si="2"/>
        <v>523916.38400000002</v>
      </c>
      <c r="F18" s="15"/>
      <c r="G18" s="21">
        <f>(+(75*12*8))*1.2</f>
        <v>8640</v>
      </c>
      <c r="H18" s="15"/>
      <c r="I18" s="16">
        <f t="shared" si="0"/>
        <v>8.1313896843642642E-3</v>
      </c>
      <c r="K18" t="s">
        <v>33</v>
      </c>
      <c r="L18" s="25">
        <v>54000</v>
      </c>
      <c r="M18">
        <v>0</v>
      </c>
      <c r="N18" s="25">
        <f t="shared" si="3"/>
        <v>0</v>
      </c>
      <c r="O18" s="15">
        <f t="shared" si="1"/>
        <v>1080</v>
      </c>
    </row>
    <row r="19" spans="1:54" x14ac:dyDescent="0.2">
      <c r="A19" s="13" t="s">
        <v>34</v>
      </c>
      <c r="B19" s="14" t="s">
        <v>35</v>
      </c>
      <c r="C19" s="15">
        <f>'[23]Executive Orig'!C19+[23]Trading!C19+[23]Origination!C19+'[23]Mid Market'!C19+[23]Services!C19+[23]Fundamentals!C19</f>
        <v>155845.37</v>
      </c>
      <c r="E19" s="20">
        <f t="shared" si="2"/>
        <v>249352.59199999998</v>
      </c>
      <c r="F19" s="15"/>
      <c r="G19" s="21">
        <f>((82000/15*4)+(22000/9*4))*1.2</f>
        <v>37973.333333333336</v>
      </c>
      <c r="H19" s="15"/>
      <c r="I19" s="16">
        <f t="shared" si="0"/>
        <v>3.5737959600415779E-2</v>
      </c>
      <c r="K19" t="s">
        <v>36</v>
      </c>
      <c r="L19" s="25">
        <v>63000</v>
      </c>
      <c r="M19">
        <v>0</v>
      </c>
      <c r="N19" s="25">
        <f t="shared" si="3"/>
        <v>0</v>
      </c>
      <c r="O19" s="15">
        <f t="shared" si="1"/>
        <v>4746.666666666667</v>
      </c>
    </row>
    <row r="20" spans="1:54" x14ac:dyDescent="0.2">
      <c r="A20" s="13" t="s">
        <v>37</v>
      </c>
      <c r="B20" s="14" t="s">
        <v>38</v>
      </c>
      <c r="C20" s="15">
        <f>'[23]Executive Orig'!C20+[23]Trading!C20+[23]Origination!C20+'[23]Mid Market'!C20+[23]Services!C20+[23]Fundamentals!C20</f>
        <v>116.15</v>
      </c>
      <c r="E20" s="20">
        <f t="shared" si="2"/>
        <v>185.84</v>
      </c>
      <c r="F20" s="15"/>
      <c r="G20" s="21">
        <v>0</v>
      </c>
      <c r="H20" s="15"/>
      <c r="I20" s="16">
        <f t="shared" si="0"/>
        <v>0</v>
      </c>
      <c r="K20" t="s">
        <v>39</v>
      </c>
      <c r="L20" s="25">
        <v>78000</v>
      </c>
      <c r="M20">
        <v>0</v>
      </c>
      <c r="N20" s="25">
        <f t="shared" si="3"/>
        <v>0</v>
      </c>
      <c r="O20" s="15">
        <f t="shared" si="1"/>
        <v>0</v>
      </c>
    </row>
    <row r="21" spans="1:54" x14ac:dyDescent="0.2">
      <c r="A21" s="13" t="s">
        <v>40</v>
      </c>
      <c r="B21" s="14" t="s">
        <v>41</v>
      </c>
      <c r="C21" s="15">
        <f>'[23]Executive Orig'!C21+[23]Trading!C21+[23]Origination!C21+'[23]Mid Market'!C21+[23]Services!C21+[23]Fundamentals!C21</f>
        <v>566869.93000000017</v>
      </c>
      <c r="E21" s="20">
        <f t="shared" si="2"/>
        <v>906991.88800000027</v>
      </c>
      <c r="F21" s="15"/>
      <c r="G21" s="21">
        <v>12000</v>
      </c>
      <c r="H21" s="15"/>
      <c r="I21" s="16">
        <f t="shared" si="0"/>
        <v>1.1293596783839255E-2</v>
      </c>
      <c r="K21" t="s">
        <v>42</v>
      </c>
      <c r="L21" s="25">
        <v>66000</v>
      </c>
      <c r="M21">
        <f>7</f>
        <v>7</v>
      </c>
      <c r="N21" s="25">
        <f t="shared" si="3"/>
        <v>462000</v>
      </c>
      <c r="O21" s="15">
        <f t="shared" si="1"/>
        <v>1500</v>
      </c>
    </row>
    <row r="22" spans="1:54" x14ac:dyDescent="0.2">
      <c r="A22" s="13" t="s">
        <v>43</v>
      </c>
      <c r="B22" s="14" t="s">
        <v>44</v>
      </c>
      <c r="C22" s="15">
        <f>'[23]Executive Orig'!C22+[23]Trading!C22+[23]Origination!C22+'[23]Mid Market'!C22+[23]Services!C22+[23]Fundamentals!C22</f>
        <v>75709.649999999965</v>
      </c>
      <c r="E22" s="20">
        <f t="shared" si="2"/>
        <v>121135.43999999994</v>
      </c>
      <c r="F22" s="15"/>
      <c r="G22" s="21">
        <f>(+E22/$E$29*$M$11)*1.2</f>
        <v>13066.294651685388</v>
      </c>
      <c r="H22" s="15"/>
      <c r="I22" s="16">
        <f t="shared" si="0"/>
        <v>1.229712193791418E-2</v>
      </c>
      <c r="K22" t="s">
        <v>45</v>
      </c>
      <c r="L22" s="25">
        <v>97200</v>
      </c>
      <c r="M22">
        <f>1</f>
        <v>1</v>
      </c>
      <c r="N22" s="25">
        <f t="shared" si="3"/>
        <v>97200</v>
      </c>
      <c r="O22" s="15">
        <f t="shared" si="1"/>
        <v>1633.2868314606735</v>
      </c>
    </row>
    <row r="23" spans="1:54" x14ac:dyDescent="0.2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1062549.0027385768</v>
      </c>
      <c r="H23" s="29"/>
      <c r="I23" s="30">
        <f>SUM(I8:I22)</f>
        <v>0.99999999999999989</v>
      </c>
      <c r="K23" t="s">
        <v>48</v>
      </c>
      <c r="L23" s="25">
        <v>120000</v>
      </c>
      <c r="M23">
        <v>0</v>
      </c>
      <c r="N23" s="25">
        <f t="shared" si="3"/>
        <v>0</v>
      </c>
      <c r="O23" s="28">
        <f>SUM(O8:O22)</f>
        <v>132818.62534232211</v>
      </c>
    </row>
    <row r="24" spans="1:54" x14ac:dyDescent="0.2">
      <c r="K24" t="s">
        <v>49</v>
      </c>
      <c r="L24" s="25">
        <v>156000</v>
      </c>
      <c r="M24">
        <v>0</v>
      </c>
      <c r="N24" s="25">
        <f t="shared" si="3"/>
        <v>0</v>
      </c>
    </row>
    <row r="25" spans="1:54" x14ac:dyDescent="0.2">
      <c r="B25" s="27" t="s">
        <v>50</v>
      </c>
      <c r="C25" s="15"/>
      <c r="E25" s="31">
        <f>'[23]Executive Orig'!E25+[23]Trading!E25+[23]Origination!E25+'[23]Mid Market'!E25+[23]Services!E25+[23]Fundamentals!E25</f>
        <v>74</v>
      </c>
      <c r="F25" s="32"/>
      <c r="G25" s="31">
        <f>SUM(M16:M20,M23:M27)</f>
        <v>0</v>
      </c>
      <c r="H25" s="32"/>
      <c r="K25" t="s">
        <v>51</v>
      </c>
      <c r="L25" s="25">
        <v>180000</v>
      </c>
      <c r="M25">
        <v>0</v>
      </c>
      <c r="N25" s="25">
        <f t="shared" si="3"/>
        <v>0</v>
      </c>
      <c r="O25" s="31">
        <f>SUM(U16:U20,U23:U27)</f>
        <v>0</v>
      </c>
    </row>
    <row r="26" spans="1:54" x14ac:dyDescent="0.2">
      <c r="C26" s="15"/>
      <c r="E26" s="15"/>
      <c r="F26" s="15"/>
      <c r="G26" s="15"/>
      <c r="H26" s="15"/>
      <c r="K26" t="s">
        <v>52</v>
      </c>
      <c r="L26" s="25">
        <v>216000</v>
      </c>
      <c r="M26">
        <v>0</v>
      </c>
      <c r="N26" s="25">
        <f t="shared" si="3"/>
        <v>0</v>
      </c>
      <c r="O26" s="15"/>
    </row>
    <row r="27" spans="1:54" x14ac:dyDescent="0.2">
      <c r="B27" s="27" t="s">
        <v>53</v>
      </c>
      <c r="C27" s="15"/>
      <c r="E27" s="31">
        <f>'[23]Executive Orig'!E27+[23]Trading!E27+[23]Origination!E27+'[23]Mid Market'!E27+[23]Services!E27+[23]Fundamentals!E27</f>
        <v>15</v>
      </c>
      <c r="F27" s="32"/>
      <c r="G27" s="31">
        <f>+M21+M22</f>
        <v>8</v>
      </c>
      <c r="H27" s="32"/>
      <c r="K27" t="s">
        <v>54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54" x14ac:dyDescent="0.2">
      <c r="M28">
        <f>SUM(M16:M27)</f>
        <v>8</v>
      </c>
      <c r="N28" s="25">
        <f>SUM(N16:N27)*1.2</f>
        <v>671040</v>
      </c>
    </row>
    <row r="29" spans="1:54" x14ac:dyDescent="0.2">
      <c r="B29" s="27" t="s">
        <v>55</v>
      </c>
      <c r="C29" s="15"/>
      <c r="E29" s="31">
        <f>+E27+E25</f>
        <v>89</v>
      </c>
      <c r="F29" s="32"/>
      <c r="G29" s="31">
        <f>+G27+G25</f>
        <v>8</v>
      </c>
      <c r="H29" s="32"/>
      <c r="I29" s="25"/>
      <c r="O29" s="31">
        <v>1</v>
      </c>
    </row>
    <row r="31" spans="1:54" x14ac:dyDescent="0.2">
      <c r="J31" s="33" t="s">
        <v>56</v>
      </c>
      <c r="K31" s="25"/>
      <c r="L31" s="25"/>
      <c r="M31" s="25"/>
    </row>
    <row r="32" spans="1:54" hidden="1" x14ac:dyDescent="0.2">
      <c r="B32" s="14" t="s">
        <v>22</v>
      </c>
      <c r="C32" s="15">
        <v>677322</v>
      </c>
      <c r="K32" s="25"/>
      <c r="L32" s="25"/>
      <c r="M32" s="25"/>
    </row>
    <row r="33" spans="10:14" x14ac:dyDescent="0.2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8</v>
      </c>
      <c r="N34" s="37">
        <f>+L34*M34</f>
        <v>380270.84224719094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AQ49"/>
  <sheetViews>
    <sheetView topLeftCell="A2" zoomScaleNormal="100" workbookViewId="0">
      <selection activeCell="R144" sqref="R144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34" width="9.140625" hidden="1" customWidth="1"/>
    <col min="35" max="40" width="9.140625" customWidth="1"/>
  </cols>
  <sheetData>
    <row r="1" spans="1:43" ht="18" x14ac:dyDescent="0.25">
      <c r="B1" s="140" t="str">
        <f>'[2]Team Report'!B1</f>
        <v>Enron North America</v>
      </c>
      <c r="C1" s="140"/>
      <c r="D1" s="140"/>
      <c r="E1" s="140"/>
      <c r="F1" s="140"/>
      <c r="G1" s="140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40" t="s">
        <v>237</v>
      </c>
      <c r="C2" s="140"/>
      <c r="D2" s="140"/>
      <c r="E2" s="140"/>
      <c r="F2" s="140"/>
      <c r="G2" s="140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41" t="s">
        <v>0</v>
      </c>
      <c r="C3" s="141"/>
      <c r="D3" s="141"/>
      <c r="E3" s="141"/>
      <c r="F3" s="141"/>
      <c r="G3" s="141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1</v>
      </c>
      <c r="J5" s="8" t="s">
        <v>2</v>
      </c>
      <c r="K5" s="9" t="s">
        <v>3</v>
      </c>
    </row>
    <row r="6" spans="1:43" x14ac:dyDescent="0.2">
      <c r="C6" s="10">
        <v>37135</v>
      </c>
      <c r="E6" s="44" t="s">
        <v>63</v>
      </c>
      <c r="G6" s="44" t="s">
        <v>63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5</v>
      </c>
      <c r="E7" s="12" t="s">
        <v>6</v>
      </c>
      <c r="G7" s="12" t="s">
        <v>7</v>
      </c>
      <c r="H7" s="7"/>
      <c r="I7" s="17"/>
      <c r="J7" s="8"/>
      <c r="K7" s="9"/>
      <c r="O7" s="12" t="s">
        <v>7</v>
      </c>
      <c r="AK7" s="12"/>
    </row>
    <row r="8" spans="1:43" x14ac:dyDescent="0.2">
      <c r="A8" s="13" t="s">
        <v>9</v>
      </c>
      <c r="B8" s="14" t="s">
        <v>10</v>
      </c>
      <c r="C8" s="15">
        <f>+'[1]Natural Gas'!C8+[1]Ontario!C8+[1]Finance!C8+[1]Executive!C8+[1]Alberta!C8</f>
        <v>2855922.0300000003</v>
      </c>
      <c r="E8" s="15">
        <f>+'[1]Natural Gas'!E8+[1]Ontario!E8+[1]Finance!E8+[1]Executive!E8+[1]Alberta!E8</f>
        <v>3807896.0399999991</v>
      </c>
      <c r="G8" s="15">
        <v>0</v>
      </c>
      <c r="H8" s="7" t="s">
        <v>10</v>
      </c>
      <c r="I8" s="17">
        <v>0</v>
      </c>
      <c r="J8" s="8"/>
      <c r="K8" s="18">
        <f>K28</f>
        <v>946080</v>
      </c>
      <c r="O8" s="15">
        <f t="shared" ref="O8:O22" si="0">+G8/$G$29*$O$29</f>
        <v>0</v>
      </c>
      <c r="AK8" s="32"/>
    </row>
    <row r="9" spans="1:43" x14ac:dyDescent="0.2">
      <c r="A9" s="13"/>
      <c r="B9" s="14" t="s">
        <v>11</v>
      </c>
      <c r="C9" s="15">
        <f>+'[1]Natural Gas'!C9+[1]Ontario!C9+[1]Finance!C9+[1]Executive!C9+[1]Alberta!C9</f>
        <v>0</v>
      </c>
      <c r="E9" s="15">
        <f>+'[1]Natural Gas'!E9+[1]Ontario!E9+[1]Finance!E9+[1]Executive!E9+[1]Alberta!E9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89</v>
      </c>
      <c r="C10" s="15">
        <v>0</v>
      </c>
      <c r="E10" s="15">
        <v>0</v>
      </c>
      <c r="G10" s="15">
        <f>(K22+K21-188400)*1.2</f>
        <v>720000</v>
      </c>
      <c r="H10" s="7"/>
      <c r="I10" s="17"/>
      <c r="J10" s="8"/>
      <c r="K10" s="9"/>
      <c r="O10" s="15">
        <f t="shared" si="0"/>
        <v>65454.545454545456</v>
      </c>
      <c r="AK10" s="123"/>
    </row>
    <row r="11" spans="1:43" x14ac:dyDescent="0.2">
      <c r="A11" s="13" t="s">
        <v>13</v>
      </c>
      <c r="B11" s="14" t="s">
        <v>14</v>
      </c>
      <c r="C11" s="15">
        <f>+'[1]Natural Gas'!C11+[1]Ontario!C11+[1]Finance!C11+[1]Executive!C10+[1]Alberta!C11</f>
        <v>312682.37</v>
      </c>
      <c r="E11" s="15">
        <f>+'[1]Natural Gas'!E11+[1]Ontario!E11+[1]Finance!E11+[1]Executive!E10+[1]Alberta!E11</f>
        <v>416909.82666666666</v>
      </c>
      <c r="G11" s="15">
        <f>(G10*0.3105-96300)*1.2</f>
        <v>152712</v>
      </c>
      <c r="H11" s="7" t="s">
        <v>15</v>
      </c>
      <c r="I11" s="19">
        <f>(E12+E13+E14+E15+E16+E17+E18+E19+E20+E21+E22)/E29</f>
        <v>31253.507839999998</v>
      </c>
      <c r="J11" s="8">
        <f>J28</f>
        <v>11</v>
      </c>
      <c r="K11" s="18">
        <f>I11*J11</f>
        <v>343788.58623999998</v>
      </c>
      <c r="O11" s="15">
        <f t="shared" si="0"/>
        <v>13882.90909090909</v>
      </c>
      <c r="AK11" s="32"/>
    </row>
    <row r="12" spans="1:43" x14ac:dyDescent="0.2">
      <c r="A12" s="13" t="s">
        <v>16</v>
      </c>
      <c r="B12" s="14" t="s">
        <v>17</v>
      </c>
      <c r="C12" s="15">
        <f>+'[1]Natural Gas'!C12+[1]Ontario!C12+[1]Finance!C12+[1]Executive!C12+[1]Alberta!C12</f>
        <v>67320.12999999999</v>
      </c>
      <c r="E12" s="20">
        <f>(+'[1]Natural Gas'!E12+[1]Ontario!E12+[1]Finance!E12+[1]Executive!E12+[1]Alberta!E12)*1.2</f>
        <v>107712.20799999998</v>
      </c>
      <c r="G12" s="21">
        <f t="shared" ref="G12:G22" si="1">((E12/$E$29)*$G$29)*1.2</f>
        <v>28436.022911999997</v>
      </c>
      <c r="H12" s="7"/>
      <c r="I12" s="17"/>
      <c r="J12" s="8"/>
      <c r="K12" s="9"/>
      <c r="O12" s="15">
        <f t="shared" si="0"/>
        <v>2585.0929919999999</v>
      </c>
      <c r="AK12" s="32"/>
    </row>
    <row r="13" spans="1:43" ht="13.5" thickBot="1" x14ac:dyDescent="0.25">
      <c r="A13" s="13" t="s">
        <v>18</v>
      </c>
      <c r="B13" s="14" t="s">
        <v>19</v>
      </c>
      <c r="C13" s="15">
        <f>+'[1]Natural Gas'!C13+[1]Ontario!C13+[1]Finance!C13+[1]Executive!C13+[1]Alberta!C13</f>
        <v>297871.83999999997</v>
      </c>
      <c r="E13" s="20">
        <f>(+'[1]Natural Gas'!E13+[1]Ontario!E13+[1]Finance!E13+[1]Executive!E13+[1]Alberta!E13)*1.2</f>
        <v>476594.94399999996</v>
      </c>
      <c r="G13" s="21">
        <f t="shared" si="1"/>
        <v>125821.06521599997</v>
      </c>
      <c r="H13" s="22" t="s">
        <v>20</v>
      </c>
      <c r="I13" s="47"/>
      <c r="J13" s="23"/>
      <c r="K13" s="24">
        <f>K8+K11</f>
        <v>1289868.5862400001</v>
      </c>
      <c r="O13" s="15">
        <f t="shared" si="0"/>
        <v>11438.278655999997</v>
      </c>
      <c r="AK13" s="32"/>
    </row>
    <row r="14" spans="1:43" x14ac:dyDescent="0.2">
      <c r="A14" s="13" t="s">
        <v>21</v>
      </c>
      <c r="B14" s="14" t="s">
        <v>22</v>
      </c>
      <c r="C14" s="15">
        <f>+'[1]Natural Gas'!C14+[1]Ontario!C14+[1]Finance!C14+[1]Executive!C14+[1]Alberta!C14</f>
        <v>505739.98</v>
      </c>
      <c r="E14" s="20">
        <f>(+'[1]Natural Gas'!E14+[1]Ontario!E14+[1]Finance!E14+[1]Executive!E14+[1]Alberta!E14)*1.2</f>
        <v>809183.96799999999</v>
      </c>
      <c r="G14" s="21">
        <f t="shared" si="1"/>
        <v>213624.56755200002</v>
      </c>
      <c r="O14" s="15">
        <f t="shared" si="0"/>
        <v>19420.415232000003</v>
      </c>
      <c r="AK14" s="32"/>
    </row>
    <row r="15" spans="1:43" x14ac:dyDescent="0.2">
      <c r="A15" s="13" t="s">
        <v>23</v>
      </c>
      <c r="B15" s="14" t="s">
        <v>24</v>
      </c>
      <c r="C15" s="15">
        <f>+'[1]Natural Gas'!C15+[1]Ontario!C15+[1]Finance!C15+[1]Executive!C15+[1]Alberta!C15</f>
        <v>6427.4199999999992</v>
      </c>
      <c r="E15" s="20">
        <f>(+'[1]Natural Gas'!E15+[1]Ontario!E15+[1]Finance!E15+[1]Executive!E15+[1]Alberta!E15)*1.2</f>
        <v>10283.871999999998</v>
      </c>
      <c r="G15" s="21">
        <f t="shared" si="1"/>
        <v>2714.9422079999995</v>
      </c>
      <c r="O15" s="15">
        <f t="shared" si="0"/>
        <v>246.81292799999994</v>
      </c>
      <c r="AK15" s="32"/>
    </row>
    <row r="16" spans="1:43" x14ac:dyDescent="0.2">
      <c r="A16" s="13" t="s">
        <v>25</v>
      </c>
      <c r="B16" s="14" t="s">
        <v>26</v>
      </c>
      <c r="C16" s="15">
        <f>+'[1]Natural Gas'!C16+[1]Ontario!C16+[1]Finance!C16+[1]Executive!C16+[1]Alberta!C16</f>
        <v>0</v>
      </c>
      <c r="E16" s="20">
        <f>(+'[1]Natural Gas'!E16+[1]Ontario!E16+[1]Finance!E16+[1]Executive!E16+[1]Alberta!E16)*1.2</f>
        <v>0</v>
      </c>
      <c r="G16" s="21">
        <f t="shared" si="1"/>
        <v>0</v>
      </c>
      <c r="H16" t="s">
        <v>27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28</v>
      </c>
      <c r="B17" s="14" t="s">
        <v>29</v>
      </c>
      <c r="C17" s="15">
        <f>+'[1]Natural Gas'!C17+[1]Ontario!C17+[1]Finance!C17+[1]Executive!C17+[1]Alberta!C17</f>
        <v>1883.62</v>
      </c>
      <c r="E17" s="20">
        <f>(+'[1]Natural Gas'!E17+[1]Ontario!E17+[1]Finance!E17+[1]Executive!E17+[1]Alberta!E17)*1.2</f>
        <v>3013.7920000000004</v>
      </c>
      <c r="G17" s="21">
        <f t="shared" si="1"/>
        <v>795.64108800000008</v>
      </c>
      <c r="H17" t="s">
        <v>30</v>
      </c>
      <c r="I17" s="25">
        <v>52800</v>
      </c>
      <c r="J17">
        <v>0</v>
      </c>
      <c r="K17">
        <f t="shared" si="2"/>
        <v>0</v>
      </c>
      <c r="O17" s="15">
        <f t="shared" si="0"/>
        <v>72.331008000000011</v>
      </c>
      <c r="AK17" s="32"/>
    </row>
    <row r="18" spans="1:37" x14ac:dyDescent="0.2">
      <c r="A18" s="13" t="s">
        <v>31</v>
      </c>
      <c r="B18" s="14" t="s">
        <v>32</v>
      </c>
      <c r="C18" s="15">
        <f>+'[1]Natural Gas'!C18+[1]Ontario!C18+[1]Finance!C18+[1]Executive!C18+[1]Alberta!C18</f>
        <v>19208.419999999998</v>
      </c>
      <c r="E18" s="20">
        <f>(+'[1]Natural Gas'!E18+[1]Ontario!E18+[1]Finance!E18+[1]Executive!E18+[1]Alberta!E18)*1.2</f>
        <v>30733.471999999998</v>
      </c>
      <c r="G18" s="21">
        <f t="shared" si="1"/>
        <v>8113.6366079999998</v>
      </c>
      <c r="H18" t="s">
        <v>33</v>
      </c>
      <c r="I18" s="25">
        <v>54000</v>
      </c>
      <c r="J18">
        <v>0</v>
      </c>
      <c r="K18">
        <f t="shared" si="2"/>
        <v>0</v>
      </c>
      <c r="O18" s="15">
        <f t="shared" si="0"/>
        <v>737.60332800000003</v>
      </c>
      <c r="AK18" s="32"/>
    </row>
    <row r="19" spans="1:37" x14ac:dyDescent="0.2">
      <c r="A19" s="13" t="s">
        <v>34</v>
      </c>
      <c r="B19" s="14" t="s">
        <v>35</v>
      </c>
      <c r="C19" s="15">
        <f>+'[1]Natural Gas'!C19+[1]Ontario!C19+[1]Finance!C19+[1]Executive!C19+[1]Alberta!C19</f>
        <v>52344.84</v>
      </c>
      <c r="E19" s="20">
        <f>(+'[1]Natural Gas'!E19+[1]Ontario!E19+[1]Finance!E19+[1]Executive!E19+[1]Alberta!E19)*1.2</f>
        <v>83751.743999999992</v>
      </c>
      <c r="G19" s="21">
        <f t="shared" si="1"/>
        <v>22110.460415999998</v>
      </c>
      <c r="H19" t="s">
        <v>36</v>
      </c>
      <c r="I19" s="25">
        <v>63000</v>
      </c>
      <c r="J19">
        <v>0</v>
      </c>
      <c r="K19">
        <f t="shared" si="2"/>
        <v>0</v>
      </c>
      <c r="O19" s="15">
        <f t="shared" si="0"/>
        <v>2010.0418559999998</v>
      </c>
      <c r="AK19" s="32"/>
    </row>
    <row r="20" spans="1:37" x14ac:dyDescent="0.2">
      <c r="A20" s="13" t="s">
        <v>37</v>
      </c>
      <c r="B20" s="14" t="s">
        <v>38</v>
      </c>
      <c r="C20" s="15">
        <f>+'[1]Natural Gas'!C20+[1]Ontario!C20+[1]Finance!C20+[1]Executive!C20+[1]Alberta!C20</f>
        <v>0</v>
      </c>
      <c r="E20" s="20">
        <f>(+'[1]Natural Gas'!E20+[1]Ontario!E20+[1]Finance!E20+[1]Executive!E20+[1]Alberta!E20)*1.2</f>
        <v>0</v>
      </c>
      <c r="G20" s="21">
        <f t="shared" si="1"/>
        <v>0</v>
      </c>
      <c r="H20" t="s">
        <v>39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40</v>
      </c>
      <c r="B21" s="14" t="s">
        <v>41</v>
      </c>
      <c r="C21" s="15">
        <f>+'[1]Natural Gas'!C21+[1]Ontario!C21+[1]Finance!C21+[1]Executive!C21+[1]Alberta!C21</f>
        <v>19769.170000000046</v>
      </c>
      <c r="E21" s="20">
        <f>(+'[1]Natural Gas'!E21+[1]Ontario!E21+[1]Finance!E21+[1]Executive!E21+[1]Alberta!E21)*1.2</f>
        <v>31630.672000000071</v>
      </c>
      <c r="G21" s="21">
        <f t="shared" si="1"/>
        <v>8350.4974080000193</v>
      </c>
      <c r="H21" t="s">
        <v>42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759.1361280000018</v>
      </c>
      <c r="AK21" s="32"/>
    </row>
    <row r="22" spans="1:37" x14ac:dyDescent="0.2">
      <c r="A22" s="13" t="s">
        <v>43</v>
      </c>
      <c r="B22" s="14" t="s">
        <v>44</v>
      </c>
      <c r="C22" s="15">
        <f>+'[1]Natural Gas'!C22+[1]Ontario!C22+[1]Finance!C22+[1]Executive!C22+[1]Alberta!C22</f>
        <v>6106.7000000000089</v>
      </c>
      <c r="E22" s="20">
        <f>(+'[1]Natural Gas'!E22+[1]Ontario!E22+[1]Finance!E22+[1]Executive!E22+[1]Alberta!E22)*1.2</f>
        <v>9770.7200000000139</v>
      </c>
      <c r="G22" s="21">
        <f t="shared" si="1"/>
        <v>2579.4700800000037</v>
      </c>
      <c r="H22" t="s">
        <v>45</v>
      </c>
      <c r="I22" s="25">
        <v>97200</v>
      </c>
      <c r="J22">
        <v>2</v>
      </c>
      <c r="K22">
        <f t="shared" si="2"/>
        <v>194400</v>
      </c>
      <c r="O22" s="15">
        <f t="shared" si="0"/>
        <v>234.49728000000033</v>
      </c>
      <c r="AK22" s="32"/>
    </row>
    <row r="23" spans="1:37" x14ac:dyDescent="0.2">
      <c r="A23" s="26" t="s">
        <v>46</v>
      </c>
      <c r="B23" s="27" t="s">
        <v>47</v>
      </c>
      <c r="C23" s="28">
        <f>SUM(C8:C22)</f>
        <v>4145276.52</v>
      </c>
      <c r="E23" s="28">
        <f>SUM(E8:E22)</f>
        <v>5787481.2586666662</v>
      </c>
      <c r="G23" s="28">
        <f>SUM(G8:G22)</f>
        <v>1285258.3034880001</v>
      </c>
      <c r="H23" t="s">
        <v>48</v>
      </c>
      <c r="I23" s="25">
        <v>120000</v>
      </c>
      <c r="J23">
        <v>0</v>
      </c>
      <c r="K23">
        <f t="shared" si="2"/>
        <v>0</v>
      </c>
      <c r="O23" s="28">
        <f>SUM(O8:O22)</f>
        <v>116841.66395345452</v>
      </c>
      <c r="AK23" s="29"/>
    </row>
    <row r="24" spans="1:37" x14ac:dyDescent="0.2">
      <c r="H24" t="s">
        <v>49</v>
      </c>
      <c r="I24" s="25">
        <v>156000</v>
      </c>
      <c r="J24">
        <v>0</v>
      </c>
      <c r="K24">
        <f t="shared" si="2"/>
        <v>0</v>
      </c>
      <c r="AK24" s="8"/>
    </row>
    <row r="25" spans="1:37" x14ac:dyDescent="0.2">
      <c r="B25" s="27" t="s">
        <v>50</v>
      </c>
      <c r="C25" s="60"/>
      <c r="E25" s="61">
        <f>+'[1]Natural Gas'!E25+[1]Ontario!E25+[1]Finance!E25+[1]Executive!E25+[1]Alberta!E25</f>
        <v>30</v>
      </c>
      <c r="G25" s="61">
        <f>SUM(J16:J20,J23:J27)</f>
        <v>0</v>
      </c>
      <c r="H25" t="s">
        <v>51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52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x14ac:dyDescent="0.2">
      <c r="B27" s="27" t="s">
        <v>53</v>
      </c>
      <c r="C27" s="15"/>
      <c r="E27" s="61">
        <f>+'[1]Natural Gas'!E27+[1]Ontario!E27+[1]Finance!E27+[1]Executive!E27+[1]Alberta!E27</f>
        <v>20</v>
      </c>
      <c r="G27" s="61">
        <f>SUM(J21:J22)</f>
        <v>11</v>
      </c>
      <c r="H27" t="s">
        <v>90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11</v>
      </c>
      <c r="K28">
        <f>SUM(K16:K27)*1.2</f>
        <v>946080</v>
      </c>
      <c r="AK28" s="8"/>
    </row>
    <row r="29" spans="1:37" x14ac:dyDescent="0.2">
      <c r="B29" s="27" t="s">
        <v>55</v>
      </c>
      <c r="C29" s="15"/>
      <c r="E29" s="31">
        <f>+E27+E25</f>
        <v>50</v>
      </c>
      <c r="F29" s="32"/>
      <c r="G29" s="31">
        <f>+G27+G25</f>
        <v>11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71</v>
      </c>
      <c r="B31" s="14" t="s">
        <v>91</v>
      </c>
      <c r="C31" s="15"/>
      <c r="E31" s="15"/>
      <c r="G31" s="33" t="s">
        <v>56</v>
      </c>
      <c r="H31" s="25"/>
      <c r="J31" s="25"/>
    </row>
    <row r="32" spans="1:37" hidden="1" x14ac:dyDescent="0.2">
      <c r="A32" s="13" t="s">
        <v>73</v>
      </c>
      <c r="B32" s="14"/>
      <c r="C32" s="15"/>
      <c r="E32" s="15"/>
      <c r="H32" s="25"/>
      <c r="J32" s="25"/>
    </row>
    <row r="33" spans="1:11" hidden="1" x14ac:dyDescent="0.2">
      <c r="A33" s="13" t="s">
        <v>75</v>
      </c>
      <c r="B33" s="14"/>
      <c r="C33" s="15"/>
      <c r="E33" s="15"/>
      <c r="G33" s="34" t="s">
        <v>57</v>
      </c>
      <c r="H33" s="35" t="s">
        <v>58</v>
      </c>
      <c r="I33" s="35" t="s">
        <v>59</v>
      </c>
      <c r="J33" s="35" t="s">
        <v>2</v>
      </c>
      <c r="K33" s="35" t="s">
        <v>60</v>
      </c>
    </row>
    <row r="34" spans="1:11" hidden="1" x14ac:dyDescent="0.2">
      <c r="A34" s="13" t="s">
        <v>77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11</v>
      </c>
      <c r="K34" s="37">
        <f>+I34*J34</f>
        <v>343788.58623999998</v>
      </c>
    </row>
    <row r="35" spans="1:11" hidden="1" x14ac:dyDescent="0.2">
      <c r="A35" s="13" t="s">
        <v>79</v>
      </c>
      <c r="B35" s="14"/>
      <c r="C35" s="15"/>
      <c r="E35" s="15"/>
    </row>
    <row r="36" spans="1:11" hidden="1" x14ac:dyDescent="0.2">
      <c r="A36" s="13" t="s">
        <v>81</v>
      </c>
      <c r="B36" s="14"/>
      <c r="C36" s="15"/>
      <c r="E36" s="15"/>
    </row>
    <row r="37" spans="1:11" hidden="1" x14ac:dyDescent="0.2">
      <c r="A37" s="13" t="s">
        <v>83</v>
      </c>
      <c r="B37" s="14"/>
      <c r="C37" s="15"/>
      <c r="E37" s="15"/>
    </row>
    <row r="38" spans="1:11" hidden="1" x14ac:dyDescent="0.2">
      <c r="A38" s="13" t="s">
        <v>85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AS44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13.85546875" customWidth="1"/>
    <col min="7" max="7" width="2.28515625" customWidth="1"/>
    <col min="8" max="8" width="4.42578125" customWidth="1"/>
    <col min="9" max="9" width="13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5" width="9.140625" hidden="1" customWidth="1"/>
  </cols>
  <sheetData>
    <row r="1" spans="1:45" ht="18" x14ac:dyDescent="0.25">
      <c r="B1" s="140" t="str">
        <f>'[15]Team Report'!B1</f>
        <v>Enron North America</v>
      </c>
      <c r="C1" s="140"/>
      <c r="D1" s="140"/>
      <c r="E1" s="140"/>
      <c r="F1" s="140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0" t="s">
        <v>297</v>
      </c>
      <c r="C2" s="140"/>
      <c r="D2" s="140"/>
      <c r="E2" s="140"/>
      <c r="F2" s="140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40" t="s">
        <v>0</v>
      </c>
      <c r="C3" s="140"/>
      <c r="D3" s="140"/>
      <c r="E3" s="140"/>
      <c r="F3" s="140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45"/>
      <c r="K4" s="145"/>
      <c r="L4" s="145"/>
      <c r="M4" s="145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>
        <v>2002</v>
      </c>
      <c r="J6" s="7"/>
      <c r="K6" s="19" t="s">
        <v>1</v>
      </c>
      <c r="L6" s="19" t="s">
        <v>2</v>
      </c>
      <c r="M6" s="74" t="s">
        <v>107</v>
      </c>
      <c r="O6" s="44" t="s">
        <v>63</v>
      </c>
    </row>
    <row r="7" spans="1:45" x14ac:dyDescent="0.2">
      <c r="C7" s="12" t="s">
        <v>5</v>
      </c>
      <c r="E7" s="12" t="s">
        <v>69</v>
      </c>
      <c r="F7" s="12" t="s">
        <v>7</v>
      </c>
      <c r="J7" s="7"/>
      <c r="K7" s="17"/>
      <c r="L7" s="17"/>
      <c r="M7" s="43"/>
      <c r="O7" s="12" t="s">
        <v>7</v>
      </c>
    </row>
    <row r="8" spans="1:45" x14ac:dyDescent="0.2">
      <c r="A8" s="13" t="s">
        <v>9</v>
      </c>
      <c r="B8" s="14" t="s">
        <v>10</v>
      </c>
      <c r="C8" s="53">
        <f>'[15]Team Report'!BA25</f>
        <v>888807.72</v>
      </c>
      <c r="E8" s="15">
        <f t="shared" ref="E8:E22" si="0">(C8/9)*12</f>
        <v>1185076.96</v>
      </c>
      <c r="F8" s="15">
        <f>(+M21)*1.2</f>
        <v>237600</v>
      </c>
      <c r="J8" s="7"/>
      <c r="K8" s="17"/>
      <c r="L8" s="17"/>
      <c r="M8" s="43"/>
      <c r="O8" s="15">
        <f t="shared" ref="O8:O22" si="1">+F8/$F$29*$O$29</f>
        <v>79200</v>
      </c>
    </row>
    <row r="9" spans="1:45" hidden="1" x14ac:dyDescent="0.2">
      <c r="A9" s="13"/>
      <c r="B9" s="14" t="s">
        <v>11</v>
      </c>
      <c r="C9" s="15">
        <v>0</v>
      </c>
      <c r="E9" s="15">
        <f t="shared" si="0"/>
        <v>0</v>
      </c>
      <c r="F9" s="15">
        <v>0</v>
      </c>
      <c r="J9" s="7" t="s">
        <v>10</v>
      </c>
      <c r="K9" s="17">
        <v>0</v>
      </c>
      <c r="L9" s="17">
        <f>+L21</f>
        <v>3</v>
      </c>
      <c r="M9" s="43">
        <f>M21</f>
        <v>198000</v>
      </c>
      <c r="O9" s="15">
        <f t="shared" si="1"/>
        <v>0</v>
      </c>
    </row>
    <row r="10" spans="1:45" x14ac:dyDescent="0.2">
      <c r="A10" s="13"/>
      <c r="B10" s="14" t="s">
        <v>70</v>
      </c>
      <c r="C10" s="15">
        <v>0</v>
      </c>
      <c r="E10" s="15">
        <f t="shared" si="0"/>
        <v>0</v>
      </c>
      <c r="F10" s="15"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'[15]Team Report'!BA26</f>
        <v>249788.37</v>
      </c>
      <c r="E11" s="15">
        <f t="shared" si="0"/>
        <v>333051.15999999997</v>
      </c>
      <c r="F11" s="15">
        <f>(+F8*0.2)*1.2</f>
        <v>57024</v>
      </c>
      <c r="J11" s="7"/>
      <c r="K11" s="17"/>
      <c r="L11" s="17"/>
      <c r="M11" s="43"/>
      <c r="O11" s="15">
        <f t="shared" si="1"/>
        <v>19008</v>
      </c>
    </row>
    <row r="12" spans="1:45" x14ac:dyDescent="0.2">
      <c r="A12" s="13" t="s">
        <v>16</v>
      </c>
      <c r="B12" s="14" t="s">
        <v>17</v>
      </c>
      <c r="C12" s="15">
        <f>'[15]Team Report'!BA27</f>
        <v>180082.12999999998</v>
      </c>
      <c r="E12" s="21">
        <f t="shared" si="0"/>
        <v>240109.50666666665</v>
      </c>
      <c r="F12" s="21">
        <f>(+E12/$E$29*$F$29*0.2)*1.2</f>
        <v>34575.768959999994</v>
      </c>
      <c r="J12" s="7" t="s">
        <v>15</v>
      </c>
      <c r="K12" s="17">
        <f>(E12+E13+E14+E15+E16+E17+E18+E19+E20+E21+E22)/E29</f>
        <v>123221.09066666474</v>
      </c>
      <c r="L12" s="17">
        <f>+L21</f>
        <v>3</v>
      </c>
      <c r="M12" s="43">
        <f>K12*L12</f>
        <v>369663.27199999418</v>
      </c>
      <c r="O12" s="15">
        <f t="shared" si="1"/>
        <v>11525.256319999999</v>
      </c>
    </row>
    <row r="13" spans="1:45" x14ac:dyDescent="0.2">
      <c r="A13" s="13" t="s">
        <v>18</v>
      </c>
      <c r="B13" s="14" t="s">
        <v>19</v>
      </c>
      <c r="C13" s="15">
        <f>'[15]Team Report'!BA28</f>
        <v>201416.5</v>
      </c>
      <c r="E13" s="21">
        <f t="shared" si="0"/>
        <v>268555.33333333331</v>
      </c>
      <c r="F13" s="21">
        <f>(+E13/$E$29*$F$29*0.2)*1.2</f>
        <v>38671.968000000001</v>
      </c>
      <c r="J13" s="7"/>
      <c r="K13" s="17"/>
      <c r="L13" s="17"/>
      <c r="M13" s="43"/>
      <c r="O13" s="15">
        <f t="shared" si="1"/>
        <v>12890.656000000001</v>
      </c>
    </row>
    <row r="14" spans="1:45" ht="13.5" thickBot="1" x14ac:dyDescent="0.25">
      <c r="A14" s="13" t="s">
        <v>21</v>
      </c>
      <c r="B14" s="14" t="s">
        <v>22</v>
      </c>
      <c r="C14" s="15">
        <v>0</v>
      </c>
      <c r="E14" s="21">
        <f t="shared" si="0"/>
        <v>0</v>
      </c>
      <c r="F14" s="21">
        <f>(+E14/$E$29*$F$29)*1.2</f>
        <v>0</v>
      </c>
      <c r="J14" s="22" t="s">
        <v>20</v>
      </c>
      <c r="K14" s="47"/>
      <c r="L14" s="47"/>
      <c r="M14" s="48">
        <f>SUM(M9:M12)</f>
        <v>567663.27199999418</v>
      </c>
      <c r="O14" s="15">
        <f t="shared" si="1"/>
        <v>0</v>
      </c>
    </row>
    <row r="15" spans="1:45" x14ac:dyDescent="0.2">
      <c r="A15" s="13" t="s">
        <v>23</v>
      </c>
      <c r="B15" s="14" t="s">
        <v>24</v>
      </c>
      <c r="C15" s="15">
        <f>'[15]Team Report'!BA33</f>
        <v>10998.160000000003</v>
      </c>
      <c r="E15" s="21">
        <f t="shared" si="0"/>
        <v>14664.213333333337</v>
      </c>
      <c r="F15" s="21">
        <f>(+E15/$E$29*$F$29)*1.2</f>
        <v>10558.233600000001</v>
      </c>
      <c r="J15" s="8"/>
      <c r="K15" s="17"/>
      <c r="L15" s="17"/>
      <c r="M15" s="17"/>
      <c r="O15" s="15">
        <f t="shared" si="1"/>
        <v>3519.4112000000005</v>
      </c>
    </row>
    <row r="16" spans="1:45" x14ac:dyDescent="0.2">
      <c r="A16" s="13" t="s">
        <v>25</v>
      </c>
      <c r="B16" s="14" t="s">
        <v>26</v>
      </c>
      <c r="C16" s="15">
        <f>'[15]Team Report'!BA34</f>
        <v>0</v>
      </c>
      <c r="E16" s="21">
        <f t="shared" si="0"/>
        <v>0</v>
      </c>
      <c r="F16" s="21">
        <f>(+E16/$E$29*$F$29)*1.2</f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'[15]Team Report'!BA35</f>
        <v>25000</v>
      </c>
      <c r="E17" s="21">
        <f t="shared" si="0"/>
        <v>33333.333333333336</v>
      </c>
      <c r="F17" s="21">
        <v>0</v>
      </c>
      <c r="M17" s="17"/>
      <c r="O17" s="15">
        <f t="shared" si="1"/>
        <v>0</v>
      </c>
    </row>
    <row r="18" spans="1:15" x14ac:dyDescent="0.2">
      <c r="A18" s="13" t="s">
        <v>31</v>
      </c>
      <c r="B18" s="14" t="s">
        <v>32</v>
      </c>
      <c r="C18" s="15">
        <f>'[15]Team Report'!BA36</f>
        <v>2602.3200000000002</v>
      </c>
      <c r="E18" s="21">
        <f t="shared" si="0"/>
        <v>3469.76</v>
      </c>
      <c r="F18" s="21">
        <f>(+E18/$E$29*$F$29)*1.2</f>
        <v>2498.2271999999998</v>
      </c>
      <c r="J18" t="s">
        <v>30</v>
      </c>
      <c r="K18" s="25">
        <v>55000</v>
      </c>
      <c r="L18" s="25">
        <v>3</v>
      </c>
      <c r="M18" s="17">
        <f>K18*L18</f>
        <v>165000</v>
      </c>
      <c r="O18" s="15">
        <f t="shared" si="1"/>
        <v>832.74239999999998</v>
      </c>
    </row>
    <row r="19" spans="1:15" x14ac:dyDescent="0.2">
      <c r="A19" s="13" t="s">
        <v>34</v>
      </c>
      <c r="B19" s="14" t="s">
        <v>35</v>
      </c>
      <c r="C19" s="15">
        <f>'[15]Team Report'!BA37</f>
        <v>40643.17</v>
      </c>
      <c r="E19" s="21">
        <f t="shared" si="0"/>
        <v>54190.893333333326</v>
      </c>
      <c r="F19" s="21">
        <f>(+E19/$E$29*$F$29*0.5)*1.2</f>
        <v>19508.721599999993</v>
      </c>
      <c r="J19" t="s">
        <v>143</v>
      </c>
      <c r="K19" s="25">
        <v>250000</v>
      </c>
      <c r="L19" s="25">
        <v>0</v>
      </c>
      <c r="M19" s="17">
        <f>K19*L19</f>
        <v>0</v>
      </c>
      <c r="O19" s="15">
        <f t="shared" si="1"/>
        <v>6502.9071999999978</v>
      </c>
    </row>
    <row r="20" spans="1:15" x14ac:dyDescent="0.2">
      <c r="A20" s="13" t="s">
        <v>37</v>
      </c>
      <c r="B20" s="14" t="s">
        <v>38</v>
      </c>
      <c r="C20" s="15">
        <f>'[15]Team Report'!BA38</f>
        <v>1258.2</v>
      </c>
      <c r="E20" s="21">
        <f t="shared" si="0"/>
        <v>1677.6000000000001</v>
      </c>
      <c r="F20" s="21">
        <f>(+E20/$E$29*$F$29)*1.2</f>
        <v>1207.8720000000001</v>
      </c>
      <c r="J20" t="s">
        <v>90</v>
      </c>
      <c r="K20" s="25">
        <v>250000</v>
      </c>
      <c r="L20" s="25">
        <v>0</v>
      </c>
      <c r="M20" s="17">
        <f>K20*L20</f>
        <v>0</v>
      </c>
      <c r="O20" s="15">
        <f t="shared" si="1"/>
        <v>402.62400000000002</v>
      </c>
    </row>
    <row r="21" spans="1:15" x14ac:dyDescent="0.2">
      <c r="A21" s="13" t="s">
        <v>40</v>
      </c>
      <c r="B21" s="14" t="s">
        <v>41</v>
      </c>
      <c r="C21" s="15">
        <f>'[15]Team Report'!BA42-C40</f>
        <v>-0.18000000715255737</v>
      </c>
      <c r="E21" s="21">
        <f t="shared" si="0"/>
        <v>-0.24000000953674316</v>
      </c>
      <c r="F21" s="21">
        <f>(+E21/$E$29*$F$29)*1.2</f>
        <v>-0.17280000686645508</v>
      </c>
      <c r="L21" s="25">
        <f>SUM(L18:L20)</f>
        <v>3</v>
      </c>
      <c r="M21" s="25">
        <f>SUM(M18:M20)*1.2</f>
        <v>198000</v>
      </c>
      <c r="O21" s="15">
        <f t="shared" si="1"/>
        <v>-5.7600002288818362E-2</v>
      </c>
    </row>
    <row r="22" spans="1:15" x14ac:dyDescent="0.2">
      <c r="A22" s="13" t="s">
        <v>43</v>
      </c>
      <c r="B22" s="14" t="s">
        <v>44</v>
      </c>
      <c r="C22" s="15">
        <f>'[15]Team Report'!BA44</f>
        <v>78.789999999999992</v>
      </c>
      <c r="E22" s="21">
        <f t="shared" si="0"/>
        <v>105.05333333333331</v>
      </c>
      <c r="F22" s="21">
        <f>(+E22/$E$29*$F$29)*1.2</f>
        <v>75.638399999999976</v>
      </c>
      <c r="L22" s="52"/>
      <c r="M22" s="52"/>
      <c r="O22" s="15">
        <f t="shared" si="1"/>
        <v>25.212799999999991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1600675.1799999925</v>
      </c>
      <c r="E23" s="28">
        <f>SUM(E8:E22)</f>
        <v>2134233.5733333235</v>
      </c>
      <c r="F23" s="28">
        <f>SUM(F8:F22)</f>
        <v>401720.2569599931</v>
      </c>
      <c r="O23" s="58">
        <f>SUM(O8:O22)</f>
        <v>133906.75231999773</v>
      </c>
    </row>
    <row r="25" spans="1:15" x14ac:dyDescent="0.2">
      <c r="B25" s="27" t="s">
        <v>50</v>
      </c>
      <c r="C25" s="55"/>
      <c r="E25" s="55">
        <v>5</v>
      </c>
      <c r="F25" s="79">
        <f>SUM(L18:L20)</f>
        <v>3</v>
      </c>
      <c r="I25" s="33" t="s">
        <v>56</v>
      </c>
      <c r="J25" s="25"/>
      <c r="M25"/>
      <c r="O25" s="31">
        <f>SUM(U16:U20,U23:U27)</f>
        <v>0</v>
      </c>
    </row>
    <row r="26" spans="1:15" x14ac:dyDescent="0.2">
      <c r="J26" s="25"/>
      <c r="M26"/>
      <c r="O26" s="15"/>
    </row>
    <row r="27" spans="1:15" x14ac:dyDescent="0.2">
      <c r="B27" s="27" t="s">
        <v>67</v>
      </c>
      <c r="C27" s="55"/>
      <c r="E27" s="55"/>
      <c r="F27" s="55"/>
      <c r="I27" s="34" t="s">
        <v>57</v>
      </c>
      <c r="J27" s="35" t="s">
        <v>58</v>
      </c>
      <c r="K27" s="35" t="s">
        <v>59</v>
      </c>
      <c r="L27" s="35" t="s">
        <v>2</v>
      </c>
      <c r="M27" s="35" t="s">
        <v>60</v>
      </c>
      <c r="O27" s="31">
        <f>SUM(U21:U22)</f>
        <v>0</v>
      </c>
    </row>
    <row r="28" spans="1:15" x14ac:dyDescent="0.2">
      <c r="I28" s="36">
        <f>SUM(E12:E22)</f>
        <v>616105.45333332371</v>
      </c>
      <c r="J28" s="56">
        <f>+E29</f>
        <v>5</v>
      </c>
      <c r="K28" s="37">
        <f>+I28/J28</f>
        <v>123221.09066666474</v>
      </c>
      <c r="L28" s="37">
        <f>+L12</f>
        <v>3</v>
      </c>
      <c r="M28" s="37">
        <f>+K28*L28</f>
        <v>369663.27199999418</v>
      </c>
    </row>
    <row r="29" spans="1:15" x14ac:dyDescent="0.2">
      <c r="B29" s="27" t="s">
        <v>55</v>
      </c>
      <c r="C29" s="55"/>
      <c r="E29" s="55">
        <f>SUM(E25:E28)</f>
        <v>5</v>
      </c>
      <c r="F29" s="55">
        <f>SUM(F25:F28)</f>
        <v>3</v>
      </c>
      <c r="K29"/>
      <c r="M29"/>
      <c r="O29" s="31">
        <v>1</v>
      </c>
    </row>
    <row r="30" spans="1:15" x14ac:dyDescent="0.2">
      <c r="B30" s="27"/>
      <c r="K30"/>
      <c r="M30"/>
    </row>
    <row r="31" spans="1:15" hidden="1" x14ac:dyDescent="0.2">
      <c r="A31" s="13" t="s">
        <v>71</v>
      </c>
      <c r="B31" s="14" t="s">
        <v>72</v>
      </c>
      <c r="C31" s="15">
        <f>'[15]Team Report'!BA29</f>
        <v>143473.75</v>
      </c>
      <c r="E31" s="15">
        <f t="shared" ref="E31:E38" si="2">(C31/9)*12</f>
        <v>191298.33333333331</v>
      </c>
      <c r="F31" s="15"/>
    </row>
    <row r="32" spans="1:15" hidden="1" x14ac:dyDescent="0.2">
      <c r="A32" s="13" t="s">
        <v>73</v>
      </c>
      <c r="B32" s="14" t="s">
        <v>74</v>
      </c>
      <c r="C32" s="15">
        <f>'[15]Team Report'!BA30</f>
        <v>0</v>
      </c>
      <c r="E32" s="15">
        <f t="shared" si="2"/>
        <v>0</v>
      </c>
      <c r="F32" s="15"/>
    </row>
    <row r="33" spans="1:14" hidden="1" x14ac:dyDescent="0.2">
      <c r="A33" s="13" t="s">
        <v>75</v>
      </c>
      <c r="B33" s="14" t="s">
        <v>76</v>
      </c>
      <c r="C33" s="15">
        <f>'[15]Team Report'!BA31</f>
        <v>0</v>
      </c>
      <c r="E33" s="15">
        <f t="shared" si="2"/>
        <v>0</v>
      </c>
      <c r="F33" s="15"/>
    </row>
    <row r="34" spans="1:14" hidden="1" x14ac:dyDescent="0.2">
      <c r="A34" s="13" t="s">
        <v>77</v>
      </c>
      <c r="B34" s="14" t="s">
        <v>78</v>
      </c>
      <c r="C34" s="15">
        <f>'[15]Team Report'!BA39</f>
        <v>0</v>
      </c>
      <c r="E34" s="15">
        <f t="shared" si="2"/>
        <v>0</v>
      </c>
      <c r="F34" s="15"/>
    </row>
    <row r="35" spans="1:14" hidden="1" x14ac:dyDescent="0.2">
      <c r="A35" s="13" t="s">
        <v>79</v>
      </c>
      <c r="B35" s="14" t="s">
        <v>80</v>
      </c>
      <c r="C35" s="15">
        <f>'[15]Team Report'!BA40</f>
        <v>47150.06</v>
      </c>
      <c r="E35" s="15">
        <f t="shared" si="2"/>
        <v>62866.746666666659</v>
      </c>
      <c r="F35" s="15"/>
    </row>
    <row r="36" spans="1:14" hidden="1" x14ac:dyDescent="0.2">
      <c r="A36" s="13" t="s">
        <v>81</v>
      </c>
      <c r="B36" s="14" t="s">
        <v>82</v>
      </c>
      <c r="C36" s="15">
        <f>'[15]Team Report'!BA41</f>
        <v>150417.00999999998</v>
      </c>
      <c r="E36" s="15">
        <f t="shared" si="2"/>
        <v>200556.01333333331</v>
      </c>
      <c r="F36" s="15"/>
    </row>
    <row r="37" spans="1:14" hidden="1" x14ac:dyDescent="0.2">
      <c r="A37" s="13" t="s">
        <v>83</v>
      </c>
      <c r="B37" s="14" t="s">
        <v>84</v>
      </c>
      <c r="C37" s="15">
        <f>'[15]Team Report'!BA43</f>
        <v>7417.54</v>
      </c>
      <c r="E37" s="15">
        <f t="shared" si="2"/>
        <v>9890.0533333333333</v>
      </c>
      <c r="F37" s="15"/>
    </row>
    <row r="38" spans="1:14" hidden="1" x14ac:dyDescent="0.2">
      <c r="A38" s="13" t="s">
        <v>85</v>
      </c>
      <c r="B38" s="14" t="s">
        <v>86</v>
      </c>
      <c r="C38" s="15">
        <f>'[15]Team Report'!BA45</f>
        <v>11194108.379999999</v>
      </c>
      <c r="E38" s="15">
        <f t="shared" si="2"/>
        <v>14925477.839999998</v>
      </c>
      <c r="F38" s="15"/>
    </row>
    <row r="39" spans="1:14" hidden="1" x14ac:dyDescent="0.2">
      <c r="A39" s="13" t="s">
        <v>21</v>
      </c>
      <c r="B39" s="14" t="s">
        <v>22</v>
      </c>
      <c r="C39" s="15">
        <v>24143776.43</v>
      </c>
      <c r="E39" s="15">
        <v>32191701.906666666</v>
      </c>
      <c r="F39" s="15"/>
    </row>
    <row r="40" spans="1:14" hidden="1" x14ac:dyDescent="0.2">
      <c r="B40" s="14" t="s">
        <v>41</v>
      </c>
      <c r="C40" s="15">
        <v>243106037</v>
      </c>
      <c r="E40" s="15"/>
      <c r="F40" s="15"/>
      <c r="N40" s="25"/>
    </row>
    <row r="44" spans="1:14" x14ac:dyDescent="0.2">
      <c r="C44" s="54">
        <f>C23+C31+C32+C33+C34+C35+C36+C37+C38</f>
        <v>13143241.919999991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63" bottom="0.48" header="0.76" footer="0.5"/>
  <pageSetup orientation="portrait" verticalDpi="196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R39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0" t="s">
        <v>228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(L28-H10)*1.2</f>
        <v>836352</v>
      </c>
      <c r="I8" s="42" t="s">
        <v>10</v>
      </c>
      <c r="J8" s="17">
        <v>0</v>
      </c>
      <c r="K8" s="17"/>
      <c r="L8" s="43">
        <f>L30</f>
        <v>836352</v>
      </c>
      <c r="Q8" s="15"/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(L21+L22)*1.2</f>
        <v>0</v>
      </c>
      <c r="I10" s="42"/>
      <c r="J10" s="17"/>
      <c r="K10" s="17"/>
      <c r="L10" s="43"/>
      <c r="Q10" s="15"/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(L30-L28)*1.2</f>
        <v>167270.39999999999</v>
      </c>
      <c r="I11" s="42" t="s">
        <v>15</v>
      </c>
      <c r="J11" s="17">
        <f>(E12+E13+E14+E15+E16+E17+E18+E19+E20+E21+E22)/E29</f>
        <v>48270.181250000009</v>
      </c>
      <c r="K11" s="17">
        <f>K28</f>
        <v>12</v>
      </c>
      <c r="L11" s="43">
        <f>J11*K11</f>
        <v>579242.17500000005</v>
      </c>
      <c r="Q11" s="15"/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28800</v>
      </c>
      <c r="I12" s="42"/>
      <c r="J12" s="17"/>
      <c r="K12" s="17"/>
      <c r="L12" s="43"/>
      <c r="Q12" s="15"/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18000</v>
      </c>
      <c r="I13" s="46" t="s">
        <v>20</v>
      </c>
      <c r="J13" s="47"/>
      <c r="K13" s="47"/>
      <c r="L13" s="48">
        <f>L8+L11</f>
        <v>1415594.175</v>
      </c>
      <c r="N13" s="25"/>
      <c r="P13" s="49"/>
      <c r="Q13" s="15"/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>((E14/$E$29)*$K$11)*1.2</f>
        <v>2.8800000002374867E-2</v>
      </c>
      <c r="Q14" s="15"/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24000</v>
      </c>
      <c r="Q15" s="15"/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>((E16/$E$29)*$K$11)*1.2</f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Q16" s="15"/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0</v>
      </c>
      <c r="I17" s="25" t="s">
        <v>30</v>
      </c>
      <c r="J17" s="25">
        <v>48400</v>
      </c>
      <c r="K17" s="25">
        <f>12</f>
        <v>12</v>
      </c>
      <c r="L17" s="25">
        <f t="shared" si="1"/>
        <v>580800</v>
      </c>
      <c r="Q17" s="15"/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Q18" s="15"/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12000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Q19" s="15"/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Q20" s="15"/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6000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((E22/$E$29)*$K$11-393210)*1.2</f>
        <v>-0.39839999978430568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1092422.0304</v>
      </c>
      <c r="I23" s="25" t="s">
        <v>48</v>
      </c>
      <c r="J23" s="25">
        <v>110000</v>
      </c>
      <c r="K23" s="25">
        <v>0</v>
      </c>
      <c r="L23" s="25">
        <f t="shared" si="1"/>
        <v>0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v>0</v>
      </c>
      <c r="L24" s="25">
        <f t="shared" si="1"/>
        <v>0</v>
      </c>
      <c r="P24" s="8"/>
      <c r="Q24" s="8"/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12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1"/>
        <v>0</v>
      </c>
      <c r="P26" s="8"/>
      <c r="Q26" s="32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">
      <c r="K28" s="25">
        <f>SUM(K16:K27)</f>
        <v>12</v>
      </c>
      <c r="L28" s="25">
        <f>SUM(L16:L27)*1.2</f>
        <v>696960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12</v>
      </c>
      <c r="L29" s="52">
        <v>0.2</v>
      </c>
      <c r="P29" s="8"/>
      <c r="Q29" s="32"/>
    </row>
    <row r="30" spans="1:17" hidden="1" x14ac:dyDescent="0.2">
      <c r="L30" s="25">
        <f>L28*1.2</f>
        <v>836352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12</v>
      </c>
      <c r="L34" s="37">
        <f>+J34*K34</f>
        <v>579242.17500000005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AS34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28" width="9.140625" hidden="1" customWidth="1"/>
  </cols>
  <sheetData>
    <row r="1" spans="1:45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0" t="s">
        <v>230</v>
      </c>
      <c r="C2" s="140"/>
      <c r="D2" s="140"/>
      <c r="E2" s="140"/>
      <c r="F2" s="140"/>
      <c r="G2" s="140"/>
      <c r="H2" s="14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x14ac:dyDescent="0.2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(M16+M17+M18+M19+M20+M23+M24+M26)*1.2</f>
        <v>126720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126720</v>
      </c>
      <c r="O8" s="15">
        <f t="shared" ref="O8:O22" si="1">+F8/$F$29*$O$29</f>
        <v>63360</v>
      </c>
    </row>
    <row r="9" spans="1:45" hidden="1" x14ac:dyDescent="0.2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>
        <v>0</v>
      </c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(M21+M22)*1.2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(M28*0.2)*1.2</f>
        <v>25344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2</v>
      </c>
      <c r="M11" s="18">
        <f>K11*L11</f>
        <v>63352.363801418425</v>
      </c>
      <c r="O11" s="15">
        <f t="shared" si="1"/>
        <v>12672</v>
      </c>
    </row>
    <row r="12" spans="1:45" x14ac:dyDescent="0.2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21">
        <f t="shared" ref="F12:F22" si="3">(E12/$E$29*$L$11)*1.2</f>
        <v>15154.579063829786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7577.2895319148929</v>
      </c>
    </row>
    <row r="13" spans="1:45" ht="13.5" thickBot="1" x14ac:dyDescent="0.2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21">
        <f t="shared" si="3"/>
        <v>27625.270740425531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190072.36380141843</v>
      </c>
      <c r="O13" s="15">
        <f t="shared" si="1"/>
        <v>13812.635370212765</v>
      </c>
    </row>
    <row r="14" spans="1:45" x14ac:dyDescent="0.2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21">
        <f t="shared" si="3"/>
        <v>1.0348936173510043E-2</v>
      </c>
      <c r="H14" s="16">
        <f t="shared" si="0"/>
        <v>2.9853903459396468E-8</v>
      </c>
      <c r="N14" s="49"/>
      <c r="O14" s="15">
        <f t="shared" si="1"/>
        <v>5.1744680867550213E-3</v>
      </c>
    </row>
    <row r="15" spans="1:45" x14ac:dyDescent="0.2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21">
        <f t="shared" si="3"/>
        <v>2538.9516255319145</v>
      </c>
      <c r="H15" s="16">
        <f t="shared" si="0"/>
        <v>7.3241940471838168E-3</v>
      </c>
      <c r="K15" s="25"/>
      <c r="O15" s="15">
        <f t="shared" si="1"/>
        <v>1269.4758127659572</v>
      </c>
    </row>
    <row r="16" spans="1:45" x14ac:dyDescent="0.2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27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21">
        <f t="shared" si="3"/>
        <v>144.34042553191489</v>
      </c>
      <c r="H17" s="16">
        <f t="shared" si="0"/>
        <v>4.1638339022207621E-4</v>
      </c>
      <c r="J17" t="s">
        <v>30</v>
      </c>
      <c r="K17" s="25">
        <v>52800</v>
      </c>
      <c r="L17">
        <v>2</v>
      </c>
      <c r="M17" s="25">
        <f t="shared" si="4"/>
        <v>105600</v>
      </c>
      <c r="O17" s="15">
        <f t="shared" si="1"/>
        <v>72.170212765957444</v>
      </c>
    </row>
    <row r="18" spans="1:15" x14ac:dyDescent="0.2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21">
        <f t="shared" si="3"/>
        <v>7.8240680851062887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4"/>
        <v>0</v>
      </c>
      <c r="O18" s="15">
        <f t="shared" si="1"/>
        <v>3.9120340425531444</v>
      </c>
    </row>
    <row r="19" spans="1:15" x14ac:dyDescent="0.2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21">
        <f t="shared" si="3"/>
        <v>13267.042042553192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4"/>
        <v>0</v>
      </c>
      <c r="O19" s="15">
        <f t="shared" si="1"/>
        <v>6633.521021276596</v>
      </c>
    </row>
    <row r="20" spans="1:15" x14ac:dyDescent="0.2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21">
        <f t="shared" si="3"/>
        <v>2.1291574468085108</v>
      </c>
      <c r="H20" s="16">
        <f t="shared" si="0"/>
        <v>6.1420478202947023E-6</v>
      </c>
      <c r="J20" t="s">
        <v>39</v>
      </c>
      <c r="K20" s="25">
        <v>78000</v>
      </c>
      <c r="L20">
        <v>0</v>
      </c>
      <c r="M20" s="25">
        <f t="shared" si="4"/>
        <v>0</v>
      </c>
      <c r="O20" s="15">
        <f t="shared" si="1"/>
        <v>1.0645787234042554</v>
      </c>
    </row>
    <row r="21" spans="1:15" x14ac:dyDescent="0.2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21">
        <f t="shared" si="3"/>
        <v>17250.274042553188</v>
      </c>
      <c r="H21" s="16">
        <f t="shared" si="0"/>
        <v>4.9762411061411306E-2</v>
      </c>
      <c r="J21" t="s">
        <v>42</v>
      </c>
      <c r="K21" s="25">
        <v>66000</v>
      </c>
      <c r="L21">
        <v>0</v>
      </c>
      <c r="M21" s="25">
        <f t="shared" si="4"/>
        <v>0</v>
      </c>
      <c r="O21" s="15">
        <f t="shared" si="1"/>
        <v>8625.1370212765942</v>
      </c>
    </row>
    <row r="22" spans="1:15" x14ac:dyDescent="0.2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21">
        <f t="shared" si="3"/>
        <v>32.415046808510638</v>
      </c>
      <c r="H22" s="16">
        <f t="shared" si="0"/>
        <v>9.350871063734415E-5</v>
      </c>
      <c r="J22" t="s">
        <v>45</v>
      </c>
      <c r="K22" s="25">
        <v>97200</v>
      </c>
      <c r="L22">
        <v>0</v>
      </c>
      <c r="M22" s="25">
        <f t="shared" si="4"/>
        <v>0</v>
      </c>
      <c r="O22" s="15">
        <f t="shared" si="1"/>
        <v>16.207523404255319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228086.83656170213</v>
      </c>
      <c r="H23" s="30">
        <f>SUM(H8:H22)</f>
        <v>1</v>
      </c>
      <c r="J23" t="s">
        <v>48</v>
      </c>
      <c r="K23" s="25">
        <v>120000</v>
      </c>
      <c r="L23">
        <v>0</v>
      </c>
      <c r="M23" s="25">
        <f t="shared" si="4"/>
        <v>0</v>
      </c>
      <c r="O23" s="58">
        <f>SUM(O8:O22)</f>
        <v>114043.41828085107</v>
      </c>
    </row>
    <row r="24" spans="1:15" x14ac:dyDescent="0.2">
      <c r="J24" t="s">
        <v>49</v>
      </c>
      <c r="K24" s="25">
        <v>156000</v>
      </c>
      <c r="L24">
        <v>0</v>
      </c>
      <c r="M24" s="25">
        <f t="shared" si="4"/>
        <v>0</v>
      </c>
    </row>
    <row r="25" spans="1:15" x14ac:dyDescent="0.2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31">
        <f>SUM(L16:L20,L23:L27)</f>
        <v>2</v>
      </c>
      <c r="J25" t="s">
        <v>51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52</v>
      </c>
      <c r="K26" s="25">
        <v>216000</v>
      </c>
      <c r="L26">
        <v>0</v>
      </c>
      <c r="M26" s="25">
        <f t="shared" si="4"/>
        <v>0</v>
      </c>
      <c r="O26" s="15"/>
    </row>
    <row r="27" spans="1:15" x14ac:dyDescent="0.2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31">
        <f>SUM(L21:L22)</f>
        <v>0</v>
      </c>
      <c r="J27" t="s">
        <v>54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x14ac:dyDescent="0.2">
      <c r="B28" s="27"/>
      <c r="L28">
        <f>SUM(L16:L27)</f>
        <v>2</v>
      </c>
      <c r="M28" s="25">
        <f>SUM(M16:M27)</f>
        <v>105600</v>
      </c>
    </row>
    <row r="29" spans="1:15" x14ac:dyDescent="0.2">
      <c r="B29" s="27" t="s">
        <v>55</v>
      </c>
      <c r="E29" s="59">
        <f>SUM(E25:E27)</f>
        <v>141</v>
      </c>
      <c r="F29" s="31">
        <f>SUM(F25:F27)</f>
        <v>2</v>
      </c>
      <c r="H29" s="25"/>
      <c r="O29" s="31">
        <v>1</v>
      </c>
    </row>
    <row r="31" spans="1:15" x14ac:dyDescent="0.2">
      <c r="I31" s="33" t="s">
        <v>56</v>
      </c>
      <c r="J31" s="25"/>
      <c r="K31" s="25"/>
      <c r="L31" s="25"/>
    </row>
    <row r="32" spans="1:15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2</v>
      </c>
      <c r="M34" s="37">
        <f>+K34*L34</f>
        <v>63352.363801418425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AU34"/>
  <sheetViews>
    <sheetView topLeftCell="A4" zoomScaleNormal="100" workbookViewId="0">
      <selection activeCell="R144" sqref="R144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4.140625" customWidth="1"/>
    <col min="8" max="8" width="2.5703125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16" width="18" hidden="1" customWidth="1"/>
    <col min="17" max="17" width="24.140625" hidden="1" customWidth="1"/>
    <col min="18" max="18" width="0" hidden="1" customWidth="1"/>
  </cols>
  <sheetData>
    <row r="1" spans="1:47" ht="18" x14ac:dyDescent="0.25">
      <c r="B1" s="140" t="str">
        <f>'[22]Team Report'!B1</f>
        <v>Enron North America</v>
      </c>
      <c r="C1" s="140"/>
      <c r="D1" s="142"/>
      <c r="E1" s="142"/>
      <c r="F1" s="142"/>
      <c r="G1" s="142"/>
      <c r="H1" s="142"/>
      <c r="I1" s="14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40" t="s">
        <v>234</v>
      </c>
      <c r="C2" s="140"/>
      <c r="D2" s="142"/>
      <c r="E2" s="142"/>
      <c r="F2" s="142"/>
      <c r="G2" s="142"/>
      <c r="H2" s="142"/>
      <c r="I2" s="14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43" t="s">
        <v>0</v>
      </c>
      <c r="C3" s="143"/>
      <c r="D3" s="144"/>
      <c r="E3" s="144"/>
      <c r="F3" s="144"/>
      <c r="G3" s="144"/>
      <c r="H3" s="144"/>
      <c r="I3" s="14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1</v>
      </c>
      <c r="M5" s="8" t="s">
        <v>2</v>
      </c>
      <c r="N5" s="9" t="s">
        <v>3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47" x14ac:dyDescent="0.2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47" x14ac:dyDescent="0.2">
      <c r="A8" s="13" t="s">
        <v>9</v>
      </c>
      <c r="B8" s="14" t="s">
        <v>10</v>
      </c>
      <c r="C8" s="15">
        <f>'[23]Executive Orig'!C8+[23]Trading!C8+[23]Origination!C8+'[23]Mid Market'!C8+[23]Services!C8+[23]Fundamentals!C8</f>
        <v>4789958.9899999993</v>
      </c>
      <c r="E8" s="15">
        <f>(C8/9)*12</f>
        <v>6386611.9866666663</v>
      </c>
      <c r="F8" s="15"/>
      <c r="G8" s="15">
        <f>(SUM(N16:N20,N23:N27))*1.2</f>
        <v>357120</v>
      </c>
      <c r="H8" s="15"/>
      <c r="I8" s="16">
        <f t="shared" ref="I8:I22" si="0">+G8/$G$23</f>
        <v>0.633366090662281</v>
      </c>
      <c r="K8" s="7" t="s">
        <v>10</v>
      </c>
      <c r="L8" s="17">
        <v>0</v>
      </c>
      <c r="M8" s="8">
        <v>64</v>
      </c>
      <c r="N8" s="18">
        <f>N28</f>
        <v>357120</v>
      </c>
      <c r="O8" s="15">
        <f t="shared" ref="O8:O22" si="1">+G8/$G$29*$O$29</f>
        <v>59520</v>
      </c>
    </row>
    <row r="9" spans="1:47" hidden="1" x14ac:dyDescent="0.2">
      <c r="A9" s="13"/>
      <c r="B9" s="14" t="s">
        <v>11</v>
      </c>
      <c r="C9" s="15">
        <f>'[23]Executive Orig'!C9+[23]Trading!C9+[23]Origination!C9+'[23]Mid Market'!C9+[23]Services!C9+[23]Fundamentals!C9</f>
        <v>1464000</v>
      </c>
      <c r="E9" s="15">
        <f>+C9</f>
        <v>1464000</v>
      </c>
      <c r="F9" s="15"/>
      <c r="G9" s="15">
        <v>0</v>
      </c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12</v>
      </c>
      <c r="C10" s="15">
        <f>'[23]Executive Orig'!C10+[23]Trading!C10+[23]Origination!C10+'[23]Mid Market'!C10+[23]Services!C10+[23]Fundamentals!C10</f>
        <v>804567</v>
      </c>
      <c r="E10" s="15">
        <f>(C10/9)*12</f>
        <v>1072756</v>
      </c>
      <c r="F10" s="15"/>
      <c r="G10" s="15">
        <f>(+N21+N22)*1.2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x14ac:dyDescent="0.2">
      <c r="A11" s="13" t="s">
        <v>13</v>
      </c>
      <c r="B11" s="14" t="s">
        <v>14</v>
      </c>
      <c r="C11" s="15">
        <f>'[23]Executive Orig'!C11+[23]Trading!C11+[23]Origination!C11+'[23]Mid Market'!C11+[23]Services!C11+[23]Fundamentals!C11</f>
        <v>1096068.21</v>
      </c>
      <c r="E11" s="15">
        <f>(C11/9)*12</f>
        <v>1461424.2799999998</v>
      </c>
      <c r="F11" s="15"/>
      <c r="G11" s="15">
        <f>(+G8*0.2+(N21+N22)*0.2)*1.2</f>
        <v>85708.800000000003</v>
      </c>
      <c r="H11" s="15"/>
      <c r="I11" s="16">
        <f t="shared" si="0"/>
        <v>0.15200786175894745</v>
      </c>
      <c r="K11" s="7" t="s">
        <v>15</v>
      </c>
      <c r="L11" s="19">
        <f>(E12+E13+E14+E15+E16+E17+E18+E19+E20+E21+E22)/E29</f>
        <v>47533.855280898868</v>
      </c>
      <c r="M11" s="8">
        <f>M28</f>
        <v>6</v>
      </c>
      <c r="N11" s="18">
        <f>L11*M11</f>
        <v>285203.13168539322</v>
      </c>
      <c r="O11" s="15">
        <f t="shared" si="1"/>
        <v>14284.800000000001</v>
      </c>
    </row>
    <row r="12" spans="1:47" x14ac:dyDescent="0.2">
      <c r="A12" s="13" t="s">
        <v>16</v>
      </c>
      <c r="B12" s="14" t="s">
        <v>17</v>
      </c>
      <c r="C12" s="15">
        <f>'[23]Executive Orig'!C12+[23]Trading!C12+[23]Origination!C12+'[23]Mid Market'!C12+[23]Services!C12+[23]Fundamentals!C12</f>
        <v>658117.68000000005</v>
      </c>
      <c r="E12" s="20">
        <f t="shared" ref="E12:E22" si="2">((C12/9)*12)*1.2</f>
        <v>1052988.2880000002</v>
      </c>
      <c r="F12" s="15"/>
      <c r="G12" s="21">
        <v>12000</v>
      </c>
      <c r="H12" s="15"/>
      <c r="I12" s="16">
        <f t="shared" si="0"/>
        <v>2.1282462723866972E-2</v>
      </c>
      <c r="K12" s="7"/>
      <c r="L12" s="8"/>
      <c r="M12" s="8"/>
      <c r="N12" s="9"/>
      <c r="O12" s="15">
        <f t="shared" si="1"/>
        <v>2000</v>
      </c>
      <c r="P12" s="124"/>
      <c r="Q12" s="124"/>
      <c r="R12" s="124"/>
    </row>
    <row r="13" spans="1:47" ht="13.5" thickBot="1" x14ac:dyDescent="0.25">
      <c r="A13" s="13" t="s">
        <v>18</v>
      </c>
      <c r="B13" s="14" t="s">
        <v>19</v>
      </c>
      <c r="C13" s="15">
        <f>'[23]Executive Orig'!C13+[23]Trading!C13+[23]Origination!C13+'[23]Mid Market'!C13+[23]Services!C13+[23]Fundamentals!C13</f>
        <v>719773.79999999993</v>
      </c>
      <c r="E13" s="20">
        <f t="shared" si="2"/>
        <v>1151638.0799999998</v>
      </c>
      <c r="F13" s="15"/>
      <c r="G13" s="21">
        <v>12000</v>
      </c>
      <c r="H13" s="15"/>
      <c r="I13" s="16">
        <f t="shared" si="0"/>
        <v>2.1282462723866972E-2</v>
      </c>
      <c r="K13" s="22" t="s">
        <v>20</v>
      </c>
      <c r="L13" s="23"/>
      <c r="M13" s="23"/>
      <c r="N13" s="24">
        <f>N8+N11</f>
        <v>642323.13168539316</v>
      </c>
      <c r="O13" s="15">
        <f t="shared" si="1"/>
        <v>2000</v>
      </c>
      <c r="P13" s="124"/>
      <c r="Q13" s="124"/>
      <c r="R13" s="124"/>
    </row>
    <row r="14" spans="1:47" x14ac:dyDescent="0.2">
      <c r="A14" s="13" t="s">
        <v>21</v>
      </c>
      <c r="B14" s="14" t="s">
        <v>22</v>
      </c>
      <c r="C14" s="15">
        <f>'[23]Executive Orig'!C14+[23]Trading!C14+[23]Origination!C14+'[23]Mid Market'!C14+[23]Services!C14+[23]Fundamentals!C14-C32</f>
        <v>0.23999999975785613</v>
      </c>
      <c r="E14" s="20">
        <f t="shared" si="2"/>
        <v>0.38399999961256975</v>
      </c>
      <c r="F14" s="15"/>
      <c r="G14" s="21">
        <v>48000</v>
      </c>
      <c r="H14" s="15"/>
      <c r="I14" s="16">
        <f t="shared" si="0"/>
        <v>8.5129850895467887E-2</v>
      </c>
      <c r="O14" s="15">
        <f t="shared" si="1"/>
        <v>8000</v>
      </c>
      <c r="P14" s="124"/>
      <c r="Q14" s="124"/>
      <c r="R14" s="124"/>
    </row>
    <row r="15" spans="1:47" x14ac:dyDescent="0.2">
      <c r="A15" s="13" t="s">
        <v>23</v>
      </c>
      <c r="B15" s="14" t="s">
        <v>24</v>
      </c>
      <c r="C15" s="15">
        <f>'[23]Executive Orig'!C15+[23]Trading!C15+[23]Origination!C15+'[23]Mid Market'!C15+[23]Services!C15+[23]Fundamentals!C15</f>
        <v>128890.14</v>
      </c>
      <c r="E15" s="20">
        <f t="shared" si="2"/>
        <v>206224.22400000002</v>
      </c>
      <c r="F15" s="15"/>
      <c r="G15" s="21">
        <v>20736</v>
      </c>
      <c r="H15" s="15"/>
      <c r="I15" s="16">
        <f t="shared" si="0"/>
        <v>3.6776095586842125E-2</v>
      </c>
      <c r="O15" s="15">
        <f t="shared" si="1"/>
        <v>3456</v>
      </c>
      <c r="P15" s="124"/>
      <c r="Q15" s="124"/>
      <c r="R15" s="124"/>
    </row>
    <row r="16" spans="1:47" x14ac:dyDescent="0.2">
      <c r="A16" s="13" t="s">
        <v>25</v>
      </c>
      <c r="B16" s="14" t="s">
        <v>26</v>
      </c>
      <c r="C16" s="15">
        <f>'[23]Executive Orig'!C16+[23]Trading!C16+[23]Origination!C16+'[23]Mid Market'!C16+[23]Services!C16+[23]Fundamentals!C16</f>
        <v>0</v>
      </c>
      <c r="E16" s="20">
        <f t="shared" si="2"/>
        <v>0</v>
      </c>
      <c r="F16" s="15"/>
      <c r="G16" s="21">
        <f>(+E16/$E$29*$M$11)*1.2</f>
        <v>0</v>
      </c>
      <c r="H16" s="15"/>
      <c r="I16" s="16">
        <f t="shared" si="0"/>
        <v>0</v>
      </c>
      <c r="K16" t="s">
        <v>27</v>
      </c>
      <c r="L16" s="25">
        <v>33600</v>
      </c>
      <c r="M16">
        <v>1</v>
      </c>
      <c r="N16" s="25">
        <f t="shared" ref="N16:N27" si="3">L16*M16</f>
        <v>33600</v>
      </c>
      <c r="O16" s="15">
        <f t="shared" si="1"/>
        <v>0</v>
      </c>
      <c r="P16" s="124"/>
      <c r="Q16" s="124"/>
      <c r="R16" s="124"/>
    </row>
    <row r="17" spans="1:18" x14ac:dyDescent="0.2">
      <c r="A17" s="13" t="s">
        <v>28</v>
      </c>
      <c r="B17" s="14" t="s">
        <v>29</v>
      </c>
      <c r="C17" s="15">
        <f>'[23]Executive Orig'!C17+[23]Trading!C17+[23]Origination!C17+'[23]Mid Market'!C17+[23]Services!C17+[23]Fundamentals!C17</f>
        <v>11300</v>
      </c>
      <c r="E17" s="20">
        <f t="shared" si="2"/>
        <v>18080</v>
      </c>
      <c r="F17" s="15"/>
      <c r="G17" s="21">
        <v>0</v>
      </c>
      <c r="H17" s="15"/>
      <c r="I17" s="16">
        <f t="shared" si="0"/>
        <v>0</v>
      </c>
      <c r="K17" t="s">
        <v>30</v>
      </c>
      <c r="L17" s="25">
        <v>52800</v>
      </c>
      <c r="M17">
        <f>5</f>
        <v>5</v>
      </c>
      <c r="N17" s="25">
        <f t="shared" si="3"/>
        <v>264000</v>
      </c>
      <c r="O17" s="15">
        <f t="shared" si="1"/>
        <v>0</v>
      </c>
      <c r="P17" s="124"/>
      <c r="Q17" s="124"/>
      <c r="R17" s="124"/>
    </row>
    <row r="18" spans="1:18" x14ac:dyDescent="0.2">
      <c r="A18" s="13" t="s">
        <v>31</v>
      </c>
      <c r="B18" s="14" t="s">
        <v>32</v>
      </c>
      <c r="C18" s="15">
        <f>'[23]Executive Orig'!C18+[23]Trading!C18+[23]Origination!C18+'[23]Mid Market'!C18+[23]Services!C18+[23]Fundamentals!C18</f>
        <v>327447.74000000005</v>
      </c>
      <c r="E18" s="20">
        <f t="shared" si="2"/>
        <v>523916.38400000002</v>
      </c>
      <c r="F18" s="15"/>
      <c r="G18" s="21">
        <f>(+(75*12*6))*1.2</f>
        <v>6480</v>
      </c>
      <c r="H18" s="15"/>
      <c r="I18" s="16">
        <f t="shared" si="0"/>
        <v>1.1492529870888163E-2</v>
      </c>
      <c r="K18" t="s">
        <v>33</v>
      </c>
      <c r="L18" s="25">
        <v>54000</v>
      </c>
      <c r="M18">
        <v>0</v>
      </c>
      <c r="N18" s="25">
        <f t="shared" si="3"/>
        <v>0</v>
      </c>
      <c r="O18" s="15">
        <f t="shared" si="1"/>
        <v>1080</v>
      </c>
    </row>
    <row r="19" spans="1:18" x14ac:dyDescent="0.2">
      <c r="A19" s="13" t="s">
        <v>34</v>
      </c>
      <c r="B19" s="14" t="s">
        <v>35</v>
      </c>
      <c r="C19" s="15">
        <f>'[23]Executive Orig'!C19+[23]Trading!C19+[23]Origination!C19+'[23]Mid Market'!C19+[23]Services!C19+[23]Fundamentals!C19</f>
        <v>155845.37</v>
      </c>
      <c r="E19" s="20">
        <f t="shared" si="2"/>
        <v>249352.59199999998</v>
      </c>
      <c r="F19" s="15"/>
      <c r="G19" s="21">
        <v>6000</v>
      </c>
      <c r="H19" s="15"/>
      <c r="I19" s="16">
        <f t="shared" si="0"/>
        <v>1.0641231361933486E-2</v>
      </c>
      <c r="K19" t="s">
        <v>36</v>
      </c>
      <c r="L19" s="25">
        <v>63000</v>
      </c>
      <c r="M19">
        <v>0</v>
      </c>
      <c r="N19" s="25">
        <f t="shared" si="3"/>
        <v>0</v>
      </c>
      <c r="O19" s="15">
        <f t="shared" si="1"/>
        <v>1000</v>
      </c>
    </row>
    <row r="20" spans="1:18" x14ac:dyDescent="0.2">
      <c r="A20" s="13" t="s">
        <v>37</v>
      </c>
      <c r="B20" s="14" t="s">
        <v>38</v>
      </c>
      <c r="C20" s="15">
        <f>'[23]Executive Orig'!C20+[23]Trading!C20+[23]Origination!C20+'[23]Mid Market'!C20+[23]Services!C20+[23]Fundamentals!C20</f>
        <v>116.15</v>
      </c>
      <c r="E20" s="20">
        <f t="shared" si="2"/>
        <v>185.84</v>
      </c>
      <c r="F20" s="15"/>
      <c r="G20" s="21">
        <v>0</v>
      </c>
      <c r="H20" s="15"/>
      <c r="I20" s="16">
        <f t="shared" si="0"/>
        <v>0</v>
      </c>
      <c r="K20" t="s">
        <v>39</v>
      </c>
      <c r="L20" s="25">
        <v>78000</v>
      </c>
      <c r="M20">
        <v>0</v>
      </c>
      <c r="N20" s="25">
        <f t="shared" si="3"/>
        <v>0</v>
      </c>
      <c r="O20" s="15">
        <f t="shared" si="1"/>
        <v>0</v>
      </c>
    </row>
    <row r="21" spans="1:18" x14ac:dyDescent="0.2">
      <c r="A21" s="13" t="s">
        <v>40</v>
      </c>
      <c r="B21" s="14" t="s">
        <v>41</v>
      </c>
      <c r="C21" s="15">
        <f>'[23]Executive Orig'!C21+[23]Trading!C21+[23]Origination!C21+'[23]Mid Market'!C21+[23]Services!C21+[23]Fundamentals!C21</f>
        <v>566869.93000000017</v>
      </c>
      <c r="E21" s="20">
        <f t="shared" si="2"/>
        <v>906991.88800000027</v>
      </c>
      <c r="F21" s="15"/>
      <c r="G21" s="21">
        <v>6000</v>
      </c>
      <c r="H21" s="15"/>
      <c r="I21" s="16">
        <f t="shared" si="0"/>
        <v>1.0641231361933486E-2</v>
      </c>
      <c r="K21" t="s">
        <v>42</v>
      </c>
      <c r="L21" s="25">
        <v>66000</v>
      </c>
      <c r="M21">
        <v>0</v>
      </c>
      <c r="N21" s="25">
        <f t="shared" si="3"/>
        <v>0</v>
      </c>
      <c r="O21" s="15">
        <f t="shared" si="1"/>
        <v>1000</v>
      </c>
    </row>
    <row r="22" spans="1:18" x14ac:dyDescent="0.2">
      <c r="A22" s="13" t="s">
        <v>43</v>
      </c>
      <c r="B22" s="14" t="s">
        <v>44</v>
      </c>
      <c r="C22" s="15">
        <f>'[23]Executive Orig'!C22+[23]Trading!C22+[23]Origination!C22+'[23]Mid Market'!C22+[23]Services!C22+[23]Fundamentals!C22</f>
        <v>75709.649999999965</v>
      </c>
      <c r="E22" s="20">
        <f t="shared" si="2"/>
        <v>121135.43999999994</v>
      </c>
      <c r="F22" s="15"/>
      <c r="G22" s="21">
        <f>(+E22/$E$29*$M$11)*1.2</f>
        <v>9799.7209887640402</v>
      </c>
      <c r="H22" s="15"/>
      <c r="I22" s="16">
        <f t="shared" si="0"/>
        <v>1.7380183053972289E-2</v>
      </c>
      <c r="K22" t="s">
        <v>45</v>
      </c>
      <c r="L22" s="25">
        <v>97200</v>
      </c>
      <c r="M22">
        <v>0</v>
      </c>
      <c r="N22" s="25">
        <f t="shared" si="3"/>
        <v>0</v>
      </c>
      <c r="O22" s="15">
        <f t="shared" si="1"/>
        <v>1633.2868314606733</v>
      </c>
    </row>
    <row r="23" spans="1:18" x14ac:dyDescent="0.2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563844.52098876412</v>
      </c>
      <c r="H23" s="29"/>
      <c r="I23" s="30">
        <f>SUM(I8:I22)</f>
        <v>0.99999999999999989</v>
      </c>
      <c r="K23" t="s">
        <v>48</v>
      </c>
      <c r="L23" s="25">
        <v>120000</v>
      </c>
      <c r="M23">
        <v>0</v>
      </c>
      <c r="N23" s="25">
        <f t="shared" si="3"/>
        <v>0</v>
      </c>
      <c r="O23" s="28">
        <f>SUM(O8:O22)</f>
        <v>93974.086831460678</v>
      </c>
    </row>
    <row r="24" spans="1:18" x14ac:dyDescent="0.2">
      <c r="K24" t="s">
        <v>49</v>
      </c>
      <c r="L24" s="25">
        <v>156000</v>
      </c>
      <c r="M24">
        <v>0</v>
      </c>
      <c r="N24" s="25">
        <f t="shared" si="3"/>
        <v>0</v>
      </c>
    </row>
    <row r="25" spans="1:18" x14ac:dyDescent="0.2">
      <c r="B25" s="27" t="s">
        <v>50</v>
      </c>
      <c r="C25" s="15"/>
      <c r="E25" s="31">
        <f>'[23]Executive Orig'!E25+[23]Trading!E25+[23]Origination!E25+'[23]Mid Market'!E25+[23]Services!E25+[23]Fundamentals!E25</f>
        <v>74</v>
      </c>
      <c r="F25" s="32"/>
      <c r="G25" s="31">
        <f>SUM(M16:M20,M23:M27)</f>
        <v>6</v>
      </c>
      <c r="H25" s="32"/>
      <c r="K25" t="s">
        <v>51</v>
      </c>
      <c r="L25" s="25">
        <v>180000</v>
      </c>
      <c r="M25">
        <v>0</v>
      </c>
      <c r="N25" s="25">
        <f t="shared" si="3"/>
        <v>0</v>
      </c>
      <c r="O25" s="31">
        <f>SUM(U16:U20,U23:U27)</f>
        <v>0</v>
      </c>
    </row>
    <row r="26" spans="1:18" x14ac:dyDescent="0.2">
      <c r="C26" s="15"/>
      <c r="E26" s="15"/>
      <c r="F26" s="15"/>
      <c r="G26" s="15"/>
      <c r="H26" s="15"/>
      <c r="K26" t="s">
        <v>52</v>
      </c>
      <c r="L26" s="25">
        <v>216000</v>
      </c>
      <c r="M26">
        <v>0</v>
      </c>
      <c r="N26" s="25">
        <f t="shared" si="3"/>
        <v>0</v>
      </c>
      <c r="O26" s="15"/>
    </row>
    <row r="27" spans="1:18" x14ac:dyDescent="0.2">
      <c r="B27" s="27" t="s">
        <v>53</v>
      </c>
      <c r="C27" s="15"/>
      <c r="E27" s="31">
        <f>'[23]Executive Orig'!E27+[23]Trading!E27+[23]Origination!E27+'[23]Mid Market'!E27+[23]Services!E27+[23]Fundamentals!E27</f>
        <v>15</v>
      </c>
      <c r="F27" s="32"/>
      <c r="G27" s="31">
        <f>+M21+M22</f>
        <v>0</v>
      </c>
      <c r="H27" s="32"/>
      <c r="K27" t="s">
        <v>54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18" x14ac:dyDescent="0.2">
      <c r="M28">
        <f>SUM(M16:M27)</f>
        <v>6</v>
      </c>
      <c r="N28" s="25">
        <f>SUM(N16:N27)*1.2</f>
        <v>357120</v>
      </c>
    </row>
    <row r="29" spans="1:18" x14ac:dyDescent="0.2">
      <c r="B29" s="27" t="s">
        <v>55</v>
      </c>
      <c r="C29" s="15"/>
      <c r="E29" s="31">
        <f>+E27+E25</f>
        <v>89</v>
      </c>
      <c r="F29" s="32"/>
      <c r="G29" s="31">
        <f>+G27+G25</f>
        <v>6</v>
      </c>
      <c r="H29" s="32"/>
      <c r="I29" s="25"/>
      <c r="O29" s="31">
        <v>1</v>
      </c>
    </row>
    <row r="31" spans="1:18" x14ac:dyDescent="0.2">
      <c r="J31" s="33" t="s">
        <v>56</v>
      </c>
      <c r="K31" s="25"/>
      <c r="L31" s="25"/>
      <c r="M31" s="25"/>
    </row>
    <row r="32" spans="1:18" hidden="1" x14ac:dyDescent="0.2">
      <c r="B32" s="14" t="s">
        <v>22</v>
      </c>
      <c r="C32" s="15">
        <v>677322</v>
      </c>
      <c r="K32" s="25"/>
      <c r="L32" s="25"/>
      <c r="M32" s="25"/>
    </row>
    <row r="33" spans="10:14" x14ac:dyDescent="0.2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6</v>
      </c>
      <c r="N34" s="37">
        <f>+L34*M34</f>
        <v>285203.13168539322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scale="99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Q49"/>
  <sheetViews>
    <sheetView zoomScaleNormal="100" workbookViewId="0">
      <selection activeCell="D64" sqref="D64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2" width="0" hidden="1" customWidth="1"/>
  </cols>
  <sheetData>
    <row r="1" spans="1:43" ht="18" x14ac:dyDescent="0.25">
      <c r="B1" s="140" t="str">
        <f>'[2]Team Report'!B1</f>
        <v>Enron North America</v>
      </c>
      <c r="C1" s="140"/>
      <c r="D1" s="140"/>
      <c r="E1" s="140"/>
      <c r="F1" s="140"/>
      <c r="G1" s="140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40" t="s">
        <v>88</v>
      </c>
      <c r="C2" s="140"/>
      <c r="D2" s="140"/>
      <c r="E2" s="140"/>
      <c r="F2" s="140"/>
      <c r="G2" s="140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41" t="s">
        <v>0</v>
      </c>
      <c r="C3" s="141"/>
      <c r="D3" s="141"/>
      <c r="E3" s="141"/>
      <c r="F3" s="141"/>
      <c r="G3" s="141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1</v>
      </c>
      <c r="J5" s="8" t="s">
        <v>2</v>
      </c>
      <c r="K5" s="9" t="s">
        <v>3</v>
      </c>
    </row>
    <row r="6" spans="1:43" x14ac:dyDescent="0.2">
      <c r="C6" s="10">
        <v>37135</v>
      </c>
      <c r="E6" s="44" t="s">
        <v>63</v>
      </c>
      <c r="G6" s="44" t="s">
        <v>63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5</v>
      </c>
      <c r="E7" s="12" t="s">
        <v>6</v>
      </c>
      <c r="G7" s="12" t="s">
        <v>7</v>
      </c>
      <c r="H7" s="7"/>
      <c r="I7" s="17"/>
      <c r="J7" s="8"/>
      <c r="K7" s="9"/>
      <c r="O7" s="12" t="s">
        <v>7</v>
      </c>
      <c r="AK7" s="12"/>
    </row>
    <row r="8" spans="1:43" x14ac:dyDescent="0.2">
      <c r="A8" s="13" t="s">
        <v>9</v>
      </c>
      <c r="B8" s="14" t="s">
        <v>10</v>
      </c>
      <c r="C8" s="15">
        <f>+'[1]Natural Gas'!C8+[1]Ontario!C8+[1]Finance!C8+[1]Executive!C8+[1]Alberta!C8</f>
        <v>2855922.0300000003</v>
      </c>
      <c r="E8" s="15">
        <f>+'[1]Natural Gas'!E8+[1]Ontario!E8+[1]Finance!E8+[1]Executive!E8+[1]Alberta!E8</f>
        <v>3807896.0399999991</v>
      </c>
      <c r="G8" s="15">
        <f>K28-G11-G10</f>
        <v>2197008</v>
      </c>
      <c r="H8" s="7" t="s">
        <v>10</v>
      </c>
      <c r="I8" s="17">
        <v>0</v>
      </c>
      <c r="J8" s="8"/>
      <c r="K8" s="18">
        <f>K28</f>
        <v>3912480</v>
      </c>
      <c r="O8" s="15">
        <f>+G8/$G$29*$O$29</f>
        <v>81370.666666666672</v>
      </c>
      <c r="AK8" s="32"/>
    </row>
    <row r="9" spans="1:43" x14ac:dyDescent="0.2">
      <c r="A9" s="13"/>
      <c r="B9" s="14" t="s">
        <v>11</v>
      </c>
      <c r="C9" s="15">
        <f>+'[1]Natural Gas'!C9+[1]Ontario!C9+[1]Finance!C9+[1]Executive!C9+[1]Alberta!C9</f>
        <v>0</v>
      </c>
      <c r="E9" s="15">
        <f>+'[1]Natural Gas'!E9+[1]Ontario!E9+[1]Finance!E9+[1]Executive!E9+[1]Alberta!E9</f>
        <v>0</v>
      </c>
      <c r="G9" s="15">
        <v>0</v>
      </c>
      <c r="H9" s="7"/>
      <c r="I9" s="17"/>
      <c r="J9" s="8"/>
      <c r="K9" s="9"/>
      <c r="O9" s="15">
        <f t="shared" ref="O9:O21" si="0">+G9/$G$29*$O$29</f>
        <v>0</v>
      </c>
      <c r="AK9" s="32"/>
    </row>
    <row r="10" spans="1:43" x14ac:dyDescent="0.2">
      <c r="A10" s="13"/>
      <c r="B10" s="14" t="s">
        <v>89</v>
      </c>
      <c r="C10" s="15">
        <v>0</v>
      </c>
      <c r="E10" s="15">
        <v>0</v>
      </c>
      <c r="G10" s="15">
        <f>K22+K21</f>
        <v>788400</v>
      </c>
      <c r="H10" s="7"/>
      <c r="I10" s="17"/>
      <c r="J10" s="8"/>
      <c r="K10" s="9"/>
      <c r="O10" s="15">
        <f t="shared" si="0"/>
        <v>29200</v>
      </c>
      <c r="AK10" s="32"/>
    </row>
    <row r="11" spans="1:43" x14ac:dyDescent="0.2">
      <c r="A11" s="13" t="s">
        <v>13</v>
      </c>
      <c r="B11" s="14" t="s">
        <v>14</v>
      </c>
      <c r="C11" s="15">
        <f>+'[1]Natural Gas'!C11+[1]Ontario!C11+[1]Finance!C11+[1]Executive!C10+[1]Alberta!C11</f>
        <v>312682.37</v>
      </c>
      <c r="E11" s="15">
        <f>+'[1]Natural Gas'!E11+[1]Ontario!E11+[1]Finance!E11+[1]Executive!E10+[1]Alberta!E11</f>
        <v>416909.82666666666</v>
      </c>
      <c r="G11" s="15">
        <v>927072</v>
      </c>
      <c r="H11" s="7" t="s">
        <v>15</v>
      </c>
      <c r="I11" s="19">
        <f>(E12+E13+E14+E15+E16+E17+E18+E19+E20+E21+E22)/E29</f>
        <v>31253.507839999998</v>
      </c>
      <c r="J11" s="8">
        <f>J28</f>
        <v>27</v>
      </c>
      <c r="K11" s="18">
        <f>I11*J11</f>
        <v>843844.71167999995</v>
      </c>
      <c r="O11" s="15">
        <f t="shared" si="0"/>
        <v>34336</v>
      </c>
      <c r="AK11" s="32"/>
    </row>
    <row r="12" spans="1:43" x14ac:dyDescent="0.2">
      <c r="A12" s="13" t="s">
        <v>16</v>
      </c>
      <c r="B12" s="14" t="s">
        <v>17</v>
      </c>
      <c r="C12" s="15">
        <f>+'[1]Natural Gas'!C12+[1]Ontario!C12+[1]Finance!C12+[1]Executive!C12+[1]Alberta!C12</f>
        <v>67320.12999999999</v>
      </c>
      <c r="E12" s="20">
        <f>(+'[1]Natural Gas'!E12+[1]Ontario!E12+[1]Finance!E12+[1]Executive!E12+[1]Alberta!E12)*1.2</f>
        <v>107712.20799999998</v>
      </c>
      <c r="G12" s="21">
        <f t="shared" ref="G12:G22" si="1">(E12/$E$29)*$G$29</f>
        <v>58164.592319999996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18</v>
      </c>
      <c r="B13" s="14" t="s">
        <v>19</v>
      </c>
      <c r="C13" s="15">
        <f>+'[1]Natural Gas'!C13+[1]Ontario!C13+[1]Finance!C13+[1]Executive!C13+[1]Alberta!C13</f>
        <v>297871.83999999997</v>
      </c>
      <c r="E13" s="20">
        <f>(+'[1]Natural Gas'!E13+[1]Ontario!E13+[1]Finance!E13+[1]Executive!E13+[1]Alberta!E13)*1.2</f>
        <v>476594.94399999996</v>
      </c>
      <c r="G13" s="21">
        <f t="shared" si="1"/>
        <v>257361.26975999997</v>
      </c>
      <c r="H13" s="22" t="s">
        <v>20</v>
      </c>
      <c r="I13" s="47"/>
      <c r="J13" s="23"/>
      <c r="K13" s="24">
        <f>K8+K11</f>
        <v>4756324.7116799997</v>
      </c>
      <c r="O13" s="15">
        <f t="shared" si="0"/>
        <v>9531.8988799999988</v>
      </c>
      <c r="AK13" s="32"/>
    </row>
    <row r="14" spans="1:43" x14ac:dyDescent="0.2">
      <c r="A14" s="13" t="s">
        <v>21</v>
      </c>
      <c r="B14" s="14" t="s">
        <v>22</v>
      </c>
      <c r="C14" s="15">
        <f>+'[1]Natural Gas'!C14+[1]Ontario!C14+[1]Finance!C14+[1]Executive!C14+[1]Alberta!C14</f>
        <v>505739.98</v>
      </c>
      <c r="E14" s="20">
        <f>(+'[1]Natural Gas'!E14+[1]Ontario!E14+[1]Finance!E14+[1]Executive!E14+[1]Alberta!E14)*1.2</f>
        <v>809183.96799999999</v>
      </c>
      <c r="G14" s="21">
        <f t="shared" si="1"/>
        <v>436959.34272000002</v>
      </c>
      <c r="O14" s="15">
        <f t="shared" si="0"/>
        <v>16183.67936</v>
      </c>
      <c r="AK14" s="32"/>
    </row>
    <row r="15" spans="1:43" x14ac:dyDescent="0.2">
      <c r="A15" s="13" t="s">
        <v>23</v>
      </c>
      <c r="B15" s="14" t="s">
        <v>24</v>
      </c>
      <c r="C15" s="15">
        <f>+'[1]Natural Gas'!C15+[1]Ontario!C15+[1]Finance!C15+[1]Executive!C15+[1]Alberta!C15</f>
        <v>6427.4199999999992</v>
      </c>
      <c r="E15" s="20">
        <f>(+'[1]Natural Gas'!E15+[1]Ontario!E15+[1]Finance!E15+[1]Executive!E15+[1]Alberta!E15)*1.2</f>
        <v>10283.871999999998</v>
      </c>
      <c r="G15" s="21">
        <f t="shared" si="1"/>
        <v>5553.2908799999987</v>
      </c>
      <c r="O15" s="15">
        <f t="shared" si="0"/>
        <v>205.67743999999996</v>
      </c>
      <c r="AK15" s="32"/>
    </row>
    <row r="16" spans="1:43" x14ac:dyDescent="0.2">
      <c r="A16" s="13" t="s">
        <v>25</v>
      </c>
      <c r="B16" s="14" t="s">
        <v>26</v>
      </c>
      <c r="C16" s="15">
        <f>+'[1]Natural Gas'!C16+[1]Ontario!C16+[1]Finance!C16+[1]Executive!C16+[1]Alberta!C16</f>
        <v>0</v>
      </c>
      <c r="E16" s="20">
        <f>(+'[1]Natural Gas'!E16+[1]Ontario!E16+[1]Finance!E16+[1]Executive!E16+[1]Alberta!E16)*1.2</f>
        <v>0</v>
      </c>
      <c r="G16" s="21">
        <f t="shared" si="1"/>
        <v>0</v>
      </c>
      <c r="H16" t="s">
        <v>27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28</v>
      </c>
      <c r="B17" s="14" t="s">
        <v>29</v>
      </c>
      <c r="C17" s="15">
        <f>+'[1]Natural Gas'!C17+[1]Ontario!C17+[1]Finance!C17+[1]Executive!C17+[1]Alberta!C17</f>
        <v>1883.62</v>
      </c>
      <c r="E17" s="20">
        <f>(+'[1]Natural Gas'!E17+[1]Ontario!E17+[1]Finance!E17+[1]Executive!E17+[1]Alberta!E17)*1.2</f>
        <v>3013.7920000000004</v>
      </c>
      <c r="G17" s="21">
        <f t="shared" si="1"/>
        <v>1627.4476800000002</v>
      </c>
      <c r="H17" t="s">
        <v>30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x14ac:dyDescent="0.2">
      <c r="A18" s="13" t="s">
        <v>31</v>
      </c>
      <c r="B18" s="14" t="s">
        <v>32</v>
      </c>
      <c r="C18" s="15">
        <f>+'[1]Natural Gas'!C18+[1]Ontario!C18+[1]Finance!C18+[1]Executive!C18+[1]Alberta!C18</f>
        <v>19208.419999999998</v>
      </c>
      <c r="E18" s="20">
        <f>(+'[1]Natural Gas'!E18+[1]Ontario!E18+[1]Finance!E18+[1]Executive!E18+[1]Alberta!E18)*1.2</f>
        <v>30733.471999999998</v>
      </c>
      <c r="G18" s="21">
        <f t="shared" si="1"/>
        <v>16596.07488</v>
      </c>
      <c r="H18" t="s">
        <v>33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34</v>
      </c>
      <c r="B19" s="14" t="s">
        <v>35</v>
      </c>
      <c r="C19" s="15">
        <f>+'[1]Natural Gas'!C19+[1]Ontario!C19+[1]Finance!C19+[1]Executive!C19+[1]Alberta!C19</f>
        <v>52344.84</v>
      </c>
      <c r="E19" s="20">
        <f>(+'[1]Natural Gas'!E19+[1]Ontario!E19+[1]Finance!E19+[1]Executive!E19+[1]Alberta!E19)*1.2</f>
        <v>83751.743999999992</v>
      </c>
      <c r="G19" s="21">
        <f t="shared" si="1"/>
        <v>45225.941760000002</v>
      </c>
      <c r="H19" t="s">
        <v>36</v>
      </c>
      <c r="I19" s="25">
        <v>63000</v>
      </c>
      <c r="J19">
        <v>0</v>
      </c>
      <c r="K19">
        <f t="shared" si="2"/>
        <v>0</v>
      </c>
      <c r="O19" s="15">
        <f t="shared" si="0"/>
        <v>1675.0348800000002</v>
      </c>
      <c r="AK19" s="32"/>
    </row>
    <row r="20" spans="1:37" x14ac:dyDescent="0.2">
      <c r="A20" s="13" t="s">
        <v>37</v>
      </c>
      <c r="B20" s="14" t="s">
        <v>38</v>
      </c>
      <c r="C20" s="15">
        <f>+'[1]Natural Gas'!C20+[1]Ontario!C20+[1]Finance!C20+[1]Executive!C20+[1]Alberta!C20</f>
        <v>0</v>
      </c>
      <c r="E20" s="20">
        <f>(+'[1]Natural Gas'!E20+[1]Ontario!E20+[1]Finance!E20+[1]Executive!E20+[1]Alberta!E20)*1.2</f>
        <v>0</v>
      </c>
      <c r="G20" s="21">
        <f t="shared" si="1"/>
        <v>0</v>
      </c>
      <c r="H20" t="s">
        <v>39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40</v>
      </c>
      <c r="B21" s="14" t="s">
        <v>41</v>
      </c>
      <c r="C21" s="15">
        <f>+'[1]Natural Gas'!C21+[1]Ontario!C21+[1]Finance!C21+[1]Executive!C21+[1]Alberta!C21</f>
        <v>19769.170000000046</v>
      </c>
      <c r="E21" s="20">
        <f>(+'[1]Natural Gas'!E21+[1]Ontario!E21+[1]Finance!E21+[1]Executive!E21+[1]Alberta!E21)*1.2</f>
        <v>31630.672000000071</v>
      </c>
      <c r="G21" s="21">
        <f t="shared" si="1"/>
        <v>17080.562880000038</v>
      </c>
      <c r="H21" t="s">
        <v>42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x14ac:dyDescent="0.2">
      <c r="A22" s="13" t="s">
        <v>43</v>
      </c>
      <c r="B22" s="14" t="s">
        <v>44</v>
      </c>
      <c r="C22" s="15">
        <f>+'[1]Natural Gas'!C22+[1]Ontario!C22+[1]Finance!C22+[1]Executive!C22+[1]Alberta!C22</f>
        <v>6106.7000000000089</v>
      </c>
      <c r="E22" s="20">
        <f>(+'[1]Natural Gas'!E22+[1]Ontario!E22+[1]Finance!E22+[1]Executive!E22+[1]Alberta!E22)*1.2</f>
        <v>9770.7200000000139</v>
      </c>
      <c r="G22" s="21">
        <f t="shared" si="1"/>
        <v>5276.1888000000081</v>
      </c>
      <c r="H22" t="s">
        <v>45</v>
      </c>
      <c r="I22" s="25">
        <v>97200</v>
      </c>
      <c r="J22">
        <v>2</v>
      </c>
      <c r="K22">
        <f t="shared" si="2"/>
        <v>194400</v>
      </c>
      <c r="O22" s="15">
        <f>+G22/$G$29*$O$29</f>
        <v>195.41440000000031</v>
      </c>
      <c r="AK22" s="32"/>
    </row>
    <row r="23" spans="1:37" x14ac:dyDescent="0.2">
      <c r="A23" s="26" t="s">
        <v>46</v>
      </c>
      <c r="B23" s="27" t="s">
        <v>47</v>
      </c>
      <c r="C23" s="28">
        <f>SUM(C8:C22)</f>
        <v>4145276.52</v>
      </c>
      <c r="E23" s="28">
        <f>SUM(E8:E22)</f>
        <v>5787481.2586666662</v>
      </c>
      <c r="G23" s="28">
        <f>SUM(G8:G22)</f>
        <v>4756324.7116799997</v>
      </c>
      <c r="H23" t="s">
        <v>48</v>
      </c>
      <c r="I23" s="25">
        <v>120000</v>
      </c>
      <c r="J23">
        <f>6+1+1</f>
        <v>8</v>
      </c>
      <c r="K23">
        <f t="shared" si="2"/>
        <v>960000</v>
      </c>
      <c r="O23" s="28">
        <f>SUM(O8:O22)</f>
        <v>176160.17450666669</v>
      </c>
      <c r="AK23" s="29"/>
    </row>
    <row r="24" spans="1:37" x14ac:dyDescent="0.2">
      <c r="H24" t="s">
        <v>49</v>
      </c>
      <c r="I24" s="25">
        <v>156000</v>
      </c>
      <c r="J24">
        <v>4</v>
      </c>
      <c r="K24">
        <f t="shared" si="2"/>
        <v>624000</v>
      </c>
      <c r="AK24" s="8"/>
    </row>
    <row r="25" spans="1:37" x14ac:dyDescent="0.2">
      <c r="B25" s="27" t="s">
        <v>50</v>
      </c>
      <c r="C25" s="60"/>
      <c r="E25" s="61">
        <f>+'[1]Natural Gas'!E25+[1]Ontario!E25+[1]Finance!E25+[1]Executive!E25+[1]Alberta!E25</f>
        <v>30</v>
      </c>
      <c r="G25" s="61">
        <f>SUM(J16:J20,J23:J27)</f>
        <v>16</v>
      </c>
      <c r="H25" t="s">
        <v>51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52</v>
      </c>
      <c r="I26" s="25">
        <v>216000</v>
      </c>
      <c r="J26">
        <f>1+1+1</f>
        <v>3</v>
      </c>
      <c r="K26">
        <f t="shared" si="2"/>
        <v>648000</v>
      </c>
      <c r="O26" s="15"/>
      <c r="AK26" s="32"/>
    </row>
    <row r="27" spans="1:37" x14ac:dyDescent="0.2">
      <c r="B27" s="27" t="s">
        <v>53</v>
      </c>
      <c r="C27" s="15"/>
      <c r="E27" s="61">
        <f>+'[1]Natural Gas'!E27+[1]Ontario!E27+[1]Finance!E27+[1]Executive!E27+[1]Alberta!E27</f>
        <v>20</v>
      </c>
      <c r="G27" s="61">
        <f>SUM(J21:J22)</f>
        <v>11</v>
      </c>
      <c r="H27" t="s">
        <v>90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">
      <c r="J28">
        <f>SUM(J16:J27)</f>
        <v>27</v>
      </c>
      <c r="K28">
        <f>SUM(K16:K27)*1.2</f>
        <v>3912480</v>
      </c>
      <c r="AK28" s="8"/>
    </row>
    <row r="29" spans="1:37" x14ac:dyDescent="0.2">
      <c r="B29" s="27" t="s">
        <v>55</v>
      </c>
      <c r="C29" s="15"/>
      <c r="E29" s="31">
        <f>+E27+E25</f>
        <v>50</v>
      </c>
      <c r="F29" s="32"/>
      <c r="G29" s="31">
        <f>+G27+G25</f>
        <v>27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71</v>
      </c>
      <c r="B31" s="14" t="s">
        <v>91</v>
      </c>
      <c r="C31" s="15"/>
      <c r="E31" s="15"/>
      <c r="G31" s="33" t="s">
        <v>56</v>
      </c>
      <c r="H31" s="25"/>
      <c r="J31" s="25"/>
    </row>
    <row r="32" spans="1:37" hidden="1" x14ac:dyDescent="0.2">
      <c r="A32" s="13" t="s">
        <v>73</v>
      </c>
      <c r="B32" s="14"/>
      <c r="C32" s="15"/>
      <c r="E32" s="15"/>
      <c r="H32" s="25"/>
      <c r="J32" s="25"/>
    </row>
    <row r="33" spans="1:11" hidden="1" x14ac:dyDescent="0.2">
      <c r="A33" s="13" t="s">
        <v>75</v>
      </c>
      <c r="B33" s="14"/>
      <c r="C33" s="15"/>
      <c r="E33" s="15"/>
      <c r="G33" s="34" t="s">
        <v>57</v>
      </c>
      <c r="H33" s="35" t="s">
        <v>58</v>
      </c>
      <c r="I33" s="35" t="s">
        <v>59</v>
      </c>
      <c r="J33" s="35" t="s">
        <v>2</v>
      </c>
      <c r="K33" s="35" t="s">
        <v>60</v>
      </c>
    </row>
    <row r="34" spans="1:11" hidden="1" x14ac:dyDescent="0.2">
      <c r="A34" s="13" t="s">
        <v>77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27</v>
      </c>
      <c r="K34" s="37">
        <f>+I34*J34</f>
        <v>843844.71167999995</v>
      </c>
    </row>
    <row r="35" spans="1:11" hidden="1" x14ac:dyDescent="0.2">
      <c r="A35" s="13" t="s">
        <v>79</v>
      </c>
      <c r="B35" s="14"/>
      <c r="C35" s="15"/>
      <c r="E35" s="15"/>
    </row>
    <row r="36" spans="1:11" hidden="1" x14ac:dyDescent="0.2">
      <c r="A36" s="13" t="s">
        <v>81</v>
      </c>
      <c r="B36" s="14"/>
      <c r="C36" s="15"/>
      <c r="E36" s="15"/>
    </row>
    <row r="37" spans="1:11" hidden="1" x14ac:dyDescent="0.2">
      <c r="A37" s="13" t="s">
        <v>83</v>
      </c>
      <c r="B37" s="14"/>
      <c r="C37" s="15"/>
      <c r="E37" s="15"/>
    </row>
    <row r="38" spans="1:11" hidden="1" x14ac:dyDescent="0.2">
      <c r="A38" s="13" t="s">
        <v>85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AQ49"/>
  <sheetViews>
    <sheetView topLeftCell="A2" zoomScaleNormal="100" workbookViewId="0">
      <selection activeCell="D64" sqref="D64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6" width="0" hidden="1" customWidth="1"/>
  </cols>
  <sheetData>
    <row r="1" spans="1:43" ht="18" x14ac:dyDescent="0.25">
      <c r="B1" s="140" t="str">
        <f>'[2]Team Report'!B1</f>
        <v>Enron North America</v>
      </c>
      <c r="C1" s="140"/>
      <c r="D1" s="140"/>
      <c r="E1" s="140"/>
      <c r="F1" s="140"/>
      <c r="G1" s="140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40" t="s">
        <v>238</v>
      </c>
      <c r="C2" s="140"/>
      <c r="D2" s="140"/>
      <c r="E2" s="140"/>
      <c r="F2" s="140"/>
      <c r="G2" s="140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41" t="s">
        <v>0</v>
      </c>
      <c r="C3" s="141"/>
      <c r="D3" s="141"/>
      <c r="E3" s="141"/>
      <c r="F3" s="141"/>
      <c r="G3" s="141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1</v>
      </c>
      <c r="J5" s="8" t="s">
        <v>2</v>
      </c>
      <c r="K5" s="9" t="s">
        <v>3</v>
      </c>
    </row>
    <row r="6" spans="1:43" x14ac:dyDescent="0.2">
      <c r="C6" s="10">
        <v>37135</v>
      </c>
      <c r="E6" s="44" t="s">
        <v>63</v>
      </c>
      <c r="G6" s="44" t="s">
        <v>63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5</v>
      </c>
      <c r="E7" s="12" t="s">
        <v>6</v>
      </c>
      <c r="G7" s="12" t="s">
        <v>7</v>
      </c>
      <c r="H7" s="7"/>
      <c r="I7" s="17"/>
      <c r="J7" s="8"/>
      <c r="K7" s="9"/>
      <c r="O7" s="12" t="s">
        <v>7</v>
      </c>
      <c r="AK7" s="12"/>
    </row>
    <row r="8" spans="1:43" x14ac:dyDescent="0.2">
      <c r="A8" s="13" t="s">
        <v>9</v>
      </c>
      <c r="B8" s="14" t="s">
        <v>10</v>
      </c>
      <c r="C8" s="15">
        <f>+'[1]Natural Gas'!C8+[1]Ontario!C8+[1]Finance!C8+[1]Executive!C8+[1]Alberta!C8</f>
        <v>2855922.0300000003</v>
      </c>
      <c r="E8" s="15">
        <f>+'[1]Natural Gas'!E8+[1]Ontario!E8+[1]Finance!E8+[1]Executive!E8+[1]Alberta!E8</f>
        <v>3807896.0399999991</v>
      </c>
      <c r="G8" s="15">
        <f>K28-G11-G10</f>
        <v>0</v>
      </c>
      <c r="H8" s="7" t="s">
        <v>10</v>
      </c>
      <c r="I8" s="17">
        <v>0</v>
      </c>
      <c r="J8" s="8"/>
      <c r="K8" s="18">
        <f>K28</f>
        <v>0</v>
      </c>
      <c r="O8" s="15" t="e">
        <f t="shared" ref="O8:O22" si="0">+G8/$G$29*$O$29</f>
        <v>#DIV/0!</v>
      </c>
      <c r="AK8" s="32"/>
    </row>
    <row r="9" spans="1:43" x14ac:dyDescent="0.2">
      <c r="A9" s="13"/>
      <c r="B9" s="14" t="s">
        <v>11</v>
      </c>
      <c r="C9" s="15">
        <f>+'[1]Natural Gas'!C9+[1]Ontario!C9+[1]Finance!C9+[1]Executive!C9+[1]Alberta!C9</f>
        <v>0</v>
      </c>
      <c r="E9" s="15">
        <f>+'[1]Natural Gas'!E9+[1]Ontario!E9+[1]Finance!E9+[1]Executive!E9+[1]Alberta!E9</f>
        <v>0</v>
      </c>
      <c r="G9" s="15">
        <v>0</v>
      </c>
      <c r="H9" s="7"/>
      <c r="I9" s="17"/>
      <c r="J9" s="8"/>
      <c r="K9" s="9"/>
      <c r="O9" s="15" t="e">
        <f t="shared" si="0"/>
        <v>#DIV/0!</v>
      </c>
      <c r="AK9" s="32"/>
    </row>
    <row r="10" spans="1:43" x14ac:dyDescent="0.2">
      <c r="A10" s="13"/>
      <c r="B10" s="14" t="s">
        <v>89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 t="e">
        <f t="shared" si="0"/>
        <v>#DIV/0!</v>
      </c>
      <c r="AK10" s="32"/>
    </row>
    <row r="11" spans="1:43" x14ac:dyDescent="0.2">
      <c r="A11" s="13" t="s">
        <v>13</v>
      </c>
      <c r="B11" s="14" t="s">
        <v>14</v>
      </c>
      <c r="C11" s="15">
        <f>+'[1]Natural Gas'!C11+[1]Ontario!C11+[1]Finance!C11+[1]Executive!C10+[1]Alberta!C11</f>
        <v>312682.37</v>
      </c>
      <c r="E11" s="15">
        <f>+'[1]Natural Gas'!E11+[1]Ontario!E11+[1]Finance!E11+[1]Executive!E10+[1]Alberta!E11</f>
        <v>416909.82666666666</v>
      </c>
      <c r="G11" s="15">
        <v>0</v>
      </c>
      <c r="H11" s="7" t="s">
        <v>15</v>
      </c>
      <c r="I11" s="19">
        <f>(E12+E13+E14+E15+E16+E17+E18+E19+E20+E21+E22)/E29</f>
        <v>31253.507839999998</v>
      </c>
      <c r="J11" s="8">
        <f>J28</f>
        <v>0</v>
      </c>
      <c r="K11" s="18">
        <f>I11*J11</f>
        <v>0</v>
      </c>
      <c r="O11" s="15" t="e">
        <f t="shared" si="0"/>
        <v>#DIV/0!</v>
      </c>
      <c r="AK11" s="32"/>
    </row>
    <row r="12" spans="1:43" x14ac:dyDescent="0.2">
      <c r="A12" s="13" t="s">
        <v>16</v>
      </c>
      <c r="B12" s="14" t="s">
        <v>17</v>
      </c>
      <c r="C12" s="15">
        <f>+'[1]Natural Gas'!C12+[1]Ontario!C12+[1]Finance!C12+[1]Executive!C12+[1]Alberta!C12</f>
        <v>67320.12999999999</v>
      </c>
      <c r="E12" s="20">
        <f>(+'[1]Natural Gas'!E12+[1]Ontario!E12+[1]Finance!E12+[1]Executive!E12+[1]Alberta!E12)*1.2</f>
        <v>107712.20799999998</v>
      </c>
      <c r="G12" s="21">
        <f t="shared" ref="G12:G22" si="1">(E12/$E$29)*$G$29</f>
        <v>0</v>
      </c>
      <c r="H12" s="7"/>
      <c r="I12" s="17"/>
      <c r="J12" s="8"/>
      <c r="K12" s="9"/>
      <c r="O12" s="15" t="e">
        <f t="shared" si="0"/>
        <v>#DIV/0!</v>
      </c>
      <c r="AK12" s="32"/>
    </row>
    <row r="13" spans="1:43" ht="13.5" thickBot="1" x14ac:dyDescent="0.25">
      <c r="A13" s="13" t="s">
        <v>18</v>
      </c>
      <c r="B13" s="14" t="s">
        <v>19</v>
      </c>
      <c r="C13" s="15">
        <f>+'[1]Natural Gas'!C13+[1]Ontario!C13+[1]Finance!C13+[1]Executive!C13+[1]Alberta!C13</f>
        <v>297871.83999999997</v>
      </c>
      <c r="E13" s="20">
        <f>(+'[1]Natural Gas'!E13+[1]Ontario!E13+[1]Finance!E13+[1]Executive!E13+[1]Alberta!E13)*1.2</f>
        <v>476594.94399999996</v>
      </c>
      <c r="G13" s="21">
        <f t="shared" si="1"/>
        <v>0</v>
      </c>
      <c r="H13" s="22" t="s">
        <v>20</v>
      </c>
      <c r="I13" s="47"/>
      <c r="J13" s="23"/>
      <c r="K13" s="24">
        <f>K8+K11</f>
        <v>0</v>
      </c>
      <c r="O13" s="15" t="e">
        <f t="shared" si="0"/>
        <v>#DIV/0!</v>
      </c>
      <c r="AK13" s="32"/>
    </row>
    <row r="14" spans="1:43" x14ac:dyDescent="0.2">
      <c r="A14" s="13" t="s">
        <v>21</v>
      </c>
      <c r="B14" s="14" t="s">
        <v>22</v>
      </c>
      <c r="C14" s="15">
        <f>+'[1]Natural Gas'!C14+[1]Ontario!C14+[1]Finance!C14+[1]Executive!C14+[1]Alberta!C14</f>
        <v>505739.98</v>
      </c>
      <c r="E14" s="20">
        <f>(+'[1]Natural Gas'!E14+[1]Ontario!E14+[1]Finance!E14+[1]Executive!E14+[1]Alberta!E14)*1.2</f>
        <v>809183.96799999999</v>
      </c>
      <c r="G14" s="21">
        <f t="shared" si="1"/>
        <v>0</v>
      </c>
      <c r="O14" s="15" t="e">
        <f t="shared" si="0"/>
        <v>#DIV/0!</v>
      </c>
      <c r="AK14" s="32"/>
    </row>
    <row r="15" spans="1:43" x14ac:dyDescent="0.2">
      <c r="A15" s="13" t="s">
        <v>23</v>
      </c>
      <c r="B15" s="14" t="s">
        <v>24</v>
      </c>
      <c r="C15" s="15">
        <f>+'[1]Natural Gas'!C15+[1]Ontario!C15+[1]Finance!C15+[1]Executive!C15+[1]Alberta!C15</f>
        <v>6427.4199999999992</v>
      </c>
      <c r="E15" s="20">
        <f>(+'[1]Natural Gas'!E15+[1]Ontario!E15+[1]Finance!E15+[1]Executive!E15+[1]Alberta!E15)*1.2</f>
        <v>10283.871999999998</v>
      </c>
      <c r="G15" s="21">
        <f t="shared" si="1"/>
        <v>0</v>
      </c>
      <c r="O15" s="15" t="e">
        <f t="shared" si="0"/>
        <v>#DIV/0!</v>
      </c>
      <c r="AK15" s="32"/>
    </row>
    <row r="16" spans="1:43" x14ac:dyDescent="0.2">
      <c r="A16" s="13" t="s">
        <v>25</v>
      </c>
      <c r="B16" s="14" t="s">
        <v>26</v>
      </c>
      <c r="C16" s="15">
        <f>+'[1]Natural Gas'!C16+[1]Ontario!C16+[1]Finance!C16+[1]Executive!C16+[1]Alberta!C16</f>
        <v>0</v>
      </c>
      <c r="E16" s="20">
        <f>(+'[1]Natural Gas'!E16+[1]Ontario!E16+[1]Finance!E16+[1]Executive!E16+[1]Alberta!E16)*1.2</f>
        <v>0</v>
      </c>
      <c r="G16" s="21">
        <f t="shared" si="1"/>
        <v>0</v>
      </c>
      <c r="H16" t="s">
        <v>27</v>
      </c>
      <c r="I16" s="25">
        <v>33600</v>
      </c>
      <c r="J16">
        <v>0</v>
      </c>
      <c r="K16">
        <f t="shared" ref="K16:K27" si="2">I16*J16</f>
        <v>0</v>
      </c>
      <c r="O16" s="15" t="e">
        <f t="shared" si="0"/>
        <v>#DIV/0!</v>
      </c>
      <c r="AK16" s="32"/>
    </row>
    <row r="17" spans="1:37" x14ac:dyDescent="0.2">
      <c r="A17" s="13" t="s">
        <v>28</v>
      </c>
      <c r="B17" s="14" t="s">
        <v>29</v>
      </c>
      <c r="C17" s="15">
        <f>+'[1]Natural Gas'!C17+[1]Ontario!C17+[1]Finance!C17+[1]Executive!C17+[1]Alberta!C17</f>
        <v>1883.62</v>
      </c>
      <c r="E17" s="20">
        <f>(+'[1]Natural Gas'!E17+[1]Ontario!E17+[1]Finance!E17+[1]Executive!E17+[1]Alberta!E17)*1.2</f>
        <v>3013.7920000000004</v>
      </c>
      <c r="G17" s="21">
        <f t="shared" si="1"/>
        <v>0</v>
      </c>
      <c r="H17" t="s">
        <v>30</v>
      </c>
      <c r="I17" s="25">
        <v>52800</v>
      </c>
      <c r="J17">
        <v>0</v>
      </c>
      <c r="K17">
        <f t="shared" si="2"/>
        <v>0</v>
      </c>
      <c r="O17" s="15" t="e">
        <f t="shared" si="0"/>
        <v>#DIV/0!</v>
      </c>
      <c r="AK17" s="32"/>
    </row>
    <row r="18" spans="1:37" x14ac:dyDescent="0.2">
      <c r="A18" s="13" t="s">
        <v>31</v>
      </c>
      <c r="B18" s="14" t="s">
        <v>32</v>
      </c>
      <c r="C18" s="15">
        <f>+'[1]Natural Gas'!C18+[1]Ontario!C18+[1]Finance!C18+[1]Executive!C18+[1]Alberta!C18</f>
        <v>19208.419999999998</v>
      </c>
      <c r="E18" s="20">
        <f>(+'[1]Natural Gas'!E18+[1]Ontario!E18+[1]Finance!E18+[1]Executive!E18+[1]Alberta!E18)*1.2</f>
        <v>30733.471999999998</v>
      </c>
      <c r="G18" s="21">
        <f t="shared" si="1"/>
        <v>0</v>
      </c>
      <c r="H18" t="s">
        <v>33</v>
      </c>
      <c r="I18" s="25">
        <v>54000</v>
      </c>
      <c r="J18">
        <v>0</v>
      </c>
      <c r="K18">
        <f t="shared" si="2"/>
        <v>0</v>
      </c>
      <c r="O18" s="15" t="e">
        <f t="shared" si="0"/>
        <v>#DIV/0!</v>
      </c>
      <c r="AK18" s="32"/>
    </row>
    <row r="19" spans="1:37" x14ac:dyDescent="0.2">
      <c r="A19" s="13" t="s">
        <v>34</v>
      </c>
      <c r="B19" s="14" t="s">
        <v>35</v>
      </c>
      <c r="C19" s="15">
        <f>+'[1]Natural Gas'!C19+[1]Ontario!C19+[1]Finance!C19+[1]Executive!C19+[1]Alberta!C19</f>
        <v>52344.84</v>
      </c>
      <c r="E19" s="20">
        <f>(+'[1]Natural Gas'!E19+[1]Ontario!E19+[1]Finance!E19+[1]Executive!E19+[1]Alberta!E19)*1.2</f>
        <v>83751.743999999992</v>
      </c>
      <c r="G19" s="21">
        <f t="shared" si="1"/>
        <v>0</v>
      </c>
      <c r="H19" t="s">
        <v>36</v>
      </c>
      <c r="I19" s="25">
        <v>63000</v>
      </c>
      <c r="J19">
        <v>0</v>
      </c>
      <c r="K19">
        <f t="shared" si="2"/>
        <v>0</v>
      </c>
      <c r="O19" s="15" t="e">
        <f t="shared" si="0"/>
        <v>#DIV/0!</v>
      </c>
      <c r="AK19" s="32"/>
    </row>
    <row r="20" spans="1:37" x14ac:dyDescent="0.2">
      <c r="A20" s="13" t="s">
        <v>37</v>
      </c>
      <c r="B20" s="14" t="s">
        <v>38</v>
      </c>
      <c r="C20" s="15">
        <f>+'[1]Natural Gas'!C20+[1]Ontario!C20+[1]Finance!C20+[1]Executive!C20+[1]Alberta!C20</f>
        <v>0</v>
      </c>
      <c r="E20" s="20">
        <f>(+'[1]Natural Gas'!E20+[1]Ontario!E20+[1]Finance!E20+[1]Executive!E20+[1]Alberta!E20)*1.2</f>
        <v>0</v>
      </c>
      <c r="G20" s="21">
        <f t="shared" si="1"/>
        <v>0</v>
      </c>
      <c r="H20" t="s">
        <v>39</v>
      </c>
      <c r="I20" s="25">
        <v>78000</v>
      </c>
      <c r="J20">
        <v>0</v>
      </c>
      <c r="K20">
        <f t="shared" si="2"/>
        <v>0</v>
      </c>
      <c r="O20" s="15" t="e">
        <f t="shared" si="0"/>
        <v>#DIV/0!</v>
      </c>
      <c r="AK20" s="32"/>
    </row>
    <row r="21" spans="1:37" x14ac:dyDescent="0.2">
      <c r="A21" s="13" t="s">
        <v>40</v>
      </c>
      <c r="B21" s="14" t="s">
        <v>41</v>
      </c>
      <c r="C21" s="15">
        <f>+'[1]Natural Gas'!C21+[1]Ontario!C21+[1]Finance!C21+[1]Executive!C21+[1]Alberta!C21</f>
        <v>19769.170000000046</v>
      </c>
      <c r="E21" s="20">
        <f>(+'[1]Natural Gas'!E21+[1]Ontario!E21+[1]Finance!E21+[1]Executive!E21+[1]Alberta!E21)*1.2</f>
        <v>31630.672000000071</v>
      </c>
      <c r="G21" s="21">
        <f t="shared" si="1"/>
        <v>0</v>
      </c>
      <c r="H21" t="s">
        <v>42</v>
      </c>
      <c r="I21" s="25">
        <v>66000</v>
      </c>
      <c r="J21">
        <v>0</v>
      </c>
      <c r="K21">
        <f t="shared" si="2"/>
        <v>0</v>
      </c>
      <c r="O21" s="15" t="e">
        <f t="shared" si="0"/>
        <v>#DIV/0!</v>
      </c>
      <c r="AK21" s="32"/>
    </row>
    <row r="22" spans="1:37" x14ac:dyDescent="0.2">
      <c r="A22" s="13" t="s">
        <v>43</v>
      </c>
      <c r="B22" s="14" t="s">
        <v>44</v>
      </c>
      <c r="C22" s="15">
        <f>+'[1]Natural Gas'!C22+[1]Ontario!C22+[1]Finance!C22+[1]Executive!C22+[1]Alberta!C22</f>
        <v>6106.7000000000089</v>
      </c>
      <c r="E22" s="20">
        <f>(+'[1]Natural Gas'!E22+[1]Ontario!E22+[1]Finance!E22+[1]Executive!E22+[1]Alberta!E22)*1.2</f>
        <v>9770.7200000000139</v>
      </c>
      <c r="G22" s="21">
        <f t="shared" si="1"/>
        <v>0</v>
      </c>
      <c r="H22" t="s">
        <v>45</v>
      </c>
      <c r="I22" s="25">
        <v>97200</v>
      </c>
      <c r="J22">
        <v>0</v>
      </c>
      <c r="K22">
        <f t="shared" si="2"/>
        <v>0</v>
      </c>
      <c r="O22" s="15" t="e">
        <f t="shared" si="0"/>
        <v>#DIV/0!</v>
      </c>
      <c r="AK22" s="32"/>
    </row>
    <row r="23" spans="1:37" x14ac:dyDescent="0.2">
      <c r="A23" s="26" t="s">
        <v>46</v>
      </c>
      <c r="B23" s="27" t="s">
        <v>47</v>
      </c>
      <c r="C23" s="28">
        <f>SUM(C8:C22)</f>
        <v>4145276.52</v>
      </c>
      <c r="E23" s="28">
        <f>SUM(E8:E22)</f>
        <v>5787481.2586666662</v>
      </c>
      <c r="G23" s="28">
        <f>SUM(G8:G22)</f>
        <v>0</v>
      </c>
      <c r="H23" t="s">
        <v>48</v>
      </c>
      <c r="I23" s="25">
        <v>120000</v>
      </c>
      <c r="J23">
        <v>0</v>
      </c>
      <c r="K23">
        <f t="shared" si="2"/>
        <v>0</v>
      </c>
      <c r="O23" s="28" t="e">
        <f>SUM(O8:O22)</f>
        <v>#DIV/0!</v>
      </c>
      <c r="AK23" s="29"/>
    </row>
    <row r="24" spans="1:37" x14ac:dyDescent="0.2">
      <c r="H24" t="s">
        <v>49</v>
      </c>
      <c r="I24" s="25">
        <v>156000</v>
      </c>
      <c r="J24">
        <v>0</v>
      </c>
      <c r="K24">
        <f t="shared" si="2"/>
        <v>0</v>
      </c>
      <c r="AK24" s="8"/>
    </row>
    <row r="25" spans="1:37" x14ac:dyDescent="0.2">
      <c r="B25" s="27" t="s">
        <v>50</v>
      </c>
      <c r="C25" s="60"/>
      <c r="E25" s="61">
        <f>+'[1]Natural Gas'!E25+[1]Ontario!E25+[1]Finance!E25+[1]Executive!E25+[1]Alberta!E25</f>
        <v>30</v>
      </c>
      <c r="G25" s="61">
        <f>SUM(J16:J20,J23:J27)</f>
        <v>0</v>
      </c>
      <c r="H25" t="s">
        <v>51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52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x14ac:dyDescent="0.2">
      <c r="B27" s="27" t="s">
        <v>53</v>
      </c>
      <c r="C27" s="15"/>
      <c r="E27" s="61">
        <f>+'[1]Natural Gas'!E27+[1]Ontario!E27+[1]Finance!E27+[1]Executive!E27+[1]Alberta!E27</f>
        <v>20</v>
      </c>
      <c r="G27" s="61">
        <f>SUM(J21:J22)</f>
        <v>0</v>
      </c>
      <c r="H27" t="s">
        <v>90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0</v>
      </c>
      <c r="K28">
        <f>SUM(K16:K27)*1.2</f>
        <v>0</v>
      </c>
      <c r="AK28" s="8"/>
    </row>
    <row r="29" spans="1:37" x14ac:dyDescent="0.2">
      <c r="B29" s="27" t="s">
        <v>55</v>
      </c>
      <c r="C29" s="15"/>
      <c r="E29" s="31">
        <f>+E27+E25</f>
        <v>50</v>
      </c>
      <c r="F29" s="32"/>
      <c r="G29" s="31">
        <f>+G27+G25</f>
        <v>0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71</v>
      </c>
      <c r="B31" s="14" t="s">
        <v>91</v>
      </c>
      <c r="C31" s="15"/>
      <c r="E31" s="15"/>
      <c r="G31" s="33" t="s">
        <v>56</v>
      </c>
      <c r="H31" s="25"/>
      <c r="J31" s="25"/>
    </row>
    <row r="32" spans="1:37" hidden="1" x14ac:dyDescent="0.2">
      <c r="A32" s="13" t="s">
        <v>73</v>
      </c>
      <c r="B32" s="14"/>
      <c r="C32" s="15"/>
      <c r="E32" s="15"/>
      <c r="H32" s="25"/>
      <c r="J32" s="25"/>
    </row>
    <row r="33" spans="1:11" hidden="1" x14ac:dyDescent="0.2">
      <c r="A33" s="13" t="s">
        <v>75</v>
      </c>
      <c r="B33" s="14"/>
      <c r="C33" s="15"/>
      <c r="E33" s="15"/>
      <c r="G33" s="34" t="s">
        <v>57</v>
      </c>
      <c r="H33" s="35" t="s">
        <v>58</v>
      </c>
      <c r="I33" s="35" t="s">
        <v>59</v>
      </c>
      <c r="J33" s="35" t="s">
        <v>2</v>
      </c>
      <c r="K33" s="35" t="s">
        <v>60</v>
      </c>
    </row>
    <row r="34" spans="1:11" hidden="1" x14ac:dyDescent="0.2">
      <c r="A34" s="13" t="s">
        <v>77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0</v>
      </c>
      <c r="K34" s="37">
        <f>+I34*J34</f>
        <v>0</v>
      </c>
    </row>
    <row r="35" spans="1:11" hidden="1" x14ac:dyDescent="0.2">
      <c r="A35" s="13" t="s">
        <v>79</v>
      </c>
      <c r="B35" s="14"/>
      <c r="C35" s="15"/>
      <c r="E35" s="15"/>
    </row>
    <row r="36" spans="1:11" hidden="1" x14ac:dyDescent="0.2">
      <c r="A36" s="13" t="s">
        <v>81</v>
      </c>
      <c r="B36" s="14"/>
      <c r="C36" s="15"/>
      <c r="E36" s="15"/>
    </row>
    <row r="37" spans="1:11" hidden="1" x14ac:dyDescent="0.2">
      <c r="A37" s="13" t="s">
        <v>83</v>
      </c>
      <c r="B37" s="14"/>
      <c r="C37" s="15"/>
      <c r="E37" s="15"/>
    </row>
    <row r="38" spans="1:11" hidden="1" x14ac:dyDescent="0.2">
      <c r="A38" s="13" t="s">
        <v>85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R63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2.42578125" customWidth="1"/>
    <col min="8" max="8" width="13.5703125" hidden="1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6" width="9.140625" hidden="1" customWidth="1"/>
    <col min="17" max="54" width="0" hidden="1" customWidth="1"/>
  </cols>
  <sheetData>
    <row r="1" spans="1:44" ht="18" x14ac:dyDescent="0.25">
      <c r="B1" s="140" t="str">
        <f>'[5]Team Report'!B1</f>
        <v>Enron North America</v>
      </c>
      <c r="C1" s="140"/>
      <c r="D1" s="140"/>
      <c r="E1" s="140"/>
      <c r="F1" s="140"/>
      <c r="G1" s="140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0" t="s">
        <v>116</v>
      </c>
      <c r="C2" s="140"/>
      <c r="D2" s="140"/>
      <c r="E2" s="140"/>
      <c r="F2" s="140"/>
      <c r="G2" s="140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1" t="s">
        <v>0</v>
      </c>
      <c r="C3" s="141"/>
      <c r="D3" s="141"/>
      <c r="E3" s="141"/>
      <c r="F3" s="141"/>
      <c r="G3" s="141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1</v>
      </c>
      <c r="K5" s="8" t="s">
        <v>2</v>
      </c>
      <c r="L5" s="9" t="s">
        <v>3</v>
      </c>
    </row>
    <row r="6" spans="1:44" x14ac:dyDescent="0.2">
      <c r="C6" s="10">
        <v>37135</v>
      </c>
      <c r="E6" s="44" t="s">
        <v>61</v>
      </c>
      <c r="G6" s="44" t="s">
        <v>63</v>
      </c>
      <c r="I6" s="7"/>
      <c r="J6" s="8"/>
      <c r="K6" s="8"/>
      <c r="L6" s="9"/>
      <c r="O6" s="11">
        <v>2002</v>
      </c>
    </row>
    <row r="7" spans="1:44" x14ac:dyDescent="0.2">
      <c r="C7" s="12" t="s">
        <v>5</v>
      </c>
      <c r="E7" s="12" t="s">
        <v>6</v>
      </c>
      <c r="G7" s="12" t="s">
        <v>7</v>
      </c>
      <c r="I7" s="7"/>
      <c r="J7" s="8"/>
      <c r="K7" s="8"/>
      <c r="L7" s="9"/>
      <c r="O7" s="12" t="s">
        <v>7</v>
      </c>
    </row>
    <row r="8" spans="1:44" x14ac:dyDescent="0.2">
      <c r="A8" s="13" t="s">
        <v>9</v>
      </c>
      <c r="B8" s="14" t="s">
        <v>10</v>
      </c>
      <c r="C8" s="53">
        <f>'[5]Team Report'!BA25</f>
        <v>10228335.790000001</v>
      </c>
      <c r="E8" s="15">
        <f t="shared" ref="E8:E14" si="0">(C8/9)*12</f>
        <v>13637781.053333335</v>
      </c>
      <c r="G8" s="15">
        <f>(L28+46200)*1.2</f>
        <v>2034000</v>
      </c>
      <c r="I8" s="7" t="s">
        <v>10</v>
      </c>
      <c r="J8" s="17">
        <v>0</v>
      </c>
      <c r="K8" s="8"/>
      <c r="L8" s="18">
        <f>L28*1.2</f>
        <v>1978560</v>
      </c>
      <c r="O8" s="15">
        <f>+G8/$G$29*$O$29</f>
        <v>203400</v>
      </c>
    </row>
    <row r="9" spans="1:44" hidden="1" x14ac:dyDescent="0.2">
      <c r="A9" s="13"/>
      <c r="B9" s="14" t="s">
        <v>11</v>
      </c>
      <c r="C9" s="15">
        <v>0</v>
      </c>
      <c r="E9" s="15">
        <f t="shared" si="0"/>
        <v>0</v>
      </c>
      <c r="G9" s="15">
        <v>0</v>
      </c>
      <c r="I9" s="7"/>
      <c r="J9" s="8"/>
      <c r="K9" s="8"/>
      <c r="L9" s="9"/>
      <c r="O9" s="15">
        <f t="shared" ref="O9:O21" si="1">+G9/$G$29*$O$29</f>
        <v>0</v>
      </c>
    </row>
    <row r="10" spans="1:44" hidden="1" x14ac:dyDescent="0.2">
      <c r="A10" s="13"/>
      <c r="B10" s="14" t="s">
        <v>70</v>
      </c>
      <c r="C10" s="15">
        <v>0</v>
      </c>
      <c r="E10" s="15">
        <f t="shared" si="0"/>
        <v>0</v>
      </c>
      <c r="G10" s="15">
        <v>0</v>
      </c>
      <c r="I10" s="7"/>
      <c r="J10" s="8"/>
      <c r="K10" s="8"/>
      <c r="L10" s="9"/>
      <c r="O10" s="15">
        <f t="shared" si="1"/>
        <v>0</v>
      </c>
    </row>
    <row r="11" spans="1:44" x14ac:dyDescent="0.2">
      <c r="A11" s="13" t="s">
        <v>13</v>
      </c>
      <c r="B11" s="14" t="s">
        <v>14</v>
      </c>
      <c r="C11" s="15">
        <f>'[5]Team Report'!BA26</f>
        <v>1877442.13</v>
      </c>
      <c r="E11" s="15">
        <f t="shared" si="0"/>
        <v>2503256.1733333333</v>
      </c>
      <c r="G11" s="15">
        <f>(L32-L28+9240)*1.2</f>
        <v>406800</v>
      </c>
      <c r="I11" s="7" t="s">
        <v>15</v>
      </c>
      <c r="J11" s="19">
        <f>(E12+E13+E14+E15+E16+E17+E18+E19+E20+E21+E22)/E29</f>
        <v>22231.734294294292</v>
      </c>
      <c r="K11" s="8">
        <f>K28</f>
        <v>10</v>
      </c>
      <c r="L11" s="18">
        <f>J11*K11</f>
        <v>222317.34294294292</v>
      </c>
      <c r="O11" s="15">
        <f t="shared" si="1"/>
        <v>40680</v>
      </c>
    </row>
    <row r="12" spans="1:44" x14ac:dyDescent="0.2">
      <c r="A12" s="13" t="s">
        <v>16</v>
      </c>
      <c r="B12" s="14" t="s">
        <v>17</v>
      </c>
      <c r="C12" s="15">
        <f>'[5]Team Report'!BA27</f>
        <v>405632.98</v>
      </c>
      <c r="E12" s="15">
        <f t="shared" si="0"/>
        <v>540843.97333333339</v>
      </c>
      <c r="G12" s="15">
        <f>((E12/$E$29)*$K$11+51275)*1.2</f>
        <v>119999.61873873873</v>
      </c>
      <c r="I12" s="7"/>
      <c r="J12" s="8"/>
      <c r="K12" s="8"/>
      <c r="L12" s="9"/>
      <c r="O12" s="15">
        <f t="shared" si="1"/>
        <v>11999.961873873874</v>
      </c>
    </row>
    <row r="13" spans="1:44" ht="13.5" thickBot="1" x14ac:dyDescent="0.25">
      <c r="A13" s="13" t="s">
        <v>18</v>
      </c>
      <c r="B13" s="14" t="s">
        <v>19</v>
      </c>
      <c r="C13" s="15">
        <f>'[5]Team Report'!BA28</f>
        <v>648740.16999999993</v>
      </c>
      <c r="E13" s="15">
        <f t="shared" si="0"/>
        <v>864986.8933333332</v>
      </c>
      <c r="G13" s="15">
        <f>((E13/$E$29)*$K$11+522073)*1.2</f>
        <v>719999.69657657645</v>
      </c>
      <c r="I13" s="22" t="s">
        <v>20</v>
      </c>
      <c r="J13" s="23"/>
      <c r="K13" s="23"/>
      <c r="L13" s="24">
        <f>L8+L11</f>
        <v>2200877.3429429429</v>
      </c>
      <c r="N13">
        <v>1893527</v>
      </c>
      <c r="O13" s="15">
        <f t="shared" si="1"/>
        <v>71999.969657657639</v>
      </c>
      <c r="P13" s="49">
        <f>N13-L13</f>
        <v>-307350.34294294287</v>
      </c>
    </row>
    <row r="14" spans="1:44" x14ac:dyDescent="0.2">
      <c r="A14" s="13" t="s">
        <v>21</v>
      </c>
      <c r="B14" s="14" t="s">
        <v>22</v>
      </c>
      <c r="C14" s="15">
        <v>0</v>
      </c>
      <c r="E14" s="15">
        <f t="shared" si="0"/>
        <v>0</v>
      </c>
      <c r="G14" s="15">
        <v>4200000</v>
      </c>
      <c r="J14"/>
      <c r="K14"/>
      <c r="L14"/>
      <c r="O14" s="15">
        <f t="shared" si="1"/>
        <v>420000</v>
      </c>
    </row>
    <row r="15" spans="1:44" x14ac:dyDescent="0.2">
      <c r="A15" s="13" t="s">
        <v>23</v>
      </c>
      <c r="B15" s="14" t="s">
        <v>24</v>
      </c>
      <c r="C15" s="15">
        <f>'[5]Team Report'!BA33</f>
        <v>76876.320000000007</v>
      </c>
      <c r="E15" s="15">
        <f>(C15/9)*12-25000</f>
        <v>77501.760000000009</v>
      </c>
      <c r="G15" s="15">
        <f>((E15/$E$29)*$K$11)*1.2</f>
        <v>8378.5686486486484</v>
      </c>
      <c r="J15"/>
      <c r="K15"/>
      <c r="L15"/>
      <c r="O15" s="15">
        <f t="shared" si="1"/>
        <v>837.85686486486486</v>
      </c>
    </row>
    <row r="16" spans="1:44" x14ac:dyDescent="0.2">
      <c r="A16" s="13" t="s">
        <v>25</v>
      </c>
      <c r="B16" s="14" t="s">
        <v>26</v>
      </c>
      <c r="C16" s="15">
        <f>'[5]Team Report'!BA34</f>
        <v>0</v>
      </c>
      <c r="E16" s="15">
        <f>(C16/9)*12</f>
        <v>0</v>
      </c>
      <c r="G16" s="15">
        <f>((E16/$E$29)*$K$11)*1.2</f>
        <v>0</v>
      </c>
      <c r="I16" t="s">
        <v>27</v>
      </c>
      <c r="J16" s="25">
        <v>28000</v>
      </c>
      <c r="K16">
        <v>0</v>
      </c>
      <c r="L16" s="25">
        <f t="shared" ref="L16:L27" si="2">J16*K16</f>
        <v>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'[5]Team Report'!BA35</f>
        <v>0</v>
      </c>
      <c r="E17" s="15">
        <f>(C17/9)*12</f>
        <v>0</v>
      </c>
      <c r="G17" s="15">
        <f>((E17/$E$29)*$K$11)*1.2</f>
        <v>0</v>
      </c>
      <c r="I17" t="s">
        <v>30</v>
      </c>
      <c r="J17" s="25">
        <v>36000</v>
      </c>
      <c r="K17">
        <v>0</v>
      </c>
      <c r="L17" s="25">
        <f t="shared" si="2"/>
        <v>0</v>
      </c>
      <c r="O17" s="15">
        <f t="shared" si="1"/>
        <v>0</v>
      </c>
    </row>
    <row r="18" spans="1:15" x14ac:dyDescent="0.2">
      <c r="A18" s="13" t="s">
        <v>31</v>
      </c>
      <c r="B18" s="14" t="s">
        <v>32</v>
      </c>
      <c r="C18" s="15">
        <f>'[5]Team Report'!BA36</f>
        <v>5744.1</v>
      </c>
      <c r="E18" s="15">
        <f>(C18/9)*12</f>
        <v>7658.8</v>
      </c>
      <c r="G18" s="15">
        <f>((E18/$E$29)*$K$11+49310)*1.2</f>
        <v>59999.978378378379</v>
      </c>
      <c r="I18" t="s">
        <v>117</v>
      </c>
      <c r="J18" s="25">
        <v>48000</v>
      </c>
      <c r="K18">
        <v>0</v>
      </c>
      <c r="L18" s="25">
        <f t="shared" si="2"/>
        <v>0</v>
      </c>
      <c r="O18" s="15">
        <f t="shared" si="1"/>
        <v>5999.9978378378382</v>
      </c>
    </row>
    <row r="19" spans="1:15" x14ac:dyDescent="0.2">
      <c r="A19" s="13" t="s">
        <v>34</v>
      </c>
      <c r="B19" s="14" t="s">
        <v>35</v>
      </c>
      <c r="C19" s="15">
        <f>'[5]Team Report'!BA37</f>
        <v>67058.599999999991</v>
      </c>
      <c r="E19" s="15">
        <f>(C19/9)*12-25000</f>
        <v>64411.466666666645</v>
      </c>
      <c r="G19" s="15">
        <f>((E19/$E$29)*$K$11)*1.2</f>
        <v>6963.4018018018005</v>
      </c>
      <c r="I19" t="s">
        <v>36</v>
      </c>
      <c r="J19" s="25">
        <v>52500</v>
      </c>
      <c r="K19">
        <v>0</v>
      </c>
      <c r="L19" s="25">
        <f t="shared" si="2"/>
        <v>0</v>
      </c>
      <c r="O19" s="15">
        <f t="shared" si="1"/>
        <v>696.34018018018003</v>
      </c>
    </row>
    <row r="20" spans="1:15" x14ac:dyDescent="0.2">
      <c r="A20" s="13" t="s">
        <v>37</v>
      </c>
      <c r="B20" s="14" t="s">
        <v>38</v>
      </c>
      <c r="C20" s="15">
        <f>'[5]Team Report'!BA38</f>
        <v>0</v>
      </c>
      <c r="E20" s="15">
        <f>(C20/9)*12</f>
        <v>0</v>
      </c>
      <c r="G20" s="15">
        <f>((E20/$E$29)*$K$11)*1.2</f>
        <v>0</v>
      </c>
      <c r="I20" t="s">
        <v>39</v>
      </c>
      <c r="J20" s="25">
        <v>65000</v>
      </c>
      <c r="K20">
        <v>0</v>
      </c>
      <c r="L20" s="25">
        <f t="shared" si="2"/>
        <v>0</v>
      </c>
      <c r="O20" s="15">
        <f t="shared" si="1"/>
        <v>0</v>
      </c>
    </row>
    <row r="21" spans="1:15" x14ac:dyDescent="0.2">
      <c r="A21" s="13" t="s">
        <v>40</v>
      </c>
      <c r="B21" s="14" t="s">
        <v>41</v>
      </c>
      <c r="C21" s="15">
        <f>'[5]Team Report'!BA42</f>
        <v>842429.76</v>
      </c>
      <c r="E21" s="15">
        <f>(C21/9)*12-200000-19525</f>
        <v>903714.68000000017</v>
      </c>
      <c r="G21" s="15">
        <f>((E21/$E$29)*$K$11)*1.2</f>
        <v>97698.884324324346</v>
      </c>
      <c r="I21" t="s">
        <v>42</v>
      </c>
      <c r="J21" s="25">
        <v>55000</v>
      </c>
      <c r="K21">
        <v>0</v>
      </c>
      <c r="L21" s="25">
        <f t="shared" si="2"/>
        <v>0</v>
      </c>
      <c r="O21" s="15">
        <f t="shared" si="1"/>
        <v>9769.8884324324354</v>
      </c>
    </row>
    <row r="22" spans="1:15" x14ac:dyDescent="0.2">
      <c r="A22" s="13" t="s">
        <v>43</v>
      </c>
      <c r="B22" s="14" t="s">
        <v>44</v>
      </c>
      <c r="C22" s="15">
        <f>'[5]Team Report'!BA44</f>
        <v>6453.6999999999989</v>
      </c>
      <c r="E22" s="15">
        <f>(C22/9)*12</f>
        <v>8604.9333333333325</v>
      </c>
      <c r="G22" s="15">
        <f>((E22/$E$29)*$K$11)*1.2</f>
        <v>930.26306306306299</v>
      </c>
      <c r="I22" t="s">
        <v>45</v>
      </c>
      <c r="J22" s="25">
        <v>81000</v>
      </c>
      <c r="K22">
        <v>0</v>
      </c>
      <c r="L22" s="25">
        <f t="shared" si="2"/>
        <v>0</v>
      </c>
      <c r="O22" s="15">
        <f>+G22/$G$29*$O$29</f>
        <v>93.026306306306296</v>
      </c>
    </row>
    <row r="23" spans="1:15" x14ac:dyDescent="0.2">
      <c r="A23" s="26" t="s">
        <v>46</v>
      </c>
      <c r="B23" s="27" t="s">
        <v>47</v>
      </c>
      <c r="C23" s="28">
        <f>SUM(C8:C22)</f>
        <v>14158713.550000001</v>
      </c>
      <c r="E23" s="28">
        <f>SUM(E8:E22)</f>
        <v>18608759.733333334</v>
      </c>
      <c r="G23" s="28">
        <f>SUM(G8:G22)</f>
        <v>7654770.4115315322</v>
      </c>
      <c r="I23" t="s">
        <v>48</v>
      </c>
      <c r="J23" s="25">
        <f>80000</f>
        <v>80000</v>
      </c>
      <c r="K23">
        <v>1</v>
      </c>
      <c r="L23" s="25">
        <f t="shared" si="2"/>
        <v>80000</v>
      </c>
      <c r="O23" s="28">
        <f>SUM(O8:O22)</f>
        <v>765477.04115315306</v>
      </c>
    </row>
    <row r="24" spans="1:15" x14ac:dyDescent="0.2">
      <c r="I24" t="s">
        <v>49</v>
      </c>
      <c r="J24" s="25">
        <f>115000*1.2</f>
        <v>138000</v>
      </c>
      <c r="K24">
        <v>3</v>
      </c>
      <c r="L24" s="25">
        <f t="shared" si="2"/>
        <v>414000</v>
      </c>
    </row>
    <row r="25" spans="1:15" x14ac:dyDescent="0.2">
      <c r="B25" s="27" t="s">
        <v>50</v>
      </c>
      <c r="C25" s="55"/>
      <c r="E25" s="55">
        <v>111</v>
      </c>
      <c r="G25" s="55">
        <f>+K28</f>
        <v>10</v>
      </c>
      <c r="I25" t="s">
        <v>51</v>
      </c>
      <c r="J25" s="25">
        <f>140000</f>
        <v>140000</v>
      </c>
      <c r="K25">
        <v>4</v>
      </c>
      <c r="L25" s="25">
        <f t="shared" si="2"/>
        <v>560000</v>
      </c>
      <c r="O25" s="31">
        <f>SUM(U16:U20,U23:U27)</f>
        <v>0</v>
      </c>
    </row>
    <row r="26" spans="1:15" x14ac:dyDescent="0.2">
      <c r="I26" t="s">
        <v>52</v>
      </c>
      <c r="J26" s="25">
        <f>160000</f>
        <v>160000</v>
      </c>
      <c r="K26">
        <v>2</v>
      </c>
      <c r="L26" s="25">
        <f t="shared" si="2"/>
        <v>320000</v>
      </c>
      <c r="O26" s="15"/>
    </row>
    <row r="27" spans="1:15" x14ac:dyDescent="0.2">
      <c r="B27" s="27" t="s">
        <v>67</v>
      </c>
      <c r="C27" s="55"/>
      <c r="E27" s="55"/>
      <c r="G27" s="55"/>
      <c r="I27" t="s">
        <v>54</v>
      </c>
      <c r="J27" s="25">
        <f>288000</f>
        <v>288000</v>
      </c>
      <c r="K27">
        <v>0</v>
      </c>
      <c r="L27" s="25">
        <f t="shared" si="2"/>
        <v>0</v>
      </c>
      <c r="O27" s="31">
        <f>+U21+U22</f>
        <v>0</v>
      </c>
    </row>
    <row r="28" spans="1:15" x14ac:dyDescent="0.2">
      <c r="J28"/>
      <c r="K28">
        <f>SUM(K16:K27)</f>
        <v>10</v>
      </c>
      <c r="L28" s="25">
        <f>SUM(L16:L27)*1.2</f>
        <v>1648800</v>
      </c>
    </row>
    <row r="29" spans="1:15" x14ac:dyDescent="0.2">
      <c r="B29" s="27" t="s">
        <v>55</v>
      </c>
      <c r="C29" s="55"/>
      <c r="E29" s="55">
        <f>SUM(E25:E28)</f>
        <v>111</v>
      </c>
      <c r="G29" s="55">
        <f>SUM(G25:G28)</f>
        <v>10</v>
      </c>
      <c r="O29" s="31">
        <v>1</v>
      </c>
    </row>
    <row r="30" spans="1:15" x14ac:dyDescent="0.2">
      <c r="B30" s="27"/>
      <c r="I30" t="s">
        <v>102</v>
      </c>
      <c r="L30" s="52">
        <v>0.2</v>
      </c>
    </row>
    <row r="31" spans="1:15" hidden="1" x14ac:dyDescent="0.2">
      <c r="A31" s="13" t="s">
        <v>71</v>
      </c>
      <c r="B31" s="14" t="s">
        <v>72</v>
      </c>
      <c r="C31" s="15">
        <f>'[5]Team Report'!BA29</f>
        <v>-24140467.679999996</v>
      </c>
      <c r="E31" s="15">
        <f t="shared" ref="E31:E38" si="3">(C31/9)*12</f>
        <v>-32187290.239999995</v>
      </c>
    </row>
    <row r="32" spans="1:15" hidden="1" x14ac:dyDescent="0.2">
      <c r="A32" s="13" t="s">
        <v>73</v>
      </c>
      <c r="B32" s="14" t="s">
        <v>74</v>
      </c>
      <c r="C32" s="15">
        <f>'[5]Team Report'!BA30</f>
        <v>0</v>
      </c>
      <c r="E32" s="15">
        <f t="shared" si="3"/>
        <v>0</v>
      </c>
      <c r="L32" s="25">
        <f>L28*1.2</f>
        <v>1978560</v>
      </c>
    </row>
    <row r="33" spans="1:13" hidden="1" x14ac:dyDescent="0.2">
      <c r="A33" s="13" t="s">
        <v>75</v>
      </c>
      <c r="B33" s="14" t="s">
        <v>76</v>
      </c>
      <c r="C33" s="15">
        <f>'[5]Team Report'!BA31</f>
        <v>0</v>
      </c>
      <c r="E33" s="15">
        <f t="shared" si="3"/>
        <v>0</v>
      </c>
    </row>
    <row r="34" spans="1:13" hidden="1" x14ac:dyDescent="0.2">
      <c r="A34" s="13" t="s">
        <v>77</v>
      </c>
      <c r="B34" s="14" t="s">
        <v>78</v>
      </c>
      <c r="C34" s="15">
        <f>'[5]Team Report'!BA39</f>
        <v>0</v>
      </c>
      <c r="E34" s="15">
        <f t="shared" si="3"/>
        <v>0</v>
      </c>
      <c r="I34" s="33" t="s">
        <v>56</v>
      </c>
    </row>
    <row r="35" spans="1:13" hidden="1" x14ac:dyDescent="0.2">
      <c r="A35" s="13" t="s">
        <v>79</v>
      </c>
      <c r="B35" s="14" t="s">
        <v>80</v>
      </c>
      <c r="C35" s="15">
        <f>'[5]Team Report'!BA40</f>
        <v>164920.93000000002</v>
      </c>
      <c r="E35" s="15">
        <f t="shared" si="3"/>
        <v>219894.57333333336</v>
      </c>
    </row>
    <row r="36" spans="1:13" hidden="1" x14ac:dyDescent="0.2">
      <c r="A36" s="13" t="s">
        <v>81</v>
      </c>
      <c r="B36" s="14" t="s">
        <v>82</v>
      </c>
      <c r="C36" s="15">
        <f>'[5]Team Report'!BA41</f>
        <v>945381.27</v>
      </c>
      <c r="E36" s="15">
        <f t="shared" si="3"/>
        <v>1260508.3600000001</v>
      </c>
      <c r="I36" s="34" t="s">
        <v>118</v>
      </c>
    </row>
    <row r="37" spans="1:13" hidden="1" x14ac:dyDescent="0.2">
      <c r="A37" s="13" t="s">
        <v>83</v>
      </c>
      <c r="B37" s="14" t="s">
        <v>84</v>
      </c>
      <c r="C37" s="15">
        <f>'[5]Team Report'!BA43</f>
        <v>-5121278.5200000005</v>
      </c>
      <c r="E37" s="15">
        <f t="shared" si="3"/>
        <v>-6828371.3600000013</v>
      </c>
      <c r="L37"/>
    </row>
    <row r="38" spans="1:13" hidden="1" x14ac:dyDescent="0.2">
      <c r="A38" s="13" t="s">
        <v>85</v>
      </c>
      <c r="B38" s="14" t="s">
        <v>86</v>
      </c>
      <c r="C38" s="15">
        <f>'[5]Team Report'!BA45</f>
        <v>0</v>
      </c>
      <c r="E38" s="15">
        <f t="shared" si="3"/>
        <v>0</v>
      </c>
      <c r="L38"/>
    </row>
    <row r="39" spans="1:13" hidden="1" x14ac:dyDescent="0.2">
      <c r="A39" s="13" t="s">
        <v>21</v>
      </c>
      <c r="B39" s="14" t="s">
        <v>22</v>
      </c>
      <c r="C39" s="15">
        <v>24143776.43</v>
      </c>
      <c r="E39" s="15">
        <v>32191701.906666666</v>
      </c>
      <c r="J39" s="35"/>
      <c r="K39" s="35"/>
      <c r="L39"/>
      <c r="M39" s="35"/>
    </row>
    <row r="40" spans="1:13" hidden="1" x14ac:dyDescent="0.2">
      <c r="H40" s="36"/>
      <c r="I40" s="56"/>
      <c r="J40" s="37"/>
      <c r="K40" s="37"/>
      <c r="L40" s="37"/>
      <c r="M40" s="25"/>
    </row>
    <row r="41" spans="1:13" hidden="1" x14ac:dyDescent="0.2">
      <c r="J41"/>
      <c r="L41"/>
    </row>
    <row r="42" spans="1:13" hidden="1" x14ac:dyDescent="0.2">
      <c r="J42"/>
      <c r="L42"/>
    </row>
    <row r="43" spans="1:13" hidden="1" x14ac:dyDescent="0.2"/>
    <row r="44" spans="1:13" hidden="1" x14ac:dyDescent="0.2">
      <c r="C44" s="54">
        <f>C23+C31+C32+C33+C34+C35+C36+C37+C38</f>
        <v>-13992730.449999996</v>
      </c>
    </row>
    <row r="45" spans="1:13" hidden="1" x14ac:dyDescent="0.2"/>
    <row r="46" spans="1:13" hidden="1" x14ac:dyDescent="0.2"/>
    <row r="47" spans="1:13" hidden="1" x14ac:dyDescent="0.2"/>
    <row r="48" spans="1:13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R38"/>
  <sheetViews>
    <sheetView topLeftCell="A3"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0" hidden="1" customWidth="1"/>
  </cols>
  <sheetData>
    <row r="1" spans="1:44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0" t="s">
        <v>195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 t="s">
        <v>63</v>
      </c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 t="s">
        <v>7</v>
      </c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(+'Competitive Ana'!F8+'Gas - Fund'!H8+'East - Fund'!F8+'West - Fund'!G8)*1.2</f>
        <v>2173656</v>
      </c>
      <c r="I8" s="42" t="s">
        <v>10</v>
      </c>
      <c r="J8" s="17">
        <v>0</v>
      </c>
      <c r="K8" s="17"/>
      <c r="L8" s="43">
        <f>L30</f>
        <v>2208096</v>
      </c>
      <c r="Q8" s="15">
        <f t="shared" ref="Q8:Q22" si="1">+H8/$H$29*$Q$29</f>
        <v>65868.363636363632</v>
      </c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f>(+'Competitive Ana'!F9+'Gas - Fund'!H9+'East - Fund'!F9+'West - Fund'!G9)*1.2</f>
        <v>0</v>
      </c>
      <c r="I9" s="42"/>
      <c r="J9" s="17"/>
      <c r="K9" s="17"/>
      <c r="L9" s="43"/>
      <c r="Q9" s="15">
        <f t="shared" si="1"/>
        <v>0</v>
      </c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(+'Competitive Ana'!F10+'Gas - Fund'!H10+'East - Fund'!F10+'West - Fund'!G10)*1.2</f>
        <v>1523400</v>
      </c>
      <c r="I10" s="42"/>
      <c r="J10" s="17"/>
      <c r="K10" s="17"/>
      <c r="L10" s="43"/>
      <c r="Q10" s="15">
        <f t="shared" si="1"/>
        <v>46163.63636363636</v>
      </c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(+'Competitive Ana'!F11+'Gas - Fund'!H11+'East - Fund'!F11+'West - Fund'!G11)*1.2</f>
        <v>739411.2</v>
      </c>
      <c r="I11" s="42" t="s">
        <v>15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22406.399999999998</v>
      </c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(+'Competitive Ana'!F12+'Gas - Fund'!H12+'East - Fund'!F12+'West - Fund'!G12)*1.2</f>
        <v>215440.17500911848</v>
      </c>
      <c r="I12" s="42"/>
      <c r="J12" s="17"/>
      <c r="K12" s="17"/>
      <c r="L12" s="43"/>
      <c r="Q12" s="15">
        <f t="shared" si="1"/>
        <v>6528.4901517914695</v>
      </c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(+'Competitive Ana'!F13+'Gas - Fund'!H13+'East - Fund'!F13+'West - Fund'!G13)*1.2</f>
        <v>288688.55864863226</v>
      </c>
      <c r="I13" s="46" t="s">
        <v>20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8748.1381408676443</v>
      </c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(+'Competitive Ana'!F14+'Gas - Fund'!H14+'East - Fund'!F14+'West - Fund'!G14)*1.2</f>
        <v>2442720.0113142855</v>
      </c>
      <c r="Q14" s="15">
        <f t="shared" si="1"/>
        <v>74021.818524675313</v>
      </c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(+'Competitive Ana'!F15+'Gas - Fund'!H15+'East - Fund'!F15+'West - Fund'!G15)*1.2</f>
        <v>55554.847117933125</v>
      </c>
      <c r="Q15" s="15">
        <f t="shared" si="1"/>
        <v>1683.4802156949431</v>
      </c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15">
        <f>(+'Competitive Ana'!F16+'Gas - Fund'!H16+'East - Fund'!F16+'West - Fund'!G16)*1.2</f>
        <v>0</v>
      </c>
      <c r="I16" s="50" t="s">
        <v>66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(+'Competitive Ana'!F17+'Gas - Fund'!H17+'East - Fund'!F17+'West - Fund'!G17)*1.2</f>
        <v>1331.191489361702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Q17" s="15">
        <f t="shared" si="1"/>
        <v>40.3391360412637</v>
      </c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(+'Competitive Ana'!F18+'Gas - Fund'!H18+'East - Fund'!F18+'West - Fund'!G18)*1.2</f>
        <v>22888.312324012153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Q18" s="15">
        <f t="shared" si="1"/>
        <v>693.58522193976216</v>
      </c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(+'Competitive Ana'!F19+'Gas - Fund'!H19+'East - Fund'!F19+'West - Fund'!G19)*1.2</f>
        <v>202255.36674765203</v>
      </c>
      <c r="I19" s="25" t="s">
        <v>36</v>
      </c>
      <c r="J19" s="25">
        <v>57750</v>
      </c>
      <c r="K19" s="25">
        <v>0</v>
      </c>
      <c r="L19" s="25">
        <f t="shared" si="2"/>
        <v>0</v>
      </c>
      <c r="Q19" s="15">
        <f t="shared" si="1"/>
        <v>6128.9505075046072</v>
      </c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(+'Competitive Ana'!F20+'Gas - Fund'!H20+'East - Fund'!F20+'West - Fund'!G20)*1.2</f>
        <v>12.602765349544072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>
        <f t="shared" si="1"/>
        <v>0.38190198028921429</v>
      </c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(+'Competitive Ana'!F21+'Gas - Fund'!H21+'East - Fund'!F21+'West - Fund'!G21)*1.2</f>
        <v>232476.1124468495</v>
      </c>
      <c r="I21" s="25" t="s">
        <v>42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7044.7306802075609</v>
      </c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(+'Competitive Ana'!F22+'Gas - Fund'!H22+'East - Fund'!F22+'West - Fund'!G22)*1.2</f>
        <v>169006.12339834051</v>
      </c>
      <c r="I22" s="25" t="s">
        <v>45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5121.3976787375914</v>
      </c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8066840.5012615351</v>
      </c>
      <c r="I23" s="25" t="s">
        <v>48</v>
      </c>
      <c r="J23" s="25">
        <v>110000</v>
      </c>
      <c r="K23" s="25">
        <v>4</v>
      </c>
      <c r="L23" s="25">
        <f t="shared" si="2"/>
        <v>440000</v>
      </c>
      <c r="Q23" s="28">
        <f>SUM(Q8:Q22)</f>
        <v>244449.71215944039</v>
      </c>
    </row>
    <row r="24" spans="1:17" x14ac:dyDescent="0.2">
      <c r="I24" s="25" t="s">
        <v>49</v>
      </c>
      <c r="J24" s="25">
        <v>143000</v>
      </c>
      <c r="K24" s="25">
        <v>1</v>
      </c>
      <c r="L24" s="25">
        <f t="shared" si="2"/>
        <v>143000</v>
      </c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+'Competitive Ana'!F25+'Gas - Fund'!H25+'East - Fund'!F25+'West - Fund'!G25</f>
        <v>16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+'Competitive Ana'!F27+'Gas - Fund'!H27+'East - Fund'!F27+'West - Fund'!G27</f>
        <v>17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">
      <c r="K28" s="25">
        <f>SUM(K16:K27)</f>
        <v>17</v>
      </c>
      <c r="L28" s="25">
        <f>SUM(L16:L27)*1.2</f>
        <v>1840080</v>
      </c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33</v>
      </c>
      <c r="L29" s="52">
        <v>0.2</v>
      </c>
      <c r="Q29" s="31">
        <v>1</v>
      </c>
    </row>
    <row r="30" spans="1:17" hidden="1" x14ac:dyDescent="0.2">
      <c r="L30" s="25">
        <f>L28*1.2</f>
        <v>2208096</v>
      </c>
    </row>
    <row r="31" spans="1:17" hidden="1" x14ac:dyDescent="0.2">
      <c r="H31" s="33" t="s">
        <v>56</v>
      </c>
      <c r="L31"/>
    </row>
    <row r="32" spans="1:17" hidden="1" x14ac:dyDescent="0.2">
      <c r="B32" s="14" t="s">
        <v>22</v>
      </c>
      <c r="C32" s="15">
        <v>254512</v>
      </c>
      <c r="L32"/>
    </row>
    <row r="33" spans="8:12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AR39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4" max="14" width="21" customWidth="1"/>
    <col min="15" max="15" width="19" customWidth="1"/>
    <col min="16" max="16" width="28.42578125" bestFit="1" customWidth="1"/>
    <col min="17" max="17" width="10.7109375" customWidth="1"/>
  </cols>
  <sheetData>
    <row r="1" spans="1:44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0" t="s">
        <v>247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(L28-H10)*1.2</f>
        <v>1275120</v>
      </c>
      <c r="I8" s="42" t="s">
        <v>10</v>
      </c>
      <c r="J8" s="17">
        <v>0</v>
      </c>
      <c r="K8" s="17"/>
      <c r="L8" s="43">
        <f>L30</f>
        <v>1275120</v>
      </c>
      <c r="Q8" s="15"/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(L21+L22)*1.2</f>
        <v>0</v>
      </c>
      <c r="I10" s="42"/>
      <c r="J10" s="17"/>
      <c r="K10" s="17"/>
      <c r="L10" s="43"/>
      <c r="Q10" s="15"/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(L30-L28)</f>
        <v>212520</v>
      </c>
      <c r="I11" s="42" t="s">
        <v>15</v>
      </c>
      <c r="J11" s="17">
        <f>(E12+E13+E14+E15+E16+E17+E18+E19+E20+E21+E22)/E29</f>
        <v>48270.181250000009</v>
      </c>
      <c r="K11" s="17">
        <f>K28</f>
        <v>7</v>
      </c>
      <c r="L11" s="43">
        <f>J11*K11</f>
        <v>337891.26875000005</v>
      </c>
      <c r="N11" s="124"/>
      <c r="O11" s="124"/>
      <c r="P11" s="124"/>
      <c r="Q11" s="15"/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>((E12/$E$29)*$K$11)*1.2</f>
        <v>51764.779499999975</v>
      </c>
      <c r="I12" s="42"/>
      <c r="J12" s="17"/>
      <c r="K12" s="17"/>
      <c r="L12" s="43"/>
      <c r="N12" s="124"/>
      <c r="O12" s="124"/>
      <c r="P12" s="124"/>
      <c r="Q12" s="15"/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18000</v>
      </c>
      <c r="I13" s="46" t="s">
        <v>20</v>
      </c>
      <c r="J13" s="47"/>
      <c r="K13" s="47"/>
      <c r="L13" s="48">
        <f>L8+L11</f>
        <v>1613011.26875</v>
      </c>
      <c r="N13" s="124"/>
      <c r="O13" s="124"/>
      <c r="P13" s="124"/>
      <c r="Q13" s="15"/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ref="H14:H21" si="1">((E14/$E$29)*$K$11)*1.2</f>
        <v>1.6800000001385339E-2</v>
      </c>
      <c r="N14" s="124"/>
      <c r="O14" s="124"/>
      <c r="P14" s="124"/>
      <c r="Q14" s="15"/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7319.4099999999989</v>
      </c>
      <c r="N15" s="124"/>
      <c r="O15" s="124"/>
      <c r="P15" s="124"/>
      <c r="Q15" s="15"/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N16" s="124"/>
      <c r="O16" s="124"/>
      <c r="P16" s="124"/>
      <c r="Q16" s="15"/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412.99999999999994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N17" s="124"/>
      <c r="O17" s="124"/>
      <c r="P17" s="124"/>
      <c r="Q17" s="15"/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7500.8444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N18" s="124"/>
      <c r="O18" s="124"/>
      <c r="P18" s="124"/>
      <c r="Q18" s="15"/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7644.7223999999997</v>
      </c>
      <c r="I19" s="25" t="s">
        <v>36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1.1199999999999999</v>
      </c>
      <c r="I20" s="25" t="s">
        <v>39</v>
      </c>
      <c r="J20" s="25">
        <v>71500</v>
      </c>
      <c r="K20" s="25">
        <v>1</v>
      </c>
      <c r="L20" s="25">
        <f t="shared" si="2"/>
        <v>71500</v>
      </c>
      <c r="Q20" s="15"/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9505.2236999999914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1589789.1168000002</v>
      </c>
      <c r="I23" s="25" t="s">
        <v>48</v>
      </c>
      <c r="J23" s="25">
        <v>110000</v>
      </c>
      <c r="K23" s="25">
        <v>3</v>
      </c>
      <c r="L23" s="25">
        <f t="shared" si="2"/>
        <v>330000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v>2</v>
      </c>
      <c r="L24" s="25">
        <f t="shared" si="2"/>
        <v>286000</v>
      </c>
      <c r="P24" s="8"/>
      <c r="Q24" s="8"/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7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2"/>
        <v>198000</v>
      </c>
      <c r="P26" s="8"/>
      <c r="Q26" s="32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7</v>
      </c>
      <c r="L28" s="25">
        <f>SUM(L16:L27)*1.2</f>
        <v>1062600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7</v>
      </c>
      <c r="L29" s="52">
        <v>0.2</v>
      </c>
      <c r="P29" s="8"/>
      <c r="Q29" s="32"/>
    </row>
    <row r="30" spans="1:17" hidden="1" x14ac:dyDescent="0.2">
      <c r="L30" s="25">
        <f>L28*1.2</f>
        <v>1275120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7</v>
      </c>
      <c r="L34" s="37">
        <f>+J34*K34</f>
        <v>337891.26875000005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pageSetUpPr fitToPage="1"/>
  </sheetPr>
  <dimension ref="A1:AU34"/>
  <sheetViews>
    <sheetView topLeftCell="B1" zoomScaleNormal="100" workbookViewId="0">
      <selection activeCell="R144" sqref="R144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3.140625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0" hidden="1" customWidth="1"/>
  </cols>
  <sheetData>
    <row r="1" spans="1:47" ht="18" x14ac:dyDescent="0.25">
      <c r="B1" s="140" t="str">
        <f>'[16]Team Report'!B1</f>
        <v>Enron North America</v>
      </c>
      <c r="C1" s="140"/>
      <c r="D1" s="142"/>
      <c r="E1" s="142"/>
      <c r="F1" s="142"/>
      <c r="G1" s="142"/>
      <c r="H1" s="142"/>
      <c r="I1" s="14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40" t="s">
        <v>194</v>
      </c>
      <c r="C2" s="140"/>
      <c r="D2" s="142"/>
      <c r="E2" s="142"/>
      <c r="F2" s="142"/>
      <c r="G2" s="142"/>
      <c r="H2" s="142"/>
      <c r="I2" s="14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43" t="s">
        <v>0</v>
      </c>
      <c r="C3" s="143"/>
      <c r="D3" s="144"/>
      <c r="E3" s="144"/>
      <c r="F3" s="144"/>
      <c r="G3" s="144"/>
      <c r="H3" s="144"/>
      <c r="I3" s="14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1</v>
      </c>
      <c r="M5" s="8" t="s">
        <v>2</v>
      </c>
      <c r="N5" s="9" t="s">
        <v>3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47" x14ac:dyDescent="0.2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47" x14ac:dyDescent="0.2">
      <c r="A8" s="13" t="s">
        <v>9</v>
      </c>
      <c r="B8" s="14" t="s">
        <v>10</v>
      </c>
      <c r="C8" s="15">
        <f>'[19]Executive Orig'!C8+[19]Trading!C8+[19]Origination!C8+'[19]Mid Market'!C8+[19]Services!C8+[19]Fundamentals!C8</f>
        <v>4789958.9899999993</v>
      </c>
      <c r="E8" s="15">
        <f>(C8/9)*12</f>
        <v>6386611.9866666663</v>
      </c>
      <c r="F8" s="15"/>
      <c r="G8" s="15">
        <f>(+'West - Struct'!G8+'Gas - Struct'!H8)*1.2</f>
        <v>714240</v>
      </c>
      <c r="H8" s="15"/>
      <c r="I8" s="16">
        <f t="shared" ref="I8:I22" si="0">+G8/$G$23</f>
        <v>0.63286946497004104</v>
      </c>
      <c r="K8" s="7" t="s">
        <v>10</v>
      </c>
      <c r="L8" s="17">
        <v>0</v>
      </c>
      <c r="M8" s="8">
        <f>+M11</f>
        <v>2</v>
      </c>
      <c r="N8" s="18">
        <f>N28</f>
        <v>260640</v>
      </c>
      <c r="O8" s="15">
        <f t="shared" ref="O8:O22" si="1">+G8/$G$29*$O$29</f>
        <v>142848</v>
      </c>
    </row>
    <row r="9" spans="1:47" hidden="1" x14ac:dyDescent="0.2">
      <c r="A9" s="13"/>
      <c r="B9" s="14" t="s">
        <v>11</v>
      </c>
      <c r="C9" s="15">
        <f>'[19]Executive Orig'!C9+[19]Trading!C9+[19]Origination!C9+'[19]Mid Market'!C9+[19]Services!C9+[19]Fundamentals!C9</f>
        <v>1464000</v>
      </c>
      <c r="E9" s="15">
        <f>+C9</f>
        <v>1464000</v>
      </c>
      <c r="F9" s="15"/>
      <c r="G9" s="15">
        <f>(+'West - Struct'!G9+'Gas - Struct'!H9)*1.2</f>
        <v>0</v>
      </c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12</v>
      </c>
      <c r="C10" s="15">
        <f>'[19]Executive Orig'!C10+[19]Trading!C10+[19]Origination!C10+'[19]Mid Market'!C10+[19]Services!C10+[19]Fundamentals!C10</f>
        <v>804567</v>
      </c>
      <c r="E10" s="15">
        <f>(C10/9)*12</f>
        <v>1072756</v>
      </c>
      <c r="F10" s="15"/>
      <c r="G10" s="15">
        <f>(+'West - Struct'!G10+'Gas - Struct'!H10)*1.2</f>
        <v>116640</v>
      </c>
      <c r="H10" s="15"/>
      <c r="I10" s="16">
        <f t="shared" si="0"/>
        <v>0.10335166665841397</v>
      </c>
      <c r="K10" s="7"/>
      <c r="L10" s="8"/>
      <c r="M10" s="8"/>
      <c r="N10" s="9"/>
      <c r="O10" s="15">
        <f t="shared" si="1"/>
        <v>23328</v>
      </c>
    </row>
    <row r="11" spans="1:47" x14ac:dyDescent="0.2">
      <c r="A11" s="13" t="s">
        <v>13</v>
      </c>
      <c r="B11" s="14" t="s">
        <v>14</v>
      </c>
      <c r="C11" s="15">
        <f>'[19]Executive Orig'!C11+[19]Trading!C11+[19]Origination!C11+'[19]Mid Market'!C11+[19]Services!C11+[19]Fundamentals!C11</f>
        <v>1096068.21</v>
      </c>
      <c r="E11" s="15">
        <f>(C11/9)*12</f>
        <v>1461424.2799999998</v>
      </c>
      <c r="F11" s="15"/>
      <c r="G11" s="15">
        <f>(+'West - Struct'!G11+'Gas - Struct'!H11)*1.2</f>
        <v>166176</v>
      </c>
      <c r="H11" s="15"/>
      <c r="I11" s="16">
        <f t="shared" si="0"/>
        <v>0.14724422632569101</v>
      </c>
      <c r="K11" s="7" t="s">
        <v>15</v>
      </c>
      <c r="L11" s="19">
        <f>(E12+E13+E14+E15+E16+E17+E18+E19+E20+E21+E22)/E29</f>
        <v>47533.855280898868</v>
      </c>
      <c r="M11" s="8">
        <f>M28</f>
        <v>2</v>
      </c>
      <c r="N11" s="18">
        <f>L11*M11</f>
        <v>95067.710561797736</v>
      </c>
      <c r="O11" s="15">
        <f t="shared" si="1"/>
        <v>33235.199999999997</v>
      </c>
    </row>
    <row r="12" spans="1:47" x14ac:dyDescent="0.2">
      <c r="A12" s="13" t="s">
        <v>16</v>
      </c>
      <c r="B12" s="14" t="s">
        <v>17</v>
      </c>
      <c r="C12" s="15">
        <f>'[19]Executive Orig'!C12+[19]Trading!C12+[19]Origination!C12+'[19]Mid Market'!C12+[19]Services!C12+[19]Fundamentals!C12</f>
        <v>658117.68000000005</v>
      </c>
      <c r="E12" s="20">
        <f t="shared" ref="E12:E22" si="2">((C12/9)*12)*1.2</f>
        <v>1052988.2880000002</v>
      </c>
      <c r="F12" s="15"/>
      <c r="G12" s="15">
        <f>(+'West - Struct'!G12+'Gas - Struct'!H12)*1.2</f>
        <v>39464.905499999986</v>
      </c>
      <c r="H12" s="15"/>
      <c r="I12" s="16">
        <f t="shared" si="0"/>
        <v>3.4968825085234967E-2</v>
      </c>
      <c r="K12" s="7"/>
      <c r="L12" s="8"/>
      <c r="M12" s="8"/>
      <c r="N12" s="9"/>
      <c r="O12" s="15">
        <f t="shared" si="1"/>
        <v>7892.9810999999972</v>
      </c>
    </row>
    <row r="13" spans="1:47" ht="13.5" thickBot="1" x14ac:dyDescent="0.25">
      <c r="A13" s="13" t="s">
        <v>18</v>
      </c>
      <c r="B13" s="14" t="s">
        <v>19</v>
      </c>
      <c r="C13" s="15">
        <f>'[19]Executive Orig'!C13+[19]Trading!C13+[19]Origination!C13+'[19]Mid Market'!C13+[19]Services!C13+[19]Fundamentals!C13</f>
        <v>719773.79999999993</v>
      </c>
      <c r="E13" s="20">
        <f t="shared" si="2"/>
        <v>1151638.0799999998</v>
      </c>
      <c r="F13" s="15"/>
      <c r="G13" s="15">
        <f>(+'West - Struct'!G13+'Gas - Struct'!H13)*1.2</f>
        <v>53105.844900000004</v>
      </c>
      <c r="H13" s="15"/>
      <c r="I13" s="16">
        <f t="shared" si="0"/>
        <v>4.7055706273304472E-2</v>
      </c>
      <c r="K13" s="22" t="s">
        <v>20</v>
      </c>
      <c r="L13" s="23"/>
      <c r="M13" s="23"/>
      <c r="N13" s="24">
        <f>N8+N11</f>
        <v>355707.71056179772</v>
      </c>
      <c r="O13" s="15">
        <f t="shared" si="1"/>
        <v>10621.16898</v>
      </c>
    </row>
    <row r="14" spans="1:47" x14ac:dyDescent="0.2">
      <c r="A14" s="13" t="s">
        <v>21</v>
      </c>
      <c r="B14" s="14" t="s">
        <v>22</v>
      </c>
      <c r="C14" s="15">
        <f>'[19]Executive Orig'!C14+[19]Trading!C14+[19]Origination!C14+'[19]Mid Market'!C14+[19]Services!C14+[19]Fundamentals!C14-C32</f>
        <v>0.23999999975785613</v>
      </c>
      <c r="E14" s="20">
        <f t="shared" si="2"/>
        <v>0.38399999961256975</v>
      </c>
      <c r="F14" s="15"/>
      <c r="G14" s="15">
        <f>(+'West - Struct'!G14+'Gas - Struct'!H14)*1.2</f>
        <v>1.7555056169921437E-2</v>
      </c>
      <c r="H14" s="15"/>
      <c r="I14" s="16">
        <f t="shared" si="0"/>
        <v>1.5555078133088597E-8</v>
      </c>
      <c r="O14" s="15">
        <f t="shared" si="1"/>
        <v>3.5110112339842873E-3</v>
      </c>
    </row>
    <row r="15" spans="1:47" x14ac:dyDescent="0.2">
      <c r="A15" s="13" t="s">
        <v>23</v>
      </c>
      <c r="B15" s="14" t="s">
        <v>24</v>
      </c>
      <c r="C15" s="15">
        <f>'[19]Executive Orig'!C15+[19]Trading!C15+[19]Origination!C15+'[19]Mid Market'!C15+[19]Services!C15+[19]Fundamentals!C15</f>
        <v>128890.14</v>
      </c>
      <c r="E15" s="20">
        <f t="shared" si="2"/>
        <v>206224.22400000002</v>
      </c>
      <c r="F15" s="15"/>
      <c r="G15" s="15">
        <f>(+'West - Struct'!G15+'Gas - Struct'!H15)*1.2</f>
        <v>10048.890000000001</v>
      </c>
      <c r="H15" s="15"/>
      <c r="I15" s="16">
        <f t="shared" si="0"/>
        <v>8.9040597528040957E-3</v>
      </c>
      <c r="O15" s="15">
        <f t="shared" si="1"/>
        <v>2009.7780000000002</v>
      </c>
    </row>
    <row r="16" spans="1:47" x14ac:dyDescent="0.2">
      <c r="A16" s="13" t="s">
        <v>25</v>
      </c>
      <c r="B16" s="14" t="s">
        <v>26</v>
      </c>
      <c r="C16" s="15">
        <f>'[19]Executive Orig'!C16+[19]Trading!C16+[19]Origination!C16+'[19]Mid Market'!C16+[19]Services!C16+[19]Fundamentals!C16</f>
        <v>0</v>
      </c>
      <c r="E16" s="20">
        <f t="shared" si="2"/>
        <v>0</v>
      </c>
      <c r="F16" s="15"/>
      <c r="G16" s="15">
        <f>(+'West - Struct'!G16+'Gas - Struct'!H16)*1.2</f>
        <v>0</v>
      </c>
      <c r="H16" s="15"/>
      <c r="I16" s="16">
        <f t="shared" si="0"/>
        <v>0</v>
      </c>
      <c r="K16" t="s">
        <v>27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'[19]Executive Orig'!C17+[19]Trading!C17+[19]Origination!C17+'[19]Mid Market'!C17+[19]Services!C17+[19]Fundamentals!C17</f>
        <v>11300</v>
      </c>
      <c r="E17" s="20">
        <f t="shared" si="2"/>
        <v>18080</v>
      </c>
      <c r="F17" s="15"/>
      <c r="G17" s="15">
        <f>(+'West - Struct'!G17+'Gas - Struct'!H17)*1.2</f>
        <v>177</v>
      </c>
      <c r="H17" s="15"/>
      <c r="I17" s="16">
        <f t="shared" si="0"/>
        <v>1.5683509086539157E-4</v>
      </c>
      <c r="K17" t="s">
        <v>30</v>
      </c>
      <c r="L17" s="25">
        <v>52800</v>
      </c>
      <c r="M17">
        <v>0</v>
      </c>
      <c r="N17" s="25">
        <f t="shared" si="3"/>
        <v>0</v>
      </c>
      <c r="O17" s="15">
        <f t="shared" si="1"/>
        <v>35.4</v>
      </c>
    </row>
    <row r="18" spans="1:15" x14ac:dyDescent="0.2">
      <c r="A18" s="13" t="s">
        <v>31</v>
      </c>
      <c r="B18" s="14" t="s">
        <v>32</v>
      </c>
      <c r="C18" s="15">
        <f>'[19]Executive Orig'!C18+[19]Trading!C18+[19]Origination!C18+'[19]Mid Market'!C18+[19]Services!C18+[19]Fundamentals!C18</f>
        <v>327447.74000000005</v>
      </c>
      <c r="E18" s="20">
        <f t="shared" si="2"/>
        <v>523916.38400000002</v>
      </c>
      <c r="F18" s="15"/>
      <c r="G18" s="15">
        <f>(+'West - Struct'!G18+'Gas - Struct'!H18)*1.2</f>
        <v>5374.6476000000002</v>
      </c>
      <c r="H18" s="15"/>
      <c r="I18" s="16">
        <f t="shared" si="0"/>
        <v>4.7623352808782984E-3</v>
      </c>
      <c r="K18" t="s">
        <v>33</v>
      </c>
      <c r="L18" s="25">
        <v>54000</v>
      </c>
      <c r="M18">
        <v>0</v>
      </c>
      <c r="N18" s="25">
        <f t="shared" si="3"/>
        <v>0</v>
      </c>
      <c r="O18" s="15">
        <f t="shared" si="1"/>
        <v>1074.9295200000001</v>
      </c>
    </row>
    <row r="19" spans="1:15" x14ac:dyDescent="0.2">
      <c r="A19" s="13" t="s">
        <v>34</v>
      </c>
      <c r="B19" s="14" t="s">
        <v>35</v>
      </c>
      <c r="C19" s="15">
        <f>'[19]Executive Orig'!C19+[19]Trading!C19+[19]Origination!C19+'[19]Mid Market'!C19+[19]Services!C19+[19]Fundamentals!C19</f>
        <v>155845.37</v>
      </c>
      <c r="E19" s="20">
        <f t="shared" si="2"/>
        <v>249352.59199999998</v>
      </c>
      <c r="F19" s="15"/>
      <c r="G19" s="15">
        <f>(+'West - Struct'!G19+'Gas - Struct'!H19)*1.2</f>
        <v>10000.424440449438</v>
      </c>
      <c r="H19" s="15"/>
      <c r="I19" s="16">
        <f t="shared" si="0"/>
        <v>8.8611156825444647E-3</v>
      </c>
      <c r="K19" t="s">
        <v>36</v>
      </c>
      <c r="L19" s="25">
        <v>63000</v>
      </c>
      <c r="M19">
        <v>0</v>
      </c>
      <c r="N19" s="25">
        <f t="shared" si="3"/>
        <v>0</v>
      </c>
      <c r="O19" s="15">
        <f t="shared" si="1"/>
        <v>2000.0848880898877</v>
      </c>
    </row>
    <row r="20" spans="1:15" x14ac:dyDescent="0.2">
      <c r="A20" s="13" t="s">
        <v>37</v>
      </c>
      <c r="B20" s="14" t="s">
        <v>38</v>
      </c>
      <c r="C20" s="15">
        <f>'[19]Executive Orig'!C20+[19]Trading!C20+[19]Origination!C20+'[19]Mid Market'!C20+[19]Services!C20+[19]Fundamentals!C20</f>
        <v>116.15</v>
      </c>
      <c r="E20" s="20">
        <f t="shared" si="2"/>
        <v>185.84</v>
      </c>
      <c r="F20" s="15"/>
      <c r="G20" s="15">
        <f>(+'West - Struct'!G20+'Gas - Struct'!H20)*1.2</f>
        <v>5.4914157303370796</v>
      </c>
      <c r="H20" s="15"/>
      <c r="I20" s="16">
        <f t="shared" si="0"/>
        <v>4.8658004804918442E-6</v>
      </c>
      <c r="K20" t="s">
        <v>39</v>
      </c>
      <c r="L20" s="25">
        <v>78000</v>
      </c>
      <c r="M20">
        <f>2-2</f>
        <v>0</v>
      </c>
      <c r="N20" s="25">
        <f t="shared" si="3"/>
        <v>0</v>
      </c>
      <c r="O20" s="15">
        <f t="shared" si="1"/>
        <v>1.0982831460674158</v>
      </c>
    </row>
    <row r="21" spans="1:15" x14ac:dyDescent="0.2">
      <c r="A21" s="13" t="s">
        <v>40</v>
      </c>
      <c r="B21" s="14" t="s">
        <v>41</v>
      </c>
      <c r="C21" s="15">
        <f>'[19]Executive Orig'!C21+[19]Trading!C21+[19]Origination!C21+'[19]Mid Market'!C21+[19]Services!C21+[19]Fundamentals!C21</f>
        <v>566869.93000000017</v>
      </c>
      <c r="E21" s="20">
        <f t="shared" si="2"/>
        <v>906991.88800000027</v>
      </c>
      <c r="F21" s="15"/>
      <c r="G21" s="15">
        <f>(+'West - Struct'!G21+'Gas - Struct'!H21)*1.2</f>
        <v>10073.667299999996</v>
      </c>
      <c r="H21" s="15"/>
      <c r="I21" s="16">
        <f t="shared" si="0"/>
        <v>8.9260142731255546E-3</v>
      </c>
      <c r="K21" t="s">
        <v>42</v>
      </c>
      <c r="L21" s="25">
        <v>66000</v>
      </c>
      <c r="M21">
        <v>0</v>
      </c>
      <c r="N21" s="25">
        <f t="shared" si="3"/>
        <v>0</v>
      </c>
      <c r="O21" s="15">
        <f t="shared" si="1"/>
        <v>2014.733459999999</v>
      </c>
    </row>
    <row r="22" spans="1:15" x14ac:dyDescent="0.2">
      <c r="A22" s="13" t="s">
        <v>43</v>
      </c>
      <c r="B22" s="14" t="s">
        <v>44</v>
      </c>
      <c r="C22" s="15">
        <f>'[19]Executive Orig'!C22+[19]Trading!C22+[19]Origination!C22+'[19]Mid Market'!C22+[19]Services!C22+[19]Fundamentals!C22</f>
        <v>75709.649999999965</v>
      </c>
      <c r="E22" s="20">
        <f t="shared" si="2"/>
        <v>121135.43999999994</v>
      </c>
      <c r="F22" s="15"/>
      <c r="G22" s="15">
        <f>(+'West - Struct'!G22+'Gas - Struct'!H22)*1.2</f>
        <v>3267.074062921401</v>
      </c>
      <c r="H22" s="15"/>
      <c r="I22" s="16">
        <f t="shared" si="0"/>
        <v>2.8948692515380903E-3</v>
      </c>
      <c r="K22" t="s">
        <v>45</v>
      </c>
      <c r="L22" s="25">
        <v>97200</v>
      </c>
      <c r="M22">
        <v>1</v>
      </c>
      <c r="N22" s="25">
        <f t="shared" si="3"/>
        <v>97200</v>
      </c>
      <c r="O22" s="15">
        <f t="shared" si="1"/>
        <v>653.41481258428018</v>
      </c>
    </row>
    <row r="23" spans="1:15" x14ac:dyDescent="0.2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1128573.9627741573</v>
      </c>
      <c r="H23" s="29"/>
      <c r="I23" s="30">
        <f>SUM(I8:I22)</f>
        <v>1</v>
      </c>
      <c r="K23" t="s">
        <v>48</v>
      </c>
      <c r="L23" s="25">
        <v>120000</v>
      </c>
      <c r="M23">
        <v>1</v>
      </c>
      <c r="N23" s="25">
        <f t="shared" si="3"/>
        <v>120000</v>
      </c>
      <c r="O23" s="28">
        <f>SUM(O8:O22)</f>
        <v>225714.79255483145</v>
      </c>
    </row>
    <row r="24" spans="1:15" x14ac:dyDescent="0.2">
      <c r="K24" t="s">
        <v>49</v>
      </c>
      <c r="L24" s="25">
        <v>156000</v>
      </c>
      <c r="M24">
        <f>1-1</f>
        <v>0</v>
      </c>
      <c r="N24" s="25">
        <f t="shared" si="3"/>
        <v>0</v>
      </c>
    </row>
    <row r="25" spans="1:15" x14ac:dyDescent="0.2">
      <c r="B25" s="27" t="s">
        <v>50</v>
      </c>
      <c r="C25" s="15"/>
      <c r="E25" s="31">
        <f>'[19]Executive Orig'!E25+[19]Trading!E25+[19]Origination!E25+'[19]Mid Market'!E25+[19]Services!E25+[19]Fundamentals!E25</f>
        <v>74</v>
      </c>
      <c r="F25" s="32"/>
      <c r="G25" s="31">
        <f>+'West - Struct'!G25+'Gas - Struct'!H25</f>
        <v>4</v>
      </c>
      <c r="H25" s="32"/>
      <c r="K25" t="s">
        <v>51</v>
      </c>
      <c r="L25" s="25">
        <v>180000</v>
      </c>
      <c r="M25">
        <v>0</v>
      </c>
      <c r="N25" s="25">
        <f t="shared" si="3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52</v>
      </c>
      <c r="L26" s="25">
        <v>216000</v>
      </c>
      <c r="M26">
        <v>0</v>
      </c>
      <c r="N26" s="25">
        <f t="shared" si="3"/>
        <v>0</v>
      </c>
      <c r="O26" s="15"/>
    </row>
    <row r="27" spans="1:15" x14ac:dyDescent="0.2">
      <c r="B27" s="27" t="s">
        <v>53</v>
      </c>
      <c r="C27" s="15"/>
      <c r="E27" s="31">
        <f>'[19]Executive Orig'!E27+[19]Trading!E27+[19]Origination!E27+'[19]Mid Market'!E27+[19]Services!E27+[19]Fundamentals!E27</f>
        <v>15</v>
      </c>
      <c r="F27" s="32"/>
      <c r="G27" s="31">
        <f>+'West - Struct'!G27+'Gas - Struct'!H27</f>
        <v>1</v>
      </c>
      <c r="H27" s="32"/>
      <c r="K27" t="s">
        <v>54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15" x14ac:dyDescent="0.2">
      <c r="M28">
        <f>SUM(M16:M27)</f>
        <v>2</v>
      </c>
      <c r="N28" s="25">
        <f>SUM(N16:N27)*1.2</f>
        <v>260640</v>
      </c>
    </row>
    <row r="29" spans="1:15" x14ac:dyDescent="0.2">
      <c r="B29" s="27" t="s">
        <v>55</v>
      </c>
      <c r="C29" s="15"/>
      <c r="E29" s="31">
        <f>+E27+E25</f>
        <v>89</v>
      </c>
      <c r="F29" s="32"/>
      <c r="G29" s="31">
        <f>+G27+G25</f>
        <v>5</v>
      </c>
      <c r="H29" s="32"/>
      <c r="I29" s="25"/>
      <c r="O29" s="31">
        <f>+O27+O25</f>
        <v>1</v>
      </c>
    </row>
    <row r="31" spans="1:15" x14ac:dyDescent="0.2">
      <c r="J31" s="33" t="s">
        <v>56</v>
      </c>
      <c r="K31" s="25"/>
      <c r="L31" s="25"/>
      <c r="M31" s="25"/>
    </row>
    <row r="32" spans="1:15" hidden="1" x14ac:dyDescent="0.2">
      <c r="B32" s="14" t="s">
        <v>22</v>
      </c>
      <c r="C32" s="15">
        <v>677322</v>
      </c>
      <c r="K32" s="25"/>
      <c r="L32" s="25"/>
      <c r="M32" s="25"/>
    </row>
    <row r="33" spans="10:14" x14ac:dyDescent="0.2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2</v>
      </c>
      <c r="N34" s="37">
        <f>+L34*M34</f>
        <v>95067.710561797736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R38"/>
  <sheetViews>
    <sheetView topLeftCell="A4"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9.140625" hidden="1" customWidth="1"/>
    <col min="18" max="55" width="0" hidden="1" customWidth="1"/>
  </cols>
  <sheetData>
    <row r="1" spans="1:44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0" t="s">
        <v>176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 t="s">
        <v>63</v>
      </c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 t="s">
        <v>7</v>
      </c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(L28-H10)*1.2</f>
        <v>863280</v>
      </c>
      <c r="I8" s="42" t="s">
        <v>10</v>
      </c>
      <c r="J8" s="17">
        <v>0</v>
      </c>
      <c r="K8" s="17"/>
      <c r="L8" s="43">
        <f>L30</f>
        <v>863280</v>
      </c>
      <c r="Q8" s="15">
        <f>+H8/$H$29*$Q$29</f>
        <v>172656</v>
      </c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(L21+L22)*1.2</f>
        <v>0</v>
      </c>
      <c r="I10" s="42"/>
      <c r="J10" s="17"/>
      <c r="K10" s="17"/>
      <c r="L10" s="43"/>
      <c r="Q10" s="15">
        <f t="shared" si="1"/>
        <v>0</v>
      </c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(L30-L28)*1.2</f>
        <v>172656</v>
      </c>
      <c r="I11" s="42" t="s">
        <v>15</v>
      </c>
      <c r="J11" s="17">
        <f>(E12+E13+E14+E15+E16+E17+E18+E19+E20+E21+E22)/E29</f>
        <v>48270.181250000009</v>
      </c>
      <c r="K11" s="17">
        <f>K28</f>
        <v>5</v>
      </c>
      <c r="L11" s="43">
        <f>J11*K11</f>
        <v>241350.90625000006</v>
      </c>
      <c r="Q11" s="15">
        <f t="shared" si="1"/>
        <v>34531.199999999997</v>
      </c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>((E12/$E$29)*$K$11)*1.2</f>
        <v>36974.842499999984</v>
      </c>
      <c r="I12" s="42"/>
      <c r="J12" s="17"/>
      <c r="K12" s="17"/>
      <c r="L12" s="43"/>
      <c r="Q12" s="15">
        <f t="shared" si="1"/>
        <v>7394.9684999999972</v>
      </c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>((E13/$E$29)*$K$11)*1.2</f>
        <v>32909.741500000011</v>
      </c>
      <c r="I13" s="46" t="s">
        <v>20</v>
      </c>
      <c r="J13" s="47"/>
      <c r="K13" s="47"/>
      <c r="L13" s="48">
        <f>L8+L11</f>
        <v>1104630.90625</v>
      </c>
      <c r="N13" s="25">
        <v>24109311.029375006</v>
      </c>
      <c r="P13" s="49">
        <f>N13-L13</f>
        <v>23004680.123125006</v>
      </c>
      <c r="Q13" s="15">
        <f t="shared" si="1"/>
        <v>6581.9483000000018</v>
      </c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160560</v>
      </c>
      <c r="Q14" s="15">
        <f t="shared" si="1"/>
        <v>32112</v>
      </c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ref="H15:H21" si="2">((E15/$E$29)*$K$11)*1.2</f>
        <v>5228.1499999999987</v>
      </c>
      <c r="Q15" s="15">
        <f t="shared" si="1"/>
        <v>1045.6299999999997</v>
      </c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294.99999999999994</v>
      </c>
      <c r="I17" s="25" t="s">
        <v>30</v>
      </c>
      <c r="J17" s="25">
        <v>48400</v>
      </c>
      <c r="K17" s="25">
        <f t="shared" ref="K17:K27" si="4">1-1</f>
        <v>0</v>
      </c>
      <c r="L17" s="25">
        <f t="shared" si="3"/>
        <v>0</v>
      </c>
      <c r="Q17" s="15">
        <f t="shared" si="1"/>
        <v>58.999999999999986</v>
      </c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5357.7460000000001</v>
      </c>
      <c r="I18" s="25" t="s">
        <v>33</v>
      </c>
      <c r="J18" s="25">
        <v>49500</v>
      </c>
      <c r="K18" s="25">
        <f t="shared" si="4"/>
        <v>0</v>
      </c>
      <c r="L18" s="25">
        <f t="shared" si="3"/>
        <v>0</v>
      </c>
      <c r="Q18" s="15">
        <f t="shared" si="1"/>
        <v>1071.5491999999999</v>
      </c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5460.5160000000005</v>
      </c>
      <c r="I19" s="25" t="s">
        <v>36</v>
      </c>
      <c r="J19" s="25">
        <v>57750</v>
      </c>
      <c r="K19" s="25">
        <f t="shared" si="4"/>
        <v>0</v>
      </c>
      <c r="L19" s="25">
        <f t="shared" si="3"/>
        <v>0</v>
      </c>
      <c r="Q19" s="15">
        <f t="shared" si="1"/>
        <v>1092.1032</v>
      </c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0.79999999999999993</v>
      </c>
      <c r="I20" s="25" t="s">
        <v>39</v>
      </c>
      <c r="J20" s="25">
        <v>71500</v>
      </c>
      <c r="K20" s="25">
        <v>1</v>
      </c>
      <c r="L20" s="25">
        <f t="shared" si="3"/>
        <v>71500</v>
      </c>
      <c r="Q20" s="15">
        <f t="shared" si="1"/>
        <v>0.15999999999999998</v>
      </c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6789.4454999999934</v>
      </c>
      <c r="I21" s="25" t="s">
        <v>42</v>
      </c>
      <c r="J21" s="25">
        <v>60500</v>
      </c>
      <c r="K21" s="25">
        <f t="shared" si="4"/>
        <v>0</v>
      </c>
      <c r="L21" s="25">
        <f t="shared" si="3"/>
        <v>0</v>
      </c>
      <c r="Q21" s="15">
        <f t="shared" si="1"/>
        <v>1357.8890999999987</v>
      </c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((E22/$E$29)*$K$11-65535)*1.2</f>
        <v>117962.83400000009</v>
      </c>
      <c r="I22" s="25" t="s">
        <v>45</v>
      </c>
      <c r="J22" s="25">
        <v>89100</v>
      </c>
      <c r="K22" s="25">
        <f t="shared" si="4"/>
        <v>0</v>
      </c>
      <c r="L22" s="25">
        <f t="shared" si="3"/>
        <v>0</v>
      </c>
      <c r="Q22" s="15">
        <f t="shared" si="1"/>
        <v>23592.566800000019</v>
      </c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1407475.0755</v>
      </c>
      <c r="I23" s="25" t="s">
        <v>48</v>
      </c>
      <c r="J23" s="25">
        <v>110000</v>
      </c>
      <c r="K23" s="25">
        <v>3</v>
      </c>
      <c r="L23" s="25">
        <f t="shared" si="3"/>
        <v>330000</v>
      </c>
      <c r="Q23" s="28">
        <f>SUM(Q8:Q22)</f>
        <v>281495.01510000002</v>
      </c>
    </row>
    <row r="24" spans="1:17" x14ac:dyDescent="0.2">
      <c r="I24" s="25" t="s">
        <v>49</v>
      </c>
      <c r="J24" s="25">
        <v>143000</v>
      </c>
      <c r="K24" s="25">
        <f t="shared" si="4"/>
        <v>0</v>
      </c>
      <c r="L24" s="25">
        <f t="shared" si="3"/>
        <v>0</v>
      </c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5</v>
      </c>
      <c r="I25" s="25" t="s">
        <v>51</v>
      </c>
      <c r="J25" s="25">
        <v>165000</v>
      </c>
      <c r="K25" s="25">
        <f t="shared" si="4"/>
        <v>0</v>
      </c>
      <c r="L25" s="25">
        <f t="shared" si="3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3"/>
        <v>198000</v>
      </c>
      <c r="Q26" s="15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f t="shared" si="4"/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5</v>
      </c>
      <c r="L28" s="25">
        <f>SUM(L16:L27)*1.2</f>
        <v>719400</v>
      </c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5</v>
      </c>
      <c r="L29" s="52">
        <v>0.2</v>
      </c>
      <c r="Q29" s="31">
        <v>1</v>
      </c>
    </row>
    <row r="30" spans="1:17" hidden="1" x14ac:dyDescent="0.2">
      <c r="L30" s="25">
        <f>L28*1.2</f>
        <v>863280</v>
      </c>
    </row>
    <row r="31" spans="1:17" hidden="1" x14ac:dyDescent="0.2">
      <c r="H31" s="33" t="s">
        <v>56</v>
      </c>
      <c r="L31"/>
    </row>
    <row r="32" spans="1:17" hidden="1" x14ac:dyDescent="0.2">
      <c r="B32" s="14" t="s">
        <v>22</v>
      </c>
      <c r="C32" s="15">
        <v>254512</v>
      </c>
      <c r="L32"/>
    </row>
    <row r="33" spans="8:12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5</v>
      </c>
      <c r="L34" s="37">
        <f>+J34*K34</f>
        <v>241350.90625000006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O40"/>
  <sheetViews>
    <sheetView zoomScaleNormal="100" workbookViewId="0">
      <selection activeCell="O6" sqref="O6:O29"/>
    </sheetView>
  </sheetViews>
  <sheetFormatPr defaultRowHeight="12.75" x14ac:dyDescent="0.2"/>
  <cols>
    <col min="2" max="2" width="28.7109375" customWidth="1"/>
    <col min="3" max="3" width="19.140625" hidden="1" customWidth="1"/>
    <col min="4" max="4" width="2.5703125" hidden="1" customWidth="1"/>
    <col min="5" max="5" width="13.85546875" hidden="1" customWidth="1"/>
    <col min="6" max="6" width="3.85546875" customWidth="1"/>
    <col min="7" max="7" width="12" customWidth="1"/>
    <col min="8" max="8" width="12.7109375" hidden="1" customWidth="1"/>
    <col min="9" max="9" width="1.7109375" hidden="1" customWidth="1"/>
    <col min="10" max="10" width="15.28515625" hidden="1" customWidth="1"/>
    <col min="11" max="11" width="10.42578125" hidden="1" customWidth="1"/>
    <col min="12" max="12" width="9" hidden="1" customWidth="1"/>
    <col min="13" max="13" width="11.85546875" hidden="1" customWidth="1"/>
  </cols>
  <sheetData>
    <row r="1" spans="1:15" ht="18" x14ac:dyDescent="0.25">
      <c r="B1" s="140" t="str">
        <f>'[10]Team Report'!B1</f>
        <v>Enron North America</v>
      </c>
      <c r="C1" s="140"/>
      <c r="D1" s="142"/>
      <c r="E1" s="142"/>
      <c r="F1" s="142"/>
      <c r="G1" s="142"/>
      <c r="H1" s="1"/>
      <c r="I1" s="1"/>
      <c r="J1" s="1"/>
      <c r="K1" s="1"/>
      <c r="L1" s="1"/>
      <c r="M1" s="1"/>
    </row>
    <row r="2" spans="1:15" ht="18" x14ac:dyDescent="0.25">
      <c r="B2" s="140" t="s">
        <v>132</v>
      </c>
      <c r="C2" s="140"/>
      <c r="D2" s="142"/>
      <c r="E2" s="142"/>
      <c r="F2" s="142"/>
      <c r="G2" s="142"/>
      <c r="H2" s="1"/>
      <c r="I2" s="1"/>
      <c r="J2" s="1"/>
      <c r="K2" s="1"/>
      <c r="L2" s="1"/>
      <c r="M2" s="1"/>
    </row>
    <row r="3" spans="1:15" ht="18" x14ac:dyDescent="0.25">
      <c r="B3" s="140" t="s">
        <v>0</v>
      </c>
      <c r="C3" s="140"/>
      <c r="D3" s="142"/>
      <c r="E3" s="142"/>
      <c r="F3" s="142"/>
      <c r="G3" s="142"/>
      <c r="H3" s="3"/>
      <c r="I3" s="3"/>
      <c r="J3" s="3"/>
      <c r="K3" s="3"/>
      <c r="L3" s="3"/>
      <c r="M3" s="3"/>
    </row>
    <row r="4" spans="1:15" ht="13.5" thickBot="1" x14ac:dyDescent="0.25"/>
    <row r="5" spans="1:15" x14ac:dyDescent="0.2">
      <c r="J5" s="4"/>
      <c r="K5" s="40"/>
      <c r="L5" s="40"/>
      <c r="M5" s="41"/>
    </row>
    <row r="6" spans="1:1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1</v>
      </c>
      <c r="L6" s="19" t="s">
        <v>2</v>
      </c>
      <c r="M6" s="74" t="s">
        <v>107</v>
      </c>
      <c r="O6" s="11">
        <v>2002</v>
      </c>
    </row>
    <row r="7" spans="1:15" x14ac:dyDescent="0.2">
      <c r="C7" s="12" t="s">
        <v>5</v>
      </c>
      <c r="E7" s="12" t="s">
        <v>6</v>
      </c>
      <c r="F7" s="12"/>
      <c r="G7" s="12" t="s">
        <v>7</v>
      </c>
      <c r="H7" s="33"/>
      <c r="J7" s="7"/>
      <c r="K7" s="17"/>
      <c r="L7" s="17"/>
      <c r="M7" s="43"/>
      <c r="O7" s="12" t="s">
        <v>7</v>
      </c>
    </row>
    <row r="8" spans="1:15" x14ac:dyDescent="0.2">
      <c r="A8" s="13" t="s">
        <v>9</v>
      </c>
      <c r="B8" s="14" t="s">
        <v>10</v>
      </c>
      <c r="C8" s="15">
        <f>'[10]Team Report'!BA25</f>
        <v>17469588.960000001</v>
      </c>
      <c r="E8" s="15">
        <f t="shared" ref="E8:E22" si="0">+C8/9*12</f>
        <v>23292785.280000001</v>
      </c>
      <c r="F8" s="15"/>
      <c r="G8" s="15">
        <f>SUM(M17:M28)</f>
        <v>1776000</v>
      </c>
      <c r="J8" s="7"/>
      <c r="K8" s="17"/>
      <c r="L8" s="17"/>
      <c r="M8" s="43"/>
      <c r="O8" s="15">
        <f>+G8/$G$29*$O$29</f>
        <v>148000</v>
      </c>
    </row>
    <row r="9" spans="1:15" hidden="1" x14ac:dyDescent="0.2">
      <c r="A9" s="13"/>
      <c r="B9" s="14" t="s">
        <v>11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10</v>
      </c>
      <c r="K9" s="17">
        <v>0</v>
      </c>
      <c r="L9" s="17">
        <f>+L29</f>
        <v>12</v>
      </c>
      <c r="M9" s="43">
        <f>M35</f>
        <v>2131200</v>
      </c>
      <c r="O9" s="15">
        <f t="shared" ref="O9:O21" si="1">+G9/$G$29*$O$29</f>
        <v>0</v>
      </c>
    </row>
    <row r="10" spans="1:15" x14ac:dyDescent="0.2">
      <c r="B10" s="14" t="s">
        <v>12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15" x14ac:dyDescent="0.2">
      <c r="A11" s="13" t="s">
        <v>13</v>
      </c>
      <c r="B11" s="14" t="s">
        <v>14</v>
      </c>
      <c r="C11" s="15">
        <f>'[10]Team Report'!BA26</f>
        <v>1272399.6399999999</v>
      </c>
      <c r="E11" s="15">
        <f t="shared" si="0"/>
        <v>1696532.8533333333</v>
      </c>
      <c r="F11" s="15"/>
      <c r="G11" s="15">
        <f>+G8*0.2</f>
        <v>355200</v>
      </c>
      <c r="J11" s="7"/>
      <c r="K11" s="17"/>
      <c r="L11" s="17"/>
      <c r="M11" s="43"/>
      <c r="O11" s="15">
        <f t="shared" si="1"/>
        <v>29600</v>
      </c>
    </row>
    <row r="12" spans="1:15" x14ac:dyDescent="0.2">
      <c r="A12" s="13" t="s">
        <v>16</v>
      </c>
      <c r="B12" s="14" t="s">
        <v>17</v>
      </c>
      <c r="C12" s="15">
        <f>'[10]Team Report'!BA27</f>
        <v>141777.57</v>
      </c>
      <c r="E12" s="15">
        <f t="shared" si="0"/>
        <v>189036.76</v>
      </c>
      <c r="F12" s="15"/>
      <c r="G12" s="15">
        <f>+$M$12*0.25</f>
        <v>66582</v>
      </c>
      <c r="J12" s="7" t="s">
        <v>15</v>
      </c>
      <c r="K12" s="17">
        <f>18495*1.2</f>
        <v>22194</v>
      </c>
      <c r="L12" s="17">
        <v>12</v>
      </c>
      <c r="M12" s="43">
        <f>K12*L12</f>
        <v>266328</v>
      </c>
      <c r="O12" s="15">
        <f t="shared" si="1"/>
        <v>5548.5</v>
      </c>
    </row>
    <row r="13" spans="1:15" x14ac:dyDescent="0.2">
      <c r="A13" s="13" t="s">
        <v>18</v>
      </c>
      <c r="B13" s="14" t="s">
        <v>19</v>
      </c>
      <c r="C13" s="15">
        <f>'[10]Team Report'!BA28</f>
        <v>100051.51000000001</v>
      </c>
      <c r="E13" s="15">
        <f t="shared" si="0"/>
        <v>133402.01333333334</v>
      </c>
      <c r="F13" s="15"/>
      <c r="G13" s="15">
        <f>+$M$12*0.13</f>
        <v>34622.639999999999</v>
      </c>
      <c r="J13" s="7"/>
      <c r="K13" s="17"/>
      <c r="L13" s="17"/>
      <c r="M13" s="43"/>
      <c r="O13" s="15">
        <f t="shared" si="1"/>
        <v>2885.22</v>
      </c>
    </row>
    <row r="14" spans="1:15" ht="13.5" thickBot="1" x14ac:dyDescent="0.25">
      <c r="A14" s="13" t="s">
        <v>21</v>
      </c>
      <c r="B14" s="14" t="s">
        <v>22</v>
      </c>
      <c r="C14" s="15">
        <f>'[10]Team Report'!BA32</f>
        <v>13823042.719999999</v>
      </c>
      <c r="E14" s="15">
        <f t="shared" si="0"/>
        <v>18430723.626666665</v>
      </c>
      <c r="F14" s="15"/>
      <c r="G14" s="15">
        <f>+$M$12*0.2</f>
        <v>53265.600000000006</v>
      </c>
      <c r="J14" s="22" t="s">
        <v>20</v>
      </c>
      <c r="K14" s="47"/>
      <c r="L14" s="47"/>
      <c r="M14" s="48">
        <f>SUM(M9:M12)</f>
        <v>2397528</v>
      </c>
      <c r="O14" s="15">
        <f t="shared" si="1"/>
        <v>4438.8</v>
      </c>
    </row>
    <row r="15" spans="1:15" x14ac:dyDescent="0.2">
      <c r="A15" s="13" t="s">
        <v>23</v>
      </c>
      <c r="B15" s="14" t="s">
        <v>24</v>
      </c>
      <c r="C15" s="15">
        <f>'[10]Team Report'!BA33</f>
        <v>7559.4299999999994</v>
      </c>
      <c r="E15" s="15">
        <f t="shared" si="0"/>
        <v>10079.24</v>
      </c>
      <c r="F15" s="15"/>
      <c r="G15" s="15">
        <f>+$M$12*0.08</f>
        <v>21306.240000000002</v>
      </c>
      <c r="J15" s="8"/>
      <c r="K15" s="17"/>
      <c r="L15" s="17"/>
      <c r="M15" s="17"/>
      <c r="O15" s="15">
        <f t="shared" si="1"/>
        <v>1775.5200000000002</v>
      </c>
    </row>
    <row r="16" spans="1:15" x14ac:dyDescent="0.2">
      <c r="A16" s="13" t="s">
        <v>25</v>
      </c>
      <c r="B16" s="14" t="s">
        <v>26</v>
      </c>
      <c r="C16" s="15">
        <f>'[10]Team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'[10]Team Report'!BA35</f>
        <v>0</v>
      </c>
      <c r="E17" s="15">
        <f t="shared" si="0"/>
        <v>0</v>
      </c>
      <c r="F17" s="15"/>
      <c r="G17" s="15">
        <v>0</v>
      </c>
      <c r="J17" t="s">
        <v>27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31</v>
      </c>
      <c r="B18" s="14" t="s">
        <v>32</v>
      </c>
      <c r="C18" s="15">
        <f>'[10]Team Report'!BA36</f>
        <v>91694.450000000012</v>
      </c>
      <c r="E18" s="15">
        <f t="shared" si="0"/>
        <v>122259.26666666669</v>
      </c>
      <c r="F18" s="15"/>
      <c r="G18" s="15">
        <v>0</v>
      </c>
      <c r="J18" t="s">
        <v>30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x14ac:dyDescent="0.2">
      <c r="A19" s="13" t="s">
        <v>34</v>
      </c>
      <c r="B19" s="14" t="s">
        <v>35</v>
      </c>
      <c r="C19" s="15">
        <f>'[10]Team Report'!BA37</f>
        <v>-7331217.4600000009</v>
      </c>
      <c r="E19" s="15">
        <f t="shared" si="0"/>
        <v>-9774956.6133333351</v>
      </c>
      <c r="F19" s="15"/>
      <c r="G19" s="15">
        <f>+$M$12*0.19</f>
        <v>50602.32</v>
      </c>
      <c r="J19" t="s">
        <v>33</v>
      </c>
      <c r="K19" s="25">
        <v>60000</v>
      </c>
      <c r="L19" s="25">
        <v>0</v>
      </c>
      <c r="M19" s="17">
        <f t="shared" si="2"/>
        <v>0</v>
      </c>
      <c r="O19" s="15">
        <f t="shared" si="1"/>
        <v>4216.8599999999997</v>
      </c>
    </row>
    <row r="20" spans="1:15" x14ac:dyDescent="0.2">
      <c r="A20" s="13" t="s">
        <v>37</v>
      </c>
      <c r="B20" s="14" t="s">
        <v>38</v>
      </c>
      <c r="C20" s="15">
        <f>'[10]Team Report'!BA38</f>
        <v>0</v>
      </c>
      <c r="E20" s="15">
        <f t="shared" si="0"/>
        <v>0</v>
      </c>
      <c r="F20" s="15"/>
      <c r="G20" s="15">
        <v>0</v>
      </c>
      <c r="J20" t="s">
        <v>36</v>
      </c>
      <c r="K20" s="25">
        <v>78000</v>
      </c>
      <c r="L20" s="25">
        <v>2</v>
      </c>
      <c r="M20" s="17">
        <f t="shared" si="2"/>
        <v>156000</v>
      </c>
      <c r="O20" s="15">
        <f t="shared" si="1"/>
        <v>0</v>
      </c>
    </row>
    <row r="21" spans="1:15" x14ac:dyDescent="0.2">
      <c r="A21" s="13" t="s">
        <v>40</v>
      </c>
      <c r="B21" s="14" t="s">
        <v>41</v>
      </c>
      <c r="C21" s="15">
        <f>'[10]Team Report'!BA42</f>
        <v>24774212.690000001</v>
      </c>
      <c r="E21" s="15">
        <f t="shared" si="0"/>
        <v>33032283.58666667</v>
      </c>
      <c r="F21" s="15"/>
      <c r="G21" s="15">
        <f>+$M$12*0.15</f>
        <v>39949.199999999997</v>
      </c>
      <c r="J21" t="s">
        <v>39</v>
      </c>
      <c r="K21" s="25">
        <v>102000</v>
      </c>
      <c r="L21" s="25">
        <v>2</v>
      </c>
      <c r="M21" s="17">
        <f t="shared" si="2"/>
        <v>204000</v>
      </c>
      <c r="O21" s="15">
        <f t="shared" si="1"/>
        <v>3329.1</v>
      </c>
    </row>
    <row r="22" spans="1:15" x14ac:dyDescent="0.2">
      <c r="A22" s="13" t="s">
        <v>43</v>
      </c>
      <c r="B22" s="14" t="s">
        <v>44</v>
      </c>
      <c r="C22" s="15">
        <f>'[10]Team Report'!BA44</f>
        <v>16.600000000000001</v>
      </c>
      <c r="E22" s="15">
        <f t="shared" si="0"/>
        <v>22.133333333333333</v>
      </c>
      <c r="F22" s="15"/>
      <c r="G22" s="15">
        <v>0</v>
      </c>
      <c r="J22" t="s">
        <v>42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x14ac:dyDescent="0.2">
      <c r="A23" s="26" t="s">
        <v>46</v>
      </c>
      <c r="B23" s="27" t="s">
        <v>47</v>
      </c>
      <c r="C23" s="28">
        <f>SUM(C8:C22)</f>
        <v>50349126.110000007</v>
      </c>
      <c r="E23" s="28">
        <f>SUM(E8:E22)</f>
        <v>67132168.146666676</v>
      </c>
      <c r="F23" s="29"/>
      <c r="G23" s="28">
        <f>SUM(G8:G22)</f>
        <v>2397528.0000000005</v>
      </c>
      <c r="J23" t="s">
        <v>45</v>
      </c>
      <c r="K23" s="25">
        <v>0</v>
      </c>
      <c r="L23" s="25">
        <v>0</v>
      </c>
      <c r="M23" s="17">
        <f t="shared" si="2"/>
        <v>0</v>
      </c>
      <c r="O23" s="28">
        <f>SUM(O8:O22)</f>
        <v>199793.99999999997</v>
      </c>
    </row>
    <row r="24" spans="1:15" x14ac:dyDescent="0.2">
      <c r="J24" t="s">
        <v>48</v>
      </c>
      <c r="K24" s="25">
        <v>144000</v>
      </c>
      <c r="L24" s="25">
        <v>3</v>
      </c>
      <c r="M24" s="17">
        <f t="shared" si="2"/>
        <v>432000</v>
      </c>
    </row>
    <row r="25" spans="1:15" x14ac:dyDescent="0.2">
      <c r="B25" s="27" t="s">
        <v>50</v>
      </c>
      <c r="C25" s="15"/>
      <c r="E25" s="31">
        <v>111</v>
      </c>
      <c r="F25" s="32"/>
      <c r="G25" s="31">
        <v>12</v>
      </c>
      <c r="J25" t="s">
        <v>49</v>
      </c>
      <c r="K25" s="25">
        <v>168000</v>
      </c>
      <c r="L25" s="25">
        <v>2</v>
      </c>
      <c r="M25" s="17">
        <f t="shared" si="2"/>
        <v>336000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J26" t="s">
        <v>51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x14ac:dyDescent="0.2">
      <c r="B27" s="27" t="s">
        <v>101</v>
      </c>
      <c r="C27" s="15"/>
      <c r="E27" s="31">
        <v>0</v>
      </c>
      <c r="F27" s="32"/>
      <c r="G27" s="31">
        <v>0</v>
      </c>
      <c r="J27" t="s">
        <v>52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">
      <c r="J28" t="s">
        <v>54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55</v>
      </c>
      <c r="C29" s="15"/>
      <c r="E29" s="31">
        <f>+E27+E25</f>
        <v>111</v>
      </c>
      <c r="F29" s="32"/>
      <c r="G29" s="31">
        <f>+G27+G25</f>
        <v>12</v>
      </c>
      <c r="H29" s="25"/>
      <c r="K29" s="25"/>
      <c r="L29" s="25">
        <f>SUM(L17:L28)</f>
        <v>12</v>
      </c>
      <c r="M29" s="25">
        <f>SUM(M17:M28)</f>
        <v>1776000</v>
      </c>
      <c r="O29" s="31">
        <v>1</v>
      </c>
    </row>
    <row r="30" spans="1:15" x14ac:dyDescent="0.2">
      <c r="K30" s="25"/>
      <c r="L30" s="25"/>
      <c r="M30" s="25"/>
    </row>
    <row r="31" spans="1:15" hidden="1" x14ac:dyDescent="0.2">
      <c r="A31" s="13" t="s">
        <v>71</v>
      </c>
      <c r="B31" s="14" t="s">
        <v>72</v>
      </c>
      <c r="C31" s="15">
        <f>'[10]Team Report'!BA29</f>
        <v>0</v>
      </c>
      <c r="E31" s="15">
        <f>(C31/9)*12</f>
        <v>0</v>
      </c>
      <c r="F31" s="15"/>
      <c r="J31" t="s">
        <v>102</v>
      </c>
      <c r="K31" s="25"/>
      <c r="L31" s="52"/>
      <c r="M31" s="52">
        <v>0.2</v>
      </c>
    </row>
    <row r="32" spans="1:15" hidden="1" x14ac:dyDescent="0.2">
      <c r="A32" s="13" t="s">
        <v>73</v>
      </c>
      <c r="B32" s="14" t="s">
        <v>74</v>
      </c>
      <c r="C32" s="15">
        <f>'[10]Team Report'!BA30</f>
        <v>0</v>
      </c>
      <c r="E32" s="15">
        <f>(C32/9)*12</f>
        <v>0</v>
      </c>
      <c r="F32" s="15"/>
      <c r="K32" s="25"/>
      <c r="L32" s="25"/>
      <c r="M32" s="25"/>
    </row>
    <row r="33" spans="1:13" hidden="1" x14ac:dyDescent="0.2">
      <c r="A33" s="13" t="s">
        <v>75</v>
      </c>
      <c r="B33" s="14" t="s">
        <v>76</v>
      </c>
      <c r="C33" s="15">
        <f>'[10]Team Report'!BA31</f>
        <v>0</v>
      </c>
      <c r="E33" s="15">
        <f>(C33/9)*12</f>
        <v>0</v>
      </c>
      <c r="F33" s="15"/>
      <c r="J33" t="s">
        <v>133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77</v>
      </c>
      <c r="B34" s="14" t="s">
        <v>78</v>
      </c>
      <c r="C34" s="15">
        <f>'[10]Team Report'!BA39</f>
        <v>-7489842.25</v>
      </c>
      <c r="E34" s="15">
        <v>0</v>
      </c>
      <c r="F34" s="15"/>
      <c r="K34" s="25"/>
      <c r="L34" s="25"/>
      <c r="M34" s="25"/>
    </row>
    <row r="35" spans="1:13" hidden="1" x14ac:dyDescent="0.2">
      <c r="A35" s="13" t="s">
        <v>79</v>
      </c>
      <c r="B35" s="14" t="s">
        <v>80</v>
      </c>
      <c r="C35" s="15">
        <f>'[10]Team Report'!BA40</f>
        <v>2999489.79</v>
      </c>
      <c r="E35" s="15">
        <v>0</v>
      </c>
      <c r="F35" s="15"/>
      <c r="K35" s="25"/>
      <c r="L35" s="25">
        <f>+L29+L33</f>
        <v>12</v>
      </c>
      <c r="M35" s="25">
        <f>M29*1.2+M33</f>
        <v>2131200</v>
      </c>
    </row>
    <row r="36" spans="1:13" hidden="1" x14ac:dyDescent="0.2">
      <c r="A36" s="13" t="s">
        <v>81</v>
      </c>
      <c r="B36" s="14" t="s">
        <v>82</v>
      </c>
      <c r="C36" s="15">
        <f>'[10]Team Report'!BA41</f>
        <v>205055.58999999997</v>
      </c>
      <c r="E36" s="15">
        <v>0</v>
      </c>
      <c r="F36" s="15"/>
      <c r="K36" s="25"/>
      <c r="L36" s="25"/>
      <c r="M36" s="25"/>
    </row>
    <row r="37" spans="1:13" hidden="1" x14ac:dyDescent="0.2">
      <c r="A37" s="13" t="s">
        <v>83</v>
      </c>
      <c r="B37" s="14" t="s">
        <v>84</v>
      </c>
      <c r="C37" s="15">
        <f>'[10]Team Report'!BA43</f>
        <v>42687168.700000003</v>
      </c>
      <c r="E37" s="15">
        <v>0</v>
      </c>
      <c r="F37" s="15"/>
      <c r="I37" s="33" t="s">
        <v>56</v>
      </c>
    </row>
    <row r="38" spans="1:13" hidden="1" x14ac:dyDescent="0.2">
      <c r="A38" s="13" t="s">
        <v>85</v>
      </c>
      <c r="B38" s="14" t="s">
        <v>86</v>
      </c>
      <c r="C38" s="15">
        <f>'[10]Team Report'!BA45</f>
        <v>8186094.0700000003</v>
      </c>
      <c r="E38" s="15">
        <v>0</v>
      </c>
      <c r="F38" s="15"/>
    </row>
    <row r="39" spans="1:13" x14ac:dyDescent="0.2">
      <c r="I39" t="s">
        <v>134</v>
      </c>
    </row>
    <row r="40" spans="1:13" x14ac:dyDescent="0.2">
      <c r="C40" s="54">
        <f>C23+C31+C32+C33+C34+C35+C36+C37+C38</f>
        <v>96937092.01000002</v>
      </c>
    </row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71" bottom="0.48" header="1.01" footer="0.5"/>
  <pageSetup orientation="portrait" verticalDpi="196" r:id="rId1"/>
  <headerFooter alignWithMargins="0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M57"/>
  <sheetViews>
    <sheetView topLeftCell="A4" zoomScaleNormal="100" workbookViewId="0">
      <selection activeCell="H13" sqref="H1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8" hidden="1" customWidth="1"/>
    <col min="6" max="6" width="2.28515625" customWidth="1"/>
    <col min="7" max="7" width="0" hidden="1" customWidth="1"/>
    <col min="8" max="8" width="17.7109375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11.28515625" hidden="1" customWidth="1"/>
    <col min="17" max="17" width="9.140625" hidden="1" customWidth="1"/>
    <col min="18" max="29" width="0" hidden="1" customWidth="1"/>
  </cols>
  <sheetData>
    <row r="1" spans="1:39" ht="18" x14ac:dyDescent="0.25">
      <c r="B1" s="140" t="str">
        <f>'[4]Team Report'!B1</f>
        <v>Enron North America</v>
      </c>
      <c r="C1" s="140"/>
      <c r="D1" s="140"/>
      <c r="E1" s="140"/>
      <c r="F1" s="140"/>
      <c r="G1" s="140"/>
      <c r="H1" s="140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25">
      <c r="B2" s="140" t="s">
        <v>172</v>
      </c>
      <c r="C2" s="140"/>
      <c r="D2" s="140"/>
      <c r="E2" s="140"/>
      <c r="F2" s="140"/>
      <c r="G2" s="140"/>
      <c r="H2" s="140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25">
      <c r="B3" s="141" t="s">
        <v>0</v>
      </c>
      <c r="C3" s="141"/>
      <c r="D3" s="141"/>
      <c r="E3" s="141"/>
      <c r="F3" s="141"/>
      <c r="G3" s="141"/>
      <c r="H3" s="141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5" thickBot="1" x14ac:dyDescent="0.25">
      <c r="I4" s="145" t="s">
        <v>173</v>
      </c>
      <c r="J4" s="145"/>
      <c r="K4" s="145"/>
      <c r="L4" s="145"/>
    </row>
    <row r="5" spans="1:39" x14ac:dyDescent="0.2">
      <c r="I5" s="4"/>
      <c r="J5" s="40"/>
      <c r="K5" s="40"/>
      <c r="L5" s="41"/>
      <c r="M5" s="8"/>
    </row>
    <row r="6" spans="1:39" x14ac:dyDescent="0.2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x14ac:dyDescent="0.2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x14ac:dyDescent="0.2">
      <c r="A8" s="13" t="s">
        <v>9</v>
      </c>
      <c r="B8" s="14" t="s">
        <v>10</v>
      </c>
      <c r="C8" s="53">
        <f>'[4]Team Report'!BA25</f>
        <v>4985502.2300000004</v>
      </c>
      <c r="E8" s="15">
        <f>((C8/9)*12)*1.3</f>
        <v>8641537.1986666676</v>
      </c>
      <c r="H8" s="15">
        <f>(L29-H10-2561483)*1.2</f>
        <v>11877365.039999999</v>
      </c>
      <c r="I8" s="7"/>
      <c r="J8" s="17"/>
      <c r="K8" s="17"/>
      <c r="L8" s="43"/>
      <c r="M8" s="8"/>
      <c r="Q8" s="15">
        <f>+H8/$H$29*$Q$29</f>
        <v>69866.853176470584</v>
      </c>
    </row>
    <row r="9" spans="1:39" hidden="1" x14ac:dyDescent="0.2">
      <c r="A9" s="13"/>
      <c r="B9" s="14" t="s">
        <v>11</v>
      </c>
      <c r="C9" s="15">
        <v>0</v>
      </c>
      <c r="E9" s="15">
        <f>(C9/9)*12</f>
        <v>0</v>
      </c>
      <c r="H9" s="15">
        <v>0</v>
      </c>
      <c r="I9" s="7" t="s">
        <v>10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ref="Q9:Q22" si="0">+H9/$H$29*$Q$29</f>
        <v>0</v>
      </c>
    </row>
    <row r="10" spans="1:39" x14ac:dyDescent="0.2">
      <c r="A10" s="13"/>
      <c r="B10" s="14" t="s">
        <v>70</v>
      </c>
      <c r="C10" s="15">
        <v>0</v>
      </c>
      <c r="E10" s="15">
        <f>(C10/9)*12</f>
        <v>0</v>
      </c>
      <c r="H10" s="15">
        <f>(L20+L21+591219)*1.2</f>
        <v>2149462.7999999998</v>
      </c>
      <c r="I10" s="7"/>
      <c r="J10" s="17"/>
      <c r="K10" s="17"/>
      <c r="L10" s="43"/>
      <c r="M10" s="8"/>
      <c r="Q10" s="15">
        <f t="shared" si="0"/>
        <v>12643.898823529411</v>
      </c>
    </row>
    <row r="11" spans="1:39" x14ac:dyDescent="0.2">
      <c r="A11" s="13" t="s">
        <v>13</v>
      </c>
      <c r="B11" s="14" t="s">
        <v>14</v>
      </c>
      <c r="C11" s="15">
        <f>'[4]Team Report'!BA26</f>
        <v>1210281.1100000001</v>
      </c>
      <c r="E11" s="15">
        <f>((C11/9)*12)*1.3</f>
        <v>2097820.5906666671</v>
      </c>
      <c r="H11" s="15">
        <f>(L33-L29-378340)*1.2</f>
        <v>3052092</v>
      </c>
      <c r="I11" s="7"/>
      <c r="J11" s="17"/>
      <c r="K11" s="17"/>
      <c r="L11" s="43"/>
      <c r="M11" s="8"/>
      <c r="Q11" s="15">
        <f t="shared" si="0"/>
        <v>17953.482352941177</v>
      </c>
    </row>
    <row r="12" spans="1:39" x14ac:dyDescent="0.2">
      <c r="A12" s="13" t="s">
        <v>16</v>
      </c>
      <c r="B12" s="14" t="s">
        <v>17</v>
      </c>
      <c r="C12" s="15">
        <f>'[4]Team Report'!BA27</f>
        <v>190029.97</v>
      </c>
      <c r="E12" s="15">
        <f>((C12/9)*12)*1.3</f>
        <v>329385.28133333335</v>
      </c>
      <c r="H12" s="15">
        <f>((E12/$E$29)*$K$12-208603)*1.2+15000</f>
        <v>381017.67218983057</v>
      </c>
      <c r="I12" s="7" t="s">
        <v>15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2241.2804246460623</v>
      </c>
    </row>
    <row r="13" spans="1:39" x14ac:dyDescent="0.2">
      <c r="A13" s="13" t="s">
        <v>18</v>
      </c>
      <c r="B13" s="14" t="s">
        <v>19</v>
      </c>
      <c r="C13" s="15">
        <f>'[4]Team Report'!BA28</f>
        <v>78390.58</v>
      </c>
      <c r="E13" s="15">
        <f>((C13/9)*12)*1.3</f>
        <v>135877.00533333333</v>
      </c>
      <c r="H13" s="15">
        <f>((E13/$E$29)*$K$12+143684)*1.2</f>
        <v>426672.00997966097</v>
      </c>
      <c r="I13" s="7"/>
      <c r="J13" s="17"/>
      <c r="K13" s="17"/>
      <c r="L13" s="43"/>
      <c r="M13" s="8"/>
      <c r="Q13" s="15">
        <f t="shared" si="0"/>
        <v>2509.8353528215353</v>
      </c>
    </row>
    <row r="14" spans="1:39" ht="13.5" thickBot="1" x14ac:dyDescent="0.25">
      <c r="A14" s="13" t="s">
        <v>21</v>
      </c>
      <c r="B14" s="14" t="s">
        <v>22</v>
      </c>
      <c r="C14" s="15">
        <v>0</v>
      </c>
      <c r="E14" s="15">
        <f>(4000000*1.2)+222800</f>
        <v>5022800</v>
      </c>
      <c r="H14" s="15">
        <f>((E14/$E$29)*$K$12-7551171)*1.2</f>
        <v>337190.0542372886</v>
      </c>
      <c r="I14" s="22" t="s">
        <v>20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1983.4709072781682</v>
      </c>
    </row>
    <row r="15" spans="1:39" x14ac:dyDescent="0.2">
      <c r="A15" s="13" t="s">
        <v>23</v>
      </c>
      <c r="B15" s="14" t="s">
        <v>24</v>
      </c>
      <c r="C15" s="15">
        <f>'[4]Team Report'!BA33</f>
        <v>69921.63</v>
      </c>
      <c r="E15" s="15">
        <f>2087875*1.3</f>
        <v>2714237.5</v>
      </c>
      <c r="H15" s="15">
        <f>((E15/$E$29)*$K$12-3878978)*1.2</f>
        <v>424070.80677966063</v>
      </c>
      <c r="I15" s="8"/>
      <c r="J15" s="17"/>
      <c r="K15" s="17"/>
      <c r="L15" s="17"/>
      <c r="M15" s="8"/>
      <c r="Q15" s="15">
        <f t="shared" si="0"/>
        <v>2494.5341575274156</v>
      </c>
    </row>
    <row r="16" spans="1:39" x14ac:dyDescent="0.2">
      <c r="A16" s="13" t="s">
        <v>25</v>
      </c>
      <c r="B16" s="14" t="s">
        <v>26</v>
      </c>
      <c r="C16" s="15">
        <f>'[4]Team Report'!BA34</f>
        <v>0</v>
      </c>
      <c r="E16" s="15">
        <f>(C16/9)*12</f>
        <v>0</v>
      </c>
      <c r="H16" s="15">
        <f>((E16/$E$29)*$K$12)*1.2</f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x14ac:dyDescent="0.2">
      <c r="A17" s="13" t="s">
        <v>28</v>
      </c>
      <c r="B17" s="14" t="s">
        <v>29</v>
      </c>
      <c r="C17" s="15">
        <f>'[4]Team Report'!BA35</f>
        <v>0</v>
      </c>
      <c r="E17" s="15">
        <f>(C17/9)*12</f>
        <v>0</v>
      </c>
      <c r="H17" s="15">
        <f>((E17/$E$29)*$K$12)*1.2</f>
        <v>0</v>
      </c>
      <c r="I17" s="8" t="s">
        <v>27</v>
      </c>
      <c r="J17" s="25">
        <v>37500</v>
      </c>
      <c r="K17">
        <f>1+1</f>
        <v>2</v>
      </c>
      <c r="L17" s="17">
        <f t="shared" ref="L17:L28" si="1">J17*K17</f>
        <v>75000</v>
      </c>
      <c r="N17">
        <v>1.25</v>
      </c>
      <c r="Q17" s="15">
        <f t="shared" si="0"/>
        <v>0</v>
      </c>
    </row>
    <row r="18" spans="1:17" x14ac:dyDescent="0.2">
      <c r="A18" s="13" t="s">
        <v>31</v>
      </c>
      <c r="B18" s="14" t="s">
        <v>32</v>
      </c>
      <c r="C18" s="15">
        <f>'[4]Team Report'!BA36</f>
        <v>19039.670000000002</v>
      </c>
      <c r="E18" s="15">
        <f>((C18/9)*12)*1.3</f>
        <v>33002.094666666671</v>
      </c>
      <c r="H18" s="15">
        <f>((E18/$E$29)*$K$12+1401739)*1.2</f>
        <v>1743839.8720542372</v>
      </c>
      <c r="I18" t="s">
        <v>93</v>
      </c>
      <c r="J18" s="25">
        <v>52500</v>
      </c>
      <c r="K18">
        <f>1+2+1+1</f>
        <v>5</v>
      </c>
      <c r="L18" s="17">
        <f t="shared" si="1"/>
        <v>262500</v>
      </c>
      <c r="Q18" s="15">
        <f t="shared" si="0"/>
        <v>10257.881600319042</v>
      </c>
    </row>
    <row r="19" spans="1:17" x14ac:dyDescent="0.2">
      <c r="A19" s="13" t="s">
        <v>34</v>
      </c>
      <c r="B19" s="14" t="s">
        <v>35</v>
      </c>
      <c r="C19" s="15">
        <f>'[4]Team Report'!BA37</f>
        <v>17422.019999999997</v>
      </c>
      <c r="E19" s="15">
        <v>145000</v>
      </c>
      <c r="H19" s="15">
        <f>((E19/$E$29)*$K$12+84308)*1.2</f>
        <v>372491.63389830507</v>
      </c>
      <c r="I19" t="s">
        <v>33</v>
      </c>
      <c r="J19" s="25">
        <v>56250</v>
      </c>
      <c r="K19">
        <f>7+2+1+1+4+2</f>
        <v>17</v>
      </c>
      <c r="L19" s="17">
        <f t="shared" si="1"/>
        <v>956250</v>
      </c>
      <c r="Q19" s="15">
        <f t="shared" si="0"/>
        <v>2191.1272582253241</v>
      </c>
    </row>
    <row r="20" spans="1:17" x14ac:dyDescent="0.2">
      <c r="A20" s="13" t="s">
        <v>37</v>
      </c>
      <c r="B20" s="14" t="s">
        <v>38</v>
      </c>
      <c r="C20" s="15">
        <f>'[4]Team Report'!BA38</f>
        <v>0</v>
      </c>
      <c r="E20" s="15">
        <f>(C20/9)*12</f>
        <v>0</v>
      </c>
      <c r="H20" s="15">
        <f>((E20/$E$29)*$K$12)*1.2</f>
        <v>0</v>
      </c>
      <c r="I20" t="s">
        <v>45</v>
      </c>
      <c r="J20" s="25">
        <v>75000</v>
      </c>
      <c r="K20">
        <f>3+1</f>
        <v>4</v>
      </c>
      <c r="L20" s="17">
        <f t="shared" si="1"/>
        <v>300000</v>
      </c>
      <c r="Q20" s="15">
        <f t="shared" si="0"/>
        <v>0</v>
      </c>
    </row>
    <row r="21" spans="1:17" x14ac:dyDescent="0.2">
      <c r="A21" s="13" t="s">
        <v>40</v>
      </c>
      <c r="B21" s="14" t="s">
        <v>41</v>
      </c>
      <c r="C21" s="15">
        <f>'[4]Team Report'!BA42</f>
        <v>75042.680000000008</v>
      </c>
      <c r="E21" s="15">
        <f>((C21/9)*12)*1.3</f>
        <v>130073.97866666669</v>
      </c>
      <c r="H21" s="15">
        <v>0</v>
      </c>
      <c r="I21" t="s">
        <v>94</v>
      </c>
      <c r="J21" s="25">
        <v>60000</v>
      </c>
      <c r="K21">
        <f>2+12+1</f>
        <v>15</v>
      </c>
      <c r="L21" s="17">
        <f t="shared" si="1"/>
        <v>900000</v>
      </c>
      <c r="Q21" s="15">
        <f t="shared" si="0"/>
        <v>0</v>
      </c>
    </row>
    <row r="22" spans="1:17" x14ac:dyDescent="0.2">
      <c r="A22" s="13" t="s">
        <v>43</v>
      </c>
      <c r="B22" s="14" t="s">
        <v>44</v>
      </c>
      <c r="C22" s="15">
        <f>'[4]Team Report'!BA44</f>
        <v>1226.24</v>
      </c>
      <c r="E22" s="15">
        <f>((C22/9)*12)*1.3</f>
        <v>2125.4826666666668</v>
      </c>
      <c r="H22" s="15">
        <v>0</v>
      </c>
      <c r="I22" t="s">
        <v>36</v>
      </c>
      <c r="J22" s="25">
        <v>65000</v>
      </c>
      <c r="K22">
        <f>8+4+5+10+9+2+2+4+4+1</f>
        <v>49</v>
      </c>
      <c r="L22" s="17">
        <f t="shared" si="1"/>
        <v>3185000</v>
      </c>
      <c r="Q22" s="15">
        <f t="shared" si="0"/>
        <v>0</v>
      </c>
    </row>
    <row r="23" spans="1:17" x14ac:dyDescent="0.2">
      <c r="A23" s="26" t="s">
        <v>46</v>
      </c>
      <c r="B23" s="27" t="s">
        <v>47</v>
      </c>
      <c r="C23" s="28">
        <f>SUM(C8:C22)</f>
        <v>6646856.1299999999</v>
      </c>
      <c r="E23" s="28">
        <f>SUM(E8:E22)</f>
        <v>19251859.132000003</v>
      </c>
      <c r="H23" s="28">
        <f>SUM(H8:H22)</f>
        <v>20764201.889138985</v>
      </c>
      <c r="I23" t="s">
        <v>108</v>
      </c>
      <c r="J23" s="25">
        <v>82500</v>
      </c>
      <c r="K23">
        <f>10+1+13+6+6+3+7+1+2+6</f>
        <v>55</v>
      </c>
      <c r="L23" s="17">
        <f t="shared" si="1"/>
        <v>4537500</v>
      </c>
      <c r="Q23" s="28">
        <f>SUM(Q8:Q22)</f>
        <v>122142.36405375873</v>
      </c>
    </row>
    <row r="24" spans="1:17" x14ac:dyDescent="0.2">
      <c r="I24" t="s">
        <v>96</v>
      </c>
      <c r="J24" s="25">
        <v>100000</v>
      </c>
      <c r="K24">
        <f>2+1+8+6+3+1+4</f>
        <v>25</v>
      </c>
      <c r="L24" s="17">
        <f t="shared" si="1"/>
        <v>2500000</v>
      </c>
    </row>
    <row r="25" spans="1:17" x14ac:dyDescent="0.2">
      <c r="B25" s="27" t="s">
        <v>50</v>
      </c>
      <c r="C25" s="55"/>
      <c r="E25" s="55">
        <v>114</v>
      </c>
      <c r="H25" s="55">
        <v>151</v>
      </c>
      <c r="I25" t="s">
        <v>97</v>
      </c>
      <c r="J25" s="25">
        <v>145000</v>
      </c>
      <c r="K25">
        <f>1+1+1+1+2+1+2</f>
        <v>9</v>
      </c>
      <c r="L25" s="17">
        <f t="shared" si="1"/>
        <v>1305000</v>
      </c>
      <c r="Q25" s="31">
        <f>+T16+T17+T18+T19+T20+T23+T24+T25+T26+T27</f>
        <v>0</v>
      </c>
    </row>
    <row r="26" spans="1:17" x14ac:dyDescent="0.2">
      <c r="I26" t="s">
        <v>98</v>
      </c>
      <c r="J26" s="25">
        <v>175000</v>
      </c>
      <c r="K26">
        <f>1+1</f>
        <v>2</v>
      </c>
      <c r="L26" s="17">
        <f t="shared" si="1"/>
        <v>350000</v>
      </c>
      <c r="Q26" s="15"/>
    </row>
    <row r="27" spans="1:17" x14ac:dyDescent="0.2">
      <c r="B27" s="27" t="s">
        <v>67</v>
      </c>
      <c r="C27" s="55"/>
      <c r="E27" s="55">
        <v>4</v>
      </c>
      <c r="H27" s="55">
        <f>SUM(K20:K21)</f>
        <v>19</v>
      </c>
      <c r="I27" t="s">
        <v>99</v>
      </c>
      <c r="J27" s="25">
        <v>237500</v>
      </c>
      <c r="K27">
        <f>1</f>
        <v>1</v>
      </c>
      <c r="L27" s="17">
        <f t="shared" si="1"/>
        <v>237500</v>
      </c>
      <c r="Q27" s="31">
        <f>+T21+T22</f>
        <v>0</v>
      </c>
    </row>
    <row r="28" spans="1:17" x14ac:dyDescent="0.2">
      <c r="I28" t="s">
        <v>100</v>
      </c>
      <c r="J28" s="25">
        <v>312500</v>
      </c>
      <c r="K28">
        <v>0</v>
      </c>
      <c r="L28" s="17">
        <f t="shared" si="1"/>
        <v>0</v>
      </c>
    </row>
    <row r="29" spans="1:17" x14ac:dyDescent="0.2">
      <c r="B29" s="27" t="s">
        <v>55</v>
      </c>
      <c r="C29" s="55"/>
      <c r="E29" s="55">
        <f>SUM(E25:E28)</f>
        <v>118</v>
      </c>
      <c r="H29" s="55">
        <f>SUM(H25:H28)</f>
        <v>170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idden="1" x14ac:dyDescent="0.2">
      <c r="B30" s="27"/>
    </row>
    <row r="31" spans="1:17" hidden="1" x14ac:dyDescent="0.2">
      <c r="A31" s="13" t="s">
        <v>71</v>
      </c>
      <c r="B31" s="14" t="s">
        <v>72</v>
      </c>
      <c r="C31" s="15">
        <f>'[4]Team Report'!BA29</f>
        <v>0</v>
      </c>
      <c r="E31" s="15">
        <f t="shared" ref="E31:E38" si="2">(C31/9)*12</f>
        <v>0</v>
      </c>
      <c r="I31" t="s">
        <v>102</v>
      </c>
      <c r="K31" s="52"/>
      <c r="L31" s="52">
        <v>0.2</v>
      </c>
    </row>
    <row r="32" spans="1:17" hidden="1" x14ac:dyDescent="0.2">
      <c r="A32" s="13" t="s">
        <v>73</v>
      </c>
      <c r="B32" s="14" t="s">
        <v>74</v>
      </c>
      <c r="C32" s="15">
        <f>'[4]Team Report'!BA30</f>
        <v>0</v>
      </c>
      <c r="E32" s="15">
        <f t="shared" si="2"/>
        <v>0</v>
      </c>
    </row>
    <row r="33" spans="1:12" hidden="1" x14ac:dyDescent="0.2">
      <c r="A33" s="13" t="s">
        <v>75</v>
      </c>
      <c r="B33" s="14" t="s">
        <v>76</v>
      </c>
      <c r="C33" s="15">
        <f>'[4]Team Report'!BA31</f>
        <v>0</v>
      </c>
      <c r="E33" s="15">
        <f t="shared" si="2"/>
        <v>0</v>
      </c>
      <c r="L33" s="25">
        <f>L29*1.2</f>
        <v>17530500</v>
      </c>
    </row>
    <row r="34" spans="1:12" hidden="1" x14ac:dyDescent="0.2">
      <c r="A34" s="13" t="s">
        <v>77</v>
      </c>
      <c r="B34" s="14" t="s">
        <v>78</v>
      </c>
      <c r="C34" s="15">
        <f>'[4]Team Report'!BA39</f>
        <v>0</v>
      </c>
      <c r="E34" s="15">
        <f t="shared" si="2"/>
        <v>0</v>
      </c>
    </row>
    <row r="35" spans="1:12" hidden="1" x14ac:dyDescent="0.2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2"/>
        <v>32893.85333333334</v>
      </c>
    </row>
    <row r="36" spans="1:12" hidden="1" x14ac:dyDescent="0.2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2"/>
        <v>641393.90666666673</v>
      </c>
    </row>
    <row r="37" spans="1:12" hidden="1" x14ac:dyDescent="0.2">
      <c r="A37" s="13" t="s">
        <v>83</v>
      </c>
      <c r="B37" s="14" t="s">
        <v>84</v>
      </c>
      <c r="C37" s="15">
        <f>'[4]Team Report'!BA43</f>
        <v>-771915.88</v>
      </c>
      <c r="E37" s="15">
        <f t="shared" si="2"/>
        <v>-1029221.1733333333</v>
      </c>
      <c r="H37" s="33" t="s">
        <v>56</v>
      </c>
    </row>
    <row r="38" spans="1:12" hidden="1" x14ac:dyDescent="0.2">
      <c r="A38" s="13" t="s">
        <v>85</v>
      </c>
      <c r="B38" s="14" t="s">
        <v>86</v>
      </c>
      <c r="C38" s="15">
        <f>'[4]Team Report'!BA45</f>
        <v>0</v>
      </c>
      <c r="E38" s="15">
        <f t="shared" si="2"/>
        <v>0</v>
      </c>
    </row>
    <row r="39" spans="1:12" hidden="1" x14ac:dyDescent="0.2">
      <c r="A39" s="13"/>
      <c r="B39" s="14"/>
      <c r="C39" s="15"/>
      <c r="E39" s="15"/>
      <c r="H39" t="s">
        <v>134</v>
      </c>
    </row>
    <row r="40" spans="1:12" hidden="1" x14ac:dyDescent="0.2"/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6380656.0699999994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</sheetData>
  <mergeCells count="4">
    <mergeCell ref="I4:L4"/>
    <mergeCell ref="B1:H1"/>
    <mergeCell ref="B2:H2"/>
    <mergeCell ref="B3:H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AM57"/>
  <sheetViews>
    <sheetView workbookViewId="0">
      <selection activeCell="B3" sqref="B3:H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8" hidden="1" customWidth="1"/>
    <col min="6" max="6" width="2.28515625" customWidth="1"/>
    <col min="7" max="7" width="0" hidden="1" customWidth="1"/>
    <col min="8" max="8" width="17.7109375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11.28515625" hidden="1" customWidth="1"/>
    <col min="17" max="17" width="9.140625" hidden="1" customWidth="1"/>
    <col min="18" max="29" width="0" hidden="1" customWidth="1"/>
  </cols>
  <sheetData>
    <row r="1" spans="1:39" ht="18" x14ac:dyDescent="0.25">
      <c r="B1" s="140" t="str">
        <f>'[4]Team Report'!B1</f>
        <v>Enron North America</v>
      </c>
      <c r="C1" s="140"/>
      <c r="D1" s="140"/>
      <c r="E1" s="140"/>
      <c r="F1" s="140"/>
      <c r="G1" s="140"/>
      <c r="H1" s="140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25">
      <c r="B2" s="140" t="s">
        <v>313</v>
      </c>
      <c r="C2" s="140"/>
      <c r="D2" s="140"/>
      <c r="E2" s="140"/>
      <c r="F2" s="140"/>
      <c r="G2" s="140"/>
      <c r="H2" s="140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25">
      <c r="B3" s="141" t="s">
        <v>0</v>
      </c>
      <c r="C3" s="141"/>
      <c r="D3" s="141"/>
      <c r="E3" s="141"/>
      <c r="F3" s="141"/>
      <c r="G3" s="141"/>
      <c r="H3" s="141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5" thickBot="1" x14ac:dyDescent="0.25">
      <c r="I4" s="145" t="s">
        <v>173</v>
      </c>
      <c r="J4" s="145"/>
      <c r="K4" s="145"/>
      <c r="L4" s="145"/>
    </row>
    <row r="5" spans="1:39" x14ac:dyDescent="0.2">
      <c r="I5" s="4"/>
      <c r="J5" s="40"/>
      <c r="K5" s="40"/>
      <c r="L5" s="41"/>
      <c r="M5" s="8"/>
    </row>
    <row r="6" spans="1:39" x14ac:dyDescent="0.2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x14ac:dyDescent="0.2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x14ac:dyDescent="0.2">
      <c r="A8" s="13" t="s">
        <v>9</v>
      </c>
      <c r="B8" s="14" t="s">
        <v>10</v>
      </c>
      <c r="C8" s="53">
        <f>'[4]Team Report'!BA25</f>
        <v>4985502.2300000004</v>
      </c>
      <c r="E8" s="15">
        <f>((C8/9)*12)*1.3</f>
        <v>8641537.1986666676</v>
      </c>
      <c r="H8" s="15">
        <f>+([24]EOPs!H8)/170*$H$29</f>
        <v>2724807.2738823527</v>
      </c>
      <c r="I8" s="7"/>
      <c r="J8" s="17"/>
      <c r="K8" s="17"/>
      <c r="L8" s="43"/>
      <c r="M8" s="8"/>
      <c r="Q8" s="15">
        <f t="shared" ref="Q8:Q22" si="0">+H8/$H$29*$Q$29</f>
        <v>69866.853176470584</v>
      </c>
    </row>
    <row r="9" spans="1:39" hidden="1" x14ac:dyDescent="0.2">
      <c r="A9" s="13"/>
      <c r="B9" s="14" t="s">
        <v>11</v>
      </c>
      <c r="C9" s="15">
        <v>0</v>
      </c>
      <c r="E9" s="15">
        <f>(C9/9)*12</f>
        <v>0</v>
      </c>
      <c r="H9" s="15">
        <f>+([24]EOPs!H9)/170*$H$29</f>
        <v>0</v>
      </c>
      <c r="I9" s="7" t="s">
        <v>10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si="0"/>
        <v>0</v>
      </c>
    </row>
    <row r="10" spans="1:39" x14ac:dyDescent="0.2">
      <c r="A10" s="13"/>
      <c r="B10" s="14" t="s">
        <v>122</v>
      </c>
      <c r="C10" s="15">
        <v>0</v>
      </c>
      <c r="E10" s="15">
        <f>(C10/9)*12</f>
        <v>0</v>
      </c>
      <c r="H10" s="15">
        <f>+([24]EOPs!H10)/170*$H$29</f>
        <v>493112.054117647</v>
      </c>
      <c r="I10" s="7"/>
      <c r="J10" s="17"/>
      <c r="K10" s="17"/>
      <c r="L10" s="43"/>
      <c r="M10" s="8"/>
      <c r="Q10" s="15">
        <f t="shared" si="0"/>
        <v>12643.898823529411</v>
      </c>
    </row>
    <row r="11" spans="1:39" x14ac:dyDescent="0.2">
      <c r="A11" s="13" t="s">
        <v>13</v>
      </c>
      <c r="B11" s="14" t="s">
        <v>14</v>
      </c>
      <c r="C11" s="15">
        <f>'[4]Team Report'!BA26</f>
        <v>1210281.1100000001</v>
      </c>
      <c r="E11" s="15">
        <f>((C11/9)*12)*1.3</f>
        <v>2097820.5906666671</v>
      </c>
      <c r="H11" s="15">
        <f>+([24]EOPs!H11)/170*$H$29</f>
        <v>700185.81176470593</v>
      </c>
      <c r="I11" s="7"/>
      <c r="J11" s="17"/>
      <c r="K11" s="17"/>
      <c r="L11" s="43"/>
      <c r="M11" s="8"/>
      <c r="Q11" s="15">
        <f t="shared" si="0"/>
        <v>17953.482352941177</v>
      </c>
    </row>
    <row r="12" spans="1:39" x14ac:dyDescent="0.2">
      <c r="A12" s="13" t="s">
        <v>16</v>
      </c>
      <c r="B12" s="14" t="s">
        <v>17</v>
      </c>
      <c r="C12" s="15">
        <f>'[4]Team Report'!BA27</f>
        <v>190029.97</v>
      </c>
      <c r="E12" s="15">
        <f>((C12/9)*12)*1.3</f>
        <v>329385.28133333335</v>
      </c>
      <c r="H12" s="15">
        <f>+([24]EOPs!H12)/170*$H$29</f>
        <v>83968.760090608179</v>
      </c>
      <c r="I12" s="7" t="s">
        <v>15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2153.045130528415</v>
      </c>
    </row>
    <row r="13" spans="1:39" x14ac:dyDescent="0.2">
      <c r="A13" s="13" t="s">
        <v>18</v>
      </c>
      <c r="B13" s="14" t="s">
        <v>19</v>
      </c>
      <c r="C13" s="15">
        <f>'[4]Team Report'!BA28</f>
        <v>78390.58</v>
      </c>
      <c r="E13" s="15">
        <f>((C13/9)*12)*1.3</f>
        <v>135877.00533333333</v>
      </c>
      <c r="H13" s="15">
        <f>+([24]EOPs!H13)/170*$H$29</f>
        <v>97883.578760039876</v>
      </c>
      <c r="I13" s="7"/>
      <c r="J13" s="17"/>
      <c r="K13" s="17"/>
      <c r="L13" s="43"/>
      <c r="M13" s="8"/>
      <c r="Q13" s="15">
        <f t="shared" si="0"/>
        <v>2509.8353528215353</v>
      </c>
    </row>
    <row r="14" spans="1:39" ht="13.5" thickBot="1" x14ac:dyDescent="0.25">
      <c r="A14" s="13" t="s">
        <v>21</v>
      </c>
      <c r="B14" s="14" t="s">
        <v>22</v>
      </c>
      <c r="C14" s="15">
        <v>0</v>
      </c>
      <c r="E14" s="15">
        <f>(4000000*1.2)+222800</f>
        <v>5022800</v>
      </c>
      <c r="H14" s="15">
        <f>+([24]EOPs!H14)/170*$H$29</f>
        <v>77355.365383848562</v>
      </c>
      <c r="I14" s="22" t="s">
        <v>20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1983.4709072781682</v>
      </c>
    </row>
    <row r="15" spans="1:39" x14ac:dyDescent="0.2">
      <c r="A15" s="13" t="s">
        <v>23</v>
      </c>
      <c r="B15" s="14" t="s">
        <v>24</v>
      </c>
      <c r="C15" s="15">
        <f>'[4]Team Report'!BA33</f>
        <v>69921.63</v>
      </c>
      <c r="E15" s="15">
        <f>2087875*1.3</f>
        <v>2714237.5</v>
      </c>
      <c r="H15" s="15">
        <f>+([24]EOPs!H15)/170*$H$29</f>
        <v>97286.832143569205</v>
      </c>
      <c r="I15" s="8"/>
      <c r="J15" s="17"/>
      <c r="K15" s="17"/>
      <c r="L15" s="17"/>
      <c r="M15" s="8"/>
      <c r="Q15" s="15">
        <f t="shared" si="0"/>
        <v>2494.5341575274156</v>
      </c>
    </row>
    <row r="16" spans="1:39" x14ac:dyDescent="0.2">
      <c r="A16" s="13" t="s">
        <v>25</v>
      </c>
      <c r="B16" s="14" t="s">
        <v>26</v>
      </c>
      <c r="C16" s="15">
        <f>'[4]Team Report'!BA34</f>
        <v>0</v>
      </c>
      <c r="E16" s="15">
        <f>(C16/9)*12</f>
        <v>0</v>
      </c>
      <c r="H16" s="15">
        <f>+([24]EOPs!H16)/170*$H$29</f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x14ac:dyDescent="0.2">
      <c r="A17" s="13" t="s">
        <v>28</v>
      </c>
      <c r="B17" s="14" t="s">
        <v>29</v>
      </c>
      <c r="C17" s="15">
        <f>'[4]Team Report'!BA35</f>
        <v>0</v>
      </c>
      <c r="E17" s="15">
        <f>(C17/9)*12</f>
        <v>0</v>
      </c>
      <c r="H17" s="15">
        <f>+([24]EOPs!H17)/170*$H$29</f>
        <v>0</v>
      </c>
      <c r="I17" s="8" t="s">
        <v>27</v>
      </c>
      <c r="J17" s="25">
        <v>37500</v>
      </c>
      <c r="K17">
        <f>1+1</f>
        <v>2</v>
      </c>
      <c r="L17" s="17">
        <f t="shared" ref="L17:L28" si="1">J17*K17</f>
        <v>75000</v>
      </c>
      <c r="N17">
        <v>1.25</v>
      </c>
      <c r="Q17" s="15">
        <f t="shared" si="0"/>
        <v>0</v>
      </c>
    </row>
    <row r="18" spans="1:17" x14ac:dyDescent="0.2">
      <c r="A18" s="13" t="s">
        <v>31</v>
      </c>
      <c r="B18" s="14" t="s">
        <v>32</v>
      </c>
      <c r="C18" s="15">
        <f>'[4]Team Report'!BA36</f>
        <v>19039.670000000002</v>
      </c>
      <c r="E18" s="15">
        <f>((C18/9)*12)*1.3</f>
        <v>33002.094666666671</v>
      </c>
      <c r="H18" s="15">
        <f>+([24]EOPs!H18)/170*$H$29</f>
        <v>400057.38241244265</v>
      </c>
      <c r="I18" t="s">
        <v>93</v>
      </c>
      <c r="J18" s="25">
        <v>52500</v>
      </c>
      <c r="K18">
        <f>1+2+1+1</f>
        <v>5</v>
      </c>
      <c r="L18" s="17">
        <f t="shared" si="1"/>
        <v>262500</v>
      </c>
      <c r="Q18" s="15">
        <f t="shared" si="0"/>
        <v>10257.881600319042</v>
      </c>
    </row>
    <row r="19" spans="1:17" x14ac:dyDescent="0.2">
      <c r="A19" s="13" t="s">
        <v>34</v>
      </c>
      <c r="B19" s="14" t="s">
        <v>35</v>
      </c>
      <c r="C19" s="15">
        <f>'[4]Team Report'!BA37</f>
        <v>17422.019999999997</v>
      </c>
      <c r="E19" s="15">
        <v>145000</v>
      </c>
      <c r="H19" s="15">
        <f>+([24]EOPs!H19)/170*$H$29</f>
        <v>85453.963070787635</v>
      </c>
      <c r="I19" t="s">
        <v>33</v>
      </c>
      <c r="J19" s="25">
        <v>56250</v>
      </c>
      <c r="K19">
        <f>7+2+1+1+4+2</f>
        <v>17</v>
      </c>
      <c r="L19" s="17">
        <f t="shared" si="1"/>
        <v>956250</v>
      </c>
      <c r="Q19" s="15">
        <f t="shared" si="0"/>
        <v>2191.1272582253241</v>
      </c>
    </row>
    <row r="20" spans="1:17" x14ac:dyDescent="0.2">
      <c r="A20" s="13" t="s">
        <v>37</v>
      </c>
      <c r="B20" s="14" t="s">
        <v>38</v>
      </c>
      <c r="C20" s="15">
        <f>'[4]Team Report'!BA38</f>
        <v>0</v>
      </c>
      <c r="E20" s="15">
        <f>(C20/9)*12</f>
        <v>0</v>
      </c>
      <c r="H20" s="15">
        <f>+([24]EOPs!H20)/170*$H$29</f>
        <v>0</v>
      </c>
      <c r="I20" t="s">
        <v>45</v>
      </c>
      <c r="J20" s="25">
        <v>75000</v>
      </c>
      <c r="K20">
        <f>3+1</f>
        <v>4</v>
      </c>
      <c r="L20" s="17">
        <f t="shared" si="1"/>
        <v>300000</v>
      </c>
      <c r="Q20" s="15">
        <f t="shared" si="0"/>
        <v>0</v>
      </c>
    </row>
    <row r="21" spans="1:17" x14ac:dyDescent="0.2">
      <c r="A21" s="13" t="s">
        <v>40</v>
      </c>
      <c r="B21" s="14" t="s">
        <v>41</v>
      </c>
      <c r="C21" s="15">
        <f>'[4]Team Report'!BA42</f>
        <v>75042.680000000008</v>
      </c>
      <c r="E21" s="15">
        <f>((C21/9)*12)*1.3</f>
        <v>130073.97866666669</v>
      </c>
      <c r="H21" s="15">
        <f>+([24]EOPs!H21)/170*$H$29</f>
        <v>0</v>
      </c>
      <c r="I21" t="s">
        <v>94</v>
      </c>
      <c r="J21" s="25">
        <v>60000</v>
      </c>
      <c r="K21">
        <f>2+12+1</f>
        <v>15</v>
      </c>
      <c r="L21" s="17">
        <f t="shared" si="1"/>
        <v>900000</v>
      </c>
      <c r="Q21" s="15">
        <f t="shared" si="0"/>
        <v>0</v>
      </c>
    </row>
    <row r="22" spans="1:17" x14ac:dyDescent="0.2">
      <c r="A22" s="13" t="s">
        <v>43</v>
      </c>
      <c r="B22" s="14" t="s">
        <v>44</v>
      </c>
      <c r="C22" s="15">
        <f>'[4]Team Report'!BA44</f>
        <v>1226.24</v>
      </c>
      <c r="E22" s="15">
        <f>((C22/9)*12)*1.3</f>
        <v>2125.4826666666668</v>
      </c>
      <c r="H22" s="15">
        <f>+([24]EOPs!H22)/170*$H$29</f>
        <v>0</v>
      </c>
      <c r="I22" t="s">
        <v>36</v>
      </c>
      <c r="J22" s="25">
        <v>65000</v>
      </c>
      <c r="K22">
        <f>8+4+5+10+9+2+2+4+4+1</f>
        <v>49</v>
      </c>
      <c r="L22" s="17">
        <f t="shared" si="1"/>
        <v>3185000</v>
      </c>
      <c r="Q22" s="15">
        <f t="shared" si="0"/>
        <v>0</v>
      </c>
    </row>
    <row r="23" spans="1:17" x14ac:dyDescent="0.2">
      <c r="A23" s="26" t="s">
        <v>46</v>
      </c>
      <c r="B23" s="27" t="s">
        <v>47</v>
      </c>
      <c r="C23" s="28">
        <f>SUM(C8:C22)</f>
        <v>6646856.1299999999</v>
      </c>
      <c r="E23" s="28">
        <f>SUM(E8:E22)</f>
        <v>19251859.132000003</v>
      </c>
      <c r="H23" s="28">
        <f>SUM(H8:H22)</f>
        <v>4760111.0216260022</v>
      </c>
      <c r="I23" t="s">
        <v>108</v>
      </c>
      <c r="J23" s="25">
        <v>82500</v>
      </c>
      <c r="K23">
        <f>10+1+13+6+6+3+7+1+2+6</f>
        <v>55</v>
      </c>
      <c r="L23" s="17">
        <f t="shared" si="1"/>
        <v>4537500</v>
      </c>
      <c r="Q23" s="28">
        <f>SUM(Q8:Q22)</f>
        <v>122054.12875964108</v>
      </c>
    </row>
    <row r="24" spans="1:17" x14ac:dyDescent="0.2">
      <c r="I24" t="s">
        <v>96</v>
      </c>
      <c r="J24" s="25">
        <v>100000</v>
      </c>
      <c r="K24">
        <f>2+1+8+6+3+1+4</f>
        <v>25</v>
      </c>
      <c r="L24" s="17">
        <f t="shared" si="1"/>
        <v>2500000</v>
      </c>
    </row>
    <row r="25" spans="1:17" x14ac:dyDescent="0.2">
      <c r="B25" s="27" t="s">
        <v>50</v>
      </c>
      <c r="C25" s="55"/>
      <c r="E25" s="55">
        <v>114</v>
      </c>
      <c r="H25" s="55">
        <v>0</v>
      </c>
      <c r="I25" t="s">
        <v>97</v>
      </c>
      <c r="J25" s="25">
        <v>145000</v>
      </c>
      <c r="K25">
        <f>1+1+1+1+2+1+2</f>
        <v>9</v>
      </c>
      <c r="L25" s="17">
        <f t="shared" si="1"/>
        <v>1305000</v>
      </c>
      <c r="Q25" s="31">
        <f>+T16+T17+T18+T19+T20+T23+T24+T25+T26+T27</f>
        <v>0</v>
      </c>
    </row>
    <row r="26" spans="1:17" x14ac:dyDescent="0.2">
      <c r="I26" t="s">
        <v>98</v>
      </c>
      <c r="J26" s="25">
        <v>175000</v>
      </c>
      <c r="K26">
        <f>1+1</f>
        <v>2</v>
      </c>
      <c r="L26" s="17">
        <f t="shared" si="1"/>
        <v>350000</v>
      </c>
      <c r="Q26" s="15"/>
    </row>
    <row r="27" spans="1:17" x14ac:dyDescent="0.2">
      <c r="B27" s="27" t="s">
        <v>67</v>
      </c>
      <c r="C27" s="55"/>
      <c r="E27" s="55">
        <v>4</v>
      </c>
      <c r="H27" s="55">
        <v>0</v>
      </c>
      <c r="I27" t="s">
        <v>99</v>
      </c>
      <c r="J27" s="25">
        <v>237500</v>
      </c>
      <c r="K27">
        <f>1</f>
        <v>1</v>
      </c>
      <c r="L27" s="17">
        <f t="shared" si="1"/>
        <v>237500</v>
      </c>
      <c r="Q27" s="31">
        <f>+T21+T22</f>
        <v>0</v>
      </c>
    </row>
    <row r="28" spans="1:17" x14ac:dyDescent="0.2">
      <c r="I28" t="s">
        <v>100</v>
      </c>
      <c r="J28" s="25">
        <v>312500</v>
      </c>
      <c r="K28">
        <v>0</v>
      </c>
      <c r="L28" s="17">
        <f t="shared" si="1"/>
        <v>0</v>
      </c>
    </row>
    <row r="29" spans="1:17" x14ac:dyDescent="0.2">
      <c r="B29" s="27" t="s">
        <v>55</v>
      </c>
      <c r="C29" s="55"/>
      <c r="E29" s="55">
        <f>SUM(E25:E28)</f>
        <v>118</v>
      </c>
      <c r="H29" s="55">
        <v>39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idden="1" x14ac:dyDescent="0.2">
      <c r="B30" s="27"/>
    </row>
    <row r="31" spans="1:17" hidden="1" x14ac:dyDescent="0.2">
      <c r="A31" s="13" t="s">
        <v>71</v>
      </c>
      <c r="B31" s="14" t="s">
        <v>72</v>
      </c>
      <c r="C31" s="15">
        <f>'[4]Team Report'!BA29</f>
        <v>0</v>
      </c>
      <c r="E31" s="15">
        <f t="shared" ref="E31:E38" si="2">(C31/9)*12</f>
        <v>0</v>
      </c>
      <c r="I31" t="s">
        <v>102</v>
      </c>
      <c r="K31" s="52"/>
      <c r="L31" s="52">
        <v>0.2</v>
      </c>
    </row>
    <row r="32" spans="1:17" hidden="1" x14ac:dyDescent="0.2">
      <c r="A32" s="13" t="s">
        <v>73</v>
      </c>
      <c r="B32" s="14" t="s">
        <v>74</v>
      </c>
      <c r="C32" s="15">
        <f>'[4]Team Report'!BA30</f>
        <v>0</v>
      </c>
      <c r="E32" s="15">
        <f t="shared" si="2"/>
        <v>0</v>
      </c>
    </row>
    <row r="33" spans="1:12" hidden="1" x14ac:dyDescent="0.2">
      <c r="A33" s="13" t="s">
        <v>75</v>
      </c>
      <c r="B33" s="14" t="s">
        <v>76</v>
      </c>
      <c r="C33" s="15">
        <f>'[4]Team Report'!BA31</f>
        <v>0</v>
      </c>
      <c r="E33" s="15">
        <f t="shared" si="2"/>
        <v>0</v>
      </c>
      <c r="L33" s="25">
        <f>L29*1.2</f>
        <v>17530500</v>
      </c>
    </row>
    <row r="34" spans="1:12" hidden="1" x14ac:dyDescent="0.2">
      <c r="A34" s="13" t="s">
        <v>77</v>
      </c>
      <c r="B34" s="14" t="s">
        <v>78</v>
      </c>
      <c r="C34" s="15">
        <f>'[4]Team Report'!BA39</f>
        <v>0</v>
      </c>
      <c r="E34" s="15">
        <f t="shared" si="2"/>
        <v>0</v>
      </c>
    </row>
    <row r="35" spans="1:12" hidden="1" x14ac:dyDescent="0.2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2"/>
        <v>32893.85333333334</v>
      </c>
    </row>
    <row r="36" spans="1:12" hidden="1" x14ac:dyDescent="0.2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2"/>
        <v>641393.90666666673</v>
      </c>
    </row>
    <row r="37" spans="1:12" hidden="1" x14ac:dyDescent="0.2">
      <c r="A37" s="13" t="s">
        <v>83</v>
      </c>
      <c r="B37" s="14" t="s">
        <v>84</v>
      </c>
      <c r="C37" s="15">
        <f>'[4]Team Report'!BA43</f>
        <v>-771915.88</v>
      </c>
      <c r="E37" s="15">
        <f t="shared" si="2"/>
        <v>-1029221.1733333333</v>
      </c>
      <c r="H37" s="33" t="s">
        <v>56</v>
      </c>
    </row>
    <row r="38" spans="1:12" hidden="1" x14ac:dyDescent="0.2">
      <c r="A38" s="13" t="s">
        <v>85</v>
      </c>
      <c r="B38" s="14" t="s">
        <v>86</v>
      </c>
      <c r="C38" s="15">
        <f>'[4]Team Report'!BA45</f>
        <v>0</v>
      </c>
      <c r="E38" s="15">
        <f t="shared" si="2"/>
        <v>0</v>
      </c>
    </row>
    <row r="39" spans="1:12" hidden="1" x14ac:dyDescent="0.2">
      <c r="A39" s="13"/>
      <c r="B39" s="14"/>
      <c r="C39" s="15"/>
      <c r="E39" s="15"/>
      <c r="H39" t="s">
        <v>134</v>
      </c>
    </row>
    <row r="40" spans="1:12" hidden="1" x14ac:dyDescent="0.2"/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6380656.0699999994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AM57"/>
  <sheetViews>
    <sheetView workbookViewId="0">
      <selection activeCell="B3" sqref="B3:H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8" hidden="1" customWidth="1"/>
    <col min="6" max="6" width="2.28515625" customWidth="1"/>
    <col min="7" max="7" width="0" hidden="1" customWidth="1"/>
    <col min="8" max="8" width="17.7109375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11.28515625" hidden="1" customWidth="1"/>
    <col min="17" max="17" width="9.140625" hidden="1" customWidth="1"/>
    <col min="18" max="29" width="0" hidden="1" customWidth="1"/>
  </cols>
  <sheetData>
    <row r="1" spans="1:39" ht="18" x14ac:dyDescent="0.25">
      <c r="B1" s="140" t="str">
        <f>'[4]Team Report'!B1</f>
        <v>Enron North America</v>
      </c>
      <c r="C1" s="140"/>
      <c r="D1" s="140"/>
      <c r="E1" s="140"/>
      <c r="F1" s="140"/>
      <c r="G1" s="140"/>
      <c r="H1" s="140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25">
      <c r="B2" s="140" t="s">
        <v>157</v>
      </c>
      <c r="C2" s="140"/>
      <c r="D2" s="140"/>
      <c r="E2" s="140"/>
      <c r="F2" s="140"/>
      <c r="G2" s="140"/>
      <c r="H2" s="140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25">
      <c r="B3" s="141" t="s">
        <v>0</v>
      </c>
      <c r="C3" s="141"/>
      <c r="D3" s="141"/>
      <c r="E3" s="141"/>
      <c r="F3" s="141"/>
      <c r="G3" s="141"/>
      <c r="H3" s="141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5" thickBot="1" x14ac:dyDescent="0.25">
      <c r="I4" s="145" t="s">
        <v>173</v>
      </c>
      <c r="J4" s="145"/>
      <c r="K4" s="145"/>
      <c r="L4" s="145"/>
    </row>
    <row r="5" spans="1:39" x14ac:dyDescent="0.2">
      <c r="I5" s="4"/>
      <c r="J5" s="40"/>
      <c r="K5" s="40"/>
      <c r="L5" s="41"/>
      <c r="M5" s="8"/>
    </row>
    <row r="6" spans="1:39" x14ac:dyDescent="0.2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x14ac:dyDescent="0.2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x14ac:dyDescent="0.2">
      <c r="A8" s="13" t="s">
        <v>9</v>
      </c>
      <c r="B8" s="14" t="s">
        <v>10</v>
      </c>
      <c r="C8" s="53">
        <f>'[4]Team Report'!BA25</f>
        <v>4985502.2300000004</v>
      </c>
      <c r="E8" s="15">
        <f>((C8/9)*12)*1.3</f>
        <v>8641537.1986666676</v>
      </c>
      <c r="H8" s="15">
        <f>+([24]EOPs!H8)/170*$H$29</f>
        <v>489067.97223529406</v>
      </c>
      <c r="I8" s="7"/>
      <c r="J8" s="17"/>
      <c r="K8" s="17"/>
      <c r="L8" s="43"/>
      <c r="M8" s="8"/>
      <c r="Q8" s="15">
        <f t="shared" ref="Q8:Q22" si="0">+H8/$H$29*$Q$29</f>
        <v>69866.853176470584</v>
      </c>
    </row>
    <row r="9" spans="1:39" hidden="1" x14ac:dyDescent="0.2">
      <c r="A9" s="13"/>
      <c r="B9" s="14" t="s">
        <v>11</v>
      </c>
      <c r="C9" s="15">
        <v>0</v>
      </c>
      <c r="E9" s="15">
        <f>(C9/9)*12</f>
        <v>0</v>
      </c>
      <c r="H9" s="15">
        <f>+([24]EOPs!H9)/170*$H$29</f>
        <v>0</v>
      </c>
      <c r="I9" s="7" t="s">
        <v>10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si="0"/>
        <v>0</v>
      </c>
    </row>
    <row r="10" spans="1:39" x14ac:dyDescent="0.2">
      <c r="A10" s="13"/>
      <c r="B10" s="14" t="s">
        <v>122</v>
      </c>
      <c r="C10" s="15">
        <v>0</v>
      </c>
      <c r="E10" s="15">
        <f>(C10/9)*12</f>
        <v>0</v>
      </c>
      <c r="H10" s="15">
        <f>+([24]EOPs!H10)/170*$H$29</f>
        <v>88507.291764705878</v>
      </c>
      <c r="I10" s="7"/>
      <c r="J10" s="17"/>
      <c r="K10" s="17"/>
      <c r="L10" s="43"/>
      <c r="M10" s="8"/>
      <c r="Q10" s="15">
        <f t="shared" si="0"/>
        <v>12643.898823529411</v>
      </c>
    </row>
    <row r="11" spans="1:39" x14ac:dyDescent="0.2">
      <c r="A11" s="13" t="s">
        <v>13</v>
      </c>
      <c r="B11" s="14" t="s">
        <v>14</v>
      </c>
      <c r="C11" s="15">
        <f>'[4]Team Report'!BA26</f>
        <v>1210281.1100000001</v>
      </c>
      <c r="E11" s="15">
        <f>((C11/9)*12)*1.3</f>
        <v>2097820.5906666671</v>
      </c>
      <c r="H11" s="15">
        <f>+([24]EOPs!H11)/170*$H$29</f>
        <v>125674.37647058823</v>
      </c>
      <c r="I11" s="7"/>
      <c r="J11" s="17"/>
      <c r="K11" s="17"/>
      <c r="L11" s="43"/>
      <c r="M11" s="8"/>
      <c r="Q11" s="15">
        <f t="shared" si="0"/>
        <v>17953.482352941177</v>
      </c>
    </row>
    <row r="12" spans="1:39" x14ac:dyDescent="0.2">
      <c r="A12" s="13" t="s">
        <v>16</v>
      </c>
      <c r="B12" s="14" t="s">
        <v>17</v>
      </c>
      <c r="C12" s="15">
        <f>'[4]Team Report'!BA27</f>
        <v>190029.97</v>
      </c>
      <c r="E12" s="15">
        <f>((C12/9)*12)*1.3</f>
        <v>329385.28133333335</v>
      </c>
      <c r="H12" s="15">
        <f>+([24]EOPs!H12)/170*$H$29</f>
        <v>15071.315913698905</v>
      </c>
      <c r="I12" s="7" t="s">
        <v>15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2153.045130528415</v>
      </c>
    </row>
    <row r="13" spans="1:39" x14ac:dyDescent="0.2">
      <c r="A13" s="13" t="s">
        <v>18</v>
      </c>
      <c r="B13" s="14" t="s">
        <v>19</v>
      </c>
      <c r="C13" s="15">
        <f>'[4]Team Report'!BA28</f>
        <v>78390.58</v>
      </c>
      <c r="E13" s="15">
        <f>((C13/9)*12)*1.3</f>
        <v>135877.00533333333</v>
      </c>
      <c r="H13" s="15">
        <f>+([24]EOPs!H13)/170*$H$29</f>
        <v>17568.847469750748</v>
      </c>
      <c r="I13" s="7"/>
      <c r="J13" s="17"/>
      <c r="K13" s="17"/>
      <c r="L13" s="43"/>
      <c r="M13" s="8"/>
      <c r="Q13" s="15">
        <f t="shared" si="0"/>
        <v>2509.8353528215353</v>
      </c>
    </row>
    <row r="14" spans="1:39" ht="13.5" thickBot="1" x14ac:dyDescent="0.25">
      <c r="A14" s="13" t="s">
        <v>21</v>
      </c>
      <c r="B14" s="14" t="s">
        <v>22</v>
      </c>
      <c r="C14" s="15">
        <v>0</v>
      </c>
      <c r="E14" s="15">
        <f>(4000000*1.2)+222800</f>
        <v>5022800</v>
      </c>
      <c r="H14" s="15">
        <f>+([24]EOPs!H14)/170*$H$29</f>
        <v>13884.296350947177</v>
      </c>
      <c r="I14" s="22" t="s">
        <v>20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1983.4709072781682</v>
      </c>
    </row>
    <row r="15" spans="1:39" x14ac:dyDescent="0.2">
      <c r="A15" s="13" t="s">
        <v>23</v>
      </c>
      <c r="B15" s="14" t="s">
        <v>24</v>
      </c>
      <c r="C15" s="15">
        <f>'[4]Team Report'!BA33</f>
        <v>69921.63</v>
      </c>
      <c r="E15" s="15">
        <f>2087875*1.3</f>
        <v>2714237.5</v>
      </c>
      <c r="H15" s="15">
        <f>+([24]EOPs!H15)/170*$H$29</f>
        <v>17461.73910269191</v>
      </c>
      <c r="I15" s="8"/>
      <c r="J15" s="17"/>
      <c r="K15" s="17"/>
      <c r="L15" s="17"/>
      <c r="M15" s="8"/>
      <c r="Q15" s="15">
        <f t="shared" si="0"/>
        <v>2494.5341575274156</v>
      </c>
    </row>
    <row r="16" spans="1:39" x14ac:dyDescent="0.2">
      <c r="A16" s="13" t="s">
        <v>25</v>
      </c>
      <c r="B16" s="14" t="s">
        <v>26</v>
      </c>
      <c r="C16" s="15">
        <f>'[4]Team Report'!BA34</f>
        <v>0</v>
      </c>
      <c r="E16" s="15">
        <f>(C16/9)*12</f>
        <v>0</v>
      </c>
      <c r="H16" s="15">
        <f>+([24]EOPs!H16)/170*$H$29</f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x14ac:dyDescent="0.2">
      <c r="A17" s="13" t="s">
        <v>28</v>
      </c>
      <c r="B17" s="14" t="s">
        <v>29</v>
      </c>
      <c r="C17" s="15">
        <f>'[4]Team Report'!BA35</f>
        <v>0</v>
      </c>
      <c r="E17" s="15">
        <f>(C17/9)*12</f>
        <v>0</v>
      </c>
      <c r="H17" s="15">
        <f>+([24]EOPs!H17)/170*$H$29</f>
        <v>0</v>
      </c>
      <c r="I17" s="8" t="s">
        <v>27</v>
      </c>
      <c r="J17" s="25">
        <v>37500</v>
      </c>
      <c r="K17">
        <f>1+1</f>
        <v>2</v>
      </c>
      <c r="L17" s="17">
        <f t="shared" ref="L17:L28" si="1">J17*K17</f>
        <v>75000</v>
      </c>
      <c r="N17">
        <v>1.25</v>
      </c>
      <c r="Q17" s="15">
        <f t="shared" si="0"/>
        <v>0</v>
      </c>
    </row>
    <row r="18" spans="1:17" x14ac:dyDescent="0.2">
      <c r="A18" s="13" t="s">
        <v>31</v>
      </c>
      <c r="B18" s="14" t="s">
        <v>32</v>
      </c>
      <c r="C18" s="15">
        <f>'[4]Team Report'!BA36</f>
        <v>19039.670000000002</v>
      </c>
      <c r="E18" s="15">
        <f>((C18/9)*12)*1.3</f>
        <v>33002.094666666671</v>
      </c>
      <c r="H18" s="15">
        <f>+([24]EOPs!H18)/170*$H$29</f>
        <v>71805.171202233294</v>
      </c>
      <c r="I18" t="s">
        <v>93</v>
      </c>
      <c r="J18" s="25">
        <v>52500</v>
      </c>
      <c r="K18">
        <f>1+2+1+1</f>
        <v>5</v>
      </c>
      <c r="L18" s="17">
        <f t="shared" si="1"/>
        <v>262500</v>
      </c>
      <c r="Q18" s="15">
        <f t="shared" si="0"/>
        <v>10257.881600319042</v>
      </c>
    </row>
    <row r="19" spans="1:17" x14ac:dyDescent="0.2">
      <c r="A19" s="13" t="s">
        <v>34</v>
      </c>
      <c r="B19" s="14" t="s">
        <v>35</v>
      </c>
      <c r="C19" s="15">
        <f>'[4]Team Report'!BA37</f>
        <v>17422.019999999997</v>
      </c>
      <c r="E19" s="15">
        <v>145000</v>
      </c>
      <c r="H19" s="15">
        <f>+([24]EOPs!H19)/170*$H$29</f>
        <v>15337.890807577269</v>
      </c>
      <c r="I19" t="s">
        <v>33</v>
      </c>
      <c r="J19" s="25">
        <v>56250</v>
      </c>
      <c r="K19">
        <f>7+2+1+1+4+2</f>
        <v>17</v>
      </c>
      <c r="L19" s="17">
        <f t="shared" si="1"/>
        <v>956250</v>
      </c>
      <c r="Q19" s="15">
        <f t="shared" si="0"/>
        <v>2191.1272582253241</v>
      </c>
    </row>
    <row r="20" spans="1:17" x14ac:dyDescent="0.2">
      <c r="A20" s="13" t="s">
        <v>37</v>
      </c>
      <c r="B20" s="14" t="s">
        <v>38</v>
      </c>
      <c r="C20" s="15">
        <f>'[4]Team Report'!BA38</f>
        <v>0</v>
      </c>
      <c r="E20" s="15">
        <f>(C20/9)*12</f>
        <v>0</v>
      </c>
      <c r="H20" s="15">
        <f>+([24]EOPs!H20)/170*$H$29</f>
        <v>0</v>
      </c>
      <c r="I20" t="s">
        <v>45</v>
      </c>
      <c r="J20" s="25">
        <v>75000</v>
      </c>
      <c r="K20">
        <f>3+1</f>
        <v>4</v>
      </c>
      <c r="L20" s="17">
        <f t="shared" si="1"/>
        <v>300000</v>
      </c>
      <c r="Q20" s="15">
        <f t="shared" si="0"/>
        <v>0</v>
      </c>
    </row>
    <row r="21" spans="1:17" x14ac:dyDescent="0.2">
      <c r="A21" s="13" t="s">
        <v>40</v>
      </c>
      <c r="B21" s="14" t="s">
        <v>41</v>
      </c>
      <c r="C21" s="15">
        <f>'[4]Team Report'!BA42</f>
        <v>75042.680000000008</v>
      </c>
      <c r="E21" s="15">
        <f>((C21/9)*12)*1.3</f>
        <v>130073.97866666669</v>
      </c>
      <c r="H21" s="15">
        <f>+([24]EOPs!H21)/170*$H$29</f>
        <v>0</v>
      </c>
      <c r="I21" t="s">
        <v>94</v>
      </c>
      <c r="J21" s="25">
        <v>60000</v>
      </c>
      <c r="K21">
        <f>2+12+1</f>
        <v>15</v>
      </c>
      <c r="L21" s="17">
        <f t="shared" si="1"/>
        <v>900000</v>
      </c>
      <c r="Q21" s="15">
        <f t="shared" si="0"/>
        <v>0</v>
      </c>
    </row>
    <row r="22" spans="1:17" x14ac:dyDescent="0.2">
      <c r="A22" s="13" t="s">
        <v>43</v>
      </c>
      <c r="B22" s="14" t="s">
        <v>44</v>
      </c>
      <c r="C22" s="15">
        <f>'[4]Team Report'!BA44</f>
        <v>1226.24</v>
      </c>
      <c r="E22" s="15">
        <f>((C22/9)*12)*1.3</f>
        <v>2125.4826666666668</v>
      </c>
      <c r="H22" s="15">
        <f>+([24]EOPs!H22)/170*$H$29</f>
        <v>0</v>
      </c>
      <c r="I22" t="s">
        <v>36</v>
      </c>
      <c r="J22" s="25">
        <v>65000</v>
      </c>
      <c r="K22">
        <f>8+4+5+10+9+2+2+4+4+1</f>
        <v>49</v>
      </c>
      <c r="L22" s="17">
        <f t="shared" si="1"/>
        <v>3185000</v>
      </c>
      <c r="Q22" s="15">
        <f t="shared" si="0"/>
        <v>0</v>
      </c>
    </row>
    <row r="23" spans="1:17" x14ac:dyDescent="0.2">
      <c r="A23" s="26" t="s">
        <v>46</v>
      </c>
      <c r="B23" s="27" t="s">
        <v>47</v>
      </c>
      <c r="C23" s="28">
        <f>SUM(C8:C22)</f>
        <v>6646856.1299999999</v>
      </c>
      <c r="E23" s="28">
        <f>SUM(E8:E22)</f>
        <v>19251859.132000003</v>
      </c>
      <c r="H23" s="28">
        <f>SUM(H8:H22)</f>
        <v>854378.90131748759</v>
      </c>
      <c r="I23" t="s">
        <v>108</v>
      </c>
      <c r="J23" s="25">
        <v>82500</v>
      </c>
      <c r="K23">
        <f>10+1+13+6+6+3+7+1+2+6</f>
        <v>55</v>
      </c>
      <c r="L23" s="17">
        <f t="shared" si="1"/>
        <v>4537500</v>
      </c>
      <c r="Q23" s="28">
        <f>SUM(Q8:Q22)</f>
        <v>122054.12875964108</v>
      </c>
    </row>
    <row r="24" spans="1:17" x14ac:dyDescent="0.2">
      <c r="I24" t="s">
        <v>96</v>
      </c>
      <c r="J24" s="25">
        <v>100000</v>
      </c>
      <c r="K24">
        <f>2+1+8+6+3+1+4</f>
        <v>25</v>
      </c>
      <c r="L24" s="17">
        <f t="shared" si="1"/>
        <v>2500000</v>
      </c>
    </row>
    <row r="25" spans="1:17" x14ac:dyDescent="0.2">
      <c r="B25" s="27" t="s">
        <v>50</v>
      </c>
      <c r="C25" s="55"/>
      <c r="E25" s="55">
        <v>114</v>
      </c>
      <c r="H25" s="55">
        <v>7</v>
      </c>
      <c r="I25" t="s">
        <v>97</v>
      </c>
      <c r="J25" s="25">
        <v>145000</v>
      </c>
      <c r="K25">
        <f>1+1+1+1+2+1+2</f>
        <v>9</v>
      </c>
      <c r="L25" s="17">
        <f t="shared" si="1"/>
        <v>1305000</v>
      </c>
      <c r="Q25" s="31">
        <f>+T16+T17+T18+T19+T20+T23+T24+T25+T26+T27</f>
        <v>0</v>
      </c>
    </row>
    <row r="26" spans="1:17" x14ac:dyDescent="0.2">
      <c r="I26" t="s">
        <v>98</v>
      </c>
      <c r="J26" s="25">
        <v>175000</v>
      </c>
      <c r="K26">
        <f>1+1</f>
        <v>2</v>
      </c>
      <c r="L26" s="17">
        <f t="shared" si="1"/>
        <v>350000</v>
      </c>
      <c r="Q26" s="15"/>
    </row>
    <row r="27" spans="1:17" x14ac:dyDescent="0.2">
      <c r="B27" s="27" t="s">
        <v>67</v>
      </c>
      <c r="C27" s="55"/>
      <c r="E27" s="55">
        <v>4</v>
      </c>
      <c r="H27" s="55">
        <v>0</v>
      </c>
      <c r="I27" t="s">
        <v>99</v>
      </c>
      <c r="J27" s="25">
        <v>237500</v>
      </c>
      <c r="K27">
        <f>1</f>
        <v>1</v>
      </c>
      <c r="L27" s="17">
        <f t="shared" si="1"/>
        <v>237500</v>
      </c>
      <c r="Q27" s="31">
        <f>+T21+T22</f>
        <v>0</v>
      </c>
    </row>
    <row r="28" spans="1:17" x14ac:dyDescent="0.2">
      <c r="I28" t="s">
        <v>100</v>
      </c>
      <c r="J28" s="25">
        <v>312500</v>
      </c>
      <c r="K28">
        <v>0</v>
      </c>
      <c r="L28" s="17">
        <f t="shared" si="1"/>
        <v>0</v>
      </c>
    </row>
    <row r="29" spans="1:17" x14ac:dyDescent="0.2">
      <c r="B29" s="27" t="s">
        <v>55</v>
      </c>
      <c r="C29" s="55"/>
      <c r="E29" s="55">
        <f>SUM(E25:E28)</f>
        <v>118</v>
      </c>
      <c r="H29" s="55">
        <f>SUM(H25:H28)</f>
        <v>7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idden="1" x14ac:dyDescent="0.2">
      <c r="B30" s="27"/>
    </row>
    <row r="31" spans="1:17" hidden="1" x14ac:dyDescent="0.2">
      <c r="A31" s="13" t="s">
        <v>71</v>
      </c>
      <c r="B31" s="14" t="s">
        <v>72</v>
      </c>
      <c r="C31" s="15">
        <f>'[4]Team Report'!BA29</f>
        <v>0</v>
      </c>
      <c r="E31" s="15">
        <f t="shared" ref="E31:E38" si="2">(C31/9)*12</f>
        <v>0</v>
      </c>
      <c r="I31" t="s">
        <v>102</v>
      </c>
      <c r="K31" s="52"/>
      <c r="L31" s="52">
        <v>0.2</v>
      </c>
    </row>
    <row r="32" spans="1:17" hidden="1" x14ac:dyDescent="0.2">
      <c r="A32" s="13" t="s">
        <v>73</v>
      </c>
      <c r="B32" s="14" t="s">
        <v>74</v>
      </c>
      <c r="C32" s="15">
        <f>'[4]Team Report'!BA30</f>
        <v>0</v>
      </c>
      <c r="E32" s="15">
        <f t="shared" si="2"/>
        <v>0</v>
      </c>
    </row>
    <row r="33" spans="1:12" hidden="1" x14ac:dyDescent="0.2">
      <c r="A33" s="13" t="s">
        <v>75</v>
      </c>
      <c r="B33" s="14" t="s">
        <v>76</v>
      </c>
      <c r="C33" s="15">
        <f>'[4]Team Report'!BA31</f>
        <v>0</v>
      </c>
      <c r="E33" s="15">
        <f t="shared" si="2"/>
        <v>0</v>
      </c>
      <c r="L33" s="25">
        <f>L29*1.2</f>
        <v>17530500</v>
      </c>
    </row>
    <row r="34" spans="1:12" hidden="1" x14ac:dyDescent="0.2">
      <c r="A34" s="13" t="s">
        <v>77</v>
      </c>
      <c r="B34" s="14" t="s">
        <v>78</v>
      </c>
      <c r="C34" s="15">
        <f>'[4]Team Report'!BA39</f>
        <v>0</v>
      </c>
      <c r="E34" s="15">
        <f t="shared" si="2"/>
        <v>0</v>
      </c>
    </row>
    <row r="35" spans="1:12" hidden="1" x14ac:dyDescent="0.2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2"/>
        <v>32893.85333333334</v>
      </c>
    </row>
    <row r="36" spans="1:12" hidden="1" x14ac:dyDescent="0.2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2"/>
        <v>641393.90666666673</v>
      </c>
    </row>
    <row r="37" spans="1:12" hidden="1" x14ac:dyDescent="0.2">
      <c r="A37" s="13" t="s">
        <v>83</v>
      </c>
      <c r="B37" s="14" t="s">
        <v>84</v>
      </c>
      <c r="C37" s="15">
        <f>'[4]Team Report'!BA43</f>
        <v>-771915.88</v>
      </c>
      <c r="E37" s="15">
        <f t="shared" si="2"/>
        <v>-1029221.1733333333</v>
      </c>
      <c r="H37" s="33" t="s">
        <v>56</v>
      </c>
    </row>
    <row r="38" spans="1:12" hidden="1" x14ac:dyDescent="0.2">
      <c r="A38" s="13" t="s">
        <v>85</v>
      </c>
      <c r="B38" s="14" t="s">
        <v>86</v>
      </c>
      <c r="C38" s="15">
        <f>'[4]Team Report'!BA45</f>
        <v>0</v>
      </c>
      <c r="E38" s="15">
        <f t="shared" si="2"/>
        <v>0</v>
      </c>
    </row>
    <row r="39" spans="1:12" hidden="1" x14ac:dyDescent="0.2">
      <c r="A39" s="13"/>
      <c r="B39" s="14"/>
      <c r="C39" s="15"/>
      <c r="E39" s="15"/>
      <c r="H39" t="s">
        <v>134</v>
      </c>
    </row>
    <row r="40" spans="1:12" hidden="1" x14ac:dyDescent="0.2"/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6380656.0699999994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AM57"/>
  <sheetViews>
    <sheetView workbookViewId="0">
      <selection activeCell="B3" sqref="B3:H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8" hidden="1" customWidth="1"/>
    <col min="6" max="6" width="2.28515625" customWidth="1"/>
    <col min="7" max="7" width="0" hidden="1" customWidth="1"/>
    <col min="8" max="8" width="17.7109375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11.28515625" hidden="1" customWidth="1"/>
    <col min="17" max="17" width="9.140625" hidden="1" customWidth="1"/>
    <col min="18" max="29" width="0" hidden="1" customWidth="1"/>
  </cols>
  <sheetData>
    <row r="1" spans="1:39" ht="18" x14ac:dyDescent="0.25">
      <c r="B1" s="140" t="str">
        <f>'[4]Team Report'!B1</f>
        <v>Enron North America</v>
      </c>
      <c r="C1" s="140"/>
      <c r="D1" s="140"/>
      <c r="E1" s="140"/>
      <c r="F1" s="140"/>
      <c r="G1" s="140"/>
      <c r="H1" s="140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25">
      <c r="B2" s="140" t="s">
        <v>154</v>
      </c>
      <c r="C2" s="140"/>
      <c r="D2" s="140"/>
      <c r="E2" s="140"/>
      <c r="F2" s="140"/>
      <c r="G2" s="140"/>
      <c r="H2" s="140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25">
      <c r="B3" s="141" t="s">
        <v>0</v>
      </c>
      <c r="C3" s="141"/>
      <c r="D3" s="141"/>
      <c r="E3" s="141"/>
      <c r="F3" s="141"/>
      <c r="G3" s="141"/>
      <c r="H3" s="141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5" thickBot="1" x14ac:dyDescent="0.25">
      <c r="I4" s="145" t="s">
        <v>173</v>
      </c>
      <c r="J4" s="145"/>
      <c r="K4" s="145"/>
      <c r="L4" s="145"/>
    </row>
    <row r="5" spans="1:39" x14ac:dyDescent="0.2">
      <c r="I5" s="4"/>
      <c r="J5" s="40"/>
      <c r="K5" s="40"/>
      <c r="L5" s="41"/>
      <c r="M5" s="8"/>
    </row>
    <row r="6" spans="1:39" x14ac:dyDescent="0.2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x14ac:dyDescent="0.2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x14ac:dyDescent="0.2">
      <c r="A8" s="13" t="s">
        <v>9</v>
      </c>
      <c r="B8" s="14" t="s">
        <v>10</v>
      </c>
      <c r="C8" s="53">
        <f>'[4]Team Report'!BA25</f>
        <v>4985502.2300000004</v>
      </c>
      <c r="E8" s="15">
        <f>((C8/9)*12)*1.3</f>
        <v>8641537.1986666676</v>
      </c>
      <c r="H8" s="15">
        <f>+([24]EOPs!H8)/170*$H$29</f>
        <v>2235739.3016470587</v>
      </c>
      <c r="I8" s="7"/>
      <c r="J8" s="17"/>
      <c r="K8" s="17"/>
      <c r="L8" s="43"/>
      <c r="M8" s="8"/>
      <c r="Q8" s="15">
        <f t="shared" ref="Q8:Q22" si="0">+H8/$H$29*$Q$29</f>
        <v>69866.853176470584</v>
      </c>
    </row>
    <row r="9" spans="1:39" hidden="1" x14ac:dyDescent="0.2">
      <c r="A9" s="13"/>
      <c r="B9" s="14" t="s">
        <v>11</v>
      </c>
      <c r="C9" s="15">
        <v>0</v>
      </c>
      <c r="E9" s="15">
        <f>(C9/9)*12</f>
        <v>0</v>
      </c>
      <c r="H9" s="15">
        <f>+([24]EOPs!H9)/170*$H$29</f>
        <v>0</v>
      </c>
      <c r="I9" s="7" t="s">
        <v>10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si="0"/>
        <v>0</v>
      </c>
    </row>
    <row r="10" spans="1:39" x14ac:dyDescent="0.2">
      <c r="A10" s="13"/>
      <c r="B10" s="14" t="s">
        <v>122</v>
      </c>
      <c r="C10" s="15">
        <v>0</v>
      </c>
      <c r="E10" s="15">
        <f>(C10/9)*12</f>
        <v>0</v>
      </c>
      <c r="H10" s="15">
        <f>+([24]EOPs!H10)/170*$H$29</f>
        <v>404604.76235294115</v>
      </c>
      <c r="I10" s="7"/>
      <c r="J10" s="17"/>
      <c r="K10" s="17"/>
      <c r="L10" s="43"/>
      <c r="M10" s="8"/>
      <c r="Q10" s="15">
        <f t="shared" si="0"/>
        <v>12643.898823529411</v>
      </c>
    </row>
    <row r="11" spans="1:39" x14ac:dyDescent="0.2">
      <c r="A11" s="13" t="s">
        <v>13</v>
      </c>
      <c r="B11" s="14" t="s">
        <v>14</v>
      </c>
      <c r="C11" s="15">
        <f>'[4]Team Report'!BA26</f>
        <v>1210281.1100000001</v>
      </c>
      <c r="E11" s="15">
        <f>((C11/9)*12)*1.3</f>
        <v>2097820.5906666671</v>
      </c>
      <c r="H11" s="15">
        <f>+([24]EOPs!H11)/170*$H$29</f>
        <v>574511.43529411766</v>
      </c>
      <c r="I11" s="7"/>
      <c r="J11" s="17"/>
      <c r="K11" s="17"/>
      <c r="L11" s="43"/>
      <c r="M11" s="8"/>
      <c r="Q11" s="15">
        <f t="shared" si="0"/>
        <v>17953.482352941177</v>
      </c>
    </row>
    <row r="12" spans="1:39" x14ac:dyDescent="0.2">
      <c r="A12" s="13" t="s">
        <v>16</v>
      </c>
      <c r="B12" s="14" t="s">
        <v>17</v>
      </c>
      <c r="C12" s="15">
        <f>'[4]Team Report'!BA27</f>
        <v>190029.97</v>
      </c>
      <c r="E12" s="15">
        <f>((C12/9)*12)*1.3</f>
        <v>329385.28133333335</v>
      </c>
      <c r="H12" s="15">
        <f>+([24]EOPs!H12)/170*$H$29</f>
        <v>68897.444176909281</v>
      </c>
      <c r="I12" s="7" t="s">
        <v>15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2153.045130528415</v>
      </c>
    </row>
    <row r="13" spans="1:39" x14ac:dyDescent="0.2">
      <c r="A13" s="13" t="s">
        <v>18</v>
      </c>
      <c r="B13" s="14" t="s">
        <v>19</v>
      </c>
      <c r="C13" s="15">
        <f>'[4]Team Report'!BA28</f>
        <v>78390.58</v>
      </c>
      <c r="E13" s="15">
        <f>((C13/9)*12)*1.3</f>
        <v>135877.00533333333</v>
      </c>
      <c r="H13" s="15">
        <f>+([24]EOPs!H13)/170*$H$29</f>
        <v>80314.731290289128</v>
      </c>
      <c r="I13" s="7"/>
      <c r="J13" s="17"/>
      <c r="K13" s="17"/>
      <c r="L13" s="43"/>
      <c r="M13" s="8"/>
      <c r="Q13" s="15">
        <f t="shared" si="0"/>
        <v>2509.8353528215353</v>
      </c>
    </row>
    <row r="14" spans="1:39" ht="13.5" thickBot="1" x14ac:dyDescent="0.25">
      <c r="A14" s="13" t="s">
        <v>21</v>
      </c>
      <c r="B14" s="14" t="s">
        <v>22</v>
      </c>
      <c r="C14" s="15">
        <v>0</v>
      </c>
      <c r="E14" s="15">
        <f>(4000000*1.2)+222800</f>
        <v>5022800</v>
      </c>
      <c r="H14" s="15">
        <f>+([24]EOPs!H14)/170*$H$29</f>
        <v>63471.069032901381</v>
      </c>
      <c r="I14" s="22" t="s">
        <v>20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1983.4709072781682</v>
      </c>
    </row>
    <row r="15" spans="1:39" x14ac:dyDescent="0.2">
      <c r="A15" s="13" t="s">
        <v>23</v>
      </c>
      <c r="B15" s="14" t="s">
        <v>24</v>
      </c>
      <c r="C15" s="15">
        <f>'[4]Team Report'!BA33</f>
        <v>69921.63</v>
      </c>
      <c r="E15" s="15">
        <f>2087875*1.3</f>
        <v>2714237.5</v>
      </c>
      <c r="H15" s="15">
        <f>+([24]EOPs!H15)/170*$H$29</f>
        <v>79825.093040877298</v>
      </c>
      <c r="I15" s="8"/>
      <c r="J15" s="17"/>
      <c r="K15" s="17"/>
      <c r="L15" s="17"/>
      <c r="M15" s="8"/>
      <c r="Q15" s="15">
        <f t="shared" si="0"/>
        <v>2494.5341575274156</v>
      </c>
    </row>
    <row r="16" spans="1:39" x14ac:dyDescent="0.2">
      <c r="A16" s="13" t="s">
        <v>25</v>
      </c>
      <c r="B16" s="14" t="s">
        <v>26</v>
      </c>
      <c r="C16" s="15">
        <f>'[4]Team Report'!BA34</f>
        <v>0</v>
      </c>
      <c r="E16" s="15">
        <f>(C16/9)*12</f>
        <v>0</v>
      </c>
      <c r="H16" s="15">
        <f>+([24]EOPs!H16)/170*$H$29</f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x14ac:dyDescent="0.2">
      <c r="A17" s="13" t="s">
        <v>28</v>
      </c>
      <c r="B17" s="14" t="s">
        <v>29</v>
      </c>
      <c r="C17" s="15">
        <f>'[4]Team Report'!BA35</f>
        <v>0</v>
      </c>
      <c r="E17" s="15">
        <f>(C17/9)*12</f>
        <v>0</v>
      </c>
      <c r="H17" s="15">
        <f>+([24]EOPs!H17)/170*$H$29</f>
        <v>0</v>
      </c>
      <c r="I17" s="8" t="s">
        <v>27</v>
      </c>
      <c r="J17" s="25">
        <v>37500</v>
      </c>
      <c r="K17">
        <f>1+1</f>
        <v>2</v>
      </c>
      <c r="L17" s="17">
        <f t="shared" ref="L17:L28" si="1">J17*K17</f>
        <v>75000</v>
      </c>
      <c r="N17">
        <v>1.25</v>
      </c>
      <c r="Q17" s="15">
        <f t="shared" si="0"/>
        <v>0</v>
      </c>
    </row>
    <row r="18" spans="1:17" x14ac:dyDescent="0.2">
      <c r="A18" s="13" t="s">
        <v>31</v>
      </c>
      <c r="B18" s="14" t="s">
        <v>32</v>
      </c>
      <c r="C18" s="15">
        <f>'[4]Team Report'!BA36</f>
        <v>19039.670000000002</v>
      </c>
      <c r="E18" s="15">
        <f>((C18/9)*12)*1.3</f>
        <v>33002.094666666671</v>
      </c>
      <c r="H18" s="15">
        <f>+([24]EOPs!H18)/170*$H$29</f>
        <v>328252.21121020935</v>
      </c>
      <c r="I18" t="s">
        <v>93</v>
      </c>
      <c r="J18" s="25">
        <v>52500</v>
      </c>
      <c r="K18">
        <f>1+2+1+1</f>
        <v>5</v>
      </c>
      <c r="L18" s="17">
        <f t="shared" si="1"/>
        <v>262500</v>
      </c>
      <c r="Q18" s="15">
        <f t="shared" si="0"/>
        <v>10257.881600319042</v>
      </c>
    </row>
    <row r="19" spans="1:17" x14ac:dyDescent="0.2">
      <c r="A19" s="13" t="s">
        <v>34</v>
      </c>
      <c r="B19" s="14" t="s">
        <v>35</v>
      </c>
      <c r="C19" s="15">
        <f>'[4]Team Report'!BA37</f>
        <v>17422.019999999997</v>
      </c>
      <c r="E19" s="15">
        <v>145000</v>
      </c>
      <c r="H19" s="15">
        <f>+([24]EOPs!H19)/170*$H$29</f>
        <v>70116.072263210372</v>
      </c>
      <c r="I19" t="s">
        <v>33</v>
      </c>
      <c r="J19" s="25">
        <v>56250</v>
      </c>
      <c r="K19">
        <f>7+2+1+1+4+2</f>
        <v>17</v>
      </c>
      <c r="L19" s="17">
        <f t="shared" si="1"/>
        <v>956250</v>
      </c>
      <c r="Q19" s="15">
        <f t="shared" si="0"/>
        <v>2191.1272582253241</v>
      </c>
    </row>
    <row r="20" spans="1:17" x14ac:dyDescent="0.2">
      <c r="A20" s="13" t="s">
        <v>37</v>
      </c>
      <c r="B20" s="14" t="s">
        <v>38</v>
      </c>
      <c r="C20" s="15">
        <f>'[4]Team Report'!BA38</f>
        <v>0</v>
      </c>
      <c r="E20" s="15">
        <f>(C20/9)*12</f>
        <v>0</v>
      </c>
      <c r="H20" s="15">
        <f>+([24]EOPs!H20)/170*$H$29</f>
        <v>0</v>
      </c>
      <c r="I20" t="s">
        <v>45</v>
      </c>
      <c r="J20" s="25">
        <v>75000</v>
      </c>
      <c r="K20">
        <f>3+1</f>
        <v>4</v>
      </c>
      <c r="L20" s="17">
        <f t="shared" si="1"/>
        <v>300000</v>
      </c>
      <c r="Q20" s="15">
        <f t="shared" si="0"/>
        <v>0</v>
      </c>
    </row>
    <row r="21" spans="1:17" x14ac:dyDescent="0.2">
      <c r="A21" s="13" t="s">
        <v>40</v>
      </c>
      <c r="B21" s="14" t="s">
        <v>41</v>
      </c>
      <c r="C21" s="15">
        <f>'[4]Team Report'!BA42</f>
        <v>75042.680000000008</v>
      </c>
      <c r="E21" s="15">
        <f>((C21/9)*12)*1.3</f>
        <v>130073.97866666669</v>
      </c>
      <c r="H21" s="15">
        <f>+([24]EOPs!H21)/170*$H$29</f>
        <v>0</v>
      </c>
      <c r="I21" t="s">
        <v>94</v>
      </c>
      <c r="J21" s="25">
        <v>60000</v>
      </c>
      <c r="K21">
        <f>2+12+1</f>
        <v>15</v>
      </c>
      <c r="L21" s="17">
        <f t="shared" si="1"/>
        <v>900000</v>
      </c>
      <c r="Q21" s="15">
        <f t="shared" si="0"/>
        <v>0</v>
      </c>
    </row>
    <row r="22" spans="1:17" x14ac:dyDescent="0.2">
      <c r="A22" s="13" t="s">
        <v>43</v>
      </c>
      <c r="B22" s="14" t="s">
        <v>44</v>
      </c>
      <c r="C22" s="15">
        <f>'[4]Team Report'!BA44</f>
        <v>1226.24</v>
      </c>
      <c r="E22" s="15">
        <f>((C22/9)*12)*1.3</f>
        <v>2125.4826666666668</v>
      </c>
      <c r="H22" s="15">
        <f>+([24]EOPs!H22)/170*$H$29</f>
        <v>0</v>
      </c>
      <c r="I22" t="s">
        <v>36</v>
      </c>
      <c r="J22" s="25">
        <v>65000</v>
      </c>
      <c r="K22">
        <f>8+4+5+10+9+2+2+4+4+1</f>
        <v>49</v>
      </c>
      <c r="L22" s="17">
        <f t="shared" si="1"/>
        <v>3185000</v>
      </c>
      <c r="Q22" s="15">
        <f t="shared" si="0"/>
        <v>0</v>
      </c>
    </row>
    <row r="23" spans="1:17" x14ac:dyDescent="0.2">
      <c r="A23" s="26" t="s">
        <v>46</v>
      </c>
      <c r="B23" s="27" t="s">
        <v>47</v>
      </c>
      <c r="C23" s="28">
        <f>SUM(C8:C22)</f>
        <v>6646856.1299999999</v>
      </c>
      <c r="E23" s="28">
        <f>SUM(E8:E22)</f>
        <v>19251859.132000003</v>
      </c>
      <c r="H23" s="28">
        <f>SUM(H8:H22)</f>
        <v>3905732.1203085147</v>
      </c>
      <c r="I23" t="s">
        <v>108</v>
      </c>
      <c r="J23" s="25">
        <v>82500</v>
      </c>
      <c r="K23">
        <f>10+1+13+6+6+3+7+1+2+6</f>
        <v>55</v>
      </c>
      <c r="L23" s="17">
        <f t="shared" si="1"/>
        <v>4537500</v>
      </c>
      <c r="Q23" s="28">
        <f>SUM(Q8:Q22)</f>
        <v>122054.12875964108</v>
      </c>
    </row>
    <row r="24" spans="1:17" x14ac:dyDescent="0.2">
      <c r="I24" t="s">
        <v>96</v>
      </c>
      <c r="J24" s="25">
        <v>100000</v>
      </c>
      <c r="K24">
        <f>2+1+8+6+3+1+4</f>
        <v>25</v>
      </c>
      <c r="L24" s="17">
        <f t="shared" si="1"/>
        <v>2500000</v>
      </c>
    </row>
    <row r="25" spans="1:17" x14ac:dyDescent="0.2">
      <c r="B25" s="27" t="s">
        <v>50</v>
      </c>
      <c r="C25" s="55"/>
      <c r="E25" s="55">
        <v>114</v>
      </c>
      <c r="H25" s="55">
        <v>32</v>
      </c>
      <c r="I25" t="s">
        <v>97</v>
      </c>
      <c r="J25" s="25">
        <v>145000</v>
      </c>
      <c r="K25">
        <f>1+1+1+1+2+1+2</f>
        <v>9</v>
      </c>
      <c r="L25" s="17">
        <f t="shared" si="1"/>
        <v>1305000</v>
      </c>
      <c r="Q25" s="31">
        <f>+T16+T17+T18+T19+T20+T23+T24+T25+T26+T27</f>
        <v>0</v>
      </c>
    </row>
    <row r="26" spans="1:17" x14ac:dyDescent="0.2">
      <c r="I26" t="s">
        <v>98</v>
      </c>
      <c r="J26" s="25">
        <v>175000</v>
      </c>
      <c r="K26">
        <f>1+1</f>
        <v>2</v>
      </c>
      <c r="L26" s="17">
        <f t="shared" si="1"/>
        <v>350000</v>
      </c>
      <c r="Q26" s="15"/>
    </row>
    <row r="27" spans="1:17" x14ac:dyDescent="0.2">
      <c r="B27" s="27" t="s">
        <v>67</v>
      </c>
      <c r="C27" s="55"/>
      <c r="E27" s="55">
        <v>4</v>
      </c>
      <c r="H27" s="55">
        <v>0</v>
      </c>
      <c r="I27" t="s">
        <v>99</v>
      </c>
      <c r="J27" s="25">
        <v>237500</v>
      </c>
      <c r="K27">
        <f>1</f>
        <v>1</v>
      </c>
      <c r="L27" s="17">
        <f t="shared" si="1"/>
        <v>237500</v>
      </c>
      <c r="Q27" s="31">
        <f>+T21+T22</f>
        <v>0</v>
      </c>
    </row>
    <row r="28" spans="1:17" x14ac:dyDescent="0.2">
      <c r="I28" t="s">
        <v>100</v>
      </c>
      <c r="J28" s="25">
        <v>312500</v>
      </c>
      <c r="K28">
        <v>0</v>
      </c>
      <c r="L28" s="17">
        <f t="shared" si="1"/>
        <v>0</v>
      </c>
    </row>
    <row r="29" spans="1:17" x14ac:dyDescent="0.2">
      <c r="B29" s="27" t="s">
        <v>55</v>
      </c>
      <c r="C29" s="55"/>
      <c r="E29" s="55">
        <f>SUM(E25:E28)</f>
        <v>118</v>
      </c>
      <c r="H29" s="55">
        <f>SUM(H25:H28)</f>
        <v>32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idden="1" x14ac:dyDescent="0.2">
      <c r="B30" s="27"/>
    </row>
    <row r="31" spans="1:17" hidden="1" x14ac:dyDescent="0.2">
      <c r="A31" s="13" t="s">
        <v>71</v>
      </c>
      <c r="B31" s="14" t="s">
        <v>72</v>
      </c>
      <c r="C31" s="15">
        <f>'[4]Team Report'!BA29</f>
        <v>0</v>
      </c>
      <c r="E31" s="15">
        <f t="shared" ref="E31:E38" si="2">(C31/9)*12</f>
        <v>0</v>
      </c>
      <c r="I31" t="s">
        <v>102</v>
      </c>
      <c r="K31" s="52"/>
      <c r="L31" s="52">
        <v>0.2</v>
      </c>
    </row>
    <row r="32" spans="1:17" hidden="1" x14ac:dyDescent="0.2">
      <c r="A32" s="13" t="s">
        <v>73</v>
      </c>
      <c r="B32" s="14" t="s">
        <v>74</v>
      </c>
      <c r="C32" s="15">
        <f>'[4]Team Report'!BA30</f>
        <v>0</v>
      </c>
      <c r="E32" s="15">
        <f t="shared" si="2"/>
        <v>0</v>
      </c>
    </row>
    <row r="33" spans="1:12" hidden="1" x14ac:dyDescent="0.2">
      <c r="A33" s="13" t="s">
        <v>75</v>
      </c>
      <c r="B33" s="14" t="s">
        <v>76</v>
      </c>
      <c r="C33" s="15">
        <f>'[4]Team Report'!BA31</f>
        <v>0</v>
      </c>
      <c r="E33" s="15">
        <f t="shared" si="2"/>
        <v>0</v>
      </c>
      <c r="L33" s="25">
        <f>L29*1.2</f>
        <v>17530500</v>
      </c>
    </row>
    <row r="34" spans="1:12" hidden="1" x14ac:dyDescent="0.2">
      <c r="A34" s="13" t="s">
        <v>77</v>
      </c>
      <c r="B34" s="14" t="s">
        <v>78</v>
      </c>
      <c r="C34" s="15">
        <f>'[4]Team Report'!BA39</f>
        <v>0</v>
      </c>
      <c r="E34" s="15">
        <f t="shared" si="2"/>
        <v>0</v>
      </c>
    </row>
    <row r="35" spans="1:12" hidden="1" x14ac:dyDescent="0.2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2"/>
        <v>32893.85333333334</v>
      </c>
    </row>
    <row r="36" spans="1:12" hidden="1" x14ac:dyDescent="0.2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2"/>
        <v>641393.90666666673</v>
      </c>
    </row>
    <row r="37" spans="1:12" hidden="1" x14ac:dyDescent="0.2">
      <c r="A37" s="13" t="s">
        <v>83</v>
      </c>
      <c r="B37" s="14" t="s">
        <v>84</v>
      </c>
      <c r="C37" s="15">
        <f>'[4]Team Report'!BA43</f>
        <v>-771915.88</v>
      </c>
      <c r="E37" s="15">
        <f t="shared" si="2"/>
        <v>-1029221.1733333333</v>
      </c>
      <c r="H37" s="33" t="s">
        <v>56</v>
      </c>
    </row>
    <row r="38" spans="1:12" hidden="1" x14ac:dyDescent="0.2">
      <c r="A38" s="13" t="s">
        <v>85</v>
      </c>
      <c r="B38" s="14" t="s">
        <v>86</v>
      </c>
      <c r="C38" s="15">
        <f>'[4]Team Report'!BA45</f>
        <v>0</v>
      </c>
      <c r="E38" s="15">
        <f t="shared" si="2"/>
        <v>0</v>
      </c>
    </row>
    <row r="39" spans="1:12" hidden="1" x14ac:dyDescent="0.2">
      <c r="A39" s="13"/>
      <c r="B39" s="14"/>
      <c r="C39" s="15"/>
      <c r="E39" s="15"/>
      <c r="H39" t="s">
        <v>134</v>
      </c>
    </row>
    <row r="40" spans="1:12" hidden="1" x14ac:dyDescent="0.2"/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6380656.0699999994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/>
  <dimension ref="A1:AM57"/>
  <sheetViews>
    <sheetView workbookViewId="0">
      <selection activeCell="B3" sqref="B3:H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8" hidden="1" customWidth="1"/>
    <col min="6" max="6" width="2.28515625" customWidth="1"/>
    <col min="7" max="7" width="0" hidden="1" customWidth="1"/>
    <col min="8" max="8" width="17.7109375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11.28515625" hidden="1" customWidth="1"/>
    <col min="17" max="17" width="9.140625" hidden="1" customWidth="1"/>
    <col min="18" max="29" width="0" hidden="1" customWidth="1"/>
  </cols>
  <sheetData>
    <row r="1" spans="1:39" ht="18" x14ac:dyDescent="0.25">
      <c r="B1" s="140" t="str">
        <f>'[4]Team Report'!B1</f>
        <v>Enron North America</v>
      </c>
      <c r="C1" s="140"/>
      <c r="D1" s="140"/>
      <c r="E1" s="140"/>
      <c r="F1" s="140"/>
      <c r="G1" s="140"/>
      <c r="H1" s="140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25">
      <c r="B2" s="140" t="s">
        <v>311</v>
      </c>
      <c r="C2" s="140"/>
      <c r="D2" s="140"/>
      <c r="E2" s="140"/>
      <c r="F2" s="140"/>
      <c r="G2" s="140"/>
      <c r="H2" s="140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25">
      <c r="B3" s="141" t="s">
        <v>0</v>
      </c>
      <c r="C3" s="141"/>
      <c r="D3" s="141"/>
      <c r="E3" s="141"/>
      <c r="F3" s="141"/>
      <c r="G3" s="141"/>
      <c r="H3" s="141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5" thickBot="1" x14ac:dyDescent="0.25">
      <c r="I4" s="145" t="s">
        <v>173</v>
      </c>
      <c r="J4" s="145"/>
      <c r="K4" s="145"/>
      <c r="L4" s="145"/>
    </row>
    <row r="5" spans="1:39" x14ac:dyDescent="0.2">
      <c r="I5" s="4"/>
      <c r="J5" s="40"/>
      <c r="K5" s="40"/>
      <c r="L5" s="41"/>
      <c r="M5" s="8"/>
    </row>
    <row r="6" spans="1:39" x14ac:dyDescent="0.2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x14ac:dyDescent="0.2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x14ac:dyDescent="0.2">
      <c r="A8" s="13" t="s">
        <v>9</v>
      </c>
      <c r="B8" s="14" t="s">
        <v>10</v>
      </c>
      <c r="C8" s="53">
        <f>'[4]Team Report'!BA25</f>
        <v>4985502.2300000004</v>
      </c>
      <c r="E8" s="15">
        <f>((C8/9)*12)*1.3</f>
        <v>8641537.1986666676</v>
      </c>
      <c r="H8" s="15">
        <f>+([24]EOPs!H8)/170*$H$29</f>
        <v>1397337.0635294118</v>
      </c>
      <c r="I8" s="7"/>
      <c r="J8" s="17"/>
      <c r="K8" s="17"/>
      <c r="L8" s="43"/>
      <c r="M8" s="8"/>
      <c r="Q8" s="15">
        <f t="shared" ref="Q8:Q22" si="0">+H8/$H$29*$Q$29</f>
        <v>69866.853176470584</v>
      </c>
    </row>
    <row r="9" spans="1:39" hidden="1" x14ac:dyDescent="0.2">
      <c r="A9" s="13"/>
      <c r="B9" s="14" t="s">
        <v>11</v>
      </c>
      <c r="C9" s="15">
        <v>0</v>
      </c>
      <c r="E9" s="15">
        <f>(C9/9)*12</f>
        <v>0</v>
      </c>
      <c r="H9" s="15">
        <f>+([24]EOPs!H9)/170*$H$29</f>
        <v>0</v>
      </c>
      <c r="I9" s="7" t="s">
        <v>10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si="0"/>
        <v>0</v>
      </c>
    </row>
    <row r="10" spans="1:39" x14ac:dyDescent="0.2">
      <c r="A10" s="13"/>
      <c r="B10" s="14" t="s">
        <v>122</v>
      </c>
      <c r="C10" s="15">
        <v>0</v>
      </c>
      <c r="E10" s="15">
        <f>(C10/9)*12</f>
        <v>0</v>
      </c>
      <c r="H10" s="15">
        <f>+([24]EOPs!H10)/170*$H$29</f>
        <v>252877.97647058821</v>
      </c>
      <c r="I10" s="7"/>
      <c r="J10" s="17"/>
      <c r="K10" s="17"/>
      <c r="L10" s="43"/>
      <c r="M10" s="8"/>
      <c r="Q10" s="15">
        <f t="shared" si="0"/>
        <v>12643.898823529411</v>
      </c>
    </row>
    <row r="11" spans="1:39" x14ac:dyDescent="0.2">
      <c r="A11" s="13" t="s">
        <v>13</v>
      </c>
      <c r="B11" s="14" t="s">
        <v>14</v>
      </c>
      <c r="C11" s="15">
        <f>'[4]Team Report'!BA26</f>
        <v>1210281.1100000001</v>
      </c>
      <c r="E11" s="15">
        <f>((C11/9)*12)*1.3</f>
        <v>2097820.5906666671</v>
      </c>
      <c r="H11" s="15">
        <f>+([24]EOPs!H11)/170*$H$29</f>
        <v>359069.64705882355</v>
      </c>
      <c r="I11" s="7"/>
      <c r="J11" s="17"/>
      <c r="K11" s="17"/>
      <c r="L11" s="43"/>
      <c r="M11" s="8"/>
      <c r="Q11" s="15">
        <f t="shared" si="0"/>
        <v>17953.482352941177</v>
      </c>
    </row>
    <row r="12" spans="1:39" x14ac:dyDescent="0.2">
      <c r="A12" s="13" t="s">
        <v>16</v>
      </c>
      <c r="B12" s="14" t="s">
        <v>17</v>
      </c>
      <c r="C12" s="15">
        <f>'[4]Team Report'!BA27</f>
        <v>190029.97</v>
      </c>
      <c r="E12" s="15">
        <f>((C12/9)*12)*1.3</f>
        <v>329385.28133333335</v>
      </c>
      <c r="H12" s="15">
        <f>+([24]EOPs!H12)/170*$H$29</f>
        <v>43060.902610568301</v>
      </c>
      <c r="I12" s="7" t="s">
        <v>15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2153.045130528415</v>
      </c>
    </row>
    <row r="13" spans="1:39" x14ac:dyDescent="0.2">
      <c r="A13" s="13" t="s">
        <v>18</v>
      </c>
      <c r="B13" s="14" t="s">
        <v>19</v>
      </c>
      <c r="C13" s="15">
        <f>'[4]Team Report'!BA28</f>
        <v>78390.58</v>
      </c>
      <c r="E13" s="15">
        <f>((C13/9)*12)*1.3</f>
        <v>135877.00533333333</v>
      </c>
      <c r="H13" s="15">
        <f>+([24]EOPs!H13)/170*$H$29</f>
        <v>50196.707056430707</v>
      </c>
      <c r="I13" s="7"/>
      <c r="J13" s="17"/>
      <c r="K13" s="17"/>
      <c r="L13" s="43"/>
      <c r="M13" s="8"/>
      <c r="Q13" s="15">
        <f t="shared" si="0"/>
        <v>2509.8353528215353</v>
      </c>
    </row>
    <row r="14" spans="1:39" ht="13.5" thickBot="1" x14ac:dyDescent="0.25">
      <c r="A14" s="13" t="s">
        <v>21</v>
      </c>
      <c r="B14" s="14" t="s">
        <v>22</v>
      </c>
      <c r="C14" s="15">
        <v>0</v>
      </c>
      <c r="E14" s="15">
        <f>(4000000*1.2)+222800</f>
        <v>5022800</v>
      </c>
      <c r="H14" s="15">
        <f>+([24]EOPs!H14)/170*$H$29</f>
        <v>39669.418145563366</v>
      </c>
      <c r="I14" s="22" t="s">
        <v>20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1983.4709072781684</v>
      </c>
    </row>
    <row r="15" spans="1:39" x14ac:dyDescent="0.2">
      <c r="A15" s="13" t="s">
        <v>23</v>
      </c>
      <c r="B15" s="14" t="s">
        <v>24</v>
      </c>
      <c r="C15" s="15">
        <f>'[4]Team Report'!BA33</f>
        <v>69921.63</v>
      </c>
      <c r="E15" s="15">
        <f>2087875*1.3</f>
        <v>2714237.5</v>
      </c>
      <c r="H15" s="15">
        <f>+([24]EOPs!H15)/170*$H$29</f>
        <v>49890.683150548313</v>
      </c>
      <c r="I15" s="8"/>
      <c r="J15" s="17"/>
      <c r="K15" s="17"/>
      <c r="L15" s="17"/>
      <c r="M15" s="8"/>
      <c r="Q15" s="15">
        <f t="shared" si="0"/>
        <v>2494.5341575274156</v>
      </c>
    </row>
    <row r="16" spans="1:39" x14ac:dyDescent="0.2">
      <c r="A16" s="13" t="s">
        <v>25</v>
      </c>
      <c r="B16" s="14" t="s">
        <v>26</v>
      </c>
      <c r="C16" s="15">
        <f>'[4]Team Report'!BA34</f>
        <v>0</v>
      </c>
      <c r="E16" s="15">
        <f>(C16/9)*12</f>
        <v>0</v>
      </c>
      <c r="H16" s="15">
        <f>+([24]EOPs!H16)/170*$H$29</f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x14ac:dyDescent="0.2">
      <c r="A17" s="13" t="s">
        <v>28</v>
      </c>
      <c r="B17" s="14" t="s">
        <v>29</v>
      </c>
      <c r="C17" s="15">
        <f>'[4]Team Report'!BA35</f>
        <v>0</v>
      </c>
      <c r="E17" s="15">
        <f>(C17/9)*12</f>
        <v>0</v>
      </c>
      <c r="H17" s="15">
        <f>+([24]EOPs!H17)/170*$H$29</f>
        <v>0</v>
      </c>
      <c r="I17" s="8" t="s">
        <v>27</v>
      </c>
      <c r="J17" s="25">
        <v>37500</v>
      </c>
      <c r="K17">
        <f>1+1</f>
        <v>2</v>
      </c>
      <c r="L17" s="17">
        <f t="shared" ref="L17:L28" si="1">J17*K17</f>
        <v>75000</v>
      </c>
      <c r="N17">
        <v>1.25</v>
      </c>
      <c r="Q17" s="15">
        <f t="shared" si="0"/>
        <v>0</v>
      </c>
    </row>
    <row r="18" spans="1:17" x14ac:dyDescent="0.2">
      <c r="A18" s="13" t="s">
        <v>31</v>
      </c>
      <c r="B18" s="14" t="s">
        <v>32</v>
      </c>
      <c r="C18" s="15">
        <f>'[4]Team Report'!BA36</f>
        <v>19039.670000000002</v>
      </c>
      <c r="E18" s="15">
        <f>((C18/9)*12)*1.3</f>
        <v>33002.094666666671</v>
      </c>
      <c r="H18" s="15">
        <f>+([24]EOPs!H18)/170*$H$29</f>
        <v>205157.63200638085</v>
      </c>
      <c r="I18" t="s">
        <v>93</v>
      </c>
      <c r="J18" s="25">
        <v>52500</v>
      </c>
      <c r="K18">
        <f>1+2+1+1</f>
        <v>5</v>
      </c>
      <c r="L18" s="17">
        <f t="shared" si="1"/>
        <v>262500</v>
      </c>
      <c r="Q18" s="15">
        <f t="shared" si="0"/>
        <v>10257.881600319042</v>
      </c>
    </row>
    <row r="19" spans="1:17" x14ac:dyDescent="0.2">
      <c r="A19" s="13" t="s">
        <v>34</v>
      </c>
      <c r="B19" s="14" t="s">
        <v>35</v>
      </c>
      <c r="C19" s="15">
        <f>'[4]Team Report'!BA37</f>
        <v>17422.019999999997</v>
      </c>
      <c r="E19" s="15">
        <v>145000</v>
      </c>
      <c r="H19" s="15">
        <f>+([24]EOPs!H19)/170*$H$29</f>
        <v>43822.545164506482</v>
      </c>
      <c r="I19" t="s">
        <v>33</v>
      </c>
      <c r="J19" s="25">
        <v>56250</v>
      </c>
      <c r="K19">
        <f>7+2+1+1+4+2</f>
        <v>17</v>
      </c>
      <c r="L19" s="17">
        <f t="shared" si="1"/>
        <v>956250</v>
      </c>
      <c r="Q19" s="15">
        <f t="shared" si="0"/>
        <v>2191.1272582253241</v>
      </c>
    </row>
    <row r="20" spans="1:17" x14ac:dyDescent="0.2">
      <c r="A20" s="13" t="s">
        <v>37</v>
      </c>
      <c r="B20" s="14" t="s">
        <v>38</v>
      </c>
      <c r="C20" s="15">
        <f>'[4]Team Report'!BA38</f>
        <v>0</v>
      </c>
      <c r="E20" s="15">
        <f>(C20/9)*12</f>
        <v>0</v>
      </c>
      <c r="H20" s="15">
        <f>+([24]EOPs!H20)/170*$H$29</f>
        <v>0</v>
      </c>
      <c r="I20" t="s">
        <v>45</v>
      </c>
      <c r="J20" s="25">
        <v>75000</v>
      </c>
      <c r="K20">
        <f>3+1</f>
        <v>4</v>
      </c>
      <c r="L20" s="17">
        <f t="shared" si="1"/>
        <v>300000</v>
      </c>
      <c r="Q20" s="15">
        <f t="shared" si="0"/>
        <v>0</v>
      </c>
    </row>
    <row r="21" spans="1:17" x14ac:dyDescent="0.2">
      <c r="A21" s="13" t="s">
        <v>40</v>
      </c>
      <c r="B21" s="14" t="s">
        <v>41</v>
      </c>
      <c r="C21" s="15">
        <f>'[4]Team Report'!BA42</f>
        <v>75042.680000000008</v>
      </c>
      <c r="E21" s="15">
        <f>((C21/9)*12)*1.3</f>
        <v>130073.97866666669</v>
      </c>
      <c r="H21" s="15">
        <f>+([24]EOPs!H21)/170*$H$29</f>
        <v>0</v>
      </c>
      <c r="I21" t="s">
        <v>94</v>
      </c>
      <c r="J21" s="25">
        <v>60000</v>
      </c>
      <c r="K21">
        <f>2+12+1</f>
        <v>15</v>
      </c>
      <c r="L21" s="17">
        <f t="shared" si="1"/>
        <v>900000</v>
      </c>
      <c r="Q21" s="15">
        <f t="shared" si="0"/>
        <v>0</v>
      </c>
    </row>
    <row r="22" spans="1:17" x14ac:dyDescent="0.2">
      <c r="A22" s="13" t="s">
        <v>43</v>
      </c>
      <c r="B22" s="14" t="s">
        <v>44</v>
      </c>
      <c r="C22" s="15">
        <f>'[4]Team Report'!BA44</f>
        <v>1226.24</v>
      </c>
      <c r="E22" s="15">
        <f>((C22/9)*12)*1.3</f>
        <v>2125.4826666666668</v>
      </c>
      <c r="H22" s="15">
        <f>+([24]EOPs!H22)/170*$H$29</f>
        <v>0</v>
      </c>
      <c r="I22" t="s">
        <v>36</v>
      </c>
      <c r="J22" s="25">
        <v>65000</v>
      </c>
      <c r="K22">
        <f>8+4+5+10+9+2+2+4+4+1</f>
        <v>49</v>
      </c>
      <c r="L22" s="17">
        <f t="shared" si="1"/>
        <v>3185000</v>
      </c>
      <c r="Q22" s="15">
        <f t="shared" si="0"/>
        <v>0</v>
      </c>
    </row>
    <row r="23" spans="1:17" x14ac:dyDescent="0.2">
      <c r="A23" s="26" t="s">
        <v>46</v>
      </c>
      <c r="B23" s="27" t="s">
        <v>47</v>
      </c>
      <c r="C23" s="28">
        <f>SUM(C8:C22)</f>
        <v>6646856.1299999999</v>
      </c>
      <c r="E23" s="28">
        <f>SUM(E8:E22)</f>
        <v>19251859.132000003</v>
      </c>
      <c r="H23" s="28">
        <f>SUM(H8:H22)</f>
        <v>2441082.5751928217</v>
      </c>
      <c r="I23" t="s">
        <v>108</v>
      </c>
      <c r="J23" s="25">
        <v>82500</v>
      </c>
      <c r="K23">
        <f>10+1+13+6+6+3+7+1+2+6</f>
        <v>55</v>
      </c>
      <c r="L23" s="17">
        <f t="shared" si="1"/>
        <v>4537500</v>
      </c>
      <c r="Q23" s="28">
        <f>SUM(Q8:Q22)</f>
        <v>122054.12875964108</v>
      </c>
    </row>
    <row r="24" spans="1:17" x14ac:dyDescent="0.2">
      <c r="I24" t="s">
        <v>96</v>
      </c>
      <c r="J24" s="25">
        <v>100000</v>
      </c>
      <c r="K24">
        <f>2+1+8+6+3+1+4</f>
        <v>25</v>
      </c>
      <c r="L24" s="17">
        <f t="shared" si="1"/>
        <v>2500000</v>
      </c>
    </row>
    <row r="25" spans="1:17" x14ac:dyDescent="0.2">
      <c r="B25" s="27" t="s">
        <v>50</v>
      </c>
      <c r="C25" s="55"/>
      <c r="E25" s="55">
        <v>114</v>
      </c>
      <c r="H25" s="55">
        <v>20</v>
      </c>
      <c r="I25" t="s">
        <v>97</v>
      </c>
      <c r="J25" s="25">
        <v>145000</v>
      </c>
      <c r="K25">
        <f>1+1+1+1+2+1+2</f>
        <v>9</v>
      </c>
      <c r="L25" s="17">
        <f t="shared" si="1"/>
        <v>1305000</v>
      </c>
      <c r="Q25" s="31">
        <f>+T16+T17+T18+T19+T20+T23+T24+T25+T26+T27</f>
        <v>0</v>
      </c>
    </row>
    <row r="26" spans="1:17" x14ac:dyDescent="0.2">
      <c r="I26" t="s">
        <v>98</v>
      </c>
      <c r="J26" s="25">
        <v>175000</v>
      </c>
      <c r="K26">
        <f>1+1</f>
        <v>2</v>
      </c>
      <c r="L26" s="17">
        <f t="shared" si="1"/>
        <v>350000</v>
      </c>
      <c r="Q26" s="15"/>
    </row>
    <row r="27" spans="1:17" x14ac:dyDescent="0.2">
      <c r="B27" s="27" t="s">
        <v>67</v>
      </c>
      <c r="C27" s="55"/>
      <c r="E27" s="55">
        <v>4</v>
      </c>
      <c r="H27" s="55">
        <v>0</v>
      </c>
      <c r="I27" t="s">
        <v>99</v>
      </c>
      <c r="J27" s="25">
        <v>237500</v>
      </c>
      <c r="K27">
        <f>1</f>
        <v>1</v>
      </c>
      <c r="L27" s="17">
        <f t="shared" si="1"/>
        <v>237500</v>
      </c>
      <c r="Q27" s="31">
        <f>+T21+T22</f>
        <v>0</v>
      </c>
    </row>
    <row r="28" spans="1:17" x14ac:dyDescent="0.2">
      <c r="I28" t="s">
        <v>100</v>
      </c>
      <c r="J28" s="25">
        <v>312500</v>
      </c>
      <c r="K28">
        <v>0</v>
      </c>
      <c r="L28" s="17">
        <f t="shared" si="1"/>
        <v>0</v>
      </c>
    </row>
    <row r="29" spans="1:17" x14ac:dyDescent="0.2">
      <c r="B29" s="27" t="s">
        <v>55</v>
      </c>
      <c r="C29" s="55"/>
      <c r="E29" s="55">
        <f>SUM(E25:E28)</f>
        <v>118</v>
      </c>
      <c r="H29" s="55">
        <f>SUM(H25:H28)</f>
        <v>20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idden="1" x14ac:dyDescent="0.2">
      <c r="B30" s="27"/>
    </row>
    <row r="31" spans="1:17" hidden="1" x14ac:dyDescent="0.2">
      <c r="A31" s="13" t="s">
        <v>71</v>
      </c>
      <c r="B31" s="14" t="s">
        <v>72</v>
      </c>
      <c r="C31" s="15">
        <f>'[4]Team Report'!BA29</f>
        <v>0</v>
      </c>
      <c r="E31" s="15">
        <f t="shared" ref="E31:E38" si="2">(C31/9)*12</f>
        <v>0</v>
      </c>
      <c r="I31" t="s">
        <v>102</v>
      </c>
      <c r="K31" s="52"/>
      <c r="L31" s="52">
        <v>0.2</v>
      </c>
    </row>
    <row r="32" spans="1:17" hidden="1" x14ac:dyDescent="0.2">
      <c r="A32" s="13" t="s">
        <v>73</v>
      </c>
      <c r="B32" s="14" t="s">
        <v>74</v>
      </c>
      <c r="C32" s="15">
        <f>'[4]Team Report'!BA30</f>
        <v>0</v>
      </c>
      <c r="E32" s="15">
        <f t="shared" si="2"/>
        <v>0</v>
      </c>
    </row>
    <row r="33" spans="1:12" hidden="1" x14ac:dyDescent="0.2">
      <c r="A33" s="13" t="s">
        <v>75</v>
      </c>
      <c r="B33" s="14" t="s">
        <v>76</v>
      </c>
      <c r="C33" s="15">
        <f>'[4]Team Report'!BA31</f>
        <v>0</v>
      </c>
      <c r="E33" s="15">
        <f t="shared" si="2"/>
        <v>0</v>
      </c>
      <c r="L33" s="25">
        <f>L29*1.2</f>
        <v>17530500</v>
      </c>
    </row>
    <row r="34" spans="1:12" hidden="1" x14ac:dyDescent="0.2">
      <c r="A34" s="13" t="s">
        <v>77</v>
      </c>
      <c r="B34" s="14" t="s">
        <v>78</v>
      </c>
      <c r="C34" s="15">
        <f>'[4]Team Report'!BA39</f>
        <v>0</v>
      </c>
      <c r="E34" s="15">
        <f t="shared" si="2"/>
        <v>0</v>
      </c>
    </row>
    <row r="35" spans="1:12" hidden="1" x14ac:dyDescent="0.2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2"/>
        <v>32893.85333333334</v>
      </c>
    </row>
    <row r="36" spans="1:12" hidden="1" x14ac:dyDescent="0.2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2"/>
        <v>641393.90666666673</v>
      </c>
    </row>
    <row r="37" spans="1:12" hidden="1" x14ac:dyDescent="0.2">
      <c r="A37" s="13" t="s">
        <v>83</v>
      </c>
      <c r="B37" s="14" t="s">
        <v>84</v>
      </c>
      <c r="C37" s="15">
        <f>'[4]Team Report'!BA43</f>
        <v>-771915.88</v>
      </c>
      <c r="E37" s="15">
        <f t="shared" si="2"/>
        <v>-1029221.1733333333</v>
      </c>
      <c r="H37" s="33" t="s">
        <v>56</v>
      </c>
    </row>
    <row r="38" spans="1:12" hidden="1" x14ac:dyDescent="0.2">
      <c r="A38" s="13" t="s">
        <v>85</v>
      </c>
      <c r="B38" s="14" t="s">
        <v>86</v>
      </c>
      <c r="C38" s="15">
        <f>'[4]Team Report'!BA45</f>
        <v>0</v>
      </c>
      <c r="E38" s="15">
        <f t="shared" si="2"/>
        <v>0</v>
      </c>
    </row>
    <row r="39" spans="1:12" hidden="1" x14ac:dyDescent="0.2">
      <c r="A39" s="13"/>
      <c r="B39" s="14"/>
      <c r="C39" s="15"/>
      <c r="E39" s="15"/>
      <c r="H39" t="s">
        <v>134</v>
      </c>
    </row>
    <row r="40" spans="1:12" hidden="1" x14ac:dyDescent="0.2"/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6380656.0699999994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/>
  <dimension ref="A1:AM57"/>
  <sheetViews>
    <sheetView workbookViewId="0">
      <selection activeCell="B3" sqref="B3:H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8" hidden="1" customWidth="1"/>
    <col min="6" max="6" width="2.28515625" customWidth="1"/>
    <col min="7" max="7" width="0" hidden="1" customWidth="1"/>
    <col min="8" max="8" width="17.7109375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11.28515625" hidden="1" customWidth="1"/>
    <col min="17" max="17" width="9.140625" hidden="1" customWidth="1"/>
    <col min="18" max="29" width="0" hidden="1" customWidth="1"/>
  </cols>
  <sheetData>
    <row r="1" spans="1:39" ht="18" x14ac:dyDescent="0.25">
      <c r="B1" s="140" t="str">
        <f>'[4]Team Report'!B1</f>
        <v>Enron North America</v>
      </c>
      <c r="C1" s="140"/>
      <c r="D1" s="140"/>
      <c r="E1" s="140"/>
      <c r="F1" s="140"/>
      <c r="G1" s="140"/>
      <c r="H1" s="140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25">
      <c r="B2" s="140" t="s">
        <v>314</v>
      </c>
      <c r="C2" s="140"/>
      <c r="D2" s="140"/>
      <c r="E2" s="140"/>
      <c r="F2" s="140"/>
      <c r="G2" s="140"/>
      <c r="H2" s="140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25">
      <c r="B3" s="141" t="s">
        <v>0</v>
      </c>
      <c r="C3" s="141"/>
      <c r="D3" s="141"/>
      <c r="E3" s="141"/>
      <c r="F3" s="141"/>
      <c r="G3" s="141"/>
      <c r="H3" s="141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5" thickBot="1" x14ac:dyDescent="0.25">
      <c r="I4" s="145" t="s">
        <v>173</v>
      </c>
      <c r="J4" s="145"/>
      <c r="K4" s="145"/>
      <c r="L4" s="145"/>
    </row>
    <row r="5" spans="1:39" x14ac:dyDescent="0.2">
      <c r="I5" s="4"/>
      <c r="J5" s="40"/>
      <c r="K5" s="40"/>
      <c r="L5" s="41"/>
      <c r="M5" s="8"/>
    </row>
    <row r="6" spans="1:39" x14ac:dyDescent="0.2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x14ac:dyDescent="0.2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x14ac:dyDescent="0.2">
      <c r="A8" s="13" t="s">
        <v>9</v>
      </c>
      <c r="B8" s="14" t="s">
        <v>10</v>
      </c>
      <c r="C8" s="53">
        <f>'[4]Team Report'!BA25</f>
        <v>4985502.2300000004</v>
      </c>
      <c r="E8" s="15">
        <f>((C8/9)*12)*1.3</f>
        <v>8641537.1986666676</v>
      </c>
      <c r="H8" s="15">
        <f>+([24]EOPs!H8)/170*$H$29</f>
        <v>768535.38494117639</v>
      </c>
      <c r="I8" s="7"/>
      <c r="J8" s="17"/>
      <c r="K8" s="17"/>
      <c r="L8" s="43"/>
      <c r="M8" s="8"/>
      <c r="Q8" s="15">
        <f t="shared" ref="Q8:Q22" si="0">+H8/$H$29*$Q$29</f>
        <v>69866.853176470584</v>
      </c>
    </row>
    <row r="9" spans="1:39" hidden="1" x14ac:dyDescent="0.2">
      <c r="A9" s="13"/>
      <c r="B9" s="14" t="s">
        <v>11</v>
      </c>
      <c r="C9" s="15">
        <v>0</v>
      </c>
      <c r="E9" s="15">
        <f>(C9/9)*12</f>
        <v>0</v>
      </c>
      <c r="H9" s="15">
        <f>+([24]EOPs!H9)/170*$H$29</f>
        <v>0</v>
      </c>
      <c r="I9" s="7" t="s">
        <v>10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si="0"/>
        <v>0</v>
      </c>
    </row>
    <row r="10" spans="1:39" x14ac:dyDescent="0.2">
      <c r="A10" s="13"/>
      <c r="B10" s="14" t="s">
        <v>122</v>
      </c>
      <c r="C10" s="15">
        <v>0</v>
      </c>
      <c r="E10" s="15">
        <f>(C10/9)*12</f>
        <v>0</v>
      </c>
      <c r="H10" s="15">
        <f>+([24]EOPs!H10)/170*$H$29</f>
        <v>139082.88705882351</v>
      </c>
      <c r="I10" s="7"/>
      <c r="J10" s="17"/>
      <c r="K10" s="17"/>
      <c r="L10" s="43"/>
      <c r="M10" s="8"/>
      <c r="Q10" s="15">
        <f t="shared" si="0"/>
        <v>12643.898823529411</v>
      </c>
    </row>
    <row r="11" spans="1:39" x14ac:dyDescent="0.2">
      <c r="A11" s="13" t="s">
        <v>13</v>
      </c>
      <c r="B11" s="14" t="s">
        <v>14</v>
      </c>
      <c r="C11" s="15">
        <f>'[4]Team Report'!BA26</f>
        <v>1210281.1100000001</v>
      </c>
      <c r="E11" s="15">
        <f>((C11/9)*12)*1.3</f>
        <v>2097820.5906666671</v>
      </c>
      <c r="H11" s="15">
        <f>+([24]EOPs!H11)/170*$H$29</f>
        <v>197488.30588235296</v>
      </c>
      <c r="I11" s="7"/>
      <c r="J11" s="17"/>
      <c r="K11" s="17"/>
      <c r="L11" s="43"/>
      <c r="M11" s="8"/>
      <c r="Q11" s="15">
        <f t="shared" si="0"/>
        <v>17953.482352941177</v>
      </c>
    </row>
    <row r="12" spans="1:39" x14ac:dyDescent="0.2">
      <c r="A12" s="13" t="s">
        <v>16</v>
      </c>
      <c r="B12" s="14" t="s">
        <v>17</v>
      </c>
      <c r="C12" s="15">
        <f>'[4]Team Report'!BA27</f>
        <v>190029.97</v>
      </c>
      <c r="E12" s="15">
        <f>((C12/9)*12)*1.3</f>
        <v>329385.28133333335</v>
      </c>
      <c r="H12" s="15">
        <f>+([24]EOPs!H12)/170*$H$29</f>
        <v>23683.496435812565</v>
      </c>
      <c r="I12" s="7" t="s">
        <v>15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2153.045130528415</v>
      </c>
    </row>
    <row r="13" spans="1:39" x14ac:dyDescent="0.2">
      <c r="A13" s="13" t="s">
        <v>18</v>
      </c>
      <c r="B13" s="14" t="s">
        <v>19</v>
      </c>
      <c r="C13" s="15">
        <f>'[4]Team Report'!BA28</f>
        <v>78390.58</v>
      </c>
      <c r="E13" s="15">
        <f>((C13/9)*12)*1.3</f>
        <v>135877.00533333333</v>
      </c>
      <c r="H13" s="15">
        <f>+([24]EOPs!H13)/170*$H$29</f>
        <v>27608.188881036887</v>
      </c>
      <c r="I13" s="7"/>
      <c r="J13" s="17"/>
      <c r="K13" s="17"/>
      <c r="L13" s="43"/>
      <c r="M13" s="8"/>
      <c r="Q13" s="15">
        <f t="shared" si="0"/>
        <v>2509.8353528215353</v>
      </c>
    </row>
    <row r="14" spans="1:39" ht="13.5" thickBot="1" x14ac:dyDescent="0.25">
      <c r="A14" s="13" t="s">
        <v>21</v>
      </c>
      <c r="B14" s="14" t="s">
        <v>22</v>
      </c>
      <c r="C14" s="15">
        <v>0</v>
      </c>
      <c r="E14" s="15">
        <f>(4000000*1.2)+222800</f>
        <v>5022800</v>
      </c>
      <c r="H14" s="15">
        <f>+([24]EOPs!H14)/170*$H$29</f>
        <v>21818.179980059849</v>
      </c>
      <c r="I14" s="22" t="s">
        <v>20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1983.4709072781682</v>
      </c>
    </row>
    <row r="15" spans="1:39" x14ac:dyDescent="0.2">
      <c r="A15" s="13" t="s">
        <v>23</v>
      </c>
      <c r="B15" s="14" t="s">
        <v>24</v>
      </c>
      <c r="C15" s="15">
        <f>'[4]Team Report'!BA33</f>
        <v>69921.63</v>
      </c>
      <c r="E15" s="15">
        <f>2087875*1.3</f>
        <v>2714237.5</v>
      </c>
      <c r="H15" s="15">
        <f>+([24]EOPs!H15)/170*$H$29</f>
        <v>27439.875732801571</v>
      </c>
      <c r="I15" s="8"/>
      <c r="J15" s="17"/>
      <c r="K15" s="17"/>
      <c r="L15" s="17"/>
      <c r="M15" s="8"/>
      <c r="Q15" s="15">
        <f t="shared" si="0"/>
        <v>2494.5341575274156</v>
      </c>
    </row>
    <row r="16" spans="1:39" x14ac:dyDescent="0.2">
      <c r="A16" s="13" t="s">
        <v>25</v>
      </c>
      <c r="B16" s="14" t="s">
        <v>26</v>
      </c>
      <c r="C16" s="15">
        <f>'[4]Team Report'!BA34</f>
        <v>0</v>
      </c>
      <c r="E16" s="15">
        <f>(C16/9)*12</f>
        <v>0</v>
      </c>
      <c r="H16" s="15">
        <f>+([24]EOPs!H16)/170*$H$29</f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x14ac:dyDescent="0.2">
      <c r="A17" s="13" t="s">
        <v>28</v>
      </c>
      <c r="B17" s="14" t="s">
        <v>29</v>
      </c>
      <c r="C17" s="15">
        <f>'[4]Team Report'!BA35</f>
        <v>0</v>
      </c>
      <c r="E17" s="15">
        <f>(C17/9)*12</f>
        <v>0</v>
      </c>
      <c r="H17" s="15">
        <f>+([24]EOPs!H17)/170*$H$29</f>
        <v>0</v>
      </c>
      <c r="I17" s="8" t="s">
        <v>27</v>
      </c>
      <c r="J17" s="25">
        <v>37500</v>
      </c>
      <c r="K17">
        <f>1+1</f>
        <v>2</v>
      </c>
      <c r="L17" s="17">
        <f t="shared" ref="L17:L28" si="1">J17*K17</f>
        <v>75000</v>
      </c>
      <c r="N17">
        <v>1.25</v>
      </c>
      <c r="Q17" s="15">
        <f t="shared" si="0"/>
        <v>0</v>
      </c>
    </row>
    <row r="18" spans="1:17" x14ac:dyDescent="0.2">
      <c r="A18" s="13" t="s">
        <v>31</v>
      </c>
      <c r="B18" s="14" t="s">
        <v>32</v>
      </c>
      <c r="C18" s="15">
        <f>'[4]Team Report'!BA36</f>
        <v>19039.670000000002</v>
      </c>
      <c r="E18" s="15">
        <f>((C18/9)*12)*1.3</f>
        <v>33002.094666666671</v>
      </c>
      <c r="H18" s="15">
        <f>+([24]EOPs!H18)/170*$H$29</f>
        <v>112836.69760350947</v>
      </c>
      <c r="I18" t="s">
        <v>93</v>
      </c>
      <c r="J18" s="25">
        <v>52500</v>
      </c>
      <c r="K18">
        <f>1+2+1+1</f>
        <v>5</v>
      </c>
      <c r="L18" s="17">
        <f t="shared" si="1"/>
        <v>262500</v>
      </c>
      <c r="Q18" s="15">
        <f t="shared" si="0"/>
        <v>10257.881600319042</v>
      </c>
    </row>
    <row r="19" spans="1:17" x14ac:dyDescent="0.2">
      <c r="A19" s="13" t="s">
        <v>34</v>
      </c>
      <c r="B19" s="14" t="s">
        <v>35</v>
      </c>
      <c r="C19" s="15">
        <f>'[4]Team Report'!BA37</f>
        <v>17422.019999999997</v>
      </c>
      <c r="E19" s="15">
        <v>145000</v>
      </c>
      <c r="H19" s="15">
        <f>+([24]EOPs!H19)/170*$H$29</f>
        <v>24102.399840478567</v>
      </c>
      <c r="I19" t="s">
        <v>33</v>
      </c>
      <c r="J19" s="25">
        <v>56250</v>
      </c>
      <c r="K19">
        <f>7+2+1+1+4+2</f>
        <v>17</v>
      </c>
      <c r="L19" s="17">
        <f t="shared" si="1"/>
        <v>956250</v>
      </c>
      <c r="Q19" s="15">
        <f t="shared" si="0"/>
        <v>2191.1272582253241</v>
      </c>
    </row>
    <row r="20" spans="1:17" x14ac:dyDescent="0.2">
      <c r="A20" s="13" t="s">
        <v>37</v>
      </c>
      <c r="B20" s="14" t="s">
        <v>38</v>
      </c>
      <c r="C20" s="15">
        <f>'[4]Team Report'!BA38</f>
        <v>0</v>
      </c>
      <c r="E20" s="15">
        <f>(C20/9)*12</f>
        <v>0</v>
      </c>
      <c r="H20" s="15">
        <f>+([24]EOPs!H20)/170*$H$29</f>
        <v>0</v>
      </c>
      <c r="I20" t="s">
        <v>45</v>
      </c>
      <c r="J20" s="25">
        <v>75000</v>
      </c>
      <c r="K20">
        <f>3+1</f>
        <v>4</v>
      </c>
      <c r="L20" s="17">
        <f t="shared" si="1"/>
        <v>300000</v>
      </c>
      <c r="Q20" s="15">
        <f t="shared" si="0"/>
        <v>0</v>
      </c>
    </row>
    <row r="21" spans="1:17" x14ac:dyDescent="0.2">
      <c r="A21" s="13" t="s">
        <v>40</v>
      </c>
      <c r="B21" s="14" t="s">
        <v>41</v>
      </c>
      <c r="C21" s="15">
        <f>'[4]Team Report'!BA42</f>
        <v>75042.680000000008</v>
      </c>
      <c r="E21" s="15">
        <f>((C21/9)*12)*1.3</f>
        <v>130073.97866666669</v>
      </c>
      <c r="H21" s="15">
        <f>+([24]EOPs!H21)/170*$H$29</f>
        <v>0</v>
      </c>
      <c r="I21" t="s">
        <v>94</v>
      </c>
      <c r="J21" s="25">
        <v>60000</v>
      </c>
      <c r="K21">
        <f>2+12+1</f>
        <v>15</v>
      </c>
      <c r="L21" s="17">
        <f t="shared" si="1"/>
        <v>900000</v>
      </c>
      <c r="Q21" s="15">
        <f t="shared" si="0"/>
        <v>0</v>
      </c>
    </row>
    <row r="22" spans="1:17" x14ac:dyDescent="0.2">
      <c r="A22" s="13" t="s">
        <v>43</v>
      </c>
      <c r="B22" s="14" t="s">
        <v>44</v>
      </c>
      <c r="C22" s="15">
        <f>'[4]Team Report'!BA44</f>
        <v>1226.24</v>
      </c>
      <c r="E22" s="15">
        <f>((C22/9)*12)*1.3</f>
        <v>2125.4826666666668</v>
      </c>
      <c r="H22" s="15">
        <f>+([24]EOPs!H22)/170*$H$29</f>
        <v>0</v>
      </c>
      <c r="I22" t="s">
        <v>36</v>
      </c>
      <c r="J22" s="25">
        <v>65000</v>
      </c>
      <c r="K22">
        <f>8+4+5+10+9+2+2+4+4+1</f>
        <v>49</v>
      </c>
      <c r="L22" s="17">
        <f t="shared" si="1"/>
        <v>3185000</v>
      </c>
      <c r="Q22" s="15">
        <f t="shared" si="0"/>
        <v>0</v>
      </c>
    </row>
    <row r="23" spans="1:17" x14ac:dyDescent="0.2">
      <c r="A23" s="26" t="s">
        <v>46</v>
      </c>
      <c r="B23" s="27" t="s">
        <v>47</v>
      </c>
      <c r="C23" s="28">
        <f>SUM(C8:C22)</f>
        <v>6646856.1299999999</v>
      </c>
      <c r="E23" s="28">
        <f>SUM(E8:E22)</f>
        <v>19251859.132000003</v>
      </c>
      <c r="H23" s="28">
        <f>SUM(H8:H22)</f>
        <v>1342595.4163560518</v>
      </c>
      <c r="I23" t="s">
        <v>108</v>
      </c>
      <c r="J23" s="25">
        <v>82500</v>
      </c>
      <c r="K23">
        <f>10+1+13+6+6+3+7+1+2+6</f>
        <v>55</v>
      </c>
      <c r="L23" s="17">
        <f t="shared" si="1"/>
        <v>4537500</v>
      </c>
      <c r="Q23" s="28">
        <f>SUM(Q8:Q22)</f>
        <v>122054.12875964108</v>
      </c>
    </row>
    <row r="24" spans="1:17" x14ac:dyDescent="0.2">
      <c r="I24" t="s">
        <v>96</v>
      </c>
      <c r="J24" s="25">
        <v>100000</v>
      </c>
      <c r="K24">
        <f>2+1+8+6+3+1+4</f>
        <v>25</v>
      </c>
      <c r="L24" s="17">
        <f t="shared" si="1"/>
        <v>2500000</v>
      </c>
    </row>
    <row r="25" spans="1:17" x14ac:dyDescent="0.2">
      <c r="B25" s="27" t="s">
        <v>50</v>
      </c>
      <c r="C25" s="55"/>
      <c r="E25" s="55">
        <v>114</v>
      </c>
      <c r="H25" s="55">
        <v>11</v>
      </c>
      <c r="I25" t="s">
        <v>97</v>
      </c>
      <c r="J25" s="25">
        <v>145000</v>
      </c>
      <c r="K25">
        <f>1+1+1+1+2+1+2</f>
        <v>9</v>
      </c>
      <c r="L25" s="17">
        <f t="shared" si="1"/>
        <v>1305000</v>
      </c>
      <c r="Q25" s="31">
        <f>+T16+T17+T18+T19+T20+T23+T24+T25+T26+T27</f>
        <v>0</v>
      </c>
    </row>
    <row r="26" spans="1:17" x14ac:dyDescent="0.2">
      <c r="I26" t="s">
        <v>98</v>
      </c>
      <c r="J26" s="25">
        <v>175000</v>
      </c>
      <c r="K26">
        <f>1+1</f>
        <v>2</v>
      </c>
      <c r="L26" s="17">
        <f t="shared" si="1"/>
        <v>350000</v>
      </c>
      <c r="Q26" s="15"/>
    </row>
    <row r="27" spans="1:17" x14ac:dyDescent="0.2">
      <c r="B27" s="27" t="s">
        <v>67</v>
      </c>
      <c r="C27" s="55"/>
      <c r="E27" s="55">
        <v>4</v>
      </c>
      <c r="H27" s="55">
        <v>0</v>
      </c>
      <c r="I27" t="s">
        <v>99</v>
      </c>
      <c r="J27" s="25">
        <v>237500</v>
      </c>
      <c r="K27">
        <f>1</f>
        <v>1</v>
      </c>
      <c r="L27" s="17">
        <f t="shared" si="1"/>
        <v>237500</v>
      </c>
      <c r="Q27" s="31">
        <f>+T21+T22</f>
        <v>0</v>
      </c>
    </row>
    <row r="28" spans="1:17" x14ac:dyDescent="0.2">
      <c r="I28" t="s">
        <v>100</v>
      </c>
      <c r="J28" s="25">
        <v>312500</v>
      </c>
      <c r="K28">
        <v>0</v>
      </c>
      <c r="L28" s="17">
        <f t="shared" si="1"/>
        <v>0</v>
      </c>
    </row>
    <row r="29" spans="1:17" x14ac:dyDescent="0.2">
      <c r="B29" s="27" t="s">
        <v>55</v>
      </c>
      <c r="C29" s="55"/>
      <c r="E29" s="55">
        <f>SUM(E25:E28)</f>
        <v>118</v>
      </c>
      <c r="H29" s="55">
        <f>SUM(H25:H28)</f>
        <v>11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idden="1" x14ac:dyDescent="0.2">
      <c r="B30" s="27"/>
    </row>
    <row r="31" spans="1:17" hidden="1" x14ac:dyDescent="0.2">
      <c r="A31" s="13" t="s">
        <v>71</v>
      </c>
      <c r="B31" s="14" t="s">
        <v>72</v>
      </c>
      <c r="C31" s="15">
        <f>'[4]Team Report'!BA29</f>
        <v>0</v>
      </c>
      <c r="E31" s="15">
        <f t="shared" ref="E31:E38" si="2">(C31/9)*12</f>
        <v>0</v>
      </c>
      <c r="I31" t="s">
        <v>102</v>
      </c>
      <c r="K31" s="52"/>
      <c r="L31" s="52">
        <v>0.2</v>
      </c>
    </row>
    <row r="32" spans="1:17" hidden="1" x14ac:dyDescent="0.2">
      <c r="A32" s="13" t="s">
        <v>73</v>
      </c>
      <c r="B32" s="14" t="s">
        <v>74</v>
      </c>
      <c r="C32" s="15">
        <f>'[4]Team Report'!BA30</f>
        <v>0</v>
      </c>
      <c r="E32" s="15">
        <f t="shared" si="2"/>
        <v>0</v>
      </c>
    </row>
    <row r="33" spans="1:12" hidden="1" x14ac:dyDescent="0.2">
      <c r="A33" s="13" t="s">
        <v>75</v>
      </c>
      <c r="B33" s="14" t="s">
        <v>76</v>
      </c>
      <c r="C33" s="15">
        <f>'[4]Team Report'!BA31</f>
        <v>0</v>
      </c>
      <c r="E33" s="15">
        <f t="shared" si="2"/>
        <v>0</v>
      </c>
      <c r="L33" s="25">
        <f>L29*1.2</f>
        <v>17530500</v>
      </c>
    </row>
    <row r="34" spans="1:12" hidden="1" x14ac:dyDescent="0.2">
      <c r="A34" s="13" t="s">
        <v>77</v>
      </c>
      <c r="B34" s="14" t="s">
        <v>78</v>
      </c>
      <c r="C34" s="15">
        <f>'[4]Team Report'!BA39</f>
        <v>0</v>
      </c>
      <c r="E34" s="15">
        <f t="shared" si="2"/>
        <v>0</v>
      </c>
    </row>
    <row r="35" spans="1:12" hidden="1" x14ac:dyDescent="0.2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2"/>
        <v>32893.85333333334</v>
      </c>
    </row>
    <row r="36" spans="1:12" hidden="1" x14ac:dyDescent="0.2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2"/>
        <v>641393.90666666673</v>
      </c>
    </row>
    <row r="37" spans="1:12" hidden="1" x14ac:dyDescent="0.2">
      <c r="A37" s="13" t="s">
        <v>83</v>
      </c>
      <c r="B37" s="14" t="s">
        <v>84</v>
      </c>
      <c r="C37" s="15">
        <f>'[4]Team Report'!BA43</f>
        <v>-771915.88</v>
      </c>
      <c r="E37" s="15">
        <f t="shared" si="2"/>
        <v>-1029221.1733333333</v>
      </c>
      <c r="H37" s="33" t="s">
        <v>56</v>
      </c>
    </row>
    <row r="38" spans="1:12" hidden="1" x14ac:dyDescent="0.2">
      <c r="A38" s="13" t="s">
        <v>85</v>
      </c>
      <c r="B38" s="14" t="s">
        <v>86</v>
      </c>
      <c r="C38" s="15">
        <f>'[4]Team Report'!BA45</f>
        <v>0</v>
      </c>
      <c r="E38" s="15">
        <f t="shared" si="2"/>
        <v>0</v>
      </c>
    </row>
    <row r="39" spans="1:12" hidden="1" x14ac:dyDescent="0.2">
      <c r="A39" s="13"/>
      <c r="B39" s="14"/>
      <c r="C39" s="15"/>
      <c r="E39" s="15"/>
      <c r="H39" t="s">
        <v>134</v>
      </c>
    </row>
    <row r="40" spans="1:12" hidden="1" x14ac:dyDescent="0.2"/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6380656.0699999994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/>
  <dimension ref="A1:AM57"/>
  <sheetViews>
    <sheetView workbookViewId="0">
      <selection activeCell="B3" sqref="B3:H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8" hidden="1" customWidth="1"/>
    <col min="6" max="6" width="2.28515625" customWidth="1"/>
    <col min="7" max="7" width="0" hidden="1" customWidth="1"/>
    <col min="8" max="8" width="17.7109375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11.28515625" hidden="1" customWidth="1"/>
    <col min="17" max="17" width="9.140625" hidden="1" customWidth="1"/>
    <col min="18" max="29" width="0" hidden="1" customWidth="1"/>
  </cols>
  <sheetData>
    <row r="1" spans="1:39" ht="18" x14ac:dyDescent="0.25">
      <c r="B1" s="140" t="str">
        <f>'[4]Team Report'!B1</f>
        <v>Enron North America</v>
      </c>
      <c r="C1" s="140"/>
      <c r="D1" s="140"/>
      <c r="E1" s="140"/>
      <c r="F1" s="140"/>
      <c r="G1" s="140"/>
      <c r="H1" s="140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25">
      <c r="B2" s="140" t="s">
        <v>161</v>
      </c>
      <c r="C2" s="140"/>
      <c r="D2" s="140"/>
      <c r="E2" s="140"/>
      <c r="F2" s="140"/>
      <c r="G2" s="140"/>
      <c r="H2" s="140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25">
      <c r="B3" s="141" t="s">
        <v>0</v>
      </c>
      <c r="C3" s="141"/>
      <c r="D3" s="141"/>
      <c r="E3" s="141"/>
      <c r="F3" s="141"/>
      <c r="G3" s="141"/>
      <c r="H3" s="141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5" thickBot="1" x14ac:dyDescent="0.25">
      <c r="I4" s="145" t="s">
        <v>173</v>
      </c>
      <c r="J4" s="145"/>
      <c r="K4" s="145"/>
      <c r="L4" s="145"/>
    </row>
    <row r="5" spans="1:39" x14ac:dyDescent="0.2">
      <c r="I5" s="4"/>
      <c r="J5" s="40"/>
      <c r="K5" s="40"/>
      <c r="L5" s="41"/>
      <c r="M5" s="8"/>
    </row>
    <row r="6" spans="1:39" x14ac:dyDescent="0.2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x14ac:dyDescent="0.2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x14ac:dyDescent="0.2">
      <c r="A8" s="13" t="s">
        <v>9</v>
      </c>
      <c r="B8" s="14" t="s">
        <v>10</v>
      </c>
      <c r="C8" s="53">
        <f>'[4]Team Report'!BA25</f>
        <v>4985502.2300000004</v>
      </c>
      <c r="E8" s="15">
        <f>((C8/9)*12)*1.3</f>
        <v>8641537.1986666676</v>
      </c>
      <c r="H8" s="15">
        <f>+([24]EOPs!H8)/170*$H$29</f>
        <v>908269.09129411762</v>
      </c>
      <c r="I8" s="7"/>
      <c r="J8" s="17"/>
      <c r="K8" s="17"/>
      <c r="L8" s="43"/>
      <c r="M8" s="8"/>
      <c r="Q8" s="15">
        <f t="shared" ref="Q8:Q22" si="0">+H8/$H$29*$Q$29</f>
        <v>69866.853176470584</v>
      </c>
    </row>
    <row r="9" spans="1:39" hidden="1" x14ac:dyDescent="0.2">
      <c r="A9" s="13"/>
      <c r="B9" s="14" t="s">
        <v>11</v>
      </c>
      <c r="C9" s="15">
        <v>0</v>
      </c>
      <c r="E9" s="15">
        <f>(C9/9)*12</f>
        <v>0</v>
      </c>
      <c r="H9" s="15">
        <f>+([24]EOPs!H9)/170*$H$29</f>
        <v>0</v>
      </c>
      <c r="I9" s="7" t="s">
        <v>10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si="0"/>
        <v>0</v>
      </c>
    </row>
    <row r="10" spans="1:39" x14ac:dyDescent="0.2">
      <c r="A10" s="13"/>
      <c r="B10" s="14" t="s">
        <v>122</v>
      </c>
      <c r="C10" s="15">
        <v>0</v>
      </c>
      <c r="E10" s="15">
        <f>(C10/9)*12</f>
        <v>0</v>
      </c>
      <c r="H10" s="15">
        <f>+([24]EOPs!H10)/170*$H$29</f>
        <v>164370.68470588233</v>
      </c>
      <c r="I10" s="7"/>
      <c r="J10" s="17"/>
      <c r="K10" s="17"/>
      <c r="L10" s="43"/>
      <c r="M10" s="8"/>
      <c r="Q10" s="15">
        <f t="shared" si="0"/>
        <v>12643.898823529411</v>
      </c>
    </row>
    <row r="11" spans="1:39" x14ac:dyDescent="0.2">
      <c r="A11" s="13" t="s">
        <v>13</v>
      </c>
      <c r="B11" s="14" t="s">
        <v>14</v>
      </c>
      <c r="C11" s="15">
        <f>'[4]Team Report'!BA26</f>
        <v>1210281.1100000001</v>
      </c>
      <c r="E11" s="15">
        <f>((C11/9)*12)*1.3</f>
        <v>2097820.5906666671</v>
      </c>
      <c r="H11" s="15">
        <f>+([24]EOPs!H11)/170*$H$29</f>
        <v>233395.27058823529</v>
      </c>
      <c r="I11" s="7"/>
      <c r="J11" s="17"/>
      <c r="K11" s="17"/>
      <c r="L11" s="43"/>
      <c r="M11" s="8"/>
      <c r="Q11" s="15">
        <f t="shared" si="0"/>
        <v>17953.482352941177</v>
      </c>
    </row>
    <row r="12" spans="1:39" x14ac:dyDescent="0.2">
      <c r="A12" s="13" t="s">
        <v>16</v>
      </c>
      <c r="B12" s="14" t="s">
        <v>17</v>
      </c>
      <c r="C12" s="15">
        <f>'[4]Team Report'!BA27</f>
        <v>190029.97</v>
      </c>
      <c r="E12" s="15">
        <f>((C12/9)*12)*1.3</f>
        <v>329385.28133333335</v>
      </c>
      <c r="H12" s="15">
        <f>+([24]EOPs!H12)/170*$H$29</f>
        <v>27989.586696869395</v>
      </c>
      <c r="I12" s="7" t="s">
        <v>15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2153.045130528415</v>
      </c>
    </row>
    <row r="13" spans="1:39" x14ac:dyDescent="0.2">
      <c r="A13" s="13" t="s">
        <v>18</v>
      </c>
      <c r="B13" s="14" t="s">
        <v>19</v>
      </c>
      <c r="C13" s="15">
        <f>'[4]Team Report'!BA28</f>
        <v>78390.58</v>
      </c>
      <c r="E13" s="15">
        <f>((C13/9)*12)*1.3</f>
        <v>135877.00533333333</v>
      </c>
      <c r="H13" s="15">
        <f>+([24]EOPs!H13)/170*$H$29</f>
        <v>32627.859586679959</v>
      </c>
      <c r="I13" s="7"/>
      <c r="J13" s="17"/>
      <c r="K13" s="17"/>
      <c r="L13" s="43"/>
      <c r="M13" s="8"/>
      <c r="Q13" s="15">
        <f t="shared" si="0"/>
        <v>2509.8353528215353</v>
      </c>
    </row>
    <row r="14" spans="1:39" ht="13.5" thickBot="1" x14ac:dyDescent="0.25">
      <c r="A14" s="13" t="s">
        <v>21</v>
      </c>
      <c r="B14" s="14" t="s">
        <v>22</v>
      </c>
      <c r="C14" s="15">
        <v>0</v>
      </c>
      <c r="E14" s="15">
        <f>(4000000*1.2)+222800</f>
        <v>5022800</v>
      </c>
      <c r="H14" s="15">
        <f>+([24]EOPs!H14)/170*$H$29</f>
        <v>25785.121794616185</v>
      </c>
      <c r="I14" s="22" t="s">
        <v>20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1983.4709072781682</v>
      </c>
    </row>
    <row r="15" spans="1:39" x14ac:dyDescent="0.2">
      <c r="A15" s="13" t="s">
        <v>23</v>
      </c>
      <c r="B15" s="14" t="s">
        <v>24</v>
      </c>
      <c r="C15" s="15">
        <f>'[4]Team Report'!BA33</f>
        <v>69921.63</v>
      </c>
      <c r="E15" s="15">
        <f>2087875*1.3</f>
        <v>2714237.5</v>
      </c>
      <c r="H15" s="15">
        <f>+([24]EOPs!H15)/170*$H$29</f>
        <v>32428.944047856403</v>
      </c>
      <c r="I15" s="8"/>
      <c r="J15" s="17"/>
      <c r="K15" s="17"/>
      <c r="L15" s="17"/>
      <c r="M15" s="8"/>
      <c r="Q15" s="15">
        <f t="shared" si="0"/>
        <v>2494.5341575274156</v>
      </c>
    </row>
    <row r="16" spans="1:39" x14ac:dyDescent="0.2">
      <c r="A16" s="13" t="s">
        <v>25</v>
      </c>
      <c r="B16" s="14" t="s">
        <v>26</v>
      </c>
      <c r="C16" s="15">
        <f>'[4]Team Report'!BA34</f>
        <v>0</v>
      </c>
      <c r="E16" s="15">
        <f>(C16/9)*12</f>
        <v>0</v>
      </c>
      <c r="H16" s="15">
        <f>+([24]EOPs!H16)/170*$H$29</f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x14ac:dyDescent="0.2">
      <c r="A17" s="13" t="s">
        <v>28</v>
      </c>
      <c r="B17" s="14" t="s">
        <v>29</v>
      </c>
      <c r="C17" s="15">
        <f>'[4]Team Report'!BA35</f>
        <v>0</v>
      </c>
      <c r="E17" s="15">
        <f>(C17/9)*12</f>
        <v>0</v>
      </c>
      <c r="H17" s="15">
        <f>+([24]EOPs!H17)/170*$H$29</f>
        <v>0</v>
      </c>
      <c r="I17" s="8" t="s">
        <v>27</v>
      </c>
      <c r="J17" s="25">
        <v>37500</v>
      </c>
      <c r="K17">
        <f>1+1</f>
        <v>2</v>
      </c>
      <c r="L17" s="17">
        <f t="shared" ref="L17:L28" si="1">J17*K17</f>
        <v>75000</v>
      </c>
      <c r="N17">
        <v>1.25</v>
      </c>
      <c r="Q17" s="15">
        <f t="shared" si="0"/>
        <v>0</v>
      </c>
    </row>
    <row r="18" spans="1:17" x14ac:dyDescent="0.2">
      <c r="A18" s="13" t="s">
        <v>31</v>
      </c>
      <c r="B18" s="14" t="s">
        <v>32</v>
      </c>
      <c r="C18" s="15">
        <f>'[4]Team Report'!BA36</f>
        <v>19039.670000000002</v>
      </c>
      <c r="E18" s="15">
        <f>((C18/9)*12)*1.3</f>
        <v>33002.094666666671</v>
      </c>
      <c r="H18" s="15">
        <f>+([24]EOPs!H18)/170*$H$29</f>
        <v>133352.46080414756</v>
      </c>
      <c r="I18" t="s">
        <v>93</v>
      </c>
      <c r="J18" s="25">
        <v>52500</v>
      </c>
      <c r="K18">
        <f>1+2+1+1</f>
        <v>5</v>
      </c>
      <c r="L18" s="17">
        <f t="shared" si="1"/>
        <v>262500</v>
      </c>
      <c r="Q18" s="15">
        <f t="shared" si="0"/>
        <v>10257.881600319042</v>
      </c>
    </row>
    <row r="19" spans="1:17" x14ac:dyDescent="0.2">
      <c r="A19" s="13" t="s">
        <v>34</v>
      </c>
      <c r="B19" s="14" t="s">
        <v>35</v>
      </c>
      <c r="C19" s="15">
        <f>'[4]Team Report'!BA37</f>
        <v>17422.019999999997</v>
      </c>
      <c r="E19" s="15">
        <v>145000</v>
      </c>
      <c r="H19" s="15">
        <f>+([24]EOPs!H19)/170*$H$29</f>
        <v>28484.654356929212</v>
      </c>
      <c r="I19" t="s">
        <v>33</v>
      </c>
      <c r="J19" s="25">
        <v>56250</v>
      </c>
      <c r="K19">
        <f>7+2+1+1+4+2</f>
        <v>17</v>
      </c>
      <c r="L19" s="17">
        <f t="shared" si="1"/>
        <v>956250</v>
      </c>
      <c r="Q19" s="15">
        <f t="shared" si="0"/>
        <v>2191.1272582253241</v>
      </c>
    </row>
    <row r="20" spans="1:17" x14ac:dyDescent="0.2">
      <c r="A20" s="13" t="s">
        <v>37</v>
      </c>
      <c r="B20" s="14" t="s">
        <v>38</v>
      </c>
      <c r="C20" s="15">
        <f>'[4]Team Report'!BA38</f>
        <v>0</v>
      </c>
      <c r="E20" s="15">
        <f>(C20/9)*12</f>
        <v>0</v>
      </c>
      <c r="H20" s="15">
        <f>+([24]EOPs!H20)/170*$H$29</f>
        <v>0</v>
      </c>
      <c r="I20" t="s">
        <v>45</v>
      </c>
      <c r="J20" s="25">
        <v>75000</v>
      </c>
      <c r="K20">
        <f>3+1</f>
        <v>4</v>
      </c>
      <c r="L20" s="17">
        <f t="shared" si="1"/>
        <v>300000</v>
      </c>
      <c r="Q20" s="15">
        <f t="shared" si="0"/>
        <v>0</v>
      </c>
    </row>
    <row r="21" spans="1:17" x14ac:dyDescent="0.2">
      <c r="A21" s="13" t="s">
        <v>40</v>
      </c>
      <c r="B21" s="14" t="s">
        <v>41</v>
      </c>
      <c r="C21" s="15">
        <f>'[4]Team Report'!BA42</f>
        <v>75042.680000000008</v>
      </c>
      <c r="E21" s="15">
        <f>((C21/9)*12)*1.3</f>
        <v>130073.97866666669</v>
      </c>
      <c r="H21" s="15">
        <f>+([24]EOPs!H21)/170*$H$29</f>
        <v>0</v>
      </c>
      <c r="I21" t="s">
        <v>94</v>
      </c>
      <c r="J21" s="25">
        <v>60000</v>
      </c>
      <c r="K21">
        <f>2+12+1</f>
        <v>15</v>
      </c>
      <c r="L21" s="17">
        <f t="shared" si="1"/>
        <v>900000</v>
      </c>
      <c r="Q21" s="15">
        <f t="shared" si="0"/>
        <v>0</v>
      </c>
    </row>
    <row r="22" spans="1:17" x14ac:dyDescent="0.2">
      <c r="A22" s="13" t="s">
        <v>43</v>
      </c>
      <c r="B22" s="14" t="s">
        <v>44</v>
      </c>
      <c r="C22" s="15">
        <f>'[4]Team Report'!BA44</f>
        <v>1226.24</v>
      </c>
      <c r="E22" s="15">
        <f>((C22/9)*12)*1.3</f>
        <v>2125.4826666666668</v>
      </c>
      <c r="H22" s="15">
        <f>+([24]EOPs!H22)/170*$H$29</f>
        <v>0</v>
      </c>
      <c r="I22" t="s">
        <v>36</v>
      </c>
      <c r="J22" s="25">
        <v>65000</v>
      </c>
      <c r="K22">
        <f>8+4+5+10+9+2+2+4+4+1</f>
        <v>49</v>
      </c>
      <c r="L22" s="17">
        <f t="shared" si="1"/>
        <v>3185000</v>
      </c>
      <c r="Q22" s="15">
        <f t="shared" si="0"/>
        <v>0</v>
      </c>
    </row>
    <row r="23" spans="1:17" x14ac:dyDescent="0.2">
      <c r="A23" s="26" t="s">
        <v>46</v>
      </c>
      <c r="B23" s="27" t="s">
        <v>47</v>
      </c>
      <c r="C23" s="28">
        <f>SUM(C8:C22)</f>
        <v>6646856.1299999999</v>
      </c>
      <c r="E23" s="28">
        <f>SUM(E8:E22)</f>
        <v>19251859.132000003</v>
      </c>
      <c r="H23" s="28">
        <f>SUM(H8:H22)</f>
        <v>1586703.673875334</v>
      </c>
      <c r="I23" t="s">
        <v>108</v>
      </c>
      <c r="J23" s="25">
        <v>82500</v>
      </c>
      <c r="K23">
        <f>10+1+13+6+6+3+7+1+2+6</f>
        <v>55</v>
      </c>
      <c r="L23" s="17">
        <f t="shared" si="1"/>
        <v>4537500</v>
      </c>
      <c r="Q23" s="28">
        <f>SUM(Q8:Q22)</f>
        <v>122054.12875964108</v>
      </c>
    </row>
    <row r="24" spans="1:17" x14ac:dyDescent="0.2">
      <c r="I24" t="s">
        <v>96</v>
      </c>
      <c r="J24" s="25">
        <v>100000</v>
      </c>
      <c r="K24">
        <f>2+1+8+6+3+1+4</f>
        <v>25</v>
      </c>
      <c r="L24" s="17">
        <f t="shared" si="1"/>
        <v>2500000</v>
      </c>
    </row>
    <row r="25" spans="1:17" x14ac:dyDescent="0.2">
      <c r="B25" s="27" t="s">
        <v>50</v>
      </c>
      <c r="C25" s="55"/>
      <c r="E25" s="55">
        <v>114</v>
      </c>
      <c r="H25" s="55">
        <v>13</v>
      </c>
      <c r="I25" t="s">
        <v>97</v>
      </c>
      <c r="J25" s="25">
        <v>145000</v>
      </c>
      <c r="K25">
        <f>1+1+1+1+2+1+2</f>
        <v>9</v>
      </c>
      <c r="L25" s="17">
        <f t="shared" si="1"/>
        <v>1305000</v>
      </c>
      <c r="Q25" s="31">
        <f>+T16+T17+T18+T19+T20+T23+T24+T25+T26+T27</f>
        <v>0</v>
      </c>
    </row>
    <row r="26" spans="1:17" x14ac:dyDescent="0.2">
      <c r="I26" t="s">
        <v>98</v>
      </c>
      <c r="J26" s="25">
        <v>175000</v>
      </c>
      <c r="K26">
        <f>1+1</f>
        <v>2</v>
      </c>
      <c r="L26" s="17">
        <f t="shared" si="1"/>
        <v>350000</v>
      </c>
      <c r="Q26" s="15"/>
    </row>
    <row r="27" spans="1:17" x14ac:dyDescent="0.2">
      <c r="B27" s="27" t="s">
        <v>67</v>
      </c>
      <c r="C27" s="55"/>
      <c r="E27" s="55">
        <v>4</v>
      </c>
      <c r="H27" s="55">
        <v>0</v>
      </c>
      <c r="I27" t="s">
        <v>99</v>
      </c>
      <c r="J27" s="25">
        <v>237500</v>
      </c>
      <c r="K27">
        <f>1</f>
        <v>1</v>
      </c>
      <c r="L27" s="17">
        <f t="shared" si="1"/>
        <v>237500</v>
      </c>
      <c r="Q27" s="31">
        <f>+T21+T22</f>
        <v>0</v>
      </c>
    </row>
    <row r="28" spans="1:17" x14ac:dyDescent="0.2">
      <c r="I28" t="s">
        <v>100</v>
      </c>
      <c r="J28" s="25">
        <v>312500</v>
      </c>
      <c r="K28">
        <v>0</v>
      </c>
      <c r="L28" s="17">
        <f t="shared" si="1"/>
        <v>0</v>
      </c>
    </row>
    <row r="29" spans="1:17" x14ac:dyDescent="0.2">
      <c r="B29" s="27" t="s">
        <v>55</v>
      </c>
      <c r="C29" s="55"/>
      <c r="E29" s="55">
        <f>SUM(E25:E28)</f>
        <v>118</v>
      </c>
      <c r="H29" s="55">
        <f>SUM(H25:H28)</f>
        <v>13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idden="1" x14ac:dyDescent="0.2">
      <c r="B30" s="27"/>
    </row>
    <row r="31" spans="1:17" hidden="1" x14ac:dyDescent="0.2">
      <c r="A31" s="13" t="s">
        <v>71</v>
      </c>
      <c r="B31" s="14" t="s">
        <v>72</v>
      </c>
      <c r="C31" s="15">
        <f>'[4]Team Report'!BA29</f>
        <v>0</v>
      </c>
      <c r="E31" s="15">
        <f t="shared" ref="E31:E38" si="2">(C31/9)*12</f>
        <v>0</v>
      </c>
      <c r="I31" t="s">
        <v>102</v>
      </c>
      <c r="K31" s="52"/>
      <c r="L31" s="52">
        <v>0.2</v>
      </c>
    </row>
    <row r="32" spans="1:17" hidden="1" x14ac:dyDescent="0.2">
      <c r="A32" s="13" t="s">
        <v>73</v>
      </c>
      <c r="B32" s="14" t="s">
        <v>74</v>
      </c>
      <c r="C32" s="15">
        <f>'[4]Team Report'!BA30</f>
        <v>0</v>
      </c>
      <c r="E32" s="15">
        <f t="shared" si="2"/>
        <v>0</v>
      </c>
    </row>
    <row r="33" spans="1:12" hidden="1" x14ac:dyDescent="0.2">
      <c r="A33" s="13" t="s">
        <v>75</v>
      </c>
      <c r="B33" s="14" t="s">
        <v>76</v>
      </c>
      <c r="C33" s="15">
        <f>'[4]Team Report'!BA31</f>
        <v>0</v>
      </c>
      <c r="E33" s="15">
        <f t="shared" si="2"/>
        <v>0</v>
      </c>
      <c r="L33" s="25">
        <f>L29*1.2</f>
        <v>17530500</v>
      </c>
    </row>
    <row r="34" spans="1:12" hidden="1" x14ac:dyDescent="0.2">
      <c r="A34" s="13" t="s">
        <v>77</v>
      </c>
      <c r="B34" s="14" t="s">
        <v>78</v>
      </c>
      <c r="C34" s="15">
        <f>'[4]Team Report'!BA39</f>
        <v>0</v>
      </c>
      <c r="E34" s="15">
        <f t="shared" si="2"/>
        <v>0</v>
      </c>
    </row>
    <row r="35" spans="1:12" hidden="1" x14ac:dyDescent="0.2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2"/>
        <v>32893.85333333334</v>
      </c>
    </row>
    <row r="36" spans="1:12" hidden="1" x14ac:dyDescent="0.2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2"/>
        <v>641393.90666666673</v>
      </c>
    </row>
    <row r="37" spans="1:12" hidden="1" x14ac:dyDescent="0.2">
      <c r="A37" s="13" t="s">
        <v>83</v>
      </c>
      <c r="B37" s="14" t="s">
        <v>84</v>
      </c>
      <c r="C37" s="15">
        <f>'[4]Team Report'!BA43</f>
        <v>-771915.88</v>
      </c>
      <c r="E37" s="15">
        <f t="shared" si="2"/>
        <v>-1029221.1733333333</v>
      </c>
      <c r="H37" s="33" t="s">
        <v>56</v>
      </c>
    </row>
    <row r="38" spans="1:12" hidden="1" x14ac:dyDescent="0.2">
      <c r="A38" s="13" t="s">
        <v>85</v>
      </c>
      <c r="B38" s="14" t="s">
        <v>86</v>
      </c>
      <c r="C38" s="15">
        <f>'[4]Team Report'!BA45</f>
        <v>0</v>
      </c>
      <c r="E38" s="15">
        <f t="shared" si="2"/>
        <v>0</v>
      </c>
    </row>
    <row r="39" spans="1:12" hidden="1" x14ac:dyDescent="0.2">
      <c r="A39" s="13"/>
      <c r="B39" s="14"/>
      <c r="C39" s="15"/>
      <c r="E39" s="15"/>
      <c r="H39" t="s">
        <v>134</v>
      </c>
    </row>
    <row r="40" spans="1:12" hidden="1" x14ac:dyDescent="0.2"/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6380656.0699999994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AR39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9.710937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40" t="str">
        <f>'[20]Team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0" t="s">
        <v>278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  <c r="N5" s="126" t="s">
        <v>252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N6" s="44" t="s">
        <v>63</v>
      </c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N7" s="12" t="s">
        <v>7</v>
      </c>
      <c r="Q7" s="12"/>
    </row>
    <row r="8" spans="1:44" x14ac:dyDescent="0.2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856458</v>
      </c>
      <c r="I8" s="42" t="s">
        <v>10</v>
      </c>
      <c r="J8" s="17">
        <v>0</v>
      </c>
      <c r="K8" s="17"/>
      <c r="L8" s="43">
        <f>L30</f>
        <v>1507968</v>
      </c>
      <c r="N8" s="15">
        <f>H8/2*1.5+75670+10715</f>
        <v>728728.5</v>
      </c>
      <c r="Q8" s="15"/>
    </row>
    <row r="9" spans="1:44" hidden="1" x14ac:dyDescent="0.2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N9" s="15"/>
      <c r="Q9" s="15"/>
    </row>
    <row r="10" spans="1:44" x14ac:dyDescent="0.2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0</v>
      </c>
      <c r="I10" s="42"/>
      <c r="J10" s="17"/>
      <c r="K10" s="17"/>
      <c r="L10" s="43"/>
      <c r="N10" s="15">
        <v>420200</v>
      </c>
      <c r="Q10" s="15"/>
    </row>
    <row r="11" spans="1:44" x14ac:dyDescent="0.2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v>155337.60000000001</v>
      </c>
      <c r="I11" s="42" t="s">
        <v>15</v>
      </c>
      <c r="J11" s="17">
        <f>(E12+E13+E14+E15+E16+E17+E18+E19+E20+E21+E22)/E29</f>
        <v>48270.181250000009</v>
      </c>
      <c r="K11" s="17">
        <f>K28</f>
        <v>10</v>
      </c>
      <c r="L11" s="43">
        <f>J11*K11</f>
        <v>482701.81250000012</v>
      </c>
      <c r="N11" s="15">
        <f>H11/2*1.5+24992</f>
        <v>141495.20000000001</v>
      </c>
      <c r="Q11" s="15"/>
    </row>
    <row r="12" spans="1:44" x14ac:dyDescent="0.2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36000</v>
      </c>
      <c r="I12" s="42"/>
      <c r="J12" s="17"/>
      <c r="K12" s="17"/>
      <c r="L12" s="43"/>
      <c r="N12" s="15">
        <v>75000</v>
      </c>
      <c r="Q12" s="15"/>
    </row>
    <row r="13" spans="1:44" ht="13.5" thickBot="1" x14ac:dyDescent="0.2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36000</v>
      </c>
      <c r="I13" s="46" t="s">
        <v>20</v>
      </c>
      <c r="J13" s="47"/>
      <c r="K13" s="47"/>
      <c r="L13" s="48">
        <f>L8+L11</f>
        <v>1990669.8125</v>
      </c>
      <c r="N13" s="15">
        <v>75000</v>
      </c>
      <c r="P13" s="49"/>
      <c r="Q13" s="15"/>
    </row>
    <row r="14" spans="1:44" x14ac:dyDescent="0.2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N14" s="15">
        <v>0</v>
      </c>
      <c r="Q14" s="15"/>
    </row>
    <row r="15" spans="1:44" x14ac:dyDescent="0.2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24000</v>
      </c>
      <c r="N15" s="15">
        <v>50000</v>
      </c>
      <c r="Q15" s="15"/>
    </row>
    <row r="16" spans="1:44" x14ac:dyDescent="0.2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N16" s="15">
        <v>0</v>
      </c>
      <c r="Q16" s="15"/>
    </row>
    <row r="17" spans="1:17" x14ac:dyDescent="0.2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283.2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N17" s="15">
        <v>590</v>
      </c>
      <c r="Q17" s="15"/>
    </row>
    <row r="18" spans="1:17" x14ac:dyDescent="0.2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N18" s="15">
        <v>0</v>
      </c>
      <c r="Q18" s="15"/>
    </row>
    <row r="19" spans="1:17" x14ac:dyDescent="0.2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48000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N19" s="15">
        <v>100000</v>
      </c>
      <c r="Q19" s="15"/>
    </row>
    <row r="20" spans="1:17" x14ac:dyDescent="0.2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0.96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N20" s="15">
        <v>2</v>
      </c>
      <c r="Q20" s="15"/>
    </row>
    <row r="21" spans="1:17" x14ac:dyDescent="0.2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7200</v>
      </c>
      <c r="I21" s="25" t="s">
        <v>42</v>
      </c>
      <c r="J21" s="25">
        <v>60500</v>
      </c>
      <c r="K21" s="25">
        <v>4</v>
      </c>
      <c r="L21" s="25">
        <f t="shared" si="1"/>
        <v>242000</v>
      </c>
      <c r="N21" s="15">
        <v>15000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2</v>
      </c>
      <c r="L22" s="25">
        <f t="shared" si="1"/>
        <v>178200</v>
      </c>
      <c r="N22" s="15">
        <v>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1163279.76</v>
      </c>
      <c r="I23" s="25" t="s">
        <v>48</v>
      </c>
      <c r="J23" s="25">
        <v>110000</v>
      </c>
      <c r="K23" s="25">
        <v>0</v>
      </c>
      <c r="L23" s="25">
        <f t="shared" si="1"/>
        <v>0</v>
      </c>
      <c r="N23" s="28">
        <f>SUM(N8:N22)</f>
        <v>1606015.7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f>3</f>
        <v>3</v>
      </c>
      <c r="L24" s="25">
        <f t="shared" si="1"/>
        <v>429000</v>
      </c>
      <c r="P24" s="8"/>
      <c r="Q24" s="8"/>
    </row>
    <row r="25" spans="1:17" x14ac:dyDescent="0.2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f>+K16+K17+K18+K19+K20+K23+K24+K25+K26+K27</f>
        <v>4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P26" s="8"/>
      <c r="Q26" s="32"/>
    </row>
    <row r="27" spans="1:17" x14ac:dyDescent="0.2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">
      <c r="K28" s="25">
        <f>SUM(K16:K27)</f>
        <v>10</v>
      </c>
      <c r="L28" s="25">
        <f>SUM(L16:L27)*1.2</f>
        <v>1256640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4</v>
      </c>
      <c r="L29" s="52">
        <v>0.2</v>
      </c>
      <c r="P29" s="8"/>
      <c r="Q29" s="32"/>
    </row>
    <row r="30" spans="1:17" hidden="1" x14ac:dyDescent="0.2">
      <c r="L30" s="25">
        <f>L28*1.2</f>
        <v>1507968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10</v>
      </c>
      <c r="L34" s="37">
        <f>+J34*K34</f>
        <v>482701.81250000012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/>
  <dimension ref="A1:AM57"/>
  <sheetViews>
    <sheetView workbookViewId="0">
      <selection activeCell="H8" sqref="H8:H2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8" hidden="1" customWidth="1"/>
    <col min="6" max="6" width="2.28515625" customWidth="1"/>
    <col min="7" max="7" width="0" hidden="1" customWidth="1"/>
    <col min="8" max="8" width="17.7109375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11.28515625" hidden="1" customWidth="1"/>
    <col min="17" max="17" width="9.140625" hidden="1" customWidth="1"/>
    <col min="18" max="29" width="0" hidden="1" customWidth="1"/>
  </cols>
  <sheetData>
    <row r="1" spans="1:39" ht="18" x14ac:dyDescent="0.25">
      <c r="B1" s="140" t="str">
        <f>'[4]Team Report'!B1</f>
        <v>Enron North America</v>
      </c>
      <c r="C1" s="140"/>
      <c r="D1" s="140"/>
      <c r="E1" s="140"/>
      <c r="F1" s="140"/>
      <c r="G1" s="140"/>
      <c r="H1" s="140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25">
      <c r="B2" s="140" t="s">
        <v>158</v>
      </c>
      <c r="C2" s="140"/>
      <c r="D2" s="140"/>
      <c r="E2" s="140"/>
      <c r="F2" s="140"/>
      <c r="G2" s="140"/>
      <c r="H2" s="140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25">
      <c r="B3" s="141" t="s">
        <v>0</v>
      </c>
      <c r="C3" s="141"/>
      <c r="D3" s="141"/>
      <c r="E3" s="141"/>
      <c r="F3" s="141"/>
      <c r="G3" s="141"/>
      <c r="H3" s="141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5" thickBot="1" x14ac:dyDescent="0.25">
      <c r="I4" s="145" t="s">
        <v>173</v>
      </c>
      <c r="J4" s="145"/>
      <c r="K4" s="145"/>
      <c r="L4" s="145"/>
    </row>
    <row r="5" spans="1:39" x14ac:dyDescent="0.2">
      <c r="I5" s="4"/>
      <c r="J5" s="40"/>
      <c r="K5" s="40"/>
      <c r="L5" s="41"/>
      <c r="M5" s="8"/>
    </row>
    <row r="6" spans="1:39" x14ac:dyDescent="0.2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x14ac:dyDescent="0.2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x14ac:dyDescent="0.2">
      <c r="A8" s="13" t="s">
        <v>9</v>
      </c>
      <c r="B8" s="14" t="s">
        <v>10</v>
      </c>
      <c r="C8" s="53">
        <f>'[4]Team Report'!BA25</f>
        <v>4985502.2300000004</v>
      </c>
      <c r="E8" s="15">
        <f>((C8/9)*12)*1.3</f>
        <v>8641537.1986666676</v>
      </c>
      <c r="H8" s="15">
        <f>((2084000/32)*13)*1.2</f>
        <v>1015950</v>
      </c>
      <c r="I8" s="7"/>
      <c r="J8" s="17"/>
      <c r="K8" s="17"/>
      <c r="L8" s="43"/>
      <c r="M8" s="8"/>
      <c r="Q8" s="15">
        <f t="shared" ref="Q8:Q22" si="0">+H8/$H$29*$Q$29</f>
        <v>72567.857142857145</v>
      </c>
    </row>
    <row r="9" spans="1:39" hidden="1" x14ac:dyDescent="0.2">
      <c r="A9" s="13"/>
      <c r="B9" s="14" t="s">
        <v>11</v>
      </c>
      <c r="C9" s="15">
        <v>0</v>
      </c>
      <c r="E9" s="15">
        <f>(C9/9)*12</f>
        <v>0</v>
      </c>
      <c r="H9" s="15">
        <v>0</v>
      </c>
      <c r="I9" s="7" t="s">
        <v>10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si="0"/>
        <v>0</v>
      </c>
    </row>
    <row r="10" spans="1:39" x14ac:dyDescent="0.2">
      <c r="A10" s="13"/>
      <c r="B10" s="14" t="s">
        <v>122</v>
      </c>
      <c r="C10" s="15">
        <v>0</v>
      </c>
      <c r="E10" s="15">
        <f>(C10/9)*12</f>
        <v>0</v>
      </c>
      <c r="H10" s="15">
        <f>(94274)*1.2</f>
        <v>113128.8</v>
      </c>
      <c r="I10" s="7"/>
      <c r="J10" s="17"/>
      <c r="K10" s="17"/>
      <c r="L10" s="43"/>
      <c r="M10" s="8"/>
      <c r="Q10" s="15">
        <f t="shared" si="0"/>
        <v>8080.6285714285714</v>
      </c>
    </row>
    <row r="11" spans="1:39" x14ac:dyDescent="0.2">
      <c r="A11" s="13" t="s">
        <v>13</v>
      </c>
      <c r="B11" s="14" t="s">
        <v>14</v>
      </c>
      <c r="C11" s="15">
        <f>'[4]Team Report'!BA26</f>
        <v>1210281.1100000001</v>
      </c>
      <c r="E11" s="15">
        <f>((C11/9)*12)*1.3</f>
        <v>2097820.5906666671</v>
      </c>
      <c r="H11" s="15">
        <f>((H8+H10)*0.2)*1.2</f>
        <v>270978.91200000001</v>
      </c>
      <c r="I11" s="7"/>
      <c r="J11" s="17"/>
      <c r="K11" s="17"/>
      <c r="L11" s="43"/>
      <c r="M11" s="8"/>
      <c r="Q11" s="15">
        <f t="shared" si="0"/>
        <v>19355.636571428571</v>
      </c>
    </row>
    <row r="12" spans="1:39" x14ac:dyDescent="0.2">
      <c r="A12" s="13" t="s">
        <v>16</v>
      </c>
      <c r="B12" s="14" t="s">
        <v>17</v>
      </c>
      <c r="C12" s="15">
        <f>'[4]Team Report'!BA27</f>
        <v>190029.97</v>
      </c>
      <c r="E12" s="15">
        <f>((C12/9)*12)*1.3</f>
        <v>329385.28133333335</v>
      </c>
      <c r="H12" s="15">
        <f>((((105350+28800)/32)*14)/2)*1.2</f>
        <v>35214.375</v>
      </c>
      <c r="I12" s="7" t="s">
        <v>15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2515.3125</v>
      </c>
    </row>
    <row r="13" spans="1:39" x14ac:dyDescent="0.2">
      <c r="A13" s="13" t="s">
        <v>18</v>
      </c>
      <c r="B13" s="14" t="s">
        <v>19</v>
      </c>
      <c r="C13" s="15">
        <f>'[4]Team Report'!BA28</f>
        <v>78390.58</v>
      </c>
      <c r="E13" s="15">
        <f>((C13/9)*12)*1.3</f>
        <v>135877.00533333333</v>
      </c>
      <c r="H13" s="15">
        <v>35214</v>
      </c>
      <c r="I13" s="7"/>
      <c r="J13" s="17"/>
      <c r="K13" s="17"/>
      <c r="L13" s="43"/>
      <c r="M13" s="8"/>
      <c r="Q13" s="15">
        <f t="shared" si="0"/>
        <v>2515.2857142857142</v>
      </c>
    </row>
    <row r="14" spans="1:39" ht="13.5" thickBot="1" x14ac:dyDescent="0.25">
      <c r="A14" s="13" t="s">
        <v>21</v>
      </c>
      <c r="B14" s="14" t="s">
        <v>22</v>
      </c>
      <c r="C14" s="15">
        <v>0</v>
      </c>
      <c r="E14" s="15">
        <f>(4000000*1.2)+222800</f>
        <v>5022800</v>
      </c>
      <c r="H14" s="15">
        <v>0</v>
      </c>
      <c r="I14" s="22" t="s">
        <v>20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0</v>
      </c>
    </row>
    <row r="15" spans="1:39" x14ac:dyDescent="0.2">
      <c r="A15" s="13" t="s">
        <v>23</v>
      </c>
      <c r="B15" s="14" t="s">
        <v>24</v>
      </c>
      <c r="C15" s="15">
        <f>'[4]Team Report'!BA33</f>
        <v>69921.63</v>
      </c>
      <c r="E15" s="15">
        <f>2087875*1.3</f>
        <v>2714237.5</v>
      </c>
      <c r="H15" s="15">
        <f>((88248/32)*14)*1.2</f>
        <v>46330.2</v>
      </c>
      <c r="I15" s="8"/>
      <c r="J15" s="17"/>
      <c r="K15" s="17"/>
      <c r="L15" s="17"/>
      <c r="M15" s="8"/>
      <c r="Q15" s="15">
        <f t="shared" si="0"/>
        <v>3309.2999999999997</v>
      </c>
    </row>
    <row r="16" spans="1:39" x14ac:dyDescent="0.2">
      <c r="A16" s="13" t="s">
        <v>25</v>
      </c>
      <c r="B16" s="14" t="s">
        <v>26</v>
      </c>
      <c r="C16" s="15">
        <f>'[4]Team Report'!BA34</f>
        <v>0</v>
      </c>
      <c r="E16" s="15">
        <f>(C16/9)*12</f>
        <v>0</v>
      </c>
      <c r="H16" s="15"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x14ac:dyDescent="0.2">
      <c r="A17" s="13" t="s">
        <v>28</v>
      </c>
      <c r="B17" s="14" t="s">
        <v>29</v>
      </c>
      <c r="C17" s="15">
        <f>'[4]Team Report'!BA35</f>
        <v>0</v>
      </c>
      <c r="E17" s="15">
        <f>(C17/9)*12</f>
        <v>0</v>
      </c>
      <c r="H17" s="15">
        <v>0</v>
      </c>
      <c r="I17" s="8" t="s">
        <v>27</v>
      </c>
      <c r="J17" s="25">
        <v>37500</v>
      </c>
      <c r="K17">
        <f>1+1</f>
        <v>2</v>
      </c>
      <c r="L17" s="17">
        <f t="shared" ref="L17:L28" si="1">J17*K17</f>
        <v>75000</v>
      </c>
      <c r="N17">
        <v>1.25</v>
      </c>
      <c r="Q17" s="15">
        <f t="shared" si="0"/>
        <v>0</v>
      </c>
    </row>
    <row r="18" spans="1:17" x14ac:dyDescent="0.2">
      <c r="A18" s="13" t="s">
        <v>31</v>
      </c>
      <c r="B18" s="14" t="s">
        <v>32</v>
      </c>
      <c r="C18" s="15">
        <f>'[4]Team Report'!BA36</f>
        <v>19039.670000000002</v>
      </c>
      <c r="E18" s="15">
        <f>((C18/9)*12)*1.3</f>
        <v>33002.094666666671</v>
      </c>
      <c r="H18" s="15">
        <f>((268800/32)*14)*1.2</f>
        <v>141120</v>
      </c>
      <c r="I18" t="s">
        <v>93</v>
      </c>
      <c r="J18" s="25">
        <v>52500</v>
      </c>
      <c r="K18">
        <f>1+2+1+1</f>
        <v>5</v>
      </c>
      <c r="L18" s="17">
        <f t="shared" si="1"/>
        <v>262500</v>
      </c>
      <c r="Q18" s="15">
        <f t="shared" si="0"/>
        <v>10080</v>
      </c>
    </row>
    <row r="19" spans="1:17" x14ac:dyDescent="0.2">
      <c r="A19" s="13" t="s">
        <v>34</v>
      </c>
      <c r="B19" s="14" t="s">
        <v>35</v>
      </c>
      <c r="C19" s="15">
        <f>'[4]Team Report'!BA37</f>
        <v>17422.019999999997</v>
      </c>
      <c r="E19" s="15">
        <v>145000</v>
      </c>
      <c r="H19" s="15">
        <f>((57600/32)*14)*1.2</f>
        <v>30240</v>
      </c>
      <c r="I19" t="s">
        <v>33</v>
      </c>
      <c r="J19" s="25">
        <v>56250</v>
      </c>
      <c r="K19">
        <f>7+2+1+1+4+2</f>
        <v>17</v>
      </c>
      <c r="L19" s="17">
        <f t="shared" si="1"/>
        <v>956250</v>
      </c>
      <c r="Q19" s="15">
        <f t="shared" si="0"/>
        <v>2160</v>
      </c>
    </row>
    <row r="20" spans="1:17" x14ac:dyDescent="0.2">
      <c r="A20" s="13" t="s">
        <v>37</v>
      </c>
      <c r="B20" s="14" t="s">
        <v>38</v>
      </c>
      <c r="C20" s="15">
        <f>'[4]Team Report'!BA38</f>
        <v>0</v>
      </c>
      <c r="E20" s="15">
        <f>(C20/9)*12</f>
        <v>0</v>
      </c>
      <c r="H20" s="15">
        <v>0</v>
      </c>
      <c r="I20" t="s">
        <v>45</v>
      </c>
      <c r="J20" s="25">
        <v>75000</v>
      </c>
      <c r="K20">
        <f>3+1</f>
        <v>4</v>
      </c>
      <c r="L20" s="17">
        <f t="shared" si="1"/>
        <v>300000</v>
      </c>
      <c r="Q20" s="15">
        <f t="shared" si="0"/>
        <v>0</v>
      </c>
    </row>
    <row r="21" spans="1:17" x14ac:dyDescent="0.2">
      <c r="A21" s="13" t="s">
        <v>40</v>
      </c>
      <c r="B21" s="14" t="s">
        <v>41</v>
      </c>
      <c r="C21" s="15">
        <f>'[4]Team Report'!BA42</f>
        <v>75042.680000000008</v>
      </c>
      <c r="E21" s="15">
        <f>((C21/9)*12)*1.3</f>
        <v>130073.97866666669</v>
      </c>
      <c r="H21" s="15">
        <v>0</v>
      </c>
      <c r="I21" t="s">
        <v>94</v>
      </c>
      <c r="J21" s="25">
        <v>60000</v>
      </c>
      <c r="K21">
        <f>2+12+1</f>
        <v>15</v>
      </c>
      <c r="L21" s="17">
        <f t="shared" si="1"/>
        <v>900000</v>
      </c>
      <c r="Q21" s="15">
        <f t="shared" si="0"/>
        <v>0</v>
      </c>
    </row>
    <row r="22" spans="1:17" x14ac:dyDescent="0.2">
      <c r="A22" s="13" t="s">
        <v>43</v>
      </c>
      <c r="B22" s="14" t="s">
        <v>44</v>
      </c>
      <c r="C22" s="15">
        <f>'[4]Team Report'!BA44</f>
        <v>1226.24</v>
      </c>
      <c r="E22" s="15">
        <f>((C22/9)*12)*1.3</f>
        <v>2125.4826666666668</v>
      </c>
      <c r="H22" s="15">
        <v>0</v>
      </c>
      <c r="I22" t="s">
        <v>36</v>
      </c>
      <c r="J22" s="25">
        <v>65000</v>
      </c>
      <c r="K22">
        <f>8+4+5+10+9+2+2+4+4+1</f>
        <v>49</v>
      </c>
      <c r="L22" s="17">
        <f t="shared" si="1"/>
        <v>3185000</v>
      </c>
      <c r="Q22" s="15">
        <f t="shared" si="0"/>
        <v>0</v>
      </c>
    </row>
    <row r="23" spans="1:17" x14ac:dyDescent="0.2">
      <c r="A23" s="26" t="s">
        <v>46</v>
      </c>
      <c r="B23" s="27" t="s">
        <v>47</v>
      </c>
      <c r="C23" s="28">
        <f>SUM(C8:C22)</f>
        <v>6646856.1299999999</v>
      </c>
      <c r="E23" s="28">
        <f>SUM(E8:E22)</f>
        <v>19251859.132000003</v>
      </c>
      <c r="H23" s="28">
        <f>SUM(H8:H22)</f>
        <v>1688176.287</v>
      </c>
      <c r="I23" t="s">
        <v>108</v>
      </c>
      <c r="J23" s="25">
        <v>82500</v>
      </c>
      <c r="K23">
        <f>10+1+13+6+6+3+7+1+2+6</f>
        <v>55</v>
      </c>
      <c r="L23" s="17">
        <f t="shared" si="1"/>
        <v>4537500</v>
      </c>
      <c r="Q23" s="28">
        <f>SUM(Q8:Q22)</f>
        <v>120584.0205</v>
      </c>
    </row>
    <row r="24" spans="1:17" x14ac:dyDescent="0.2">
      <c r="I24" t="s">
        <v>96</v>
      </c>
      <c r="J24" s="25">
        <v>100000</v>
      </c>
      <c r="K24">
        <f>2+1+8+6+3+1+4</f>
        <v>25</v>
      </c>
      <c r="L24" s="17">
        <f t="shared" si="1"/>
        <v>2500000</v>
      </c>
    </row>
    <row r="25" spans="1:17" x14ac:dyDescent="0.2">
      <c r="B25" s="27" t="s">
        <v>50</v>
      </c>
      <c r="C25" s="55"/>
      <c r="E25" s="55">
        <v>114</v>
      </c>
      <c r="H25" s="55">
        <v>13</v>
      </c>
      <c r="I25" t="s">
        <v>97</v>
      </c>
      <c r="J25" s="25">
        <v>145000</v>
      </c>
      <c r="K25">
        <f>1+1+1+1+2+1+2</f>
        <v>9</v>
      </c>
      <c r="L25" s="17">
        <f t="shared" si="1"/>
        <v>1305000</v>
      </c>
      <c r="Q25" s="31">
        <f>+T16+T17+T18+T19+T20+T23+T24+T25+T26+T27</f>
        <v>0</v>
      </c>
    </row>
    <row r="26" spans="1:17" x14ac:dyDescent="0.2">
      <c r="I26" t="s">
        <v>98</v>
      </c>
      <c r="J26" s="25">
        <v>175000</v>
      </c>
      <c r="K26">
        <f>1+1</f>
        <v>2</v>
      </c>
      <c r="L26" s="17">
        <f t="shared" si="1"/>
        <v>350000</v>
      </c>
      <c r="Q26" s="15"/>
    </row>
    <row r="27" spans="1:17" x14ac:dyDescent="0.2">
      <c r="B27" s="27" t="s">
        <v>67</v>
      </c>
      <c r="C27" s="55"/>
      <c r="E27" s="55">
        <v>4</v>
      </c>
      <c r="H27" s="55">
        <v>1</v>
      </c>
      <c r="I27" t="s">
        <v>99</v>
      </c>
      <c r="J27" s="25">
        <v>237500</v>
      </c>
      <c r="K27">
        <f>1</f>
        <v>1</v>
      </c>
      <c r="L27" s="17">
        <f t="shared" si="1"/>
        <v>237500</v>
      </c>
      <c r="Q27" s="31">
        <f>+T21+T22</f>
        <v>0</v>
      </c>
    </row>
    <row r="28" spans="1:17" x14ac:dyDescent="0.2">
      <c r="I28" t="s">
        <v>100</v>
      </c>
      <c r="J28" s="25">
        <v>312500</v>
      </c>
      <c r="K28">
        <v>0</v>
      </c>
      <c r="L28" s="17">
        <f t="shared" si="1"/>
        <v>0</v>
      </c>
    </row>
    <row r="29" spans="1:17" x14ac:dyDescent="0.2">
      <c r="B29" s="27" t="s">
        <v>55</v>
      </c>
      <c r="C29" s="55"/>
      <c r="E29" s="55">
        <f>SUM(E25:E28)</f>
        <v>118</v>
      </c>
      <c r="H29" s="55">
        <f>SUM(H25:H28)</f>
        <v>14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idden="1" x14ac:dyDescent="0.2">
      <c r="B30" s="27"/>
    </row>
    <row r="31" spans="1:17" hidden="1" x14ac:dyDescent="0.2">
      <c r="A31" s="13" t="s">
        <v>71</v>
      </c>
      <c r="B31" s="14" t="s">
        <v>72</v>
      </c>
      <c r="C31" s="15">
        <f>'[4]Team Report'!BA29</f>
        <v>0</v>
      </c>
      <c r="E31" s="15">
        <f t="shared" ref="E31:E38" si="2">(C31/9)*12</f>
        <v>0</v>
      </c>
      <c r="I31" t="s">
        <v>102</v>
      </c>
      <c r="K31" s="52"/>
      <c r="L31" s="52">
        <v>0.2</v>
      </c>
    </row>
    <row r="32" spans="1:17" hidden="1" x14ac:dyDescent="0.2">
      <c r="A32" s="13" t="s">
        <v>73</v>
      </c>
      <c r="B32" s="14" t="s">
        <v>74</v>
      </c>
      <c r="C32" s="15">
        <f>'[4]Team Report'!BA30</f>
        <v>0</v>
      </c>
      <c r="E32" s="15">
        <f t="shared" si="2"/>
        <v>0</v>
      </c>
    </row>
    <row r="33" spans="1:12" hidden="1" x14ac:dyDescent="0.2">
      <c r="A33" s="13" t="s">
        <v>75</v>
      </c>
      <c r="B33" s="14" t="s">
        <v>76</v>
      </c>
      <c r="C33" s="15">
        <f>'[4]Team Report'!BA31</f>
        <v>0</v>
      </c>
      <c r="E33" s="15">
        <f t="shared" si="2"/>
        <v>0</v>
      </c>
      <c r="L33" s="25">
        <f>L29*1.2</f>
        <v>17530500</v>
      </c>
    </row>
    <row r="34" spans="1:12" hidden="1" x14ac:dyDescent="0.2">
      <c r="A34" s="13" t="s">
        <v>77</v>
      </c>
      <c r="B34" s="14" t="s">
        <v>78</v>
      </c>
      <c r="C34" s="15">
        <f>'[4]Team Report'!BA39</f>
        <v>0</v>
      </c>
      <c r="E34" s="15">
        <f t="shared" si="2"/>
        <v>0</v>
      </c>
    </row>
    <row r="35" spans="1:12" hidden="1" x14ac:dyDescent="0.2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2"/>
        <v>32893.85333333334</v>
      </c>
    </row>
    <row r="36" spans="1:12" hidden="1" x14ac:dyDescent="0.2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2"/>
        <v>641393.90666666673</v>
      </c>
    </row>
    <row r="37" spans="1:12" hidden="1" x14ac:dyDescent="0.2">
      <c r="A37" s="13" t="s">
        <v>83</v>
      </c>
      <c r="B37" s="14" t="s">
        <v>84</v>
      </c>
      <c r="C37" s="15">
        <f>'[4]Team Report'!BA43</f>
        <v>-771915.88</v>
      </c>
      <c r="E37" s="15">
        <f t="shared" si="2"/>
        <v>-1029221.1733333333</v>
      </c>
      <c r="H37" s="33" t="s">
        <v>56</v>
      </c>
    </row>
    <row r="38" spans="1:12" hidden="1" x14ac:dyDescent="0.2">
      <c r="A38" s="13" t="s">
        <v>85</v>
      </c>
      <c r="B38" s="14" t="s">
        <v>86</v>
      </c>
      <c r="C38" s="15">
        <f>'[4]Team Report'!BA45</f>
        <v>0</v>
      </c>
      <c r="E38" s="15">
        <f t="shared" si="2"/>
        <v>0</v>
      </c>
    </row>
    <row r="39" spans="1:12" hidden="1" x14ac:dyDescent="0.2">
      <c r="A39" s="13"/>
      <c r="B39" s="14"/>
      <c r="C39" s="15"/>
      <c r="E39" s="15"/>
      <c r="H39" t="s">
        <v>134</v>
      </c>
    </row>
    <row r="40" spans="1:12" hidden="1" x14ac:dyDescent="0.2"/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6380656.0699999994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AM57"/>
  <sheetViews>
    <sheetView workbookViewId="0">
      <selection activeCell="B3" sqref="B3:H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8" hidden="1" customWidth="1"/>
    <col min="6" max="6" width="2.28515625" customWidth="1"/>
    <col min="7" max="7" width="0" hidden="1" customWidth="1"/>
    <col min="8" max="8" width="17.7109375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11.28515625" hidden="1" customWidth="1"/>
    <col min="17" max="17" width="9.140625" hidden="1" customWidth="1"/>
    <col min="18" max="29" width="0" hidden="1" customWidth="1"/>
  </cols>
  <sheetData>
    <row r="1" spans="1:39" ht="18" x14ac:dyDescent="0.25">
      <c r="B1" s="140" t="str">
        <f>'[4]Team Report'!B1</f>
        <v>Enron North America</v>
      </c>
      <c r="C1" s="140"/>
      <c r="D1" s="140"/>
      <c r="E1" s="140"/>
      <c r="F1" s="140"/>
      <c r="G1" s="140"/>
      <c r="H1" s="140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25">
      <c r="B2" s="140" t="s">
        <v>158</v>
      </c>
      <c r="C2" s="140"/>
      <c r="D2" s="140"/>
      <c r="E2" s="140"/>
      <c r="F2" s="140"/>
      <c r="G2" s="140"/>
      <c r="H2" s="140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25">
      <c r="B3" s="141" t="s">
        <v>0</v>
      </c>
      <c r="C3" s="141"/>
      <c r="D3" s="141"/>
      <c r="E3" s="141"/>
      <c r="F3" s="141"/>
      <c r="G3" s="141"/>
      <c r="H3" s="141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5" thickBot="1" x14ac:dyDescent="0.25">
      <c r="I4" s="145" t="s">
        <v>173</v>
      </c>
      <c r="J4" s="145"/>
      <c r="K4" s="145"/>
      <c r="L4" s="145"/>
    </row>
    <row r="5" spans="1:39" x14ac:dyDescent="0.2">
      <c r="I5" s="4"/>
      <c r="J5" s="40"/>
      <c r="K5" s="40"/>
      <c r="L5" s="41"/>
      <c r="M5" s="8"/>
    </row>
    <row r="6" spans="1:39" x14ac:dyDescent="0.2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x14ac:dyDescent="0.2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x14ac:dyDescent="0.2">
      <c r="A8" s="13" t="s">
        <v>9</v>
      </c>
      <c r="B8" s="14" t="s">
        <v>10</v>
      </c>
      <c r="C8" s="53">
        <f>'[4]Team Report'!BA25</f>
        <v>4985502.2300000004</v>
      </c>
      <c r="E8" s="15">
        <f>((C8/9)*12)*1.3</f>
        <v>8641537.1986666676</v>
      </c>
      <c r="H8" s="15">
        <f>((2084000/32)*13)*1.2</f>
        <v>1015950</v>
      </c>
      <c r="I8" s="7"/>
      <c r="J8" s="17"/>
      <c r="K8" s="17"/>
      <c r="L8" s="43"/>
      <c r="M8" s="8"/>
      <c r="Q8" s="15">
        <f>+H8/$H$29*$Q$29</f>
        <v>72567.857142857145</v>
      </c>
    </row>
    <row r="9" spans="1:39" hidden="1" x14ac:dyDescent="0.2">
      <c r="A9" s="13"/>
      <c r="B9" s="14" t="s">
        <v>11</v>
      </c>
      <c r="C9" s="15">
        <v>0</v>
      </c>
      <c r="E9" s="15">
        <f>(C9/9)*12</f>
        <v>0</v>
      </c>
      <c r="H9" s="15">
        <v>0</v>
      </c>
      <c r="I9" s="7" t="s">
        <v>10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ref="Q9:Q22" si="0">+H9/$H$29*$Q$29</f>
        <v>0</v>
      </c>
    </row>
    <row r="10" spans="1:39" x14ac:dyDescent="0.2">
      <c r="A10" s="13"/>
      <c r="B10" s="14" t="s">
        <v>122</v>
      </c>
      <c r="C10" s="15">
        <v>0</v>
      </c>
      <c r="E10" s="15">
        <f>(C10/9)*12</f>
        <v>0</v>
      </c>
      <c r="H10" s="15">
        <f>(94274)*1.2</f>
        <v>113128.8</v>
      </c>
      <c r="I10" s="7"/>
      <c r="J10" s="17"/>
      <c r="K10" s="17"/>
      <c r="L10" s="43"/>
      <c r="M10" s="8"/>
      <c r="Q10" s="15">
        <f t="shared" si="0"/>
        <v>8080.6285714285714</v>
      </c>
    </row>
    <row r="11" spans="1:39" x14ac:dyDescent="0.2">
      <c r="A11" s="13" t="s">
        <v>13</v>
      </c>
      <c r="B11" s="14" t="s">
        <v>14</v>
      </c>
      <c r="C11" s="15">
        <f>'[4]Team Report'!BA26</f>
        <v>1210281.1100000001</v>
      </c>
      <c r="E11" s="15">
        <f>((C11/9)*12)*1.3</f>
        <v>2097820.5906666671</v>
      </c>
      <c r="H11" s="15">
        <f>((H8+H10)*0.2)*1.2</f>
        <v>270978.91200000001</v>
      </c>
      <c r="I11" s="7"/>
      <c r="J11" s="17"/>
      <c r="K11" s="17"/>
      <c r="L11" s="43"/>
      <c r="M11" s="8"/>
      <c r="Q11" s="15">
        <f t="shared" si="0"/>
        <v>19355.636571428571</v>
      </c>
    </row>
    <row r="12" spans="1:39" x14ac:dyDescent="0.2">
      <c r="A12" s="13" t="s">
        <v>16</v>
      </c>
      <c r="B12" s="14" t="s">
        <v>17</v>
      </c>
      <c r="C12" s="15">
        <f>'[4]Team Report'!BA27</f>
        <v>190029.97</v>
      </c>
      <c r="E12" s="15">
        <f>((C12/9)*12)*1.3</f>
        <v>329385.28133333335</v>
      </c>
      <c r="H12" s="15">
        <f>((((105350+28800)/32)*14)/2)*1.2</f>
        <v>35214.375</v>
      </c>
      <c r="I12" s="7" t="s">
        <v>15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2515.3125</v>
      </c>
    </row>
    <row r="13" spans="1:39" x14ac:dyDescent="0.2">
      <c r="A13" s="13" t="s">
        <v>18</v>
      </c>
      <c r="B13" s="14" t="s">
        <v>19</v>
      </c>
      <c r="C13" s="15">
        <f>'[4]Team Report'!BA28</f>
        <v>78390.58</v>
      </c>
      <c r="E13" s="15">
        <f>((C13/9)*12)*1.3</f>
        <v>135877.00533333333</v>
      </c>
      <c r="H13" s="15">
        <v>35214</v>
      </c>
      <c r="I13" s="7"/>
      <c r="J13" s="17"/>
      <c r="K13" s="17"/>
      <c r="L13" s="43"/>
      <c r="M13" s="8"/>
      <c r="Q13" s="15">
        <f t="shared" si="0"/>
        <v>2515.2857142857142</v>
      </c>
    </row>
    <row r="14" spans="1:39" ht="13.5" thickBot="1" x14ac:dyDescent="0.25">
      <c r="A14" s="13" t="s">
        <v>21</v>
      </c>
      <c r="B14" s="14" t="s">
        <v>22</v>
      </c>
      <c r="C14" s="15">
        <v>0</v>
      </c>
      <c r="E14" s="15">
        <f>(4000000*1.2)+222800</f>
        <v>5022800</v>
      </c>
      <c r="H14" s="15">
        <v>0</v>
      </c>
      <c r="I14" s="22" t="s">
        <v>20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0</v>
      </c>
    </row>
    <row r="15" spans="1:39" x14ac:dyDescent="0.2">
      <c r="A15" s="13" t="s">
        <v>23</v>
      </c>
      <c r="B15" s="14" t="s">
        <v>24</v>
      </c>
      <c r="C15" s="15">
        <f>'[4]Team Report'!BA33</f>
        <v>69921.63</v>
      </c>
      <c r="E15" s="15">
        <f>2087875*1.3</f>
        <v>2714237.5</v>
      </c>
      <c r="H15" s="15">
        <f>((88248/32)*14)*1.2</f>
        <v>46330.2</v>
      </c>
      <c r="I15" s="8"/>
      <c r="J15" s="17"/>
      <c r="K15" s="17"/>
      <c r="L15" s="17"/>
      <c r="M15" s="8"/>
      <c r="Q15" s="15">
        <f t="shared" si="0"/>
        <v>3309.2999999999997</v>
      </c>
    </row>
    <row r="16" spans="1:39" x14ac:dyDescent="0.2">
      <c r="A16" s="13" t="s">
        <v>25</v>
      </c>
      <c r="B16" s="14" t="s">
        <v>26</v>
      </c>
      <c r="C16" s="15">
        <f>'[4]Team Report'!BA34</f>
        <v>0</v>
      </c>
      <c r="E16" s="15">
        <f>(C16/9)*12</f>
        <v>0</v>
      </c>
      <c r="H16" s="15"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x14ac:dyDescent="0.2">
      <c r="A17" s="13" t="s">
        <v>28</v>
      </c>
      <c r="B17" s="14" t="s">
        <v>29</v>
      </c>
      <c r="C17" s="15">
        <f>'[4]Team Report'!BA35</f>
        <v>0</v>
      </c>
      <c r="E17" s="15">
        <f>(C17/9)*12</f>
        <v>0</v>
      </c>
      <c r="H17" s="15">
        <v>0</v>
      </c>
      <c r="I17" s="8" t="s">
        <v>27</v>
      </c>
      <c r="J17" s="25">
        <v>37500</v>
      </c>
      <c r="K17">
        <f>1+1</f>
        <v>2</v>
      </c>
      <c r="L17" s="17">
        <f t="shared" ref="L17:L28" si="1">J17*K17</f>
        <v>75000</v>
      </c>
      <c r="N17">
        <v>1.25</v>
      </c>
      <c r="Q17" s="15">
        <f t="shared" si="0"/>
        <v>0</v>
      </c>
    </row>
    <row r="18" spans="1:17" x14ac:dyDescent="0.2">
      <c r="A18" s="13" t="s">
        <v>31</v>
      </c>
      <c r="B18" s="14" t="s">
        <v>32</v>
      </c>
      <c r="C18" s="15">
        <f>'[4]Team Report'!BA36</f>
        <v>19039.670000000002</v>
      </c>
      <c r="E18" s="15">
        <f>((C18/9)*12)*1.3</f>
        <v>33002.094666666671</v>
      </c>
      <c r="H18" s="15">
        <f>((268800/32)*14)*1.2</f>
        <v>141120</v>
      </c>
      <c r="I18" t="s">
        <v>93</v>
      </c>
      <c r="J18" s="25">
        <v>52500</v>
      </c>
      <c r="K18">
        <f>1+2+1+1</f>
        <v>5</v>
      </c>
      <c r="L18" s="17">
        <f t="shared" si="1"/>
        <v>262500</v>
      </c>
      <c r="Q18" s="15">
        <f t="shared" si="0"/>
        <v>10080</v>
      </c>
    </row>
    <row r="19" spans="1:17" x14ac:dyDescent="0.2">
      <c r="A19" s="13" t="s">
        <v>34</v>
      </c>
      <c r="B19" s="14" t="s">
        <v>35</v>
      </c>
      <c r="C19" s="15">
        <f>'[4]Team Report'!BA37</f>
        <v>17422.019999999997</v>
      </c>
      <c r="E19" s="15">
        <v>145000</v>
      </c>
      <c r="H19" s="15">
        <f>((57600/32)*14)*1.2</f>
        <v>30240</v>
      </c>
      <c r="I19" t="s">
        <v>33</v>
      </c>
      <c r="J19" s="25">
        <v>56250</v>
      </c>
      <c r="K19">
        <f>7+2+1+1+4+2</f>
        <v>17</v>
      </c>
      <c r="L19" s="17">
        <f t="shared" si="1"/>
        <v>956250</v>
      </c>
      <c r="Q19" s="15">
        <f t="shared" si="0"/>
        <v>2160</v>
      </c>
    </row>
    <row r="20" spans="1:17" x14ac:dyDescent="0.2">
      <c r="A20" s="13" t="s">
        <v>37</v>
      </c>
      <c r="B20" s="14" t="s">
        <v>38</v>
      </c>
      <c r="C20" s="15">
        <f>'[4]Team Report'!BA38</f>
        <v>0</v>
      </c>
      <c r="E20" s="15">
        <f>(C20/9)*12</f>
        <v>0</v>
      </c>
      <c r="H20" s="15">
        <v>0</v>
      </c>
      <c r="I20" t="s">
        <v>45</v>
      </c>
      <c r="J20" s="25">
        <v>75000</v>
      </c>
      <c r="K20">
        <f>3+1</f>
        <v>4</v>
      </c>
      <c r="L20" s="17">
        <f t="shared" si="1"/>
        <v>300000</v>
      </c>
      <c r="Q20" s="15">
        <f t="shared" si="0"/>
        <v>0</v>
      </c>
    </row>
    <row r="21" spans="1:17" x14ac:dyDescent="0.2">
      <c r="A21" s="13" t="s">
        <v>40</v>
      </c>
      <c r="B21" s="14" t="s">
        <v>41</v>
      </c>
      <c r="C21" s="15">
        <f>'[4]Team Report'!BA42</f>
        <v>75042.680000000008</v>
      </c>
      <c r="E21" s="15">
        <f>((C21/9)*12)*1.3</f>
        <v>130073.97866666669</v>
      </c>
      <c r="H21" s="15">
        <v>0</v>
      </c>
      <c r="I21" t="s">
        <v>94</v>
      </c>
      <c r="J21" s="25">
        <v>60000</v>
      </c>
      <c r="K21">
        <f>2+12+1</f>
        <v>15</v>
      </c>
      <c r="L21" s="17">
        <f t="shared" si="1"/>
        <v>900000</v>
      </c>
      <c r="Q21" s="15">
        <f t="shared" si="0"/>
        <v>0</v>
      </c>
    </row>
    <row r="22" spans="1:17" x14ac:dyDescent="0.2">
      <c r="A22" s="13" t="s">
        <v>43</v>
      </c>
      <c r="B22" s="14" t="s">
        <v>44</v>
      </c>
      <c r="C22" s="15">
        <f>'[4]Team Report'!BA44</f>
        <v>1226.24</v>
      </c>
      <c r="E22" s="15">
        <f>((C22/9)*12)*1.3</f>
        <v>2125.4826666666668</v>
      </c>
      <c r="H22" s="15">
        <v>0</v>
      </c>
      <c r="I22" t="s">
        <v>36</v>
      </c>
      <c r="J22" s="25">
        <v>65000</v>
      </c>
      <c r="K22">
        <f>8+4+5+10+9+2+2+4+4+1</f>
        <v>49</v>
      </c>
      <c r="L22" s="17">
        <f t="shared" si="1"/>
        <v>3185000</v>
      </c>
      <c r="Q22" s="15">
        <f t="shared" si="0"/>
        <v>0</v>
      </c>
    </row>
    <row r="23" spans="1:17" x14ac:dyDescent="0.2">
      <c r="A23" s="26" t="s">
        <v>46</v>
      </c>
      <c r="B23" s="27" t="s">
        <v>47</v>
      </c>
      <c r="C23" s="28">
        <f>SUM(C8:C22)</f>
        <v>6646856.1299999999</v>
      </c>
      <c r="E23" s="28">
        <f>SUM(E8:E22)</f>
        <v>19251859.132000003</v>
      </c>
      <c r="H23" s="28">
        <f>SUM(H8:H22)</f>
        <v>1688176.287</v>
      </c>
      <c r="I23" t="s">
        <v>108</v>
      </c>
      <c r="J23" s="25">
        <v>82500</v>
      </c>
      <c r="K23">
        <f>10+1+13+6+6+3+7+1+2+6</f>
        <v>55</v>
      </c>
      <c r="L23" s="17">
        <f t="shared" si="1"/>
        <v>4537500</v>
      </c>
      <c r="Q23" s="28">
        <f>SUM(Q8:Q22)</f>
        <v>120584.0205</v>
      </c>
    </row>
    <row r="24" spans="1:17" x14ac:dyDescent="0.2">
      <c r="I24" t="s">
        <v>96</v>
      </c>
      <c r="J24" s="25">
        <v>100000</v>
      </c>
      <c r="K24">
        <f>2+1+8+6+3+1+4</f>
        <v>25</v>
      </c>
      <c r="L24" s="17">
        <f t="shared" si="1"/>
        <v>2500000</v>
      </c>
    </row>
    <row r="25" spans="1:17" x14ac:dyDescent="0.2">
      <c r="B25" s="27" t="s">
        <v>50</v>
      </c>
      <c r="C25" s="55"/>
      <c r="E25" s="55">
        <v>114</v>
      </c>
      <c r="H25" s="55">
        <v>13</v>
      </c>
      <c r="I25" t="s">
        <v>97</v>
      </c>
      <c r="J25" s="25">
        <v>145000</v>
      </c>
      <c r="K25">
        <f>1+1+1+1+2+1+2</f>
        <v>9</v>
      </c>
      <c r="L25" s="17">
        <f t="shared" si="1"/>
        <v>1305000</v>
      </c>
      <c r="Q25" s="31">
        <f>+T16+T17+T18+T19+T20+T23+T24+T25+T26+T27</f>
        <v>0</v>
      </c>
    </row>
    <row r="26" spans="1:17" x14ac:dyDescent="0.2">
      <c r="I26" t="s">
        <v>98</v>
      </c>
      <c r="J26" s="25">
        <v>175000</v>
      </c>
      <c r="K26">
        <f>1+1</f>
        <v>2</v>
      </c>
      <c r="L26" s="17">
        <f t="shared" si="1"/>
        <v>350000</v>
      </c>
      <c r="Q26" s="15"/>
    </row>
    <row r="27" spans="1:17" x14ac:dyDescent="0.2">
      <c r="B27" s="27" t="s">
        <v>67</v>
      </c>
      <c r="C27" s="55"/>
      <c r="E27" s="55">
        <v>4</v>
      </c>
      <c r="H27" s="55">
        <v>1</v>
      </c>
      <c r="I27" t="s">
        <v>99</v>
      </c>
      <c r="J27" s="25">
        <v>237500</v>
      </c>
      <c r="K27">
        <f>1</f>
        <v>1</v>
      </c>
      <c r="L27" s="17">
        <f t="shared" si="1"/>
        <v>237500</v>
      </c>
      <c r="Q27" s="31">
        <f>+T21+T22</f>
        <v>0</v>
      </c>
    </row>
    <row r="28" spans="1:17" x14ac:dyDescent="0.2">
      <c r="I28" t="s">
        <v>100</v>
      </c>
      <c r="J28" s="25">
        <v>312500</v>
      </c>
      <c r="K28">
        <v>0</v>
      </c>
      <c r="L28" s="17">
        <f t="shared" si="1"/>
        <v>0</v>
      </c>
    </row>
    <row r="29" spans="1:17" x14ac:dyDescent="0.2">
      <c r="B29" s="27" t="s">
        <v>55</v>
      </c>
      <c r="C29" s="55"/>
      <c r="E29" s="55">
        <f>SUM(E25:E28)</f>
        <v>118</v>
      </c>
      <c r="H29" s="55">
        <f>SUM(H25:H28)</f>
        <v>14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idden="1" x14ac:dyDescent="0.2">
      <c r="B30" s="27"/>
    </row>
    <row r="31" spans="1:17" hidden="1" x14ac:dyDescent="0.2">
      <c r="A31" s="13" t="s">
        <v>71</v>
      </c>
      <c r="B31" s="14" t="s">
        <v>72</v>
      </c>
      <c r="C31" s="15">
        <f>'[4]Team Report'!BA29</f>
        <v>0</v>
      </c>
      <c r="E31" s="15">
        <f t="shared" ref="E31:E38" si="2">(C31/9)*12</f>
        <v>0</v>
      </c>
      <c r="I31" t="s">
        <v>102</v>
      </c>
      <c r="K31" s="52"/>
      <c r="L31" s="52">
        <v>0.2</v>
      </c>
    </row>
    <row r="32" spans="1:17" hidden="1" x14ac:dyDescent="0.2">
      <c r="A32" s="13" t="s">
        <v>73</v>
      </c>
      <c r="B32" s="14" t="s">
        <v>74</v>
      </c>
      <c r="C32" s="15">
        <f>'[4]Team Report'!BA30</f>
        <v>0</v>
      </c>
      <c r="E32" s="15">
        <f t="shared" si="2"/>
        <v>0</v>
      </c>
    </row>
    <row r="33" spans="1:12" hidden="1" x14ac:dyDescent="0.2">
      <c r="A33" s="13" t="s">
        <v>75</v>
      </c>
      <c r="B33" s="14" t="s">
        <v>76</v>
      </c>
      <c r="C33" s="15">
        <f>'[4]Team Report'!BA31</f>
        <v>0</v>
      </c>
      <c r="E33" s="15">
        <f t="shared" si="2"/>
        <v>0</v>
      </c>
      <c r="L33" s="25">
        <f>L29*1.2</f>
        <v>17530500</v>
      </c>
    </row>
    <row r="34" spans="1:12" hidden="1" x14ac:dyDescent="0.2">
      <c r="A34" s="13" t="s">
        <v>77</v>
      </c>
      <c r="B34" s="14" t="s">
        <v>78</v>
      </c>
      <c r="C34" s="15">
        <f>'[4]Team Report'!BA39</f>
        <v>0</v>
      </c>
      <c r="E34" s="15">
        <f t="shared" si="2"/>
        <v>0</v>
      </c>
    </row>
    <row r="35" spans="1:12" hidden="1" x14ac:dyDescent="0.2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2"/>
        <v>32893.85333333334</v>
      </c>
    </row>
    <row r="36" spans="1:12" hidden="1" x14ac:dyDescent="0.2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2"/>
        <v>641393.90666666673</v>
      </c>
    </row>
    <row r="37" spans="1:12" hidden="1" x14ac:dyDescent="0.2">
      <c r="A37" s="13" t="s">
        <v>83</v>
      </c>
      <c r="B37" s="14" t="s">
        <v>84</v>
      </c>
      <c r="C37" s="15">
        <f>'[4]Team Report'!BA43</f>
        <v>-771915.88</v>
      </c>
      <c r="E37" s="15">
        <f t="shared" si="2"/>
        <v>-1029221.1733333333</v>
      </c>
      <c r="H37" s="33" t="s">
        <v>56</v>
      </c>
    </row>
    <row r="38" spans="1:12" hidden="1" x14ac:dyDescent="0.2">
      <c r="A38" s="13" t="s">
        <v>85</v>
      </c>
      <c r="B38" s="14" t="s">
        <v>86</v>
      </c>
      <c r="C38" s="15">
        <f>'[4]Team Report'!BA45</f>
        <v>0</v>
      </c>
      <c r="E38" s="15">
        <f t="shared" si="2"/>
        <v>0</v>
      </c>
    </row>
    <row r="39" spans="1:12" hidden="1" x14ac:dyDescent="0.2">
      <c r="A39" s="13"/>
      <c r="B39" s="14"/>
      <c r="C39" s="15"/>
      <c r="E39" s="15"/>
      <c r="H39" t="s">
        <v>134</v>
      </c>
    </row>
    <row r="40" spans="1:12" hidden="1" x14ac:dyDescent="0.2"/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6380656.0699999994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/>
  <dimension ref="A1:AM57"/>
  <sheetViews>
    <sheetView workbookViewId="0">
      <selection activeCell="B3" sqref="B3:H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8" hidden="1" customWidth="1"/>
    <col min="6" max="6" width="2.28515625" customWidth="1"/>
    <col min="7" max="7" width="0" hidden="1" customWidth="1"/>
    <col min="8" max="8" width="17.7109375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11.28515625" hidden="1" customWidth="1"/>
    <col min="17" max="17" width="9.140625" hidden="1" customWidth="1"/>
    <col min="18" max="29" width="0" hidden="1" customWidth="1"/>
  </cols>
  <sheetData>
    <row r="1" spans="1:39" ht="18" x14ac:dyDescent="0.25">
      <c r="B1" s="140" t="str">
        <f>'[4]Team Report'!B1</f>
        <v>Enron North America</v>
      </c>
      <c r="C1" s="140"/>
      <c r="D1" s="140"/>
      <c r="E1" s="140"/>
      <c r="F1" s="140"/>
      <c r="G1" s="140"/>
      <c r="H1" s="140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25">
      <c r="B2" s="140" t="s">
        <v>312</v>
      </c>
      <c r="C2" s="140"/>
      <c r="D2" s="140"/>
      <c r="E2" s="140"/>
      <c r="F2" s="140"/>
      <c r="G2" s="140"/>
      <c r="H2" s="140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25">
      <c r="B3" s="141" t="s">
        <v>0</v>
      </c>
      <c r="C3" s="141"/>
      <c r="D3" s="141"/>
      <c r="E3" s="141"/>
      <c r="F3" s="141"/>
      <c r="G3" s="141"/>
      <c r="H3" s="141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5" thickBot="1" x14ac:dyDescent="0.25">
      <c r="I4" s="145" t="s">
        <v>173</v>
      </c>
      <c r="J4" s="145"/>
      <c r="K4" s="145"/>
      <c r="L4" s="145"/>
    </row>
    <row r="5" spans="1:39" x14ac:dyDescent="0.2">
      <c r="I5" s="4"/>
      <c r="J5" s="40"/>
      <c r="K5" s="40"/>
      <c r="L5" s="41"/>
      <c r="M5" s="8"/>
    </row>
    <row r="6" spans="1:39" x14ac:dyDescent="0.2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x14ac:dyDescent="0.2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x14ac:dyDescent="0.2">
      <c r="A8" s="13" t="s">
        <v>9</v>
      </c>
      <c r="B8" s="14" t="s">
        <v>10</v>
      </c>
      <c r="C8" s="53">
        <f>'[4]Team Report'!BA25</f>
        <v>4985502.2300000004</v>
      </c>
      <c r="E8" s="15">
        <f>((C8/9)*12)*1.3</f>
        <v>8641537.1986666676</v>
      </c>
      <c r="H8" s="15">
        <f>+([24]EOPs!H8)/170*$H$29</f>
        <v>558934.82541176467</v>
      </c>
      <c r="I8" s="7"/>
      <c r="J8" s="17"/>
      <c r="K8" s="17"/>
      <c r="L8" s="43"/>
      <c r="M8" s="8"/>
      <c r="Q8" s="15">
        <f t="shared" ref="Q8:Q22" si="0">+H8/$H$29*$Q$29</f>
        <v>69866.853176470584</v>
      </c>
    </row>
    <row r="9" spans="1:39" hidden="1" x14ac:dyDescent="0.2">
      <c r="A9" s="13"/>
      <c r="B9" s="14" t="s">
        <v>11</v>
      </c>
      <c r="C9" s="15">
        <v>0</v>
      </c>
      <c r="E9" s="15">
        <f>(C9/9)*12</f>
        <v>0</v>
      </c>
      <c r="H9" s="15">
        <f>+([24]EOPs!H9)/170*$H$29</f>
        <v>0</v>
      </c>
      <c r="I9" s="7" t="s">
        <v>10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si="0"/>
        <v>0</v>
      </c>
    </row>
    <row r="10" spans="1:39" x14ac:dyDescent="0.2">
      <c r="A10" s="13"/>
      <c r="B10" s="14" t="s">
        <v>122</v>
      </c>
      <c r="C10" s="15">
        <v>0</v>
      </c>
      <c r="E10" s="15">
        <f>(C10/9)*12</f>
        <v>0</v>
      </c>
      <c r="H10" s="15">
        <f>+([24]EOPs!H10)/170*$H$29</f>
        <v>101151.19058823529</v>
      </c>
      <c r="I10" s="7"/>
      <c r="J10" s="17"/>
      <c r="K10" s="17"/>
      <c r="L10" s="43"/>
      <c r="M10" s="8"/>
      <c r="Q10" s="15">
        <f t="shared" si="0"/>
        <v>12643.898823529411</v>
      </c>
    </row>
    <row r="11" spans="1:39" x14ac:dyDescent="0.2">
      <c r="A11" s="13" t="s">
        <v>13</v>
      </c>
      <c r="B11" s="14" t="s">
        <v>14</v>
      </c>
      <c r="C11" s="15">
        <f>'[4]Team Report'!BA26</f>
        <v>1210281.1100000001</v>
      </c>
      <c r="E11" s="15">
        <f>((C11/9)*12)*1.3</f>
        <v>2097820.5906666671</v>
      </c>
      <c r="H11" s="15">
        <f>+([24]EOPs!H11)/170*$H$29</f>
        <v>143627.85882352942</v>
      </c>
      <c r="I11" s="7"/>
      <c r="J11" s="17"/>
      <c r="K11" s="17"/>
      <c r="L11" s="43"/>
      <c r="M11" s="8"/>
      <c r="Q11" s="15">
        <f t="shared" si="0"/>
        <v>17953.482352941177</v>
      </c>
    </row>
    <row r="12" spans="1:39" x14ac:dyDescent="0.2">
      <c r="A12" s="13" t="s">
        <v>16</v>
      </c>
      <c r="B12" s="14" t="s">
        <v>17</v>
      </c>
      <c r="C12" s="15">
        <f>'[4]Team Report'!BA27</f>
        <v>190029.97</v>
      </c>
      <c r="E12" s="15">
        <f>((C12/9)*12)*1.3</f>
        <v>329385.28133333335</v>
      </c>
      <c r="H12" s="15">
        <f>+([24]EOPs!H12)/170*$H$29</f>
        <v>17224.36104422732</v>
      </c>
      <c r="I12" s="7" t="s">
        <v>15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2153.045130528415</v>
      </c>
    </row>
    <row r="13" spans="1:39" x14ac:dyDescent="0.2">
      <c r="A13" s="13" t="s">
        <v>18</v>
      </c>
      <c r="B13" s="14" t="s">
        <v>19</v>
      </c>
      <c r="C13" s="15">
        <f>'[4]Team Report'!BA28</f>
        <v>78390.58</v>
      </c>
      <c r="E13" s="15">
        <f>((C13/9)*12)*1.3</f>
        <v>135877.00533333333</v>
      </c>
      <c r="H13" s="15">
        <f>+([24]EOPs!H13)/170*$H$29</f>
        <v>20078.682822572282</v>
      </c>
      <c r="I13" s="7"/>
      <c r="J13" s="17"/>
      <c r="K13" s="17"/>
      <c r="L13" s="43"/>
      <c r="M13" s="8"/>
      <c r="Q13" s="15">
        <f t="shared" si="0"/>
        <v>2509.8353528215353</v>
      </c>
    </row>
    <row r="14" spans="1:39" ht="13.5" thickBot="1" x14ac:dyDescent="0.25">
      <c r="A14" s="13" t="s">
        <v>21</v>
      </c>
      <c r="B14" s="14" t="s">
        <v>22</v>
      </c>
      <c r="C14" s="15">
        <v>0</v>
      </c>
      <c r="E14" s="15">
        <f>(4000000*1.2)+222800</f>
        <v>5022800</v>
      </c>
      <c r="H14" s="15">
        <f>+([24]EOPs!H14)/170*$H$29</f>
        <v>15867.767258225345</v>
      </c>
      <c r="I14" s="22" t="s">
        <v>20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1983.4709072781682</v>
      </c>
    </row>
    <row r="15" spans="1:39" x14ac:dyDescent="0.2">
      <c r="A15" s="13" t="s">
        <v>23</v>
      </c>
      <c r="B15" s="14" t="s">
        <v>24</v>
      </c>
      <c r="C15" s="15">
        <f>'[4]Team Report'!BA33</f>
        <v>69921.63</v>
      </c>
      <c r="E15" s="15">
        <f>2087875*1.3</f>
        <v>2714237.5</v>
      </c>
      <c r="H15" s="15">
        <f>+([24]EOPs!H15)/170*$H$29</f>
        <v>19956.273260219325</v>
      </c>
      <c r="I15" s="8"/>
      <c r="J15" s="17"/>
      <c r="K15" s="17"/>
      <c r="L15" s="17"/>
      <c r="M15" s="8"/>
      <c r="Q15" s="15">
        <f t="shared" si="0"/>
        <v>2494.5341575274156</v>
      </c>
    </row>
    <row r="16" spans="1:39" x14ac:dyDescent="0.2">
      <c r="A16" s="13" t="s">
        <v>25</v>
      </c>
      <c r="B16" s="14" t="s">
        <v>26</v>
      </c>
      <c r="C16" s="15">
        <f>'[4]Team Report'!BA34</f>
        <v>0</v>
      </c>
      <c r="E16" s="15">
        <f>(C16/9)*12</f>
        <v>0</v>
      </c>
      <c r="H16" s="15">
        <f>+([24]EOPs!H16)/170*$H$29</f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x14ac:dyDescent="0.2">
      <c r="A17" s="13" t="s">
        <v>28</v>
      </c>
      <c r="B17" s="14" t="s">
        <v>29</v>
      </c>
      <c r="C17" s="15">
        <f>'[4]Team Report'!BA35</f>
        <v>0</v>
      </c>
      <c r="E17" s="15">
        <f>(C17/9)*12</f>
        <v>0</v>
      </c>
      <c r="H17" s="15">
        <f>+([24]EOPs!H17)/170*$H$29</f>
        <v>0</v>
      </c>
      <c r="I17" s="8" t="s">
        <v>27</v>
      </c>
      <c r="J17" s="25">
        <v>37500</v>
      </c>
      <c r="K17">
        <f>1+1</f>
        <v>2</v>
      </c>
      <c r="L17" s="17">
        <f t="shared" ref="L17:L28" si="1">J17*K17</f>
        <v>75000</v>
      </c>
      <c r="N17">
        <v>1.25</v>
      </c>
      <c r="Q17" s="15">
        <f t="shared" si="0"/>
        <v>0</v>
      </c>
    </row>
    <row r="18" spans="1:17" x14ac:dyDescent="0.2">
      <c r="A18" s="13" t="s">
        <v>31</v>
      </c>
      <c r="B18" s="14" t="s">
        <v>32</v>
      </c>
      <c r="C18" s="15">
        <f>'[4]Team Report'!BA36</f>
        <v>19039.670000000002</v>
      </c>
      <c r="E18" s="15">
        <f>((C18/9)*12)*1.3</f>
        <v>33002.094666666671</v>
      </c>
      <c r="H18" s="15">
        <f>+([24]EOPs!H18)/170*$H$29</f>
        <v>82063.052802552338</v>
      </c>
      <c r="I18" t="s">
        <v>93</v>
      </c>
      <c r="J18" s="25">
        <v>52500</v>
      </c>
      <c r="K18">
        <f>1+2+1+1</f>
        <v>5</v>
      </c>
      <c r="L18" s="17">
        <f t="shared" si="1"/>
        <v>262500</v>
      </c>
      <c r="Q18" s="15">
        <f t="shared" si="0"/>
        <v>10257.881600319042</v>
      </c>
    </row>
    <row r="19" spans="1:17" x14ac:dyDescent="0.2">
      <c r="A19" s="13" t="s">
        <v>34</v>
      </c>
      <c r="B19" s="14" t="s">
        <v>35</v>
      </c>
      <c r="C19" s="15">
        <f>'[4]Team Report'!BA37</f>
        <v>17422.019999999997</v>
      </c>
      <c r="E19" s="15">
        <v>145000</v>
      </c>
      <c r="H19" s="15">
        <f>+([24]EOPs!H19)/170*$H$29</f>
        <v>17529.018065802593</v>
      </c>
      <c r="I19" t="s">
        <v>33</v>
      </c>
      <c r="J19" s="25">
        <v>56250</v>
      </c>
      <c r="K19">
        <f>7+2+1+1+4+2</f>
        <v>17</v>
      </c>
      <c r="L19" s="17">
        <f t="shared" si="1"/>
        <v>956250</v>
      </c>
      <c r="Q19" s="15">
        <f t="shared" si="0"/>
        <v>2191.1272582253241</v>
      </c>
    </row>
    <row r="20" spans="1:17" x14ac:dyDescent="0.2">
      <c r="A20" s="13" t="s">
        <v>37</v>
      </c>
      <c r="B20" s="14" t="s">
        <v>38</v>
      </c>
      <c r="C20" s="15">
        <f>'[4]Team Report'!BA38</f>
        <v>0</v>
      </c>
      <c r="E20" s="15">
        <f>(C20/9)*12</f>
        <v>0</v>
      </c>
      <c r="H20" s="15">
        <f>+([24]EOPs!H20)/170*$H$29</f>
        <v>0</v>
      </c>
      <c r="I20" t="s">
        <v>45</v>
      </c>
      <c r="J20" s="25">
        <v>75000</v>
      </c>
      <c r="K20">
        <f>3+1</f>
        <v>4</v>
      </c>
      <c r="L20" s="17">
        <f t="shared" si="1"/>
        <v>300000</v>
      </c>
      <c r="Q20" s="15">
        <f t="shared" si="0"/>
        <v>0</v>
      </c>
    </row>
    <row r="21" spans="1:17" x14ac:dyDescent="0.2">
      <c r="A21" s="13" t="s">
        <v>40</v>
      </c>
      <c r="B21" s="14" t="s">
        <v>41</v>
      </c>
      <c r="C21" s="15">
        <f>'[4]Team Report'!BA42</f>
        <v>75042.680000000008</v>
      </c>
      <c r="E21" s="15">
        <f>((C21/9)*12)*1.3</f>
        <v>130073.97866666669</v>
      </c>
      <c r="H21" s="15">
        <f>+([24]EOPs!H21)/170*$H$29</f>
        <v>0</v>
      </c>
      <c r="I21" t="s">
        <v>94</v>
      </c>
      <c r="J21" s="25">
        <v>60000</v>
      </c>
      <c r="K21">
        <f>2+12+1</f>
        <v>15</v>
      </c>
      <c r="L21" s="17">
        <f t="shared" si="1"/>
        <v>900000</v>
      </c>
      <c r="Q21" s="15">
        <f t="shared" si="0"/>
        <v>0</v>
      </c>
    </row>
    <row r="22" spans="1:17" x14ac:dyDescent="0.2">
      <c r="A22" s="13" t="s">
        <v>43</v>
      </c>
      <c r="B22" s="14" t="s">
        <v>44</v>
      </c>
      <c r="C22" s="15">
        <f>'[4]Team Report'!BA44</f>
        <v>1226.24</v>
      </c>
      <c r="E22" s="15">
        <f>((C22/9)*12)*1.3</f>
        <v>2125.4826666666668</v>
      </c>
      <c r="H22" s="15">
        <f>+([24]EOPs!H22)/170*$H$29</f>
        <v>0</v>
      </c>
      <c r="I22" t="s">
        <v>36</v>
      </c>
      <c r="J22" s="25">
        <v>65000</v>
      </c>
      <c r="K22">
        <f>8+4+5+10+9+2+2+4+4+1</f>
        <v>49</v>
      </c>
      <c r="L22" s="17">
        <f t="shared" si="1"/>
        <v>3185000</v>
      </c>
      <c r="Q22" s="15">
        <f t="shared" si="0"/>
        <v>0</v>
      </c>
    </row>
    <row r="23" spans="1:17" x14ac:dyDescent="0.2">
      <c r="A23" s="26" t="s">
        <v>46</v>
      </c>
      <c r="B23" s="27" t="s">
        <v>47</v>
      </c>
      <c r="C23" s="28">
        <f>SUM(C8:C22)</f>
        <v>6646856.1299999999</v>
      </c>
      <c r="E23" s="28">
        <f>SUM(E8:E22)</f>
        <v>19251859.132000003</v>
      </c>
      <c r="H23" s="28">
        <f>SUM(H8:H22)</f>
        <v>976433.03007712867</v>
      </c>
      <c r="I23" t="s">
        <v>108</v>
      </c>
      <c r="J23" s="25">
        <v>82500</v>
      </c>
      <c r="K23">
        <f>10+1+13+6+6+3+7+1+2+6</f>
        <v>55</v>
      </c>
      <c r="L23" s="17">
        <f t="shared" si="1"/>
        <v>4537500</v>
      </c>
      <c r="Q23" s="28">
        <f>SUM(Q8:Q22)</f>
        <v>122054.12875964108</v>
      </c>
    </row>
    <row r="24" spans="1:17" x14ac:dyDescent="0.2">
      <c r="I24" t="s">
        <v>96</v>
      </c>
      <c r="J24" s="25">
        <v>100000</v>
      </c>
      <c r="K24">
        <f>2+1+8+6+3+1+4</f>
        <v>25</v>
      </c>
      <c r="L24" s="17">
        <f t="shared" si="1"/>
        <v>2500000</v>
      </c>
    </row>
    <row r="25" spans="1:17" x14ac:dyDescent="0.2">
      <c r="B25" s="27" t="s">
        <v>50</v>
      </c>
      <c r="C25" s="55"/>
      <c r="E25" s="55">
        <v>114</v>
      </c>
      <c r="H25" s="55">
        <v>8</v>
      </c>
      <c r="I25" t="s">
        <v>97</v>
      </c>
      <c r="J25" s="25">
        <v>145000</v>
      </c>
      <c r="K25">
        <f>1+1+1+1+2+1+2</f>
        <v>9</v>
      </c>
      <c r="L25" s="17">
        <f t="shared" si="1"/>
        <v>1305000</v>
      </c>
      <c r="Q25" s="31">
        <f>+T16+T17+T18+T19+T20+T23+T24+T25+T26+T27</f>
        <v>0</v>
      </c>
    </row>
    <row r="26" spans="1:17" x14ac:dyDescent="0.2">
      <c r="I26" t="s">
        <v>98</v>
      </c>
      <c r="J26" s="25">
        <v>175000</v>
      </c>
      <c r="K26">
        <f>1+1</f>
        <v>2</v>
      </c>
      <c r="L26" s="17">
        <f t="shared" si="1"/>
        <v>350000</v>
      </c>
      <c r="Q26" s="15"/>
    </row>
    <row r="27" spans="1:17" x14ac:dyDescent="0.2">
      <c r="B27" s="27" t="s">
        <v>67</v>
      </c>
      <c r="C27" s="55"/>
      <c r="E27" s="55">
        <v>4</v>
      </c>
      <c r="H27" s="55">
        <v>0</v>
      </c>
      <c r="I27" t="s">
        <v>99</v>
      </c>
      <c r="J27" s="25">
        <v>237500</v>
      </c>
      <c r="K27">
        <f>1</f>
        <v>1</v>
      </c>
      <c r="L27" s="17">
        <f t="shared" si="1"/>
        <v>237500</v>
      </c>
      <c r="Q27" s="31">
        <f>+T21+T22</f>
        <v>0</v>
      </c>
    </row>
    <row r="28" spans="1:17" x14ac:dyDescent="0.2">
      <c r="I28" t="s">
        <v>100</v>
      </c>
      <c r="J28" s="25">
        <v>312500</v>
      </c>
      <c r="K28">
        <v>0</v>
      </c>
      <c r="L28" s="17">
        <f t="shared" si="1"/>
        <v>0</v>
      </c>
    </row>
    <row r="29" spans="1:17" x14ac:dyDescent="0.2">
      <c r="B29" s="27" t="s">
        <v>55</v>
      </c>
      <c r="C29" s="55"/>
      <c r="E29" s="55">
        <f>SUM(E25:E28)</f>
        <v>118</v>
      </c>
      <c r="H29" s="55">
        <f>SUM(H25:H28)</f>
        <v>8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idden="1" x14ac:dyDescent="0.2">
      <c r="B30" s="27"/>
    </row>
    <row r="31" spans="1:17" hidden="1" x14ac:dyDescent="0.2">
      <c r="A31" s="13" t="s">
        <v>71</v>
      </c>
      <c r="B31" s="14" t="s">
        <v>72</v>
      </c>
      <c r="C31" s="15">
        <f>'[4]Team Report'!BA29</f>
        <v>0</v>
      </c>
      <c r="E31" s="15">
        <f t="shared" ref="E31:E38" si="2">(C31/9)*12</f>
        <v>0</v>
      </c>
      <c r="I31" t="s">
        <v>102</v>
      </c>
      <c r="K31" s="52"/>
      <c r="L31" s="52">
        <v>0.2</v>
      </c>
    </row>
    <row r="32" spans="1:17" hidden="1" x14ac:dyDescent="0.2">
      <c r="A32" s="13" t="s">
        <v>73</v>
      </c>
      <c r="B32" s="14" t="s">
        <v>74</v>
      </c>
      <c r="C32" s="15">
        <f>'[4]Team Report'!BA30</f>
        <v>0</v>
      </c>
      <c r="E32" s="15">
        <f t="shared" si="2"/>
        <v>0</v>
      </c>
    </row>
    <row r="33" spans="1:12" hidden="1" x14ac:dyDescent="0.2">
      <c r="A33" s="13" t="s">
        <v>75</v>
      </c>
      <c r="B33" s="14" t="s">
        <v>76</v>
      </c>
      <c r="C33" s="15">
        <f>'[4]Team Report'!BA31</f>
        <v>0</v>
      </c>
      <c r="E33" s="15">
        <f t="shared" si="2"/>
        <v>0</v>
      </c>
      <c r="L33" s="25">
        <f>L29*1.2</f>
        <v>17530500</v>
      </c>
    </row>
    <row r="34" spans="1:12" hidden="1" x14ac:dyDescent="0.2">
      <c r="A34" s="13" t="s">
        <v>77</v>
      </c>
      <c r="B34" s="14" t="s">
        <v>78</v>
      </c>
      <c r="C34" s="15">
        <f>'[4]Team Report'!BA39</f>
        <v>0</v>
      </c>
      <c r="E34" s="15">
        <f t="shared" si="2"/>
        <v>0</v>
      </c>
    </row>
    <row r="35" spans="1:12" hidden="1" x14ac:dyDescent="0.2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2"/>
        <v>32893.85333333334</v>
      </c>
    </row>
    <row r="36" spans="1:12" hidden="1" x14ac:dyDescent="0.2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2"/>
        <v>641393.90666666673</v>
      </c>
    </row>
    <row r="37" spans="1:12" hidden="1" x14ac:dyDescent="0.2">
      <c r="A37" s="13" t="s">
        <v>83</v>
      </c>
      <c r="B37" s="14" t="s">
        <v>84</v>
      </c>
      <c r="C37" s="15">
        <f>'[4]Team Report'!BA43</f>
        <v>-771915.88</v>
      </c>
      <c r="E37" s="15">
        <f t="shared" si="2"/>
        <v>-1029221.1733333333</v>
      </c>
      <c r="H37" s="33" t="s">
        <v>56</v>
      </c>
    </row>
    <row r="38" spans="1:12" hidden="1" x14ac:dyDescent="0.2">
      <c r="A38" s="13" t="s">
        <v>85</v>
      </c>
      <c r="B38" s="14" t="s">
        <v>86</v>
      </c>
      <c r="C38" s="15">
        <f>'[4]Team Report'!BA45</f>
        <v>0</v>
      </c>
      <c r="E38" s="15">
        <f t="shared" si="2"/>
        <v>0</v>
      </c>
    </row>
    <row r="39" spans="1:12" hidden="1" x14ac:dyDescent="0.2">
      <c r="A39" s="13"/>
      <c r="B39" s="14"/>
      <c r="C39" s="15"/>
      <c r="E39" s="15"/>
      <c r="H39" t="s">
        <v>134</v>
      </c>
    </row>
    <row r="40" spans="1:12" hidden="1" x14ac:dyDescent="0.2"/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6380656.0699999994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/>
  <dimension ref="A1:AM57"/>
  <sheetViews>
    <sheetView workbookViewId="0">
      <selection activeCell="B3" sqref="B3:H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8" hidden="1" customWidth="1"/>
    <col min="6" max="6" width="2.28515625" customWidth="1"/>
    <col min="7" max="7" width="0" hidden="1" customWidth="1"/>
    <col min="8" max="8" width="17.7109375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11.28515625" hidden="1" customWidth="1"/>
    <col min="17" max="17" width="9.140625" hidden="1" customWidth="1"/>
    <col min="18" max="29" width="0" hidden="1" customWidth="1"/>
  </cols>
  <sheetData>
    <row r="1" spans="1:39" ht="18" x14ac:dyDescent="0.25">
      <c r="B1" s="140" t="str">
        <f>'[4]Team Report'!B1</f>
        <v>Enron North America</v>
      </c>
      <c r="C1" s="140"/>
      <c r="D1" s="140"/>
      <c r="E1" s="140"/>
      <c r="F1" s="140"/>
      <c r="G1" s="140"/>
      <c r="H1" s="140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25">
      <c r="B2" s="140" t="s">
        <v>218</v>
      </c>
      <c r="C2" s="140"/>
      <c r="D2" s="140"/>
      <c r="E2" s="140"/>
      <c r="F2" s="140"/>
      <c r="G2" s="140"/>
      <c r="H2" s="140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25">
      <c r="B3" s="141" t="s">
        <v>0</v>
      </c>
      <c r="C3" s="141"/>
      <c r="D3" s="141"/>
      <c r="E3" s="141"/>
      <c r="F3" s="141"/>
      <c r="G3" s="141"/>
      <c r="H3" s="141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5" thickBot="1" x14ac:dyDescent="0.25">
      <c r="I4" s="145" t="s">
        <v>173</v>
      </c>
      <c r="J4" s="145"/>
      <c r="K4" s="145"/>
      <c r="L4" s="145"/>
    </row>
    <row r="5" spans="1:39" x14ac:dyDescent="0.2">
      <c r="I5" s="4"/>
      <c r="J5" s="40"/>
      <c r="K5" s="40"/>
      <c r="L5" s="41"/>
      <c r="M5" s="8"/>
    </row>
    <row r="6" spans="1:39" x14ac:dyDescent="0.2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x14ac:dyDescent="0.2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x14ac:dyDescent="0.2">
      <c r="A8" s="13" t="s">
        <v>9</v>
      </c>
      <c r="B8" s="14" t="s">
        <v>10</v>
      </c>
      <c r="C8" s="53">
        <f>'[4]Team Report'!BA25</f>
        <v>4985502.2300000004</v>
      </c>
      <c r="E8" s="15">
        <f>((C8/9)*12)*1.3</f>
        <v>8641537.1986666676</v>
      </c>
      <c r="H8" s="15">
        <f>+([24]EOPs!H8)/170*$H$29</f>
        <v>2515206.7143529411</v>
      </c>
      <c r="I8" s="7"/>
      <c r="J8" s="17"/>
      <c r="K8" s="17"/>
      <c r="L8" s="43"/>
      <c r="M8" s="8"/>
      <c r="Q8" s="15">
        <f t="shared" ref="Q8:Q22" si="0">+H8/$H$29*$Q$29</f>
        <v>69866.853176470584</v>
      </c>
    </row>
    <row r="9" spans="1:39" hidden="1" x14ac:dyDescent="0.2">
      <c r="A9" s="13"/>
      <c r="B9" s="14" t="s">
        <v>11</v>
      </c>
      <c r="C9" s="15">
        <v>0</v>
      </c>
      <c r="E9" s="15">
        <f>(C9/9)*12</f>
        <v>0</v>
      </c>
      <c r="H9" s="15">
        <f>+([24]EOPs!H9)/170*$H$29</f>
        <v>0</v>
      </c>
      <c r="I9" s="7" t="s">
        <v>10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si="0"/>
        <v>0</v>
      </c>
    </row>
    <row r="10" spans="1:39" x14ac:dyDescent="0.2">
      <c r="A10" s="13"/>
      <c r="B10" s="14" t="s">
        <v>122</v>
      </c>
      <c r="C10" s="15">
        <v>0</v>
      </c>
      <c r="E10" s="15">
        <f>(C10/9)*12</f>
        <v>0</v>
      </c>
      <c r="H10" s="15">
        <f>+([24]EOPs!H10)/170*$H$29</f>
        <v>455180.35764705879</v>
      </c>
      <c r="I10" s="7"/>
      <c r="J10" s="17"/>
      <c r="K10" s="17"/>
      <c r="L10" s="43"/>
      <c r="M10" s="8"/>
      <c r="Q10" s="15">
        <f t="shared" si="0"/>
        <v>12643.898823529411</v>
      </c>
    </row>
    <row r="11" spans="1:39" x14ac:dyDescent="0.2">
      <c r="A11" s="13" t="s">
        <v>13</v>
      </c>
      <c r="B11" s="14" t="s">
        <v>14</v>
      </c>
      <c r="C11" s="15">
        <f>'[4]Team Report'!BA26</f>
        <v>1210281.1100000001</v>
      </c>
      <c r="E11" s="15">
        <f>((C11/9)*12)*1.3</f>
        <v>2097820.5906666671</v>
      </c>
      <c r="H11" s="15">
        <f>+([24]EOPs!H11)/170*$H$29</f>
        <v>646325.36470588238</v>
      </c>
      <c r="I11" s="7"/>
      <c r="J11" s="17"/>
      <c r="K11" s="17"/>
      <c r="L11" s="43"/>
      <c r="M11" s="8"/>
      <c r="Q11" s="15">
        <f t="shared" si="0"/>
        <v>17953.482352941177</v>
      </c>
    </row>
    <row r="12" spans="1:39" x14ac:dyDescent="0.2">
      <c r="A12" s="13" t="s">
        <v>16</v>
      </c>
      <c r="B12" s="14" t="s">
        <v>17</v>
      </c>
      <c r="C12" s="15">
        <f>'[4]Team Report'!BA27</f>
        <v>190029.97</v>
      </c>
      <c r="E12" s="15">
        <f>((C12/9)*12)*1.3</f>
        <v>329385.28133333335</v>
      </c>
      <c r="H12" s="15">
        <f>+([24]EOPs!H12)/170*$H$29</f>
        <v>77509.624699022941</v>
      </c>
      <c r="I12" s="7" t="s">
        <v>15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2153.045130528415</v>
      </c>
    </row>
    <row r="13" spans="1:39" x14ac:dyDescent="0.2">
      <c r="A13" s="13" t="s">
        <v>18</v>
      </c>
      <c r="B13" s="14" t="s">
        <v>19</v>
      </c>
      <c r="C13" s="15">
        <f>'[4]Team Report'!BA28</f>
        <v>78390.58</v>
      </c>
      <c r="E13" s="15">
        <f>((C13/9)*12)*1.3</f>
        <v>135877.00533333333</v>
      </c>
      <c r="H13" s="15">
        <f>+([24]EOPs!H13)/170*$H$29</f>
        <v>90354.072701575264</v>
      </c>
      <c r="I13" s="7"/>
      <c r="J13" s="17"/>
      <c r="K13" s="17"/>
      <c r="L13" s="43"/>
      <c r="M13" s="8"/>
      <c r="Q13" s="15">
        <f t="shared" si="0"/>
        <v>2509.8353528215353</v>
      </c>
    </row>
    <row r="14" spans="1:39" ht="13.5" thickBot="1" x14ac:dyDescent="0.25">
      <c r="A14" s="13" t="s">
        <v>21</v>
      </c>
      <c r="B14" s="14" t="s">
        <v>22</v>
      </c>
      <c r="C14" s="15">
        <v>0</v>
      </c>
      <c r="E14" s="15">
        <f>(4000000*1.2)+222800</f>
        <v>5022800</v>
      </c>
      <c r="H14" s="15">
        <f>+([24]EOPs!H14)/170*$H$29</f>
        <v>71404.952662014053</v>
      </c>
      <c r="I14" s="22" t="s">
        <v>20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1983.4709072781682</v>
      </c>
    </row>
    <row r="15" spans="1:39" x14ac:dyDescent="0.2">
      <c r="A15" s="13" t="s">
        <v>23</v>
      </c>
      <c r="B15" s="14" t="s">
        <v>24</v>
      </c>
      <c r="C15" s="15">
        <f>'[4]Team Report'!BA33</f>
        <v>69921.63</v>
      </c>
      <c r="E15" s="15">
        <f>2087875*1.3</f>
        <v>2714237.5</v>
      </c>
      <c r="H15" s="15">
        <f>+([24]EOPs!H15)/170*$H$29</f>
        <v>89803.229670986955</v>
      </c>
      <c r="I15" s="8"/>
      <c r="J15" s="17"/>
      <c r="K15" s="17"/>
      <c r="L15" s="17"/>
      <c r="M15" s="8"/>
      <c r="Q15" s="15">
        <f t="shared" si="0"/>
        <v>2494.5341575274156</v>
      </c>
    </row>
    <row r="16" spans="1:39" x14ac:dyDescent="0.2">
      <c r="A16" s="13" t="s">
        <v>25</v>
      </c>
      <c r="B16" s="14" t="s">
        <v>26</v>
      </c>
      <c r="C16" s="15">
        <f>'[4]Team Report'!BA34</f>
        <v>0</v>
      </c>
      <c r="E16" s="15">
        <f>(C16/9)*12</f>
        <v>0</v>
      </c>
      <c r="H16" s="15">
        <f>+([24]EOPs!H16)/170*$H$29</f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x14ac:dyDescent="0.2">
      <c r="A17" s="13" t="s">
        <v>28</v>
      </c>
      <c r="B17" s="14" t="s">
        <v>29</v>
      </c>
      <c r="C17" s="15">
        <f>'[4]Team Report'!BA35</f>
        <v>0</v>
      </c>
      <c r="E17" s="15">
        <f>(C17/9)*12</f>
        <v>0</v>
      </c>
      <c r="H17" s="15">
        <f>+([24]EOPs!H17)/170*$H$29</f>
        <v>0</v>
      </c>
      <c r="I17" s="8" t="s">
        <v>27</v>
      </c>
      <c r="J17" s="25">
        <v>37500</v>
      </c>
      <c r="K17">
        <f>1+1</f>
        <v>2</v>
      </c>
      <c r="L17" s="17">
        <f t="shared" ref="L17:L28" si="1">J17*K17</f>
        <v>75000</v>
      </c>
      <c r="N17">
        <v>1.25</v>
      </c>
      <c r="Q17" s="15">
        <f t="shared" si="0"/>
        <v>0</v>
      </c>
    </row>
    <row r="18" spans="1:17" x14ac:dyDescent="0.2">
      <c r="A18" s="13" t="s">
        <v>31</v>
      </c>
      <c r="B18" s="14" t="s">
        <v>32</v>
      </c>
      <c r="C18" s="15">
        <f>'[4]Team Report'!BA36</f>
        <v>19039.670000000002</v>
      </c>
      <c r="E18" s="15">
        <f>((C18/9)*12)*1.3</f>
        <v>33002.094666666671</v>
      </c>
      <c r="H18" s="15">
        <f>+([24]EOPs!H18)/170*$H$29</f>
        <v>369283.73761148553</v>
      </c>
      <c r="I18" t="s">
        <v>93</v>
      </c>
      <c r="J18" s="25">
        <v>52500</v>
      </c>
      <c r="K18">
        <f>1+2+1+1</f>
        <v>5</v>
      </c>
      <c r="L18" s="17">
        <f t="shared" si="1"/>
        <v>262500</v>
      </c>
      <c r="Q18" s="15">
        <f t="shared" si="0"/>
        <v>10257.881600319042</v>
      </c>
    </row>
    <row r="19" spans="1:17" x14ac:dyDescent="0.2">
      <c r="A19" s="13" t="s">
        <v>34</v>
      </c>
      <c r="B19" s="14" t="s">
        <v>35</v>
      </c>
      <c r="C19" s="15">
        <f>'[4]Team Report'!BA37</f>
        <v>17422.019999999997</v>
      </c>
      <c r="E19" s="15">
        <v>145000</v>
      </c>
      <c r="H19" s="15">
        <f>+([24]EOPs!H19)/170*$H$29</f>
        <v>78880.581296111661</v>
      </c>
      <c r="I19" t="s">
        <v>33</v>
      </c>
      <c r="J19" s="25">
        <v>56250</v>
      </c>
      <c r="K19">
        <f>7+2+1+1+4+2</f>
        <v>17</v>
      </c>
      <c r="L19" s="17">
        <f t="shared" si="1"/>
        <v>956250</v>
      </c>
      <c r="Q19" s="15">
        <f t="shared" si="0"/>
        <v>2191.1272582253241</v>
      </c>
    </row>
    <row r="20" spans="1:17" x14ac:dyDescent="0.2">
      <c r="A20" s="13" t="s">
        <v>37</v>
      </c>
      <c r="B20" s="14" t="s">
        <v>38</v>
      </c>
      <c r="C20" s="15">
        <f>'[4]Team Report'!BA38</f>
        <v>0</v>
      </c>
      <c r="E20" s="15">
        <f>(C20/9)*12</f>
        <v>0</v>
      </c>
      <c r="H20" s="15">
        <f>+([24]EOPs!H20)/170*$H$29</f>
        <v>0</v>
      </c>
      <c r="I20" t="s">
        <v>45</v>
      </c>
      <c r="J20" s="25">
        <v>75000</v>
      </c>
      <c r="K20">
        <f>3+1</f>
        <v>4</v>
      </c>
      <c r="L20" s="17">
        <f t="shared" si="1"/>
        <v>300000</v>
      </c>
      <c r="Q20" s="15">
        <f t="shared" si="0"/>
        <v>0</v>
      </c>
    </row>
    <row r="21" spans="1:17" x14ac:dyDescent="0.2">
      <c r="A21" s="13" t="s">
        <v>40</v>
      </c>
      <c r="B21" s="14" t="s">
        <v>41</v>
      </c>
      <c r="C21" s="15">
        <f>'[4]Team Report'!BA42</f>
        <v>75042.680000000008</v>
      </c>
      <c r="E21" s="15">
        <f>((C21/9)*12)*1.3</f>
        <v>130073.97866666669</v>
      </c>
      <c r="H21" s="15">
        <f>+([24]EOPs!H21)/170*$H$29</f>
        <v>0</v>
      </c>
      <c r="I21" t="s">
        <v>94</v>
      </c>
      <c r="J21" s="25">
        <v>60000</v>
      </c>
      <c r="K21">
        <f>2+12+1</f>
        <v>15</v>
      </c>
      <c r="L21" s="17">
        <f t="shared" si="1"/>
        <v>900000</v>
      </c>
      <c r="Q21" s="15">
        <f t="shared" si="0"/>
        <v>0</v>
      </c>
    </row>
    <row r="22" spans="1:17" x14ac:dyDescent="0.2">
      <c r="A22" s="13" t="s">
        <v>43</v>
      </c>
      <c r="B22" s="14" t="s">
        <v>44</v>
      </c>
      <c r="C22" s="15">
        <f>'[4]Team Report'!BA44</f>
        <v>1226.24</v>
      </c>
      <c r="E22" s="15">
        <f>((C22/9)*12)*1.3</f>
        <v>2125.4826666666668</v>
      </c>
      <c r="H22" s="15">
        <f>+([24]EOPs!H22)/170*$H$29</f>
        <v>0</v>
      </c>
      <c r="I22" t="s">
        <v>36</v>
      </c>
      <c r="J22" s="25">
        <v>65000</v>
      </c>
      <c r="K22">
        <f>8+4+5+10+9+2+2+4+4+1</f>
        <v>49</v>
      </c>
      <c r="L22" s="17">
        <f t="shared" si="1"/>
        <v>3185000</v>
      </c>
      <c r="Q22" s="15">
        <f t="shared" si="0"/>
        <v>0</v>
      </c>
    </row>
    <row r="23" spans="1:17" x14ac:dyDescent="0.2">
      <c r="A23" s="26" t="s">
        <v>46</v>
      </c>
      <c r="B23" s="27" t="s">
        <v>47</v>
      </c>
      <c r="C23" s="28">
        <f>SUM(C8:C22)</f>
        <v>6646856.1299999999</v>
      </c>
      <c r="E23" s="28">
        <f>SUM(E8:E22)</f>
        <v>19251859.132000003</v>
      </c>
      <c r="H23" s="28">
        <f>SUM(H8:H22)</f>
        <v>4393948.6353470786</v>
      </c>
      <c r="I23" t="s">
        <v>108</v>
      </c>
      <c r="J23" s="25">
        <v>82500</v>
      </c>
      <c r="K23">
        <f>10+1+13+6+6+3+7+1+2+6</f>
        <v>55</v>
      </c>
      <c r="L23" s="17">
        <f t="shared" si="1"/>
        <v>4537500</v>
      </c>
      <c r="Q23" s="28">
        <f>SUM(Q8:Q22)</f>
        <v>122054.12875964108</v>
      </c>
    </row>
    <row r="24" spans="1:17" x14ac:dyDescent="0.2">
      <c r="I24" t="s">
        <v>96</v>
      </c>
      <c r="J24" s="25">
        <v>100000</v>
      </c>
      <c r="K24">
        <f>2+1+8+6+3+1+4</f>
        <v>25</v>
      </c>
      <c r="L24" s="17">
        <f t="shared" si="1"/>
        <v>2500000</v>
      </c>
    </row>
    <row r="25" spans="1:17" x14ac:dyDescent="0.2">
      <c r="B25" s="27" t="s">
        <v>50</v>
      </c>
      <c r="C25" s="55"/>
      <c r="E25" s="55">
        <v>114</v>
      </c>
      <c r="H25" s="55">
        <v>36</v>
      </c>
      <c r="I25" t="s">
        <v>97</v>
      </c>
      <c r="J25" s="25">
        <v>145000</v>
      </c>
      <c r="K25">
        <f>1+1+1+1+2+1+2</f>
        <v>9</v>
      </c>
      <c r="L25" s="17">
        <f t="shared" si="1"/>
        <v>1305000</v>
      </c>
      <c r="Q25" s="31">
        <f>+T16+T17+T18+T19+T20+T23+T24+T25+T26+T27</f>
        <v>0</v>
      </c>
    </row>
    <row r="26" spans="1:17" x14ac:dyDescent="0.2">
      <c r="I26" t="s">
        <v>98</v>
      </c>
      <c r="J26" s="25">
        <v>175000</v>
      </c>
      <c r="K26">
        <f>1+1</f>
        <v>2</v>
      </c>
      <c r="L26" s="17">
        <f t="shared" si="1"/>
        <v>350000</v>
      </c>
      <c r="Q26" s="15"/>
    </row>
    <row r="27" spans="1:17" x14ac:dyDescent="0.2">
      <c r="B27" s="27" t="s">
        <v>67</v>
      </c>
      <c r="C27" s="55"/>
      <c r="E27" s="55">
        <v>4</v>
      </c>
      <c r="H27" s="55">
        <v>0</v>
      </c>
      <c r="I27" t="s">
        <v>99</v>
      </c>
      <c r="J27" s="25">
        <v>237500</v>
      </c>
      <c r="K27">
        <f>1</f>
        <v>1</v>
      </c>
      <c r="L27" s="17">
        <f t="shared" si="1"/>
        <v>237500</v>
      </c>
      <c r="Q27" s="31">
        <f>+T21+T22</f>
        <v>0</v>
      </c>
    </row>
    <row r="28" spans="1:17" x14ac:dyDescent="0.2">
      <c r="I28" t="s">
        <v>100</v>
      </c>
      <c r="J28" s="25">
        <v>312500</v>
      </c>
      <c r="K28">
        <v>0</v>
      </c>
      <c r="L28" s="17">
        <f t="shared" si="1"/>
        <v>0</v>
      </c>
    </row>
    <row r="29" spans="1:17" x14ac:dyDescent="0.2">
      <c r="B29" s="27" t="s">
        <v>55</v>
      </c>
      <c r="C29" s="55"/>
      <c r="E29" s="55">
        <f>SUM(E25:E28)</f>
        <v>118</v>
      </c>
      <c r="H29" s="55">
        <f>SUM(H25:H28)</f>
        <v>36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idden="1" x14ac:dyDescent="0.2">
      <c r="B30" s="27"/>
    </row>
    <row r="31" spans="1:17" hidden="1" x14ac:dyDescent="0.2">
      <c r="A31" s="13" t="s">
        <v>71</v>
      </c>
      <c r="B31" s="14" t="s">
        <v>72</v>
      </c>
      <c r="C31" s="15">
        <f>'[4]Team Report'!BA29</f>
        <v>0</v>
      </c>
      <c r="E31" s="15">
        <f t="shared" ref="E31:E38" si="2">(C31/9)*12</f>
        <v>0</v>
      </c>
      <c r="I31" t="s">
        <v>102</v>
      </c>
      <c r="K31" s="52"/>
      <c r="L31" s="52">
        <v>0.2</v>
      </c>
    </row>
    <row r="32" spans="1:17" hidden="1" x14ac:dyDescent="0.2">
      <c r="A32" s="13" t="s">
        <v>73</v>
      </c>
      <c r="B32" s="14" t="s">
        <v>74</v>
      </c>
      <c r="C32" s="15">
        <f>'[4]Team Report'!BA30</f>
        <v>0</v>
      </c>
      <c r="E32" s="15">
        <f t="shared" si="2"/>
        <v>0</v>
      </c>
    </row>
    <row r="33" spans="1:12" hidden="1" x14ac:dyDescent="0.2">
      <c r="A33" s="13" t="s">
        <v>75</v>
      </c>
      <c r="B33" s="14" t="s">
        <v>76</v>
      </c>
      <c r="C33" s="15">
        <f>'[4]Team Report'!BA31</f>
        <v>0</v>
      </c>
      <c r="E33" s="15">
        <f t="shared" si="2"/>
        <v>0</v>
      </c>
      <c r="L33" s="25">
        <f>L29*1.2</f>
        <v>17530500</v>
      </c>
    </row>
    <row r="34" spans="1:12" hidden="1" x14ac:dyDescent="0.2">
      <c r="A34" s="13" t="s">
        <v>77</v>
      </c>
      <c r="B34" s="14" t="s">
        <v>78</v>
      </c>
      <c r="C34" s="15">
        <f>'[4]Team Report'!BA39</f>
        <v>0</v>
      </c>
      <c r="E34" s="15">
        <f t="shared" si="2"/>
        <v>0</v>
      </c>
    </row>
    <row r="35" spans="1:12" hidden="1" x14ac:dyDescent="0.2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2"/>
        <v>32893.85333333334</v>
      </c>
    </row>
    <row r="36" spans="1:12" hidden="1" x14ac:dyDescent="0.2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2"/>
        <v>641393.90666666673</v>
      </c>
    </row>
    <row r="37" spans="1:12" hidden="1" x14ac:dyDescent="0.2">
      <c r="A37" s="13" t="s">
        <v>83</v>
      </c>
      <c r="B37" s="14" t="s">
        <v>84</v>
      </c>
      <c r="C37" s="15">
        <f>'[4]Team Report'!BA43</f>
        <v>-771915.88</v>
      </c>
      <c r="E37" s="15">
        <f t="shared" si="2"/>
        <v>-1029221.1733333333</v>
      </c>
      <c r="H37" s="33" t="s">
        <v>56</v>
      </c>
    </row>
    <row r="38" spans="1:12" hidden="1" x14ac:dyDescent="0.2">
      <c r="A38" s="13" t="s">
        <v>85</v>
      </c>
      <c r="B38" s="14" t="s">
        <v>86</v>
      </c>
      <c r="C38" s="15">
        <f>'[4]Team Report'!BA45</f>
        <v>0</v>
      </c>
      <c r="E38" s="15">
        <f t="shared" si="2"/>
        <v>0</v>
      </c>
    </row>
    <row r="39" spans="1:12" hidden="1" x14ac:dyDescent="0.2">
      <c r="A39" s="13"/>
      <c r="B39" s="14"/>
      <c r="C39" s="15"/>
      <c r="E39" s="15"/>
      <c r="H39" t="s">
        <v>134</v>
      </c>
    </row>
    <row r="40" spans="1:12" hidden="1" x14ac:dyDescent="0.2"/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6380656.0699999994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/>
  <dimension ref="A1:AM57"/>
  <sheetViews>
    <sheetView workbookViewId="0">
      <selection activeCell="B3" sqref="B3:H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8" hidden="1" customWidth="1"/>
    <col min="6" max="6" width="2.28515625" customWidth="1"/>
    <col min="7" max="7" width="0" hidden="1" customWidth="1"/>
    <col min="8" max="8" width="17.7109375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11.28515625" hidden="1" customWidth="1"/>
    <col min="17" max="17" width="9.140625" hidden="1" customWidth="1"/>
    <col min="18" max="29" width="0" hidden="1" customWidth="1"/>
  </cols>
  <sheetData>
    <row r="1" spans="1:39" ht="18" x14ac:dyDescent="0.25">
      <c r="B1" s="140" t="str">
        <f>'[4]Team Report'!B1</f>
        <v>Enron North America</v>
      </c>
      <c r="C1" s="140"/>
      <c r="D1" s="140"/>
      <c r="E1" s="140"/>
      <c r="F1" s="140"/>
      <c r="G1" s="140"/>
      <c r="H1" s="140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25">
      <c r="B2" s="140" t="s">
        <v>219</v>
      </c>
      <c r="C2" s="140"/>
      <c r="D2" s="140"/>
      <c r="E2" s="140"/>
      <c r="F2" s="140"/>
      <c r="G2" s="140"/>
      <c r="H2" s="140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25">
      <c r="B3" s="141" t="s">
        <v>0</v>
      </c>
      <c r="C3" s="141"/>
      <c r="D3" s="141"/>
      <c r="E3" s="141"/>
      <c r="F3" s="141"/>
      <c r="G3" s="141"/>
      <c r="H3" s="141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5" thickBot="1" x14ac:dyDescent="0.25">
      <c r="I4" s="145" t="s">
        <v>173</v>
      </c>
      <c r="J4" s="145"/>
      <c r="K4" s="145"/>
      <c r="L4" s="145"/>
    </row>
    <row r="5" spans="1:39" x14ac:dyDescent="0.2">
      <c r="I5" s="4"/>
      <c r="J5" s="40"/>
      <c r="K5" s="40"/>
      <c r="L5" s="41"/>
      <c r="M5" s="8"/>
    </row>
    <row r="6" spans="1:39" x14ac:dyDescent="0.2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x14ac:dyDescent="0.2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x14ac:dyDescent="0.2">
      <c r="A8" s="13" t="s">
        <v>9</v>
      </c>
      <c r="B8" s="14" t="s">
        <v>10</v>
      </c>
      <c r="C8" s="53">
        <f>'[4]Team Report'!BA25</f>
        <v>4985502.2300000004</v>
      </c>
      <c r="E8" s="15">
        <f>((C8/9)*12)*1.3</f>
        <v>8641537.1986666676</v>
      </c>
      <c r="H8" s="15">
        <f>+([24]EOPs!H8)/170*$H$29</f>
        <v>279467.41270588234</v>
      </c>
      <c r="I8" s="7"/>
      <c r="J8" s="17"/>
      <c r="K8" s="17"/>
      <c r="L8" s="43"/>
      <c r="M8" s="8"/>
      <c r="Q8" s="15">
        <f t="shared" ref="Q8:Q22" si="0">+H8/$H$29*$Q$29</f>
        <v>69866.853176470584</v>
      </c>
    </row>
    <row r="9" spans="1:39" hidden="1" x14ac:dyDescent="0.2">
      <c r="A9" s="13"/>
      <c r="B9" s="14" t="s">
        <v>11</v>
      </c>
      <c r="C9" s="15">
        <v>0</v>
      </c>
      <c r="E9" s="15">
        <f>(C9/9)*12</f>
        <v>0</v>
      </c>
      <c r="H9" s="15">
        <f>+([24]EOPs!H9)/170*$H$29</f>
        <v>0</v>
      </c>
      <c r="I9" s="7" t="s">
        <v>10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si="0"/>
        <v>0</v>
      </c>
    </row>
    <row r="10" spans="1:39" x14ac:dyDescent="0.2">
      <c r="A10" s="13"/>
      <c r="B10" s="14" t="s">
        <v>122</v>
      </c>
      <c r="C10" s="15">
        <v>0</v>
      </c>
      <c r="E10" s="15">
        <f>(C10/9)*12</f>
        <v>0</v>
      </c>
      <c r="H10" s="15">
        <f>+([24]EOPs!H10)/170*$H$29</f>
        <v>50575.595294117644</v>
      </c>
      <c r="I10" s="7"/>
      <c r="J10" s="17"/>
      <c r="K10" s="17"/>
      <c r="L10" s="43"/>
      <c r="M10" s="8"/>
      <c r="Q10" s="15">
        <f t="shared" si="0"/>
        <v>12643.898823529411</v>
      </c>
    </row>
    <row r="11" spans="1:39" x14ac:dyDescent="0.2">
      <c r="A11" s="13" t="s">
        <v>13</v>
      </c>
      <c r="B11" s="14" t="s">
        <v>14</v>
      </c>
      <c r="C11" s="15">
        <f>'[4]Team Report'!BA26</f>
        <v>1210281.1100000001</v>
      </c>
      <c r="E11" s="15">
        <f>((C11/9)*12)*1.3</f>
        <v>2097820.5906666671</v>
      </c>
      <c r="H11" s="15">
        <f>+([24]EOPs!H11)/170*$H$29</f>
        <v>71813.929411764708</v>
      </c>
      <c r="I11" s="7"/>
      <c r="J11" s="17"/>
      <c r="K11" s="17"/>
      <c r="L11" s="43"/>
      <c r="M11" s="8"/>
      <c r="Q11" s="15">
        <f t="shared" si="0"/>
        <v>17953.482352941177</v>
      </c>
    </row>
    <row r="12" spans="1:39" x14ac:dyDescent="0.2">
      <c r="A12" s="13" t="s">
        <v>16</v>
      </c>
      <c r="B12" s="14" t="s">
        <v>17</v>
      </c>
      <c r="C12" s="15">
        <f>'[4]Team Report'!BA27</f>
        <v>190029.97</v>
      </c>
      <c r="E12" s="15">
        <f>((C12/9)*12)*1.3</f>
        <v>329385.28133333335</v>
      </c>
      <c r="H12" s="15">
        <f>+([24]EOPs!H12)/170*$H$29</f>
        <v>8612.1805221136601</v>
      </c>
      <c r="I12" s="7" t="s">
        <v>15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2153.045130528415</v>
      </c>
    </row>
    <row r="13" spans="1:39" x14ac:dyDescent="0.2">
      <c r="A13" s="13" t="s">
        <v>18</v>
      </c>
      <c r="B13" s="14" t="s">
        <v>19</v>
      </c>
      <c r="C13" s="15">
        <f>'[4]Team Report'!BA28</f>
        <v>78390.58</v>
      </c>
      <c r="E13" s="15">
        <f>((C13/9)*12)*1.3</f>
        <v>135877.00533333333</v>
      </c>
      <c r="H13" s="15">
        <f>+([24]EOPs!H13)/170*$H$29</f>
        <v>10039.341411286141</v>
      </c>
      <c r="I13" s="7"/>
      <c r="J13" s="17"/>
      <c r="K13" s="17"/>
      <c r="L13" s="43"/>
      <c r="M13" s="8"/>
      <c r="Q13" s="15">
        <f t="shared" si="0"/>
        <v>2509.8353528215353</v>
      </c>
    </row>
    <row r="14" spans="1:39" ht="13.5" thickBot="1" x14ac:dyDescent="0.25">
      <c r="A14" s="13" t="s">
        <v>21</v>
      </c>
      <c r="B14" s="14" t="s">
        <v>22</v>
      </c>
      <c r="C14" s="15">
        <v>0</v>
      </c>
      <c r="E14" s="15">
        <f>(4000000*1.2)+222800</f>
        <v>5022800</v>
      </c>
      <c r="H14" s="15">
        <f>+([24]EOPs!H14)/170*$H$29</f>
        <v>7933.8836291126727</v>
      </c>
      <c r="I14" s="22" t="s">
        <v>20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1983.4709072781682</v>
      </c>
    </row>
    <row r="15" spans="1:39" x14ac:dyDescent="0.2">
      <c r="A15" s="13" t="s">
        <v>23</v>
      </c>
      <c r="B15" s="14" t="s">
        <v>24</v>
      </c>
      <c r="C15" s="15">
        <f>'[4]Team Report'!BA33</f>
        <v>69921.63</v>
      </c>
      <c r="E15" s="15">
        <f>2087875*1.3</f>
        <v>2714237.5</v>
      </c>
      <c r="H15" s="15">
        <f>+([24]EOPs!H15)/170*$H$29</f>
        <v>9978.1366301096623</v>
      </c>
      <c r="I15" s="8"/>
      <c r="J15" s="17"/>
      <c r="K15" s="17"/>
      <c r="L15" s="17"/>
      <c r="M15" s="8"/>
      <c r="Q15" s="15">
        <f t="shared" si="0"/>
        <v>2494.5341575274156</v>
      </c>
    </row>
    <row r="16" spans="1:39" x14ac:dyDescent="0.2">
      <c r="A16" s="13" t="s">
        <v>25</v>
      </c>
      <c r="B16" s="14" t="s">
        <v>26</v>
      </c>
      <c r="C16" s="15">
        <f>'[4]Team Report'!BA34</f>
        <v>0</v>
      </c>
      <c r="E16" s="15">
        <f>(C16/9)*12</f>
        <v>0</v>
      </c>
      <c r="H16" s="15">
        <f>+([24]EOPs!H16)/170*$H$29</f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x14ac:dyDescent="0.2">
      <c r="A17" s="13" t="s">
        <v>28</v>
      </c>
      <c r="B17" s="14" t="s">
        <v>29</v>
      </c>
      <c r="C17" s="15">
        <f>'[4]Team Report'!BA35</f>
        <v>0</v>
      </c>
      <c r="E17" s="15">
        <f>(C17/9)*12</f>
        <v>0</v>
      </c>
      <c r="H17" s="15">
        <f>+([24]EOPs!H17)/170*$H$29</f>
        <v>0</v>
      </c>
      <c r="I17" s="8" t="s">
        <v>27</v>
      </c>
      <c r="J17" s="25">
        <v>37500</v>
      </c>
      <c r="K17">
        <f>1+1</f>
        <v>2</v>
      </c>
      <c r="L17" s="17">
        <f t="shared" ref="L17:L28" si="1">J17*K17</f>
        <v>75000</v>
      </c>
      <c r="N17">
        <v>1.25</v>
      </c>
      <c r="Q17" s="15">
        <f t="shared" si="0"/>
        <v>0</v>
      </c>
    </row>
    <row r="18" spans="1:17" x14ac:dyDescent="0.2">
      <c r="A18" s="13" t="s">
        <v>31</v>
      </c>
      <c r="B18" s="14" t="s">
        <v>32</v>
      </c>
      <c r="C18" s="15">
        <f>'[4]Team Report'!BA36</f>
        <v>19039.670000000002</v>
      </c>
      <c r="E18" s="15">
        <f>((C18/9)*12)*1.3</f>
        <v>33002.094666666671</v>
      </c>
      <c r="H18" s="15">
        <f>+([24]EOPs!H18)/170*$H$29</f>
        <v>41031.526401276169</v>
      </c>
      <c r="I18" t="s">
        <v>93</v>
      </c>
      <c r="J18" s="25">
        <v>52500</v>
      </c>
      <c r="K18">
        <f>1+2+1+1</f>
        <v>5</v>
      </c>
      <c r="L18" s="17">
        <f t="shared" si="1"/>
        <v>262500</v>
      </c>
      <c r="Q18" s="15">
        <f t="shared" si="0"/>
        <v>10257.881600319042</v>
      </c>
    </row>
    <row r="19" spans="1:17" x14ac:dyDescent="0.2">
      <c r="A19" s="13" t="s">
        <v>34</v>
      </c>
      <c r="B19" s="14" t="s">
        <v>35</v>
      </c>
      <c r="C19" s="15">
        <f>'[4]Team Report'!BA37</f>
        <v>17422.019999999997</v>
      </c>
      <c r="E19" s="15">
        <v>145000</v>
      </c>
      <c r="H19" s="15">
        <f>+([24]EOPs!H19)/170*$H$29</f>
        <v>8764.5090329012965</v>
      </c>
      <c r="I19" t="s">
        <v>33</v>
      </c>
      <c r="J19" s="25">
        <v>56250</v>
      </c>
      <c r="K19">
        <f>7+2+1+1+4+2</f>
        <v>17</v>
      </c>
      <c r="L19" s="17">
        <f t="shared" si="1"/>
        <v>956250</v>
      </c>
      <c r="Q19" s="15">
        <f t="shared" si="0"/>
        <v>2191.1272582253241</v>
      </c>
    </row>
    <row r="20" spans="1:17" x14ac:dyDescent="0.2">
      <c r="A20" s="13" t="s">
        <v>37</v>
      </c>
      <c r="B20" s="14" t="s">
        <v>38</v>
      </c>
      <c r="C20" s="15">
        <f>'[4]Team Report'!BA38</f>
        <v>0</v>
      </c>
      <c r="E20" s="15">
        <f>(C20/9)*12</f>
        <v>0</v>
      </c>
      <c r="H20" s="15">
        <f>+([24]EOPs!H20)/170*$H$29</f>
        <v>0</v>
      </c>
      <c r="I20" t="s">
        <v>45</v>
      </c>
      <c r="J20" s="25">
        <v>75000</v>
      </c>
      <c r="K20">
        <f>3+1</f>
        <v>4</v>
      </c>
      <c r="L20" s="17">
        <f t="shared" si="1"/>
        <v>300000</v>
      </c>
      <c r="Q20" s="15">
        <f t="shared" si="0"/>
        <v>0</v>
      </c>
    </row>
    <row r="21" spans="1:17" x14ac:dyDescent="0.2">
      <c r="A21" s="13" t="s">
        <v>40</v>
      </c>
      <c r="B21" s="14" t="s">
        <v>41</v>
      </c>
      <c r="C21" s="15">
        <f>'[4]Team Report'!BA42</f>
        <v>75042.680000000008</v>
      </c>
      <c r="E21" s="15">
        <f>((C21/9)*12)*1.3</f>
        <v>130073.97866666669</v>
      </c>
      <c r="H21" s="15">
        <f>+([24]EOPs!H21)/170*$H$29</f>
        <v>0</v>
      </c>
      <c r="I21" t="s">
        <v>94</v>
      </c>
      <c r="J21" s="25">
        <v>60000</v>
      </c>
      <c r="K21">
        <f>2+12+1</f>
        <v>15</v>
      </c>
      <c r="L21" s="17">
        <f t="shared" si="1"/>
        <v>900000</v>
      </c>
      <c r="Q21" s="15">
        <f t="shared" si="0"/>
        <v>0</v>
      </c>
    </row>
    <row r="22" spans="1:17" x14ac:dyDescent="0.2">
      <c r="A22" s="13" t="s">
        <v>43</v>
      </c>
      <c r="B22" s="14" t="s">
        <v>44</v>
      </c>
      <c r="C22" s="15">
        <f>'[4]Team Report'!BA44</f>
        <v>1226.24</v>
      </c>
      <c r="E22" s="15">
        <f>((C22/9)*12)*1.3</f>
        <v>2125.4826666666668</v>
      </c>
      <c r="H22" s="15">
        <f>+([24]EOPs!H22)/170*$H$29</f>
        <v>0</v>
      </c>
      <c r="I22" t="s">
        <v>36</v>
      </c>
      <c r="J22" s="25">
        <v>65000</v>
      </c>
      <c r="K22">
        <f>8+4+5+10+9+2+2+4+4+1</f>
        <v>49</v>
      </c>
      <c r="L22" s="17">
        <f t="shared" si="1"/>
        <v>3185000</v>
      </c>
      <c r="Q22" s="15">
        <f t="shared" si="0"/>
        <v>0</v>
      </c>
    </row>
    <row r="23" spans="1:17" x14ac:dyDescent="0.2">
      <c r="A23" s="26" t="s">
        <v>46</v>
      </c>
      <c r="B23" s="27" t="s">
        <v>47</v>
      </c>
      <c r="C23" s="28">
        <f>SUM(C8:C22)</f>
        <v>6646856.1299999999</v>
      </c>
      <c r="E23" s="28">
        <f>SUM(E8:E22)</f>
        <v>19251859.132000003</v>
      </c>
      <c r="H23" s="28">
        <f>SUM(H8:H22)</f>
        <v>488216.51503856434</v>
      </c>
      <c r="I23" t="s">
        <v>108</v>
      </c>
      <c r="J23" s="25">
        <v>82500</v>
      </c>
      <c r="K23">
        <f>10+1+13+6+6+3+7+1+2+6</f>
        <v>55</v>
      </c>
      <c r="L23" s="17">
        <f t="shared" si="1"/>
        <v>4537500</v>
      </c>
      <c r="Q23" s="28">
        <f>SUM(Q8:Q22)</f>
        <v>122054.12875964108</v>
      </c>
    </row>
    <row r="24" spans="1:17" x14ac:dyDescent="0.2">
      <c r="I24" t="s">
        <v>96</v>
      </c>
      <c r="J24" s="25">
        <v>100000</v>
      </c>
      <c r="K24">
        <f>2+1+8+6+3+1+4</f>
        <v>25</v>
      </c>
      <c r="L24" s="17">
        <f t="shared" si="1"/>
        <v>2500000</v>
      </c>
    </row>
    <row r="25" spans="1:17" x14ac:dyDescent="0.2">
      <c r="B25" s="27" t="s">
        <v>50</v>
      </c>
      <c r="C25" s="55"/>
      <c r="E25" s="55">
        <v>114</v>
      </c>
      <c r="H25" s="55">
        <v>4</v>
      </c>
      <c r="I25" t="s">
        <v>97</v>
      </c>
      <c r="J25" s="25">
        <v>145000</v>
      </c>
      <c r="K25">
        <f>1+1+1+1+2+1+2</f>
        <v>9</v>
      </c>
      <c r="L25" s="17">
        <f t="shared" si="1"/>
        <v>1305000</v>
      </c>
      <c r="Q25" s="31">
        <f>+T16+T17+T18+T19+T20+T23+T24+T25+T26+T27</f>
        <v>0</v>
      </c>
    </row>
    <row r="26" spans="1:17" x14ac:dyDescent="0.2">
      <c r="I26" t="s">
        <v>98</v>
      </c>
      <c r="J26" s="25">
        <v>175000</v>
      </c>
      <c r="K26">
        <f>1+1</f>
        <v>2</v>
      </c>
      <c r="L26" s="17">
        <f t="shared" si="1"/>
        <v>350000</v>
      </c>
      <c r="Q26" s="15"/>
    </row>
    <row r="27" spans="1:17" x14ac:dyDescent="0.2">
      <c r="B27" s="27" t="s">
        <v>67</v>
      </c>
      <c r="C27" s="55"/>
      <c r="E27" s="55">
        <v>4</v>
      </c>
      <c r="H27" s="55">
        <v>0</v>
      </c>
      <c r="I27" t="s">
        <v>99</v>
      </c>
      <c r="J27" s="25">
        <v>237500</v>
      </c>
      <c r="K27">
        <f>1</f>
        <v>1</v>
      </c>
      <c r="L27" s="17">
        <f t="shared" si="1"/>
        <v>237500</v>
      </c>
      <c r="Q27" s="31">
        <f>+T21+T22</f>
        <v>0</v>
      </c>
    </row>
    <row r="28" spans="1:17" x14ac:dyDescent="0.2">
      <c r="I28" t="s">
        <v>100</v>
      </c>
      <c r="J28" s="25">
        <v>312500</v>
      </c>
      <c r="K28">
        <v>0</v>
      </c>
      <c r="L28" s="17">
        <f t="shared" si="1"/>
        <v>0</v>
      </c>
    </row>
    <row r="29" spans="1:17" x14ac:dyDescent="0.2">
      <c r="B29" s="27" t="s">
        <v>55</v>
      </c>
      <c r="C29" s="55"/>
      <c r="E29" s="55">
        <f>SUM(E25:E28)</f>
        <v>118</v>
      </c>
      <c r="H29" s="55">
        <f>SUM(H25:H28)</f>
        <v>4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idden="1" x14ac:dyDescent="0.2">
      <c r="B30" s="27"/>
    </row>
    <row r="31" spans="1:17" hidden="1" x14ac:dyDescent="0.2">
      <c r="A31" s="13" t="s">
        <v>71</v>
      </c>
      <c r="B31" s="14" t="s">
        <v>72</v>
      </c>
      <c r="C31" s="15">
        <f>'[4]Team Report'!BA29</f>
        <v>0</v>
      </c>
      <c r="E31" s="15">
        <f t="shared" ref="E31:E38" si="2">(C31/9)*12</f>
        <v>0</v>
      </c>
      <c r="I31" t="s">
        <v>102</v>
      </c>
      <c r="K31" s="52"/>
      <c r="L31" s="52">
        <v>0.2</v>
      </c>
    </row>
    <row r="32" spans="1:17" hidden="1" x14ac:dyDescent="0.2">
      <c r="A32" s="13" t="s">
        <v>73</v>
      </c>
      <c r="B32" s="14" t="s">
        <v>74</v>
      </c>
      <c r="C32" s="15">
        <f>'[4]Team Report'!BA30</f>
        <v>0</v>
      </c>
      <c r="E32" s="15">
        <f t="shared" si="2"/>
        <v>0</v>
      </c>
    </row>
    <row r="33" spans="1:12" hidden="1" x14ac:dyDescent="0.2">
      <c r="A33" s="13" t="s">
        <v>75</v>
      </c>
      <c r="B33" s="14" t="s">
        <v>76</v>
      </c>
      <c r="C33" s="15">
        <f>'[4]Team Report'!BA31</f>
        <v>0</v>
      </c>
      <c r="E33" s="15">
        <f t="shared" si="2"/>
        <v>0</v>
      </c>
      <c r="L33" s="25">
        <f>L29*1.2</f>
        <v>17530500</v>
      </c>
    </row>
    <row r="34" spans="1:12" hidden="1" x14ac:dyDescent="0.2">
      <c r="A34" s="13" t="s">
        <v>77</v>
      </c>
      <c r="B34" s="14" t="s">
        <v>78</v>
      </c>
      <c r="C34" s="15">
        <f>'[4]Team Report'!BA39</f>
        <v>0</v>
      </c>
      <c r="E34" s="15">
        <f t="shared" si="2"/>
        <v>0</v>
      </c>
    </row>
    <row r="35" spans="1:12" hidden="1" x14ac:dyDescent="0.2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2"/>
        <v>32893.85333333334</v>
      </c>
    </row>
    <row r="36" spans="1:12" hidden="1" x14ac:dyDescent="0.2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2"/>
        <v>641393.90666666673</v>
      </c>
    </row>
    <row r="37" spans="1:12" hidden="1" x14ac:dyDescent="0.2">
      <c r="A37" s="13" t="s">
        <v>83</v>
      </c>
      <c r="B37" s="14" t="s">
        <v>84</v>
      </c>
      <c r="C37" s="15">
        <f>'[4]Team Report'!BA43</f>
        <v>-771915.88</v>
      </c>
      <c r="E37" s="15">
        <f t="shared" si="2"/>
        <v>-1029221.1733333333</v>
      </c>
      <c r="H37" s="33" t="s">
        <v>56</v>
      </c>
    </row>
    <row r="38" spans="1:12" hidden="1" x14ac:dyDescent="0.2">
      <c r="A38" s="13" t="s">
        <v>85</v>
      </c>
      <c r="B38" s="14" t="s">
        <v>86</v>
      </c>
      <c r="C38" s="15">
        <f>'[4]Team Report'!BA45</f>
        <v>0</v>
      </c>
      <c r="E38" s="15">
        <f t="shared" si="2"/>
        <v>0</v>
      </c>
    </row>
    <row r="39" spans="1:12" hidden="1" x14ac:dyDescent="0.2">
      <c r="A39" s="13"/>
      <c r="B39" s="14"/>
      <c r="C39" s="15"/>
      <c r="E39" s="15"/>
      <c r="H39" t="s">
        <v>134</v>
      </c>
    </row>
    <row r="40" spans="1:12" hidden="1" x14ac:dyDescent="0.2"/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6380656.0699999994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pageSetUpPr fitToPage="1"/>
  </sheetPr>
  <dimension ref="A1:AS48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8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6" width="9.140625" hidden="1" customWidth="1"/>
    <col min="17" max="49" width="0" hidden="1" customWidth="1"/>
  </cols>
  <sheetData>
    <row r="1" spans="1:45" ht="18" x14ac:dyDescent="0.25">
      <c r="B1" s="140" t="str">
        <f>'[12]Team Report'!B1</f>
        <v>Enron North America</v>
      </c>
      <c r="C1" s="140"/>
      <c r="D1" s="140"/>
      <c r="E1" s="140"/>
      <c r="F1" s="142"/>
      <c r="G1" s="142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0" t="s">
        <v>135</v>
      </c>
      <c r="C2" s="140"/>
      <c r="D2" s="140"/>
      <c r="E2" s="140"/>
      <c r="F2" s="142"/>
      <c r="G2" s="142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40" t="s">
        <v>0</v>
      </c>
      <c r="C3" s="140"/>
      <c r="D3" s="140"/>
      <c r="E3" s="140"/>
      <c r="F3" s="142"/>
      <c r="G3" s="142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45"/>
      <c r="K4" s="145"/>
      <c r="L4" s="145"/>
      <c r="M4" s="145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1</v>
      </c>
      <c r="L6" s="19" t="s">
        <v>2</v>
      </c>
      <c r="M6" s="74" t="s">
        <v>107</v>
      </c>
      <c r="O6" s="11">
        <v>2002</v>
      </c>
    </row>
    <row r="7" spans="1:45" x14ac:dyDescent="0.2">
      <c r="C7" s="12" t="s">
        <v>5</v>
      </c>
      <c r="E7" s="12" t="s">
        <v>6</v>
      </c>
      <c r="F7" s="12"/>
      <c r="G7" s="12" t="s">
        <v>7</v>
      </c>
      <c r="J7" s="7"/>
      <c r="K7" s="17"/>
      <c r="L7" s="17"/>
      <c r="M7" s="43"/>
      <c r="O7" s="12" t="s">
        <v>7</v>
      </c>
    </row>
    <row r="8" spans="1:45" x14ac:dyDescent="0.2">
      <c r="A8" s="13" t="s">
        <v>9</v>
      </c>
      <c r="B8" s="14" t="s">
        <v>10</v>
      </c>
      <c r="C8" s="53">
        <f>'[12]Team Report'!BA25</f>
        <v>10228335.790000001</v>
      </c>
      <c r="E8" s="15">
        <f t="shared" ref="E8:E22" si="0">+C8/9*12</f>
        <v>13637781.053333335</v>
      </c>
      <c r="F8" s="15"/>
      <c r="G8" s="15">
        <f>(SUM(M17:M28)+348000)*1.2</f>
        <v>19899360</v>
      </c>
      <c r="J8" s="7"/>
      <c r="K8" s="17"/>
      <c r="L8" s="17"/>
      <c r="M8" s="43"/>
      <c r="O8" s="15">
        <f t="shared" ref="O8:O22" si="1">+G8/$G$29*$O$29</f>
        <v>141130.21276595743</v>
      </c>
    </row>
    <row r="9" spans="1:45" hidden="1" x14ac:dyDescent="0.2">
      <c r="A9" s="13"/>
      <c r="B9" s="14" t="s">
        <v>11</v>
      </c>
      <c r="C9" s="15">
        <v>0</v>
      </c>
      <c r="E9" s="15">
        <f t="shared" si="0"/>
        <v>0</v>
      </c>
      <c r="F9" s="15"/>
      <c r="G9" s="15">
        <f>(+E9/9*12)*1.2</f>
        <v>0</v>
      </c>
      <c r="J9" s="7" t="s">
        <v>10</v>
      </c>
      <c r="K9" s="17">
        <v>0</v>
      </c>
      <c r="L9" s="17">
        <f>+L35</f>
        <v>140</v>
      </c>
      <c r="M9" s="43">
        <f>M35</f>
        <v>19481760</v>
      </c>
      <c r="O9" s="15">
        <f t="shared" si="1"/>
        <v>0</v>
      </c>
    </row>
    <row r="10" spans="1:45" x14ac:dyDescent="0.2">
      <c r="A10" s="13"/>
      <c r="B10" s="14" t="s">
        <v>70</v>
      </c>
      <c r="C10" s="15">
        <v>0</v>
      </c>
      <c r="E10" s="15">
        <f t="shared" si="0"/>
        <v>0</v>
      </c>
      <c r="F10" s="15"/>
      <c r="G10" s="15">
        <f>(+E10/9*12)*1.2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'[12]Team Report'!BA26</f>
        <v>1877442.13</v>
      </c>
      <c r="E11" s="15">
        <f t="shared" si="0"/>
        <v>2503256.1733333333</v>
      </c>
      <c r="F11" s="15"/>
      <c r="G11" s="15">
        <f>(+G8*0.2)*1.2</f>
        <v>4775846.3999999994</v>
      </c>
      <c r="J11" s="7"/>
      <c r="K11" s="17"/>
      <c r="L11" s="17"/>
      <c r="M11" s="43"/>
      <c r="O11" s="15">
        <f t="shared" si="1"/>
        <v>33871.251063829783</v>
      </c>
    </row>
    <row r="12" spans="1:45" x14ac:dyDescent="0.2">
      <c r="A12" s="13" t="s">
        <v>16</v>
      </c>
      <c r="B12" s="14" t="s">
        <v>17</v>
      </c>
      <c r="C12" s="15">
        <f>'[12]Team Report'!BA27</f>
        <v>405632.98</v>
      </c>
      <c r="E12" s="15">
        <f t="shared" si="0"/>
        <v>540843.97333333339</v>
      </c>
      <c r="F12" s="15"/>
      <c r="G12" s="15">
        <f>(+'IT Dev'!G12+'IT EOL'!G12)*1.2</f>
        <v>2645210.4</v>
      </c>
      <c r="J12" s="7" t="s">
        <v>15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18760.35744680851</v>
      </c>
    </row>
    <row r="13" spans="1:45" x14ac:dyDescent="0.2">
      <c r="A13" s="13" t="s">
        <v>18</v>
      </c>
      <c r="B13" s="14" t="s">
        <v>19</v>
      </c>
      <c r="C13" s="15">
        <f>'[12]Team Report'!BA28</f>
        <v>648740.16999999993</v>
      </c>
      <c r="E13" s="15">
        <f t="shared" si="0"/>
        <v>864986.8933333332</v>
      </c>
      <c r="F13" s="15"/>
      <c r="G13" s="15">
        <f>(+'IT Dev'!G13+'IT EOL'!G13)*1.2</f>
        <v>1435509.4080000001</v>
      </c>
      <c r="J13" s="7"/>
      <c r="K13" s="17"/>
      <c r="L13" s="17"/>
      <c r="M13" s="43"/>
      <c r="O13" s="15">
        <f t="shared" si="1"/>
        <v>10180.917787234042</v>
      </c>
    </row>
    <row r="14" spans="1:45" ht="13.5" thickBot="1" x14ac:dyDescent="0.25">
      <c r="A14" s="13" t="s">
        <v>21</v>
      </c>
      <c r="B14" s="14" t="s">
        <v>22</v>
      </c>
      <c r="C14" s="15">
        <v>0</v>
      </c>
      <c r="E14" s="15">
        <f t="shared" si="0"/>
        <v>0</v>
      </c>
      <c r="F14" s="15"/>
      <c r="G14" s="15">
        <f>(+'IT Dev'!G14+'IT EOL'!G14)*1.2</f>
        <v>0</v>
      </c>
      <c r="J14" s="22" t="s">
        <v>20</v>
      </c>
      <c r="K14" s="47"/>
      <c r="L14" s="47"/>
      <c r="M14" s="48">
        <f>SUM(M9:M12)</f>
        <v>22588920</v>
      </c>
      <c r="O14" s="15">
        <f t="shared" si="1"/>
        <v>0</v>
      </c>
    </row>
    <row r="15" spans="1:45" x14ac:dyDescent="0.2">
      <c r="A15" s="13" t="s">
        <v>23</v>
      </c>
      <c r="B15" s="14" t="s">
        <v>24</v>
      </c>
      <c r="C15" s="15">
        <f>'[12]Team Report'!BA33</f>
        <v>76876.320000000007</v>
      </c>
      <c r="E15" s="15">
        <f t="shared" si="0"/>
        <v>102501.76000000001</v>
      </c>
      <c r="F15" s="15"/>
      <c r="G15" s="15">
        <f>(+'IT Dev'!G15+'IT EOL'!G15)*1.2</f>
        <v>594467.32799999998</v>
      </c>
      <c r="J15" s="8"/>
      <c r="K15" s="17"/>
      <c r="L15" s="17"/>
      <c r="M15" s="17"/>
      <c r="O15" s="15">
        <f t="shared" si="1"/>
        <v>4216.0803404255321</v>
      </c>
    </row>
    <row r="16" spans="1:45" x14ac:dyDescent="0.2">
      <c r="A16" s="13" t="s">
        <v>25</v>
      </c>
      <c r="B16" s="14" t="s">
        <v>26</v>
      </c>
      <c r="C16" s="15">
        <f>'[12]Team Report'!BA34</f>
        <v>0</v>
      </c>
      <c r="E16" s="15">
        <f t="shared" si="0"/>
        <v>0</v>
      </c>
      <c r="F16" s="15"/>
      <c r="G16" s="15">
        <f>(+'IT Dev'!G16+'IT EOL'!G16)*1.2</f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'[12]Team Report'!BA35</f>
        <v>0</v>
      </c>
      <c r="E17" s="15">
        <f t="shared" si="0"/>
        <v>0</v>
      </c>
      <c r="F17" s="15"/>
      <c r="G17" s="15">
        <f>(+'IT Dev'!G17+'IT EOL'!G17)*1.2</f>
        <v>0</v>
      </c>
      <c r="J17" t="s">
        <v>27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31</v>
      </c>
      <c r="B18" s="14" t="s">
        <v>32</v>
      </c>
      <c r="C18" s="15">
        <f>'[12]Team Report'!BA36</f>
        <v>5744.1</v>
      </c>
      <c r="E18" s="15">
        <f t="shared" si="0"/>
        <v>7658.8</v>
      </c>
      <c r="F18" s="15"/>
      <c r="G18" s="15">
        <f>(+'IT Dev'!G18+'IT EOL'!G18)*1.2</f>
        <v>0</v>
      </c>
      <c r="J18" t="s">
        <v>30</v>
      </c>
      <c r="K18" s="25">
        <v>57600</v>
      </c>
      <c r="L18" s="25">
        <v>3</v>
      </c>
      <c r="M18" s="17">
        <f t="shared" si="2"/>
        <v>172800</v>
      </c>
      <c r="O18" s="15">
        <f t="shared" si="1"/>
        <v>0</v>
      </c>
    </row>
    <row r="19" spans="1:15" x14ac:dyDescent="0.2">
      <c r="A19" s="13" t="s">
        <v>34</v>
      </c>
      <c r="B19" s="14" t="s">
        <v>35</v>
      </c>
      <c r="C19" s="15">
        <f>'[12]Team Report'!BA37</f>
        <v>67058.599999999991</v>
      </c>
      <c r="E19" s="15">
        <f t="shared" si="0"/>
        <v>89411.466666666645</v>
      </c>
      <c r="F19" s="15"/>
      <c r="G19" s="15">
        <f>(+'IT Dev'!G19+'IT EOL'!G19+2775700)*1.2</f>
        <v>6721199.9040000001</v>
      </c>
      <c r="J19" t="s">
        <v>33</v>
      </c>
      <c r="K19" s="25">
        <v>60000</v>
      </c>
      <c r="L19" s="25">
        <v>1</v>
      </c>
      <c r="M19" s="17">
        <f t="shared" si="2"/>
        <v>60000</v>
      </c>
      <c r="O19" s="15">
        <f t="shared" si="1"/>
        <v>47668.084425531917</v>
      </c>
    </row>
    <row r="20" spans="1:15" x14ac:dyDescent="0.2">
      <c r="A20" s="13" t="s">
        <v>37</v>
      </c>
      <c r="B20" s="14" t="s">
        <v>38</v>
      </c>
      <c r="C20" s="15">
        <f>'[12]Team Report'!BA38</f>
        <v>0</v>
      </c>
      <c r="E20" s="15">
        <f t="shared" si="0"/>
        <v>0</v>
      </c>
      <c r="F20" s="15"/>
      <c r="G20" s="15">
        <f>(+'IT Dev'!G20+'IT EOL'!G20)*1.2</f>
        <v>0</v>
      </c>
      <c r="J20" t="s">
        <v>36</v>
      </c>
      <c r="K20" s="25">
        <v>78000</v>
      </c>
      <c r="L20" s="25">
        <f>27+1</f>
        <v>28</v>
      </c>
      <c r="M20" s="17">
        <f t="shared" si="2"/>
        <v>2184000</v>
      </c>
      <c r="O20" s="15">
        <f t="shared" si="1"/>
        <v>0</v>
      </c>
    </row>
    <row r="21" spans="1:15" x14ac:dyDescent="0.2">
      <c r="A21" s="13" t="s">
        <v>40</v>
      </c>
      <c r="B21" s="14" t="s">
        <v>41</v>
      </c>
      <c r="C21" s="15">
        <f>'[12]Team Report'!BA42</f>
        <v>842429.76</v>
      </c>
      <c r="E21" s="15">
        <f t="shared" si="0"/>
        <v>1123239.6800000002</v>
      </c>
      <c r="F21" s="15"/>
      <c r="G21" s="15">
        <f>(+'IT Dev'!G21+'IT EOL'!G21-7942105)*1.2</f>
        <v>2215166.8800000004</v>
      </c>
      <c r="J21" t="s">
        <v>39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15710.403404255321</v>
      </c>
    </row>
    <row r="22" spans="1:15" x14ac:dyDescent="0.2">
      <c r="A22" s="13" t="s">
        <v>43</v>
      </c>
      <c r="B22" s="14" t="s">
        <v>44</v>
      </c>
      <c r="C22" s="15">
        <f>'[12]Team Report'!BA44</f>
        <v>6453.6999999999989</v>
      </c>
      <c r="E22" s="15">
        <f t="shared" si="0"/>
        <v>8604.9333333333325</v>
      </c>
      <c r="F22" s="15"/>
      <c r="G22" s="15">
        <f>(+'IT Dev'!G22+'IT EOL'!G22)*1.2</f>
        <v>0</v>
      </c>
      <c r="J22" t="s">
        <v>136</v>
      </c>
      <c r="K22" s="25">
        <v>192000</v>
      </c>
      <c r="L22" s="25">
        <v>0</v>
      </c>
      <c r="M22" s="17">
        <f t="shared" si="2"/>
        <v>0</v>
      </c>
      <c r="O22" s="15">
        <f t="shared" si="1"/>
        <v>0</v>
      </c>
    </row>
    <row r="23" spans="1:15" x14ac:dyDescent="0.2">
      <c r="A23" s="26" t="s">
        <v>46</v>
      </c>
      <c r="B23" s="27" t="s">
        <v>47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38286760.32</v>
      </c>
      <c r="J23" t="s">
        <v>137</v>
      </c>
      <c r="K23" s="25">
        <v>192000</v>
      </c>
      <c r="L23" s="25">
        <v>0</v>
      </c>
      <c r="M23" s="17">
        <f t="shared" si="2"/>
        <v>0</v>
      </c>
      <c r="O23" s="28">
        <f>SUM(O8:O22)</f>
        <v>271537.30723404256</v>
      </c>
    </row>
    <row r="24" spans="1:15" x14ac:dyDescent="0.2">
      <c r="J24" t="s">
        <v>48</v>
      </c>
      <c r="K24" s="25">
        <v>144000</v>
      </c>
      <c r="L24" s="25">
        <v>28</v>
      </c>
      <c r="M24" s="17">
        <f t="shared" si="2"/>
        <v>4032000</v>
      </c>
    </row>
    <row r="25" spans="1:15" x14ac:dyDescent="0.2">
      <c r="B25" s="27" t="s">
        <v>50</v>
      </c>
      <c r="C25" s="55"/>
      <c r="E25" s="55">
        <v>111</v>
      </c>
      <c r="F25" s="60">
        <v>40</v>
      </c>
      <c r="G25" s="79">
        <v>141</v>
      </c>
      <c r="J25" t="s">
        <v>49</v>
      </c>
      <c r="K25" s="25">
        <v>168000</v>
      </c>
      <c r="L25" s="25">
        <v>9</v>
      </c>
      <c r="M25" s="17">
        <f t="shared" si="2"/>
        <v>1512000</v>
      </c>
      <c r="O25" s="31">
        <f>SUM(U16:U20,U23:U27)</f>
        <v>0</v>
      </c>
    </row>
    <row r="26" spans="1:15" x14ac:dyDescent="0.2">
      <c r="J26" t="s">
        <v>51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x14ac:dyDescent="0.2">
      <c r="B27" s="27" t="s">
        <v>67</v>
      </c>
      <c r="C27" s="55"/>
      <c r="E27" s="55"/>
      <c r="F27" s="60"/>
      <c r="G27" s="55"/>
      <c r="J27" t="s">
        <v>52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54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x14ac:dyDescent="0.2">
      <c r="B29" s="27" t="s">
        <v>55</v>
      </c>
      <c r="C29" s="55"/>
      <c r="E29" s="55">
        <f>SUM(E25:E28)</f>
        <v>111</v>
      </c>
      <c r="F29" s="60"/>
      <c r="G29" s="55">
        <f>SUM(G25:G28)</f>
        <v>141</v>
      </c>
      <c r="L29" s="25">
        <f>SUM(L17:L28)</f>
        <v>140</v>
      </c>
      <c r="M29" s="25">
        <f>SUM(M17:M28)</f>
        <v>16234800</v>
      </c>
      <c r="O29" s="31">
        <v>1</v>
      </c>
    </row>
    <row r="30" spans="1:15" x14ac:dyDescent="0.2">
      <c r="B30" s="27"/>
    </row>
    <row r="31" spans="1:15" hidden="1" x14ac:dyDescent="0.2">
      <c r="A31" s="13" t="s">
        <v>71</v>
      </c>
      <c r="B31" s="14" t="s">
        <v>72</v>
      </c>
      <c r="C31" s="15">
        <f>'[12]Team Report'!BA29</f>
        <v>-24140467.679999996</v>
      </c>
      <c r="E31" s="15">
        <v>0</v>
      </c>
      <c r="F31" s="15"/>
      <c r="J31" t="s">
        <v>102</v>
      </c>
      <c r="L31" s="52"/>
      <c r="M31" s="52">
        <v>0.2</v>
      </c>
    </row>
    <row r="32" spans="1:15" hidden="1" x14ac:dyDescent="0.2">
      <c r="A32" s="13" t="s">
        <v>73</v>
      </c>
      <c r="B32" s="14" t="s">
        <v>74</v>
      </c>
      <c r="C32" s="15">
        <f>'[12]Team Report'!BA30</f>
        <v>0</v>
      </c>
      <c r="E32" s="15">
        <f>(C32/9)*12</f>
        <v>0</v>
      </c>
      <c r="F32" s="15"/>
    </row>
    <row r="33" spans="1:13" hidden="1" x14ac:dyDescent="0.2">
      <c r="A33" s="13" t="s">
        <v>75</v>
      </c>
      <c r="B33" s="14" t="s">
        <v>76</v>
      </c>
      <c r="C33" s="15">
        <f>'[12]Team Report'!BA31</f>
        <v>0</v>
      </c>
      <c r="E33" s="15">
        <f>(C33/9)*12</f>
        <v>0</v>
      </c>
      <c r="F33" s="15"/>
      <c r="J33" t="s">
        <v>133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77</v>
      </c>
      <c r="B34" s="14" t="s">
        <v>78</v>
      </c>
      <c r="C34" s="15">
        <f>'[12]Team Report'!BA39</f>
        <v>0</v>
      </c>
      <c r="E34" s="15">
        <f>(C34/9)*12</f>
        <v>0</v>
      </c>
      <c r="F34" s="15"/>
    </row>
    <row r="35" spans="1:13" hidden="1" x14ac:dyDescent="0.2">
      <c r="A35" s="13" t="s">
        <v>79</v>
      </c>
      <c r="B35" s="14" t="s">
        <v>80</v>
      </c>
      <c r="C35" s="15">
        <f>'[12]Team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19481760</v>
      </c>
    </row>
    <row r="36" spans="1:13" hidden="1" x14ac:dyDescent="0.2">
      <c r="A36" s="13" t="s">
        <v>81</v>
      </c>
      <c r="B36" s="14" t="s">
        <v>82</v>
      </c>
      <c r="C36" s="15">
        <f>'[12]Team Report'!BA41</f>
        <v>945381.27</v>
      </c>
      <c r="E36" s="15">
        <v>0</v>
      </c>
      <c r="F36" s="15"/>
    </row>
    <row r="37" spans="1:13" hidden="1" x14ac:dyDescent="0.2">
      <c r="A37" s="13" t="s">
        <v>83</v>
      </c>
      <c r="B37" s="14" t="s">
        <v>84</v>
      </c>
      <c r="C37" s="15">
        <f>'[12]Team Report'!BA43</f>
        <v>-5121278.5200000005</v>
      </c>
      <c r="E37" s="15">
        <v>0</v>
      </c>
      <c r="F37" s="15"/>
      <c r="I37" s="33" t="s">
        <v>56</v>
      </c>
    </row>
    <row r="38" spans="1:13" hidden="1" x14ac:dyDescent="0.2">
      <c r="A38" s="13" t="s">
        <v>85</v>
      </c>
      <c r="B38" s="14" t="s">
        <v>86</v>
      </c>
      <c r="C38" s="15">
        <f>'[12]Team Report'!BA45</f>
        <v>0</v>
      </c>
      <c r="E38" s="15">
        <f>(C38/9)*12</f>
        <v>0</v>
      </c>
      <c r="F38" s="15"/>
    </row>
    <row r="39" spans="1:13" hidden="1" x14ac:dyDescent="0.2">
      <c r="A39" s="13" t="s">
        <v>21</v>
      </c>
      <c r="B39" s="14" t="s">
        <v>22</v>
      </c>
      <c r="C39" s="15">
        <v>24143776.43</v>
      </c>
      <c r="E39" s="15">
        <v>0</v>
      </c>
      <c r="F39" s="15"/>
      <c r="I39" t="s">
        <v>134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169</v>
      </c>
    </row>
    <row r="47" spans="1:13" x14ac:dyDescent="0.2">
      <c r="B47" s="14" t="s">
        <v>170</v>
      </c>
    </row>
    <row r="48" spans="1:13" x14ac:dyDescent="0.2">
      <c r="B48" s="14" t="s">
        <v>171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scale="96" orientation="portrait" verticalDpi="196" r:id="rId1"/>
  <headerFooter alignWithMargins="0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AS44"/>
  <sheetViews>
    <sheetView zoomScaleNormal="100" workbookViewId="0">
      <selection activeCell="R144" sqref="R144"/>
    </sheetView>
  </sheetViews>
  <sheetFormatPr defaultRowHeight="12.75" x14ac:dyDescent="0.2"/>
  <cols>
    <col min="1" max="1" width="5.140625" customWidth="1"/>
    <col min="2" max="2" width="23.42578125" bestFit="1" customWidth="1"/>
    <col min="3" max="3" width="15.85546875" hidden="1" customWidth="1"/>
    <col min="4" max="4" width="1.85546875" customWidth="1"/>
    <col min="5" max="5" width="13.85546875" hidden="1" customWidth="1"/>
    <col min="6" max="7" width="2.28515625" hidden="1" customWidth="1"/>
    <col min="8" max="8" width="13" customWidth="1"/>
    <col min="9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50" width="0" hidden="1" customWidth="1"/>
  </cols>
  <sheetData>
    <row r="1" spans="1:45" ht="18" x14ac:dyDescent="0.25">
      <c r="B1" s="140" t="str">
        <f>'[11]Team Report'!B1</f>
        <v>Enron North America</v>
      </c>
      <c r="C1" s="140"/>
      <c r="D1" s="140"/>
      <c r="E1" s="140"/>
      <c r="F1" s="142"/>
      <c r="G1" s="142"/>
      <c r="H1" s="142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0" t="str">
        <f>"IT Infrastructure"</f>
        <v>IT Infrastructure</v>
      </c>
      <c r="C2" s="140"/>
      <c r="D2" s="140"/>
      <c r="E2" s="140"/>
      <c r="F2" s="142"/>
      <c r="G2" s="142"/>
      <c r="H2" s="142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40" t="s">
        <v>0</v>
      </c>
      <c r="C3" s="140"/>
      <c r="D3" s="140"/>
      <c r="E3" s="140"/>
      <c r="F3" s="142"/>
      <c r="G3" s="142"/>
      <c r="H3" s="142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45"/>
      <c r="K4" s="145"/>
      <c r="L4" s="145"/>
      <c r="M4" s="145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H6" s="11">
        <v>2002</v>
      </c>
      <c r="J6" s="7"/>
      <c r="K6" s="19" t="s">
        <v>1</v>
      </c>
      <c r="L6" s="19" t="s">
        <v>2</v>
      </c>
      <c r="M6" s="74" t="s">
        <v>107</v>
      </c>
      <c r="Q6" s="44" t="s">
        <v>63</v>
      </c>
    </row>
    <row r="7" spans="1:45" x14ac:dyDescent="0.2">
      <c r="C7" s="12" t="s">
        <v>5</v>
      </c>
      <c r="E7" s="12" t="s">
        <v>6</v>
      </c>
      <c r="H7" s="12" t="s">
        <v>7</v>
      </c>
      <c r="J7" s="7"/>
      <c r="K7" s="17"/>
      <c r="L7" s="17"/>
      <c r="M7" s="43"/>
      <c r="Q7" s="12" t="s">
        <v>7</v>
      </c>
    </row>
    <row r="8" spans="1:45" x14ac:dyDescent="0.2">
      <c r="A8" s="13" t="s">
        <v>9</v>
      </c>
      <c r="B8" s="14" t="s">
        <v>10</v>
      </c>
      <c r="C8" s="53">
        <f>'[11]Team Report'!BA25</f>
        <v>10228335.790000001</v>
      </c>
      <c r="E8" s="15">
        <f>+C8/9*12</f>
        <v>13637781.053333335</v>
      </c>
      <c r="H8" s="15">
        <f>(+M29)*1.2</f>
        <v>8413920</v>
      </c>
      <c r="J8" s="7"/>
      <c r="K8" s="17"/>
      <c r="L8" s="17"/>
      <c r="M8" s="43"/>
      <c r="Q8" s="15">
        <f>+H8/$H$29*$Q$29</f>
        <v>142608.81355932204</v>
      </c>
    </row>
    <row r="9" spans="1:45" hidden="1" x14ac:dyDescent="0.2">
      <c r="A9" s="13"/>
      <c r="B9" s="14" t="s">
        <v>11</v>
      </c>
      <c r="C9" s="15">
        <v>0</v>
      </c>
      <c r="E9" s="15">
        <f t="shared" ref="E9:E20" si="0">(C9/9)*12</f>
        <v>0</v>
      </c>
      <c r="H9" s="15">
        <f>((F9/9)*12)*1.2</f>
        <v>0</v>
      </c>
      <c r="J9" s="7" t="s">
        <v>10</v>
      </c>
      <c r="K9" s="17">
        <v>0</v>
      </c>
      <c r="L9" s="17">
        <f>+L35</f>
        <v>67</v>
      </c>
      <c r="M9" s="43">
        <f>M35</f>
        <v>9949920</v>
      </c>
      <c r="Q9" s="15">
        <f t="shared" ref="Q9:Q22" si="1">+H9/$H$29*$Q$29</f>
        <v>0</v>
      </c>
    </row>
    <row r="10" spans="1:45" hidden="1" x14ac:dyDescent="0.2">
      <c r="A10" s="13"/>
      <c r="B10" s="14" t="s">
        <v>122</v>
      </c>
      <c r="C10" s="15">
        <v>0</v>
      </c>
      <c r="E10" s="15">
        <f t="shared" si="0"/>
        <v>0</v>
      </c>
      <c r="H10" s="15">
        <f>((F10/9)*12)*1.2</f>
        <v>0</v>
      </c>
      <c r="J10" s="7"/>
      <c r="K10" s="17"/>
      <c r="L10" s="17"/>
      <c r="M10" s="43"/>
      <c r="Q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'[11]Team Report'!BA26</f>
        <v>1877442.13</v>
      </c>
      <c r="E11" s="15">
        <f t="shared" si="0"/>
        <v>2503256.1733333333</v>
      </c>
      <c r="H11" s="15">
        <f>(+H8*0.2)*1.2</f>
        <v>2019340.7999999998</v>
      </c>
      <c r="J11" s="7"/>
      <c r="K11" s="17"/>
      <c r="L11" s="17"/>
      <c r="M11" s="43"/>
      <c r="Q11" s="15">
        <f t="shared" si="1"/>
        <v>34226.115254237287</v>
      </c>
    </row>
    <row r="12" spans="1:45" x14ac:dyDescent="0.2">
      <c r="A12" s="13" t="s">
        <v>16</v>
      </c>
      <c r="B12" s="14" t="s">
        <v>17</v>
      </c>
      <c r="C12" s="15">
        <f>'[11]Team Report'!BA27</f>
        <v>405632.98</v>
      </c>
      <c r="E12" s="15">
        <f t="shared" si="0"/>
        <v>540843.97333333339</v>
      </c>
      <c r="H12" s="15">
        <f>((2485728*0.35+1000000)*0.559633027522936)*1.2</f>
        <v>1255819.7372477062</v>
      </c>
      <c r="J12" s="7" t="s">
        <v>15</v>
      </c>
      <c r="K12" s="17">
        <f>18495*1.2</f>
        <v>22194</v>
      </c>
      <c r="L12" s="17">
        <f>+L35</f>
        <v>67</v>
      </c>
      <c r="M12" s="43">
        <f>K12*L12+32600125</f>
        <v>34087123</v>
      </c>
      <c r="Q12" s="15">
        <f t="shared" si="1"/>
        <v>21285.080292334002</v>
      </c>
    </row>
    <row r="13" spans="1:45" x14ac:dyDescent="0.2">
      <c r="A13" s="13" t="s">
        <v>18</v>
      </c>
      <c r="B13" s="14" t="s">
        <v>19</v>
      </c>
      <c r="C13" s="15">
        <f>'[11]Team Report'!BA28</f>
        <v>648740.16999999993</v>
      </c>
      <c r="E13" s="15">
        <f t="shared" si="0"/>
        <v>864986.8933333332</v>
      </c>
      <c r="H13" s="15">
        <f>((2485728*0.13+1000000)*0.559633027522936)*1.2</f>
        <v>888570.528880734</v>
      </c>
      <c r="J13" s="7"/>
      <c r="K13" s="17"/>
      <c r="L13" s="17"/>
      <c r="M13" s="43"/>
      <c r="Q13" s="15">
        <f t="shared" si="1"/>
        <v>15060.517438656509</v>
      </c>
    </row>
    <row r="14" spans="1:45" ht="13.5" thickBot="1" x14ac:dyDescent="0.25">
      <c r="A14" s="13" t="s">
        <v>21</v>
      </c>
      <c r="B14" s="14" t="s">
        <v>22</v>
      </c>
      <c r="C14" s="15">
        <v>0</v>
      </c>
      <c r="E14" s="15">
        <f t="shared" si="0"/>
        <v>0</v>
      </c>
      <c r="H14" s="15">
        <v>2400000</v>
      </c>
      <c r="J14" s="22" t="s">
        <v>20</v>
      </c>
      <c r="K14" s="47"/>
      <c r="L14" s="47"/>
      <c r="M14" s="48">
        <f>SUM(M9:M12)</f>
        <v>44037043</v>
      </c>
      <c r="Q14" s="15">
        <f t="shared" si="1"/>
        <v>40677.966101694918</v>
      </c>
    </row>
    <row r="15" spans="1:45" x14ac:dyDescent="0.2">
      <c r="A15" s="13" t="s">
        <v>23</v>
      </c>
      <c r="B15" s="14" t="s">
        <v>24</v>
      </c>
      <c r="C15" s="15">
        <f>'[11]Team Report'!BA33</f>
        <v>76876.320000000007</v>
      </c>
      <c r="E15" s="15">
        <f t="shared" si="0"/>
        <v>102501.76000000001</v>
      </c>
      <c r="H15" s="15">
        <f>((2485728*0.08+100000)*0.559633027522936)*1.2</f>
        <v>200701.12998165135</v>
      </c>
      <c r="J15" s="8"/>
      <c r="K15" s="17"/>
      <c r="L15" s="17"/>
      <c r="M15" s="17"/>
      <c r="Q15" s="15">
        <f t="shared" si="1"/>
        <v>3401.7140674856159</v>
      </c>
    </row>
    <row r="16" spans="1:45" x14ac:dyDescent="0.2">
      <c r="A16" s="13" t="s">
        <v>25</v>
      </c>
      <c r="B16" s="14" t="s">
        <v>26</v>
      </c>
      <c r="C16" s="15">
        <f>'[11]Team Report'!BA34</f>
        <v>0</v>
      </c>
      <c r="E16" s="15">
        <f t="shared" si="0"/>
        <v>0</v>
      </c>
      <c r="H16" s="15">
        <v>0</v>
      </c>
      <c r="J16" s="8"/>
      <c r="K16" s="17"/>
      <c r="L16" s="78"/>
      <c r="M16" s="17"/>
      <c r="Q16" s="15">
        <f t="shared" si="1"/>
        <v>0</v>
      </c>
    </row>
    <row r="17" spans="1:17" x14ac:dyDescent="0.2">
      <c r="A17" s="13" t="s">
        <v>28</v>
      </c>
      <c r="B17" s="14" t="s">
        <v>29</v>
      </c>
      <c r="C17" s="15">
        <f>'[11]Team Report'!BA35</f>
        <v>0</v>
      </c>
      <c r="E17" s="15">
        <f t="shared" si="0"/>
        <v>0</v>
      </c>
      <c r="H17" s="15">
        <v>0</v>
      </c>
      <c r="J17" t="s">
        <v>27</v>
      </c>
      <c r="K17" s="25">
        <v>49200</v>
      </c>
      <c r="L17" s="25">
        <v>0</v>
      </c>
      <c r="M17" s="17">
        <f t="shared" ref="M17:M28" si="2">K17*L17</f>
        <v>0</v>
      </c>
      <c r="Q17" s="15">
        <f t="shared" si="1"/>
        <v>0</v>
      </c>
    </row>
    <row r="18" spans="1:17" x14ac:dyDescent="0.2">
      <c r="A18" s="13" t="s">
        <v>31</v>
      </c>
      <c r="B18" s="14" t="s">
        <v>32</v>
      </c>
      <c r="C18" s="15">
        <f>'[11]Team Report'!BA36</f>
        <v>5744.1</v>
      </c>
      <c r="E18" s="15">
        <f t="shared" si="0"/>
        <v>7658.8</v>
      </c>
      <c r="H18" s="15">
        <v>2323200</v>
      </c>
      <c r="J18" t="s">
        <v>30</v>
      </c>
      <c r="K18" s="25">
        <v>57600</v>
      </c>
      <c r="L18" s="25">
        <v>1</v>
      </c>
      <c r="M18" s="17">
        <f t="shared" si="2"/>
        <v>57600</v>
      </c>
      <c r="Q18" s="15">
        <f t="shared" si="1"/>
        <v>39376.271186440681</v>
      </c>
    </row>
    <row r="19" spans="1:17" x14ac:dyDescent="0.2">
      <c r="A19" s="13" t="s">
        <v>34</v>
      </c>
      <c r="B19" s="14" t="s">
        <v>35</v>
      </c>
      <c r="C19" s="15">
        <f>'[11]Team Report'!BA37</f>
        <v>67058.599999999991</v>
      </c>
      <c r="E19" s="15">
        <f t="shared" si="0"/>
        <v>89411.466666666645</v>
      </c>
      <c r="H19" s="15">
        <f>((2485728*0.29+2500000)*0.559633027522936+3445700)*1.2</f>
        <v>6297840.3117798166</v>
      </c>
      <c r="J19" t="s">
        <v>33</v>
      </c>
      <c r="K19" s="25">
        <v>60000</v>
      </c>
      <c r="L19" s="25">
        <v>2</v>
      </c>
      <c r="M19" s="17">
        <f t="shared" si="2"/>
        <v>120000</v>
      </c>
      <c r="Q19" s="15">
        <f t="shared" si="1"/>
        <v>106743.0561318613</v>
      </c>
    </row>
    <row r="20" spans="1:17" x14ac:dyDescent="0.2">
      <c r="A20" s="13" t="s">
        <v>37</v>
      </c>
      <c r="B20" s="14" t="s">
        <v>38</v>
      </c>
      <c r="C20" s="15">
        <f>'[11]Team Report'!BA38</f>
        <v>0</v>
      </c>
      <c r="E20" s="15">
        <f t="shared" si="0"/>
        <v>0</v>
      </c>
      <c r="H20" s="15">
        <v>0</v>
      </c>
      <c r="J20" t="s">
        <v>36</v>
      </c>
      <c r="K20" s="25">
        <v>78000</v>
      </c>
      <c r="L20" s="25">
        <v>9</v>
      </c>
      <c r="M20" s="17">
        <f t="shared" si="2"/>
        <v>702000</v>
      </c>
      <c r="Q20" s="15">
        <f t="shared" si="1"/>
        <v>0</v>
      </c>
    </row>
    <row r="21" spans="1:17" x14ac:dyDescent="0.2">
      <c r="A21" s="13" t="s">
        <v>40</v>
      </c>
      <c r="B21" s="14" t="s">
        <v>41</v>
      </c>
      <c r="C21" s="15">
        <f>'[11]Team Report'!BA42</f>
        <v>842429.76</v>
      </c>
      <c r="E21" s="15">
        <f>(C21/9)*12+32600125</f>
        <v>33723364.68</v>
      </c>
      <c r="H21" s="15">
        <f>(2485728*0.15+2500000+35100000-32660209)*1.2</f>
        <v>6375180.240000003</v>
      </c>
      <c r="J21" t="s">
        <v>39</v>
      </c>
      <c r="K21" s="25">
        <v>102000</v>
      </c>
      <c r="L21" s="25">
        <v>25</v>
      </c>
      <c r="M21" s="17">
        <f t="shared" si="2"/>
        <v>2550000</v>
      </c>
      <c r="Q21" s="15">
        <f t="shared" si="1"/>
        <v>108053.90237288141</v>
      </c>
    </row>
    <row r="22" spans="1:17" x14ac:dyDescent="0.2">
      <c r="A22" s="13" t="s">
        <v>43</v>
      </c>
      <c r="B22" s="14" t="s">
        <v>44</v>
      </c>
      <c r="C22" s="15">
        <f>'[11]Team Report'!BA44</f>
        <v>6453.6999999999989</v>
      </c>
      <c r="E22" s="15">
        <f>(C22/9)*12</f>
        <v>8604.9333333333325</v>
      </c>
      <c r="H22" s="15">
        <f>((F22/9)*12)*1.2</f>
        <v>0</v>
      </c>
      <c r="J22" t="s">
        <v>42</v>
      </c>
      <c r="K22" s="25">
        <v>0</v>
      </c>
      <c r="L22" s="25">
        <v>0</v>
      </c>
      <c r="M22" s="17">
        <f t="shared" si="2"/>
        <v>0</v>
      </c>
      <c r="Q22" s="15">
        <f t="shared" si="1"/>
        <v>0</v>
      </c>
    </row>
    <row r="23" spans="1:17" x14ac:dyDescent="0.2">
      <c r="A23" s="26" t="s">
        <v>46</v>
      </c>
      <c r="B23" s="27" t="s">
        <v>47</v>
      </c>
      <c r="C23" s="28">
        <f>SUM(C8:C22)</f>
        <v>14158713.550000001</v>
      </c>
      <c r="E23" s="28">
        <f>SUM(E8:E22)</f>
        <v>51478409.733333327</v>
      </c>
      <c r="H23" s="28">
        <f>SUM(H8:H22)</f>
        <v>30174572.74788991</v>
      </c>
      <c r="J23" t="s">
        <v>137</v>
      </c>
      <c r="K23" s="25">
        <v>192000</v>
      </c>
      <c r="L23" s="25">
        <v>0</v>
      </c>
      <c r="M23" s="17">
        <f t="shared" si="2"/>
        <v>0</v>
      </c>
      <c r="Q23" s="28">
        <f>SUM(Q8:Q22)</f>
        <v>511433.43640491372</v>
      </c>
    </row>
    <row r="24" spans="1:17" x14ac:dyDescent="0.2">
      <c r="J24" t="s">
        <v>48</v>
      </c>
      <c r="K24" s="25">
        <v>144000</v>
      </c>
      <c r="L24" s="25">
        <v>15</v>
      </c>
      <c r="M24" s="17">
        <f t="shared" si="2"/>
        <v>2160000</v>
      </c>
    </row>
    <row r="25" spans="1:17" x14ac:dyDescent="0.2">
      <c r="B25" s="27" t="s">
        <v>50</v>
      </c>
      <c r="C25" s="55"/>
      <c r="E25" s="55">
        <v>111</v>
      </c>
      <c r="F25">
        <v>40</v>
      </c>
      <c r="H25" s="79">
        <f>+L29-1</f>
        <v>58</v>
      </c>
      <c r="J25" t="s">
        <v>49</v>
      </c>
      <c r="K25" s="25">
        <v>168000</v>
      </c>
      <c r="L25" s="25">
        <v>2</v>
      </c>
      <c r="M25" s="17">
        <f t="shared" si="2"/>
        <v>336000</v>
      </c>
      <c r="Q25" s="31">
        <f>+T16+T17+T18+T19+T20+T23+T24+T25+T26+T27</f>
        <v>0</v>
      </c>
    </row>
    <row r="26" spans="1:17" x14ac:dyDescent="0.2">
      <c r="J26" t="s">
        <v>51</v>
      </c>
      <c r="K26" s="25">
        <v>216000</v>
      </c>
      <c r="L26" s="25">
        <v>4</v>
      </c>
      <c r="M26" s="17">
        <f t="shared" si="2"/>
        <v>864000</v>
      </c>
      <c r="Q26" s="15"/>
    </row>
    <row r="27" spans="1:17" x14ac:dyDescent="0.2">
      <c r="B27" s="27" t="s">
        <v>67</v>
      </c>
      <c r="C27" s="55"/>
      <c r="E27" s="55"/>
      <c r="H27" s="55">
        <v>1</v>
      </c>
      <c r="J27" t="s">
        <v>52</v>
      </c>
      <c r="K27" s="25">
        <v>222000</v>
      </c>
      <c r="L27" s="25">
        <v>1</v>
      </c>
      <c r="M27" s="17">
        <f t="shared" si="2"/>
        <v>222000</v>
      </c>
      <c r="Q27" s="31">
        <f>+T21+T22</f>
        <v>0</v>
      </c>
    </row>
    <row r="28" spans="1:17" x14ac:dyDescent="0.2">
      <c r="J28" t="s">
        <v>54</v>
      </c>
      <c r="K28" s="25">
        <v>300000</v>
      </c>
      <c r="L28" s="25">
        <v>0</v>
      </c>
      <c r="M28" s="17">
        <f t="shared" si="2"/>
        <v>0</v>
      </c>
    </row>
    <row r="29" spans="1:17" x14ac:dyDescent="0.2">
      <c r="B29" s="27" t="s">
        <v>55</v>
      </c>
      <c r="C29" s="55"/>
      <c r="E29" s="55">
        <f>SUM(E25:E28)</f>
        <v>111</v>
      </c>
      <c r="H29" s="55">
        <f>SUM(H25:H28)</f>
        <v>59</v>
      </c>
      <c r="L29" s="25">
        <f>SUM(L17:L28)</f>
        <v>59</v>
      </c>
      <c r="M29" s="25">
        <f>SUM(M17:M28)</f>
        <v>7011600</v>
      </c>
      <c r="Q29" s="31">
        <v>1</v>
      </c>
    </row>
    <row r="30" spans="1:17" x14ac:dyDescent="0.2">
      <c r="B30" s="27"/>
    </row>
    <row r="31" spans="1:17" hidden="1" x14ac:dyDescent="0.2">
      <c r="A31" s="13" t="s">
        <v>71</v>
      </c>
      <c r="B31" s="14" t="s">
        <v>72</v>
      </c>
      <c r="C31" s="15">
        <f>'[11]Team Report'!BA29</f>
        <v>-24140467.679999996</v>
      </c>
      <c r="E31" s="15">
        <v>0</v>
      </c>
      <c r="J31" t="s">
        <v>102</v>
      </c>
      <c r="L31" s="52"/>
      <c r="M31" s="52">
        <v>0.2</v>
      </c>
    </row>
    <row r="32" spans="1:17" hidden="1" x14ac:dyDescent="0.2">
      <c r="A32" s="13" t="s">
        <v>73</v>
      </c>
      <c r="B32" s="14" t="s">
        <v>74</v>
      </c>
      <c r="C32" s="15">
        <f>'[11]Team Report'!BA30</f>
        <v>0</v>
      </c>
      <c r="E32" s="15">
        <f>(C32/9)*12</f>
        <v>0</v>
      </c>
    </row>
    <row r="33" spans="1:13" hidden="1" x14ac:dyDescent="0.2">
      <c r="A33" s="13" t="s">
        <v>75</v>
      </c>
      <c r="B33" s="14" t="s">
        <v>76</v>
      </c>
      <c r="C33" s="15">
        <f>'[11]Team Report'!BA31</f>
        <v>0</v>
      </c>
      <c r="E33" s="15">
        <f>(C33/9)*12</f>
        <v>0</v>
      </c>
      <c r="J33" t="s">
        <v>133</v>
      </c>
      <c r="K33" s="25">
        <v>192000</v>
      </c>
      <c r="L33" s="25">
        <v>8</v>
      </c>
      <c r="M33" s="17">
        <f>K33*L33</f>
        <v>1536000</v>
      </c>
    </row>
    <row r="34" spans="1:13" hidden="1" x14ac:dyDescent="0.2">
      <c r="A34" s="13" t="s">
        <v>77</v>
      </c>
      <c r="B34" s="14" t="s">
        <v>78</v>
      </c>
      <c r="C34" s="15">
        <f>'[11]Team Report'!BA39</f>
        <v>0</v>
      </c>
      <c r="E34" s="15">
        <f>(C34/9)*12</f>
        <v>0</v>
      </c>
    </row>
    <row r="35" spans="1:13" hidden="1" x14ac:dyDescent="0.2">
      <c r="A35" s="13" t="s">
        <v>79</v>
      </c>
      <c r="B35" s="14" t="s">
        <v>80</v>
      </c>
      <c r="C35" s="15">
        <f>'[11]Team Report'!BA40</f>
        <v>164920.93000000002</v>
      </c>
      <c r="E35" s="15">
        <v>0</v>
      </c>
      <c r="L35" s="25">
        <f>+L29+L33</f>
        <v>67</v>
      </c>
      <c r="M35" s="25">
        <f>M29*1.2+M33</f>
        <v>9949920</v>
      </c>
    </row>
    <row r="36" spans="1:13" hidden="1" x14ac:dyDescent="0.2">
      <c r="A36" s="13" t="s">
        <v>81</v>
      </c>
      <c r="B36" s="14" t="s">
        <v>82</v>
      </c>
      <c r="C36" s="15">
        <f>'[11]Team Report'!BA41</f>
        <v>945381.27</v>
      </c>
      <c r="E36" s="15">
        <v>0</v>
      </c>
    </row>
    <row r="37" spans="1:13" hidden="1" x14ac:dyDescent="0.2">
      <c r="A37" s="13" t="s">
        <v>83</v>
      </c>
      <c r="B37" s="14" t="s">
        <v>84</v>
      </c>
      <c r="C37" s="15">
        <f>'[11]Team Report'!BA43</f>
        <v>-5121278.5200000005</v>
      </c>
      <c r="E37" s="15">
        <v>0</v>
      </c>
      <c r="I37" s="33" t="s">
        <v>56</v>
      </c>
    </row>
    <row r="38" spans="1:13" hidden="1" x14ac:dyDescent="0.2">
      <c r="A38" s="13" t="s">
        <v>85</v>
      </c>
      <c r="B38" s="14" t="s">
        <v>86</v>
      </c>
      <c r="C38" s="15">
        <f>'[11]Team Report'!BA45</f>
        <v>0</v>
      </c>
      <c r="E38" s="15">
        <f>(C38/9)*12</f>
        <v>0</v>
      </c>
    </row>
    <row r="39" spans="1:13" hidden="1" x14ac:dyDescent="0.2">
      <c r="A39" s="13" t="s">
        <v>21</v>
      </c>
      <c r="B39" s="14" t="s">
        <v>22</v>
      </c>
      <c r="C39" s="15">
        <v>24143776.43</v>
      </c>
      <c r="E39" s="15">
        <v>0</v>
      </c>
      <c r="I39" t="s">
        <v>134</v>
      </c>
    </row>
    <row r="40" spans="1:13" x14ac:dyDescent="0.2">
      <c r="J40">
        <f>61/109</f>
        <v>0.55963302752293576</v>
      </c>
    </row>
    <row r="42" spans="1:13" x14ac:dyDescent="0.2">
      <c r="B42" s="14" t="s">
        <v>168</v>
      </c>
    </row>
    <row r="43" spans="1:13" x14ac:dyDescent="0.2">
      <c r="B43" s="14" t="s">
        <v>174</v>
      </c>
    </row>
    <row r="44" spans="1:13" x14ac:dyDescent="0.2">
      <c r="B44" s="14" t="s">
        <v>175</v>
      </c>
      <c r="C44" s="54">
        <f>C23+C31+C32+C33+C34+C35+C36+C37+C38</f>
        <v>-13992730.449999996</v>
      </c>
    </row>
  </sheetData>
  <mergeCells count="4">
    <mergeCell ref="J4:M4"/>
    <mergeCell ref="B1:H1"/>
    <mergeCell ref="B2:H2"/>
    <mergeCell ref="B3:H3"/>
  </mergeCells>
  <phoneticPr fontId="0" type="noConversion"/>
  <printOptions horizontalCentered="1"/>
  <pageMargins left="2.17" right="0.75" top="0.56000000000000005" bottom="0.48" header="0.94" footer="0.5"/>
  <pageSetup orientation="portrait" verticalDpi="196" r:id="rId1"/>
  <headerFooter alignWithMargins="0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S44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2" customWidth="1"/>
    <col min="7" max="7" width="13.85546875" customWidth="1"/>
    <col min="8" max="8" width="2.28515625" hidden="1" customWidth="1"/>
    <col min="9" max="10" width="9.140625" hidden="1" customWidth="1"/>
    <col min="11" max="11" width="13" hidden="1" customWidth="1"/>
    <col min="12" max="12" width="10.42578125" style="25" hidden="1" customWidth="1"/>
    <col min="13" max="13" width="10.85546875" style="25" hidden="1" customWidth="1"/>
    <col min="14" max="14" width="11.42578125" style="25" hidden="1" customWidth="1"/>
    <col min="15" max="15" width="9.140625" hidden="1" customWidth="1"/>
    <col min="16" max="16" width="12.85546875" hidden="1" customWidth="1"/>
    <col min="17" max="17" width="8.7109375" hidden="1" customWidth="1"/>
    <col min="18" max="18" width="8.85546875" hidden="1" customWidth="1"/>
    <col min="19" max="19" width="10.28515625" hidden="1" customWidth="1"/>
    <col min="20" max="49" width="0" hidden="1" customWidth="1"/>
  </cols>
  <sheetData>
    <row r="1" spans="1:45" ht="18" x14ac:dyDescent="0.25">
      <c r="B1" s="140" t="str">
        <f>'[4]Team Report'!B1</f>
        <v>Enron North America</v>
      </c>
      <c r="C1" s="140"/>
      <c r="D1" s="140"/>
      <c r="E1" s="140"/>
      <c r="F1" s="142"/>
      <c r="G1" s="142"/>
      <c r="H1" s="1"/>
      <c r="I1" s="1"/>
      <c r="J1" s="1"/>
      <c r="K1" s="1"/>
      <c r="L1" s="38"/>
      <c r="M1" s="38"/>
      <c r="N1" s="3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0" t="s">
        <v>139</v>
      </c>
      <c r="C2" s="140"/>
      <c r="D2" s="140"/>
      <c r="E2" s="140"/>
      <c r="F2" s="142"/>
      <c r="G2" s="142"/>
      <c r="H2" s="1"/>
      <c r="I2" s="1"/>
      <c r="J2" s="1"/>
      <c r="K2" s="1"/>
      <c r="L2" s="38"/>
      <c r="M2" s="38"/>
      <c r="N2" s="3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41" t="s">
        <v>0</v>
      </c>
      <c r="C3" s="141"/>
      <c r="D3" s="141"/>
      <c r="E3" s="141"/>
      <c r="F3" s="142"/>
      <c r="G3" s="142"/>
      <c r="H3" s="3"/>
      <c r="I3" s="3"/>
      <c r="J3" s="3"/>
      <c r="K3" s="3"/>
      <c r="L3" s="38"/>
      <c r="M3" s="38"/>
      <c r="N3" s="38"/>
      <c r="O3" s="3"/>
      <c r="P3" s="81"/>
      <c r="Q3" s="81"/>
      <c r="R3" s="81"/>
      <c r="S3" s="81"/>
      <c r="T3" s="81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K4" s="145"/>
      <c r="L4" s="145"/>
      <c r="M4" s="145"/>
      <c r="N4" s="145"/>
      <c r="P4" s="146"/>
      <c r="Q4" s="146"/>
      <c r="R4" s="146"/>
      <c r="S4" s="146"/>
      <c r="T4" s="8"/>
    </row>
    <row r="5" spans="1:45" x14ac:dyDescent="0.2">
      <c r="K5" s="4"/>
      <c r="L5" s="40"/>
      <c r="M5" s="40"/>
      <c r="N5" s="41"/>
      <c r="O5" s="8"/>
      <c r="P5" s="8"/>
      <c r="Q5" s="17"/>
      <c r="R5" s="17"/>
      <c r="S5" s="17"/>
      <c r="T5" s="8"/>
    </row>
    <row r="6" spans="1:45" x14ac:dyDescent="0.2">
      <c r="C6" s="10">
        <v>37135</v>
      </c>
      <c r="E6" s="11">
        <v>2001</v>
      </c>
      <c r="F6" s="11"/>
      <c r="G6" s="11">
        <v>2002</v>
      </c>
      <c r="I6" s="10"/>
      <c r="K6" s="7"/>
      <c r="L6" s="19" t="s">
        <v>1</v>
      </c>
      <c r="M6" s="19" t="s">
        <v>2</v>
      </c>
      <c r="N6" s="74" t="s">
        <v>107</v>
      </c>
      <c r="O6" s="11">
        <v>2002</v>
      </c>
      <c r="P6" s="8"/>
      <c r="Q6" s="19"/>
      <c r="R6" s="19"/>
      <c r="S6" s="82"/>
      <c r="T6" s="8"/>
    </row>
    <row r="7" spans="1:45" x14ac:dyDescent="0.2">
      <c r="C7" s="12" t="s">
        <v>5</v>
      </c>
      <c r="E7" s="12" t="s">
        <v>6</v>
      </c>
      <c r="F7" s="12"/>
      <c r="G7" s="12" t="s">
        <v>6</v>
      </c>
      <c r="I7" s="12"/>
      <c r="K7" s="7"/>
      <c r="L7" s="17"/>
      <c r="M7" s="17"/>
      <c r="N7" s="43"/>
      <c r="O7" s="12" t="s">
        <v>7</v>
      </c>
      <c r="P7" s="8"/>
      <c r="Q7" s="17"/>
      <c r="R7" s="17"/>
      <c r="S7" s="17"/>
      <c r="T7" s="8"/>
    </row>
    <row r="8" spans="1:45" x14ac:dyDescent="0.2">
      <c r="A8" s="13" t="s">
        <v>9</v>
      </c>
      <c r="B8" s="14" t="s">
        <v>10</v>
      </c>
      <c r="C8" s="53">
        <f>'[4]Team Report'!BA25</f>
        <v>4985502.2300000004</v>
      </c>
      <c r="E8" s="15">
        <f>(C8/9)*12</f>
        <v>6647336.3066666666</v>
      </c>
      <c r="F8" s="15"/>
      <c r="G8" s="15">
        <f>(SUM(N17:N19,N21:N27)+172800+561516)*1.2</f>
        <v>4232059.2</v>
      </c>
      <c r="K8" s="7"/>
      <c r="L8" s="17"/>
      <c r="M8" s="17"/>
      <c r="N8" s="43"/>
      <c r="O8" s="15">
        <f>+G8/$G$29*$O$29</f>
        <v>108514.33846153847</v>
      </c>
      <c r="P8" s="8"/>
      <c r="Q8" s="17"/>
      <c r="R8" s="17"/>
      <c r="S8" s="17"/>
      <c r="T8" s="8"/>
    </row>
    <row r="9" spans="1:45" hidden="1" x14ac:dyDescent="0.2">
      <c r="A9" s="13"/>
      <c r="B9" s="14" t="s">
        <v>11</v>
      </c>
      <c r="C9" s="15">
        <v>0</v>
      </c>
      <c r="E9" s="15">
        <f>(C9/9)*12</f>
        <v>0</v>
      </c>
      <c r="F9" s="15"/>
      <c r="G9" s="15">
        <f>((E9/9)*12)*1.2</f>
        <v>0</v>
      </c>
      <c r="K9" s="7" t="s">
        <v>10</v>
      </c>
      <c r="L9" s="17">
        <v>0</v>
      </c>
      <c r="M9" s="17">
        <f>M28</f>
        <v>39</v>
      </c>
      <c r="N9" s="43">
        <f>N32</f>
        <v>3558240</v>
      </c>
      <c r="O9" s="15">
        <f t="shared" ref="O9:O21" si="0">+G9/$G$29*$O$29</f>
        <v>0</v>
      </c>
      <c r="P9" s="8"/>
      <c r="Q9" s="17"/>
      <c r="R9" s="17"/>
      <c r="S9" s="17"/>
      <c r="T9" s="8"/>
    </row>
    <row r="10" spans="1:45" hidden="1" x14ac:dyDescent="0.2">
      <c r="A10" s="13"/>
      <c r="B10" s="14" t="s">
        <v>122</v>
      </c>
      <c r="C10" s="15">
        <v>0</v>
      </c>
      <c r="E10" s="15">
        <f>(C10/9)*12</f>
        <v>0</v>
      </c>
      <c r="F10" s="15"/>
      <c r="G10" s="15">
        <v>0</v>
      </c>
      <c r="K10" s="7"/>
      <c r="L10" s="17"/>
      <c r="M10" s="17"/>
      <c r="N10" s="43"/>
      <c r="O10" s="15">
        <f t="shared" si="0"/>
        <v>0</v>
      </c>
      <c r="P10" s="8"/>
      <c r="Q10" s="17"/>
      <c r="R10" s="17"/>
      <c r="S10" s="17"/>
      <c r="T10" s="8"/>
    </row>
    <row r="11" spans="1:45" x14ac:dyDescent="0.2">
      <c r="A11" s="13" t="s">
        <v>13</v>
      </c>
      <c r="B11" s="14" t="s">
        <v>14</v>
      </c>
      <c r="C11" s="15">
        <f>'[4]Team Report'!BA26</f>
        <v>1210281.1100000001</v>
      </c>
      <c r="E11" s="15">
        <f>(C11/9)*12</f>
        <v>1613708.146666667</v>
      </c>
      <c r="F11" s="15"/>
      <c r="G11" s="15">
        <f>(SUM(G8:G10)*0.2+49374)*1.2</f>
        <v>1074943.0080000001</v>
      </c>
      <c r="K11" s="7"/>
      <c r="L11" s="17"/>
      <c r="M11" s="17"/>
      <c r="N11" s="43"/>
      <c r="O11" s="15">
        <f t="shared" si="0"/>
        <v>27562.641230769234</v>
      </c>
      <c r="P11" s="8"/>
      <c r="Q11" s="17"/>
      <c r="R11" s="17"/>
      <c r="S11" s="17"/>
      <c r="T11" s="8"/>
    </row>
    <row r="12" spans="1:45" x14ac:dyDescent="0.2">
      <c r="A12" s="13" t="s">
        <v>16</v>
      </c>
      <c r="B12" s="14" t="s">
        <v>17</v>
      </c>
      <c r="C12" s="15">
        <f>'[4]Team Report'!BA27</f>
        <v>190029.97</v>
      </c>
      <c r="E12" s="15">
        <f>((C12/9)*12)*1.99</f>
        <v>504212.85373333335</v>
      </c>
      <c r="F12" s="15"/>
      <c r="G12" s="15">
        <f>(348924+240000-409440+61200)*1.2</f>
        <v>288820.8</v>
      </c>
      <c r="K12" s="7" t="s">
        <v>15</v>
      </c>
      <c r="L12" s="17">
        <f>(E12+E13+E14+E15+E16+E17+E18+E19+E20+E21+E22)/E29</f>
        <v>10001.264925423728</v>
      </c>
      <c r="M12" s="17">
        <f>M28</f>
        <v>39</v>
      </c>
      <c r="N12" s="43">
        <f>L12*M12+500000+630554</f>
        <v>1520603.3320915254</v>
      </c>
      <c r="O12" s="15">
        <f t="shared" si="0"/>
        <v>7405.6615384615379</v>
      </c>
      <c r="P12" s="8"/>
      <c r="Q12" s="17"/>
      <c r="R12" s="17"/>
      <c r="S12" s="17"/>
      <c r="T12" s="8"/>
    </row>
    <row r="13" spans="1:45" x14ac:dyDescent="0.2">
      <c r="A13" s="13" t="s">
        <v>18</v>
      </c>
      <c r="B13" s="14" t="s">
        <v>19</v>
      </c>
      <c r="C13" s="15">
        <f>'[4]Team Report'!BA28</f>
        <v>78390.58</v>
      </c>
      <c r="E13" s="15">
        <f>((C13/9)*12)*2.35</f>
        <v>245623.81733333334</v>
      </c>
      <c r="F13" s="15"/>
      <c r="G13" s="15">
        <f>(262411+100000-5411)*1.2</f>
        <v>428400</v>
      </c>
      <c r="K13" s="7"/>
      <c r="L13" s="17"/>
      <c r="M13" s="17"/>
      <c r="N13" s="43"/>
      <c r="O13" s="15">
        <f t="shared" si="0"/>
        <v>10984.615384615385</v>
      </c>
      <c r="P13" s="8"/>
      <c r="Q13" s="17"/>
      <c r="R13" s="17"/>
      <c r="S13" s="17"/>
      <c r="T13" s="8"/>
    </row>
    <row r="14" spans="1:45" ht="13.5" thickBot="1" x14ac:dyDescent="0.25">
      <c r="A14" s="13" t="s">
        <v>21</v>
      </c>
      <c r="B14" s="14" t="s">
        <v>22</v>
      </c>
      <c r="C14" s="15">
        <v>0</v>
      </c>
      <c r="E14" s="15">
        <f>((C14/9)*12)*1.2</f>
        <v>0</v>
      </c>
      <c r="F14" s="15"/>
      <c r="G14" s="15">
        <v>30600</v>
      </c>
      <c r="K14" s="22" t="s">
        <v>20</v>
      </c>
      <c r="L14" s="47"/>
      <c r="M14" s="47"/>
      <c r="N14" s="48">
        <f>SUM(N9:N12)</f>
        <v>5078843.3320915252</v>
      </c>
      <c r="O14" s="15">
        <f t="shared" si="0"/>
        <v>784.61538461538464</v>
      </c>
      <c r="P14" s="8"/>
      <c r="Q14" s="17"/>
      <c r="R14" s="17"/>
      <c r="S14" s="17"/>
      <c r="T14" s="8"/>
    </row>
    <row r="15" spans="1:45" x14ac:dyDescent="0.2">
      <c r="A15" s="13" t="s">
        <v>23</v>
      </c>
      <c r="B15" s="14" t="s">
        <v>24</v>
      </c>
      <c r="C15" s="15">
        <f>'[4]Team Report'!BA33</f>
        <v>69921.63</v>
      </c>
      <c r="E15" s="15">
        <f>((C15/9)*12)*1.81</f>
        <v>168744.20040000003</v>
      </c>
      <c r="F15" s="15"/>
      <c r="G15" s="15">
        <f>(96365+40000-136365+92328)*1.2</f>
        <v>110793.59999999999</v>
      </c>
      <c r="K15" s="8"/>
      <c r="L15" s="17"/>
      <c r="M15" s="17"/>
      <c r="N15" s="17"/>
      <c r="O15" s="15">
        <f t="shared" si="0"/>
        <v>2840.8615384615382</v>
      </c>
      <c r="P15" s="8"/>
      <c r="Q15" s="8"/>
      <c r="R15" s="8"/>
      <c r="S15" s="8"/>
      <c r="T15" s="8"/>
    </row>
    <row r="16" spans="1:45" x14ac:dyDescent="0.2">
      <c r="A16" s="13" t="s">
        <v>25</v>
      </c>
      <c r="B16" s="14" t="s">
        <v>26</v>
      </c>
      <c r="C16" s="15">
        <f>'[4]Team Report'!BA34</f>
        <v>0</v>
      </c>
      <c r="E16" s="15">
        <f>((C16/9)*12)*1.2</f>
        <v>0</v>
      </c>
      <c r="F16" s="15"/>
      <c r="G16" s="15">
        <v>408000</v>
      </c>
      <c r="K16" s="8"/>
      <c r="L16" s="17"/>
      <c r="M16" s="17"/>
      <c r="N16" s="17"/>
      <c r="O16" s="15">
        <f t="shared" si="0"/>
        <v>10461.538461538461</v>
      </c>
      <c r="P16" s="8"/>
      <c r="Q16" s="8"/>
      <c r="R16" s="8"/>
      <c r="S16" s="8"/>
      <c r="T16" s="8"/>
    </row>
    <row r="17" spans="1:20" x14ac:dyDescent="0.2">
      <c r="A17" s="13" t="s">
        <v>28</v>
      </c>
      <c r="B17" s="14" t="s">
        <v>29</v>
      </c>
      <c r="C17" s="15">
        <f>'[4]Team Report'!BA35</f>
        <v>0</v>
      </c>
      <c r="E17" s="15">
        <f>((C17/9)*12)*1.2</f>
        <v>0</v>
      </c>
      <c r="F17" s="15"/>
      <c r="G17" s="15">
        <v>0</v>
      </c>
      <c r="K17" s="8" t="s">
        <v>27</v>
      </c>
      <c r="L17" s="17">
        <v>36000</v>
      </c>
      <c r="M17">
        <v>0</v>
      </c>
      <c r="N17" s="17">
        <f t="shared" ref="N17:N27" si="1">L17*M17</f>
        <v>0</v>
      </c>
      <c r="O17" s="15">
        <f t="shared" si="0"/>
        <v>0</v>
      </c>
      <c r="P17" s="8"/>
      <c r="Q17" s="17"/>
      <c r="R17" s="8"/>
      <c r="S17" s="75"/>
      <c r="T17" s="8"/>
    </row>
    <row r="18" spans="1:20" x14ac:dyDescent="0.2">
      <c r="A18" s="13" t="s">
        <v>31</v>
      </c>
      <c r="B18" s="14" t="s">
        <v>32</v>
      </c>
      <c r="C18" s="15">
        <f>'[4]Team Report'!BA36</f>
        <v>19039.670000000002</v>
      </c>
      <c r="E18" s="15">
        <f>((C18/9)*12)*1.29</f>
        <v>32748.232400000004</v>
      </c>
      <c r="F18" s="15"/>
      <c r="G18" s="15">
        <f>(6000)*1.2</f>
        <v>7200</v>
      </c>
      <c r="K18" t="s">
        <v>93</v>
      </c>
      <c r="L18" s="25">
        <v>48000</v>
      </c>
      <c r="M18">
        <v>2</v>
      </c>
      <c r="N18" s="17">
        <f t="shared" si="1"/>
        <v>96000</v>
      </c>
      <c r="O18" s="15">
        <f t="shared" si="0"/>
        <v>184.61538461538461</v>
      </c>
      <c r="Q18" s="25"/>
      <c r="S18" s="49"/>
    </row>
    <row r="19" spans="1:20" x14ac:dyDescent="0.2">
      <c r="A19" s="13" t="s">
        <v>34</v>
      </c>
      <c r="B19" s="14" t="s">
        <v>35</v>
      </c>
      <c r="C19" s="15">
        <f>'[4]Team Report'!BA37</f>
        <v>17422.019999999997</v>
      </c>
      <c r="E19" s="15">
        <f>((C19/9)*12)*2.2</f>
        <v>51104.591999999997</v>
      </c>
      <c r="F19" s="15"/>
      <c r="G19" s="15">
        <f>(+$N$12*0.19+150000-438915+107240+169200+435536)*1.2</f>
        <v>854370.75971686782</v>
      </c>
      <c r="K19" t="s">
        <v>33</v>
      </c>
      <c r="L19" s="25">
        <v>49200</v>
      </c>
      <c r="M19">
        <v>7</v>
      </c>
      <c r="N19" s="17">
        <f t="shared" si="1"/>
        <v>344400</v>
      </c>
      <c r="O19" s="15">
        <f t="shared" si="0"/>
        <v>21906.942556842765</v>
      </c>
      <c r="Q19" s="25"/>
      <c r="S19" s="49"/>
    </row>
    <row r="20" spans="1:20" x14ac:dyDescent="0.2">
      <c r="A20" s="13" t="s">
        <v>37</v>
      </c>
      <c r="B20" s="14" t="s">
        <v>38</v>
      </c>
      <c r="C20" s="15">
        <f>'[4]Team Report'!BA38</f>
        <v>0</v>
      </c>
      <c r="E20" s="15">
        <f>((C20/9)*12)*1.2</f>
        <v>0</v>
      </c>
      <c r="F20" s="15"/>
      <c r="G20" s="15">
        <v>0</v>
      </c>
      <c r="K20" t="s">
        <v>94</v>
      </c>
      <c r="L20" s="25">
        <v>57600</v>
      </c>
      <c r="M20">
        <v>3</v>
      </c>
      <c r="N20" s="17">
        <f t="shared" si="1"/>
        <v>172800</v>
      </c>
      <c r="O20" s="15">
        <f t="shared" si="0"/>
        <v>0</v>
      </c>
      <c r="Q20" s="25"/>
      <c r="S20" s="49"/>
    </row>
    <row r="21" spans="1:20" x14ac:dyDescent="0.2">
      <c r="A21" s="13" t="s">
        <v>40</v>
      </c>
      <c r="B21" s="14" t="s">
        <v>41</v>
      </c>
      <c r="C21" s="15">
        <f>'[4]Team Report'!BA42</f>
        <v>75042.680000000008</v>
      </c>
      <c r="E21" s="15">
        <f>((C21/9)*12)*1.75</f>
        <v>175099.58666666667</v>
      </c>
      <c r="F21" s="15"/>
      <c r="G21" s="15">
        <f>(264168+100000+405121-769289+553800+420160+443302)*1.2</f>
        <v>1700714.4</v>
      </c>
      <c r="K21" t="s">
        <v>36</v>
      </c>
      <c r="L21" s="25">
        <v>62400</v>
      </c>
      <c r="M21">
        <v>8</v>
      </c>
      <c r="N21" s="17">
        <f t="shared" si="1"/>
        <v>499200</v>
      </c>
      <c r="O21" s="15">
        <f t="shared" si="0"/>
        <v>43608.061538461538</v>
      </c>
      <c r="Q21" s="25"/>
      <c r="S21" s="49"/>
    </row>
    <row r="22" spans="1:20" x14ac:dyDescent="0.2">
      <c r="A22" s="13" t="s">
        <v>43</v>
      </c>
      <c r="B22" s="14" t="s">
        <v>44</v>
      </c>
      <c r="C22" s="15">
        <f>'[4]Team Report'!BA44</f>
        <v>1226.24</v>
      </c>
      <c r="E22" s="15">
        <f>((C22/9)*12)*1.6</f>
        <v>2615.9786666666669</v>
      </c>
      <c r="F22" s="15"/>
      <c r="G22" s="15">
        <v>0</v>
      </c>
      <c r="K22" t="s">
        <v>108</v>
      </c>
      <c r="L22" s="25">
        <v>74400</v>
      </c>
      <c r="M22">
        <v>7</v>
      </c>
      <c r="N22" s="17">
        <f t="shared" si="1"/>
        <v>520800</v>
      </c>
      <c r="O22" s="15">
        <f>+G22/$G$29*$O$29</f>
        <v>0</v>
      </c>
      <c r="Q22" s="25"/>
      <c r="S22" s="49"/>
    </row>
    <row r="23" spans="1:20" x14ac:dyDescent="0.2">
      <c r="A23" s="26" t="s">
        <v>46</v>
      </c>
      <c r="B23" s="27" t="s">
        <v>47</v>
      </c>
      <c r="C23" s="28">
        <f>SUM(C8:C22)</f>
        <v>6646856.1299999999</v>
      </c>
      <c r="E23" s="28">
        <f>SUM(E8:E22)</f>
        <v>9441193.7145333327</v>
      </c>
      <c r="F23" s="29"/>
      <c r="G23" s="28">
        <f>SUM(G8:G22)</f>
        <v>9135901.7677168678</v>
      </c>
      <c r="K23" t="s">
        <v>96</v>
      </c>
      <c r="L23" s="25">
        <v>96000</v>
      </c>
      <c r="M23">
        <v>8</v>
      </c>
      <c r="N23" s="17">
        <f t="shared" si="1"/>
        <v>768000</v>
      </c>
      <c r="O23" s="28">
        <f>SUM(O8:O22)</f>
        <v>234253.89147991966</v>
      </c>
      <c r="Q23" s="25"/>
      <c r="S23" s="49"/>
    </row>
    <row r="24" spans="1:20" x14ac:dyDescent="0.2">
      <c r="K24" t="s">
        <v>97</v>
      </c>
      <c r="L24" s="25">
        <v>120000</v>
      </c>
      <c r="M24">
        <v>3</v>
      </c>
      <c r="N24" s="17">
        <f t="shared" si="1"/>
        <v>360000</v>
      </c>
      <c r="Q24" s="25"/>
      <c r="S24" s="49"/>
    </row>
    <row r="25" spans="1:20" x14ac:dyDescent="0.2">
      <c r="B25" s="27" t="s">
        <v>50</v>
      </c>
      <c r="C25" s="55"/>
      <c r="E25" s="55">
        <v>114</v>
      </c>
      <c r="F25" s="60"/>
      <c r="G25" s="55">
        <f>SUM(M17:M19,M21:M27)</f>
        <v>36</v>
      </c>
      <c r="K25" t="s">
        <v>98</v>
      </c>
      <c r="L25" s="25">
        <v>156000</v>
      </c>
      <c r="M25">
        <v>0</v>
      </c>
      <c r="N25" s="17">
        <f t="shared" si="1"/>
        <v>0</v>
      </c>
      <c r="O25" s="31">
        <f>SUM(U16:U20,U23:U27)</f>
        <v>0</v>
      </c>
      <c r="Q25" s="25"/>
      <c r="S25" s="49"/>
    </row>
    <row r="26" spans="1:20" x14ac:dyDescent="0.2">
      <c r="K26" t="s">
        <v>99</v>
      </c>
      <c r="L26" s="25">
        <v>204000</v>
      </c>
      <c r="M26">
        <v>1</v>
      </c>
      <c r="N26" s="17">
        <f t="shared" si="1"/>
        <v>204000</v>
      </c>
      <c r="O26" s="15"/>
      <c r="Q26" s="25"/>
      <c r="S26" s="49"/>
    </row>
    <row r="27" spans="1:20" x14ac:dyDescent="0.2">
      <c r="B27" s="27" t="s">
        <v>67</v>
      </c>
      <c r="C27" s="55"/>
      <c r="E27" s="55">
        <v>4</v>
      </c>
      <c r="F27" s="60"/>
      <c r="G27" s="55">
        <f>SUM(M20)</f>
        <v>3</v>
      </c>
      <c r="K27" t="s">
        <v>100</v>
      </c>
      <c r="L27" s="25">
        <v>240000</v>
      </c>
      <c r="M27">
        <v>0</v>
      </c>
      <c r="N27" s="17">
        <f t="shared" si="1"/>
        <v>0</v>
      </c>
      <c r="O27" s="31">
        <f>+U21+U22</f>
        <v>0</v>
      </c>
      <c r="Q27" s="25"/>
      <c r="S27" s="49"/>
    </row>
    <row r="28" spans="1:20" x14ac:dyDescent="0.2">
      <c r="M28" s="25">
        <f>SUM(M17:M27)</f>
        <v>39</v>
      </c>
      <c r="N28" s="25">
        <f>SUM(N17:N27)</f>
        <v>2965200</v>
      </c>
      <c r="Q28" s="25"/>
      <c r="S28" s="49"/>
    </row>
    <row r="29" spans="1:20" x14ac:dyDescent="0.2">
      <c r="B29" s="27" t="s">
        <v>55</v>
      </c>
      <c r="C29" s="55"/>
      <c r="E29" s="55">
        <f>SUM(E25:E28)</f>
        <v>118</v>
      </c>
      <c r="F29" s="60"/>
      <c r="G29" s="55">
        <f>SUM(G25:G28)</f>
        <v>39</v>
      </c>
      <c r="O29" s="31">
        <v>1</v>
      </c>
      <c r="Q29" s="25"/>
      <c r="R29" s="25"/>
    </row>
    <row r="30" spans="1:20" x14ac:dyDescent="0.2">
      <c r="B30" s="27"/>
      <c r="K30" t="s">
        <v>102</v>
      </c>
      <c r="M30" s="52"/>
      <c r="N30" s="52">
        <v>0.2</v>
      </c>
      <c r="Q30" s="25"/>
      <c r="R30" s="52"/>
      <c r="S30" s="52"/>
    </row>
    <row r="31" spans="1:20" hidden="1" x14ac:dyDescent="0.2">
      <c r="A31" s="13" t="s">
        <v>71</v>
      </c>
      <c r="B31" s="14" t="s">
        <v>72</v>
      </c>
      <c r="C31" s="15">
        <f>'[4]Team Report'!BA29</f>
        <v>0</v>
      </c>
      <c r="E31" s="15">
        <f t="shared" ref="E31:E38" si="2">(C31/9)*12</f>
        <v>0</v>
      </c>
      <c r="F31" s="15"/>
      <c r="G31" s="15"/>
      <c r="Q31" s="25"/>
      <c r="R31" s="25"/>
    </row>
    <row r="32" spans="1:20" hidden="1" x14ac:dyDescent="0.2">
      <c r="A32" s="13" t="s">
        <v>73</v>
      </c>
      <c r="B32" s="14" t="s">
        <v>74</v>
      </c>
      <c r="C32" s="15">
        <f>'[4]Team Report'!BA30</f>
        <v>0</v>
      </c>
      <c r="E32" s="15">
        <f t="shared" si="2"/>
        <v>0</v>
      </c>
      <c r="F32" s="15"/>
      <c r="G32" s="15"/>
      <c r="N32" s="25">
        <f>N28*1.2</f>
        <v>3558240</v>
      </c>
      <c r="Q32" s="25"/>
      <c r="R32" s="25"/>
      <c r="S32" s="25"/>
    </row>
    <row r="33" spans="1:18" hidden="1" x14ac:dyDescent="0.2">
      <c r="A33" s="13" t="s">
        <v>75</v>
      </c>
      <c r="B33" s="14" t="s">
        <v>76</v>
      </c>
      <c r="C33" s="15">
        <f>'[4]Team Report'!BA31</f>
        <v>0</v>
      </c>
      <c r="E33" s="15">
        <f t="shared" si="2"/>
        <v>0</v>
      </c>
      <c r="F33" s="15"/>
      <c r="G33" s="15"/>
      <c r="Q33" s="25"/>
      <c r="R33" s="25"/>
    </row>
    <row r="34" spans="1:18" hidden="1" x14ac:dyDescent="0.2">
      <c r="A34" s="13" t="s">
        <v>77</v>
      </c>
      <c r="B34" s="14" t="s">
        <v>78</v>
      </c>
      <c r="C34" s="15">
        <f>'[4]Team Report'!BA39</f>
        <v>0</v>
      </c>
      <c r="E34" s="15">
        <f t="shared" si="2"/>
        <v>0</v>
      </c>
      <c r="F34" s="15"/>
      <c r="G34" s="15"/>
    </row>
    <row r="35" spans="1:18" hidden="1" x14ac:dyDescent="0.2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2"/>
        <v>32893.85333333334</v>
      </c>
      <c r="F35" s="15"/>
      <c r="G35" s="15"/>
    </row>
    <row r="36" spans="1:18" hidden="1" x14ac:dyDescent="0.2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2"/>
        <v>641393.90666666673</v>
      </c>
      <c r="F36" s="15"/>
      <c r="G36" s="15"/>
    </row>
    <row r="37" spans="1:18" hidden="1" x14ac:dyDescent="0.2">
      <c r="A37" s="13" t="s">
        <v>83</v>
      </c>
      <c r="B37" s="14" t="s">
        <v>84</v>
      </c>
      <c r="C37" s="15">
        <f>'[4]Team Report'!BA43</f>
        <v>-771915.88</v>
      </c>
      <c r="E37" s="15">
        <f t="shared" si="2"/>
        <v>-1029221.1733333333</v>
      </c>
      <c r="F37" s="15"/>
      <c r="G37" s="15"/>
      <c r="J37" s="33" t="s">
        <v>56</v>
      </c>
    </row>
    <row r="38" spans="1:18" hidden="1" x14ac:dyDescent="0.2">
      <c r="A38" s="13" t="s">
        <v>85</v>
      </c>
      <c r="B38" s="14" t="s">
        <v>86</v>
      </c>
      <c r="C38" s="15">
        <f>'[4]Team Report'!BA45</f>
        <v>0</v>
      </c>
      <c r="E38" s="15">
        <f t="shared" si="2"/>
        <v>0</v>
      </c>
      <c r="F38" s="15"/>
      <c r="G38" s="15"/>
    </row>
    <row r="39" spans="1:18" x14ac:dyDescent="0.2">
      <c r="A39" s="13"/>
      <c r="B39" s="14"/>
      <c r="C39" s="15"/>
      <c r="E39" s="15"/>
      <c r="F39" s="15"/>
      <c r="G39" s="15"/>
      <c r="J39" t="s">
        <v>134</v>
      </c>
    </row>
    <row r="44" spans="1:18" x14ac:dyDescent="0.2">
      <c r="C44" s="54">
        <f>C23+C31+C32+C33+C34+C35+C36+C37+C38</f>
        <v>6380656.0699999994</v>
      </c>
    </row>
  </sheetData>
  <mergeCells count="5">
    <mergeCell ref="P4:S4"/>
    <mergeCell ref="K4:N4"/>
    <mergeCell ref="B1:G1"/>
    <mergeCell ref="B2:G2"/>
    <mergeCell ref="B3:G3"/>
  </mergeCells>
  <phoneticPr fontId="0" type="noConversion"/>
  <printOptions horizontalCentered="1"/>
  <pageMargins left="0.75" right="0.75" top="0.88" bottom="0.48" header="1.23" footer="0.5"/>
  <pageSetup orientation="portrait" verticalDpi="196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I125"/>
  <sheetViews>
    <sheetView zoomScaleNormal="100" workbookViewId="0">
      <selection activeCell="R144" sqref="R144"/>
    </sheetView>
  </sheetViews>
  <sheetFormatPr defaultRowHeight="12.75" x14ac:dyDescent="0.2"/>
  <cols>
    <col min="1" max="1" width="7.140625" customWidth="1"/>
    <col min="2" max="2" width="23.5703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10.42578125" hidden="1" customWidth="1"/>
    <col min="8" max="8" width="2.5703125" hidden="1" customWidth="1"/>
    <col min="9" max="9" width="5.28515625" hidden="1" customWidth="1"/>
    <col min="10" max="10" width="13.140625" hidden="1" customWidth="1"/>
    <col min="11" max="11" width="10.28515625" hidden="1" customWidth="1"/>
    <col min="12" max="12" width="9.42578125" hidden="1" customWidth="1"/>
    <col min="13" max="13" width="13.85546875" hidden="1" customWidth="1"/>
    <col min="14" max="14" width="9.28515625" hidden="1" customWidth="1"/>
    <col min="15" max="15" width="9.140625" hidden="1" customWidth="1"/>
    <col min="16" max="50" width="0" hidden="1" customWidth="1"/>
  </cols>
  <sheetData>
    <row r="1" spans="1:35" ht="18" x14ac:dyDescent="0.25">
      <c r="B1" s="140" t="str">
        <f>'[9]Team Report'!B1</f>
        <v>Enron North America</v>
      </c>
      <c r="C1" s="140"/>
      <c r="D1" s="142"/>
      <c r="E1" s="142"/>
      <c r="F1" s="14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8" x14ac:dyDescent="0.25">
      <c r="B2" s="140" t="str">
        <f>'[9]Pull Sheet'!E9</f>
        <v>Canada Support</v>
      </c>
      <c r="C2" s="140"/>
      <c r="D2" s="142"/>
      <c r="E2" s="142"/>
      <c r="F2" s="14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8.75" thickBot="1" x14ac:dyDescent="0.3">
      <c r="B3" s="140" t="s">
        <v>0</v>
      </c>
      <c r="C3" s="140"/>
      <c r="D3" s="142"/>
      <c r="E3" s="142"/>
      <c r="F3" s="14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">
      <c r="J4" s="4"/>
      <c r="K4" s="5"/>
      <c r="L4" s="5"/>
      <c r="M4" s="6"/>
    </row>
    <row r="5" spans="1:35" x14ac:dyDescent="0.2">
      <c r="J5" s="7"/>
      <c r="K5" s="8" t="s">
        <v>1</v>
      </c>
      <c r="L5" s="8" t="s">
        <v>2</v>
      </c>
      <c r="M5" s="9" t="s">
        <v>3</v>
      </c>
    </row>
    <row r="6" spans="1:35" x14ac:dyDescent="0.2">
      <c r="C6" s="10">
        <v>37135</v>
      </c>
      <c r="E6" s="44" t="s">
        <v>61</v>
      </c>
      <c r="F6" s="76">
        <v>2002</v>
      </c>
      <c r="J6" s="7"/>
      <c r="K6" s="8"/>
      <c r="L6" s="8"/>
      <c r="M6" s="9"/>
      <c r="O6" s="44" t="s">
        <v>63</v>
      </c>
    </row>
    <row r="7" spans="1:35" x14ac:dyDescent="0.2">
      <c r="C7" s="12" t="s">
        <v>5</v>
      </c>
      <c r="E7" s="12" t="s">
        <v>6</v>
      </c>
      <c r="F7" s="12" t="s">
        <v>7</v>
      </c>
      <c r="H7" s="33"/>
      <c r="J7" s="7"/>
      <c r="K7" s="8"/>
      <c r="L7" s="8"/>
      <c r="M7" s="9"/>
      <c r="O7" s="12" t="s">
        <v>7</v>
      </c>
    </row>
    <row r="8" spans="1:35" x14ac:dyDescent="0.2">
      <c r="A8" s="13" t="s">
        <v>9</v>
      </c>
      <c r="B8" s="14" t="s">
        <v>10</v>
      </c>
      <c r="C8" s="15">
        <f>'[9]Team Report'!BA25</f>
        <v>3097005.1799999992</v>
      </c>
      <c r="E8" s="15">
        <f>(C8/9)*12</f>
        <v>4129340.2399999993</v>
      </c>
      <c r="F8" s="15">
        <f>(SUM(M16:M21,M25:M27,M31:M36,M40:M42,M46,M49:M50)-1205200)*1.2</f>
        <v>2400000</v>
      </c>
      <c r="J8" s="7" t="s">
        <v>10</v>
      </c>
      <c r="K8" s="17">
        <v>0</v>
      </c>
      <c r="L8" s="8"/>
      <c r="M8" s="18">
        <f>M22+M28+M37+M43+M47+M51</f>
        <v>3846240</v>
      </c>
      <c r="O8" s="15">
        <f>+F8/$F$29*$O$29</f>
        <v>72727.272727272721</v>
      </c>
    </row>
    <row r="9" spans="1:35" hidden="1" x14ac:dyDescent="0.2">
      <c r="A9" s="13"/>
      <c r="B9" s="14" t="s">
        <v>11</v>
      </c>
      <c r="C9" s="15">
        <v>0</v>
      </c>
      <c r="E9" s="15">
        <f>(C9/9)*12</f>
        <v>0</v>
      </c>
      <c r="F9" s="15">
        <f>((D9/9)*12)*1.2</f>
        <v>0</v>
      </c>
      <c r="J9" s="7"/>
      <c r="K9" s="8"/>
      <c r="L9" s="8"/>
      <c r="M9" s="9"/>
      <c r="O9" s="15">
        <f t="shared" ref="O9:O22" si="0">+F9/$F$29*$O$29</f>
        <v>0</v>
      </c>
    </row>
    <row r="10" spans="1:35" hidden="1" x14ac:dyDescent="0.2">
      <c r="B10" s="14" t="s">
        <v>12</v>
      </c>
      <c r="C10" s="15">
        <v>0</v>
      </c>
      <c r="E10" s="15">
        <f>(C10/9)*12</f>
        <v>0</v>
      </c>
      <c r="F10" s="15">
        <f>((D10/9)*12)*1.2</f>
        <v>0</v>
      </c>
      <c r="J10" s="7"/>
      <c r="K10" s="8"/>
      <c r="L10" s="8"/>
      <c r="M10" s="9"/>
      <c r="O10" s="15">
        <f t="shared" si="0"/>
        <v>0</v>
      </c>
    </row>
    <row r="11" spans="1:35" x14ac:dyDescent="0.2">
      <c r="A11" s="13" t="s">
        <v>13</v>
      </c>
      <c r="B11" s="14" t="s">
        <v>14</v>
      </c>
      <c r="C11" s="15">
        <f>'[9]Team Report'!BA26</f>
        <v>405010.39999999997</v>
      </c>
      <c r="E11" s="15">
        <f>(C11/9)*12</f>
        <v>540013.8666666667</v>
      </c>
      <c r="F11" s="15">
        <f>(+F8*0.2-100)*1.2</f>
        <v>575880</v>
      </c>
      <c r="J11" s="7" t="s">
        <v>15</v>
      </c>
      <c r="K11" s="19">
        <f>(E12+E13+E14+E15+E16+E17+E18+E19+E20+E21+E22)/E29</f>
        <v>28886.151724137919</v>
      </c>
      <c r="L11" s="8">
        <f>+L22+L28+L37+L43+L47+L51</f>
        <v>32</v>
      </c>
      <c r="M11" s="18">
        <f>K11*L11</f>
        <v>924356.8551724134</v>
      </c>
      <c r="O11" s="15">
        <f t="shared" si="0"/>
        <v>17450.909090909092</v>
      </c>
    </row>
    <row r="12" spans="1:35" x14ac:dyDescent="0.2">
      <c r="A12" s="13" t="s">
        <v>16</v>
      </c>
      <c r="B12" s="14" t="s">
        <v>17</v>
      </c>
      <c r="C12" s="15">
        <f>'[9]Team Report'!BA27</f>
        <v>309437.02</v>
      </c>
      <c r="E12" s="20">
        <f t="shared" ref="E12:E22" si="1">(C12/9)*12*1.2</f>
        <v>495099.23200000002</v>
      </c>
      <c r="F12" s="21">
        <f>(+E12/$E$29*$L$11)*1.2</f>
        <v>218526.55757241379</v>
      </c>
      <c r="J12" s="7"/>
      <c r="K12" s="8"/>
      <c r="L12" s="8"/>
      <c r="M12" s="9"/>
      <c r="O12" s="15">
        <f t="shared" si="0"/>
        <v>6622.0168961337513</v>
      </c>
    </row>
    <row r="13" spans="1:35" ht="13.5" thickBot="1" x14ac:dyDescent="0.25">
      <c r="A13" s="13" t="s">
        <v>18</v>
      </c>
      <c r="B13" s="14" t="s">
        <v>19</v>
      </c>
      <c r="C13" s="15">
        <f>'[9]Team Report'!BA28</f>
        <v>270791.23</v>
      </c>
      <c r="E13" s="20">
        <f t="shared" si="1"/>
        <v>433265.96799999999</v>
      </c>
      <c r="F13" s="21">
        <f>(+E13/$E$29*$L$11)*1.2</f>
        <v>191234.63415172411</v>
      </c>
      <c r="J13" s="22" t="s">
        <v>20</v>
      </c>
      <c r="K13" s="23"/>
      <c r="L13" s="23"/>
      <c r="M13" s="24">
        <f>M8+M11</f>
        <v>4770596.8551724134</v>
      </c>
      <c r="O13" s="15">
        <f t="shared" si="0"/>
        <v>5794.9889136886095</v>
      </c>
    </row>
    <row r="14" spans="1:35" x14ac:dyDescent="0.2">
      <c r="A14" s="13" t="s">
        <v>21</v>
      </c>
      <c r="B14" s="14" t="s">
        <v>22</v>
      </c>
      <c r="C14" s="15">
        <f>'[9]Team Report'!BA32-C39</f>
        <v>-0.42000000085681677</v>
      </c>
      <c r="E14" s="20">
        <f t="shared" si="1"/>
        <v>-0.67200000137090676</v>
      </c>
      <c r="F14" s="21">
        <v>0</v>
      </c>
      <c r="N14" s="49"/>
      <c r="O14" s="15">
        <f t="shared" si="0"/>
        <v>0</v>
      </c>
    </row>
    <row r="15" spans="1:35" x14ac:dyDescent="0.2">
      <c r="A15" s="13" t="s">
        <v>23</v>
      </c>
      <c r="B15" s="14" t="s">
        <v>24</v>
      </c>
      <c r="C15" s="15">
        <f>'[9]Team Report'!BA33</f>
        <v>132382.80000000002</v>
      </c>
      <c r="E15" s="20">
        <f t="shared" si="1"/>
        <v>211812.48000000001</v>
      </c>
      <c r="F15" s="21">
        <f t="shared" ref="F15:F22" si="2">(+E15/$E$29*$L$11)*1.2</f>
        <v>93489.64634482759</v>
      </c>
      <c r="J15" s="33" t="s">
        <v>126</v>
      </c>
      <c r="N15" s="25"/>
      <c r="O15" s="15">
        <f t="shared" si="0"/>
        <v>2833.0195862068967</v>
      </c>
    </row>
    <row r="16" spans="1:35" x14ac:dyDescent="0.2">
      <c r="A16" s="13" t="s">
        <v>25</v>
      </c>
      <c r="B16" s="14" t="s">
        <v>26</v>
      </c>
      <c r="C16" s="15">
        <f>'[9]Team Report'!BA34</f>
        <v>0</v>
      </c>
      <c r="E16" s="20">
        <f t="shared" si="1"/>
        <v>0</v>
      </c>
      <c r="F16" s="21">
        <f t="shared" si="2"/>
        <v>0</v>
      </c>
      <c r="J16" t="s">
        <v>27</v>
      </c>
      <c r="K16" s="25">
        <v>36000</v>
      </c>
      <c r="L16">
        <v>1</v>
      </c>
      <c r="M16" s="25">
        <f t="shared" ref="M16:M21" si="3">K16*L16</f>
        <v>36000</v>
      </c>
      <c r="O16" s="15">
        <f t="shared" si="0"/>
        <v>0</v>
      </c>
    </row>
    <row r="17" spans="1:15" x14ac:dyDescent="0.2">
      <c r="A17" s="13" t="s">
        <v>28</v>
      </c>
      <c r="B17" s="14" t="s">
        <v>29</v>
      </c>
      <c r="C17" s="15">
        <f>'[9]Team Report'!BA35</f>
        <v>36209.440000000002</v>
      </c>
      <c r="E17" s="20">
        <f t="shared" si="1"/>
        <v>57935.103999999999</v>
      </c>
      <c r="F17" s="21">
        <f t="shared" si="2"/>
        <v>25571.356248275861</v>
      </c>
      <c r="J17" t="s">
        <v>33</v>
      </c>
      <c r="K17" s="25">
        <v>54000</v>
      </c>
      <c r="L17">
        <v>2</v>
      </c>
      <c r="M17" s="25">
        <f t="shared" si="3"/>
        <v>108000</v>
      </c>
      <c r="O17" s="15">
        <f t="shared" si="0"/>
        <v>774.88958328108674</v>
      </c>
    </row>
    <row r="18" spans="1:15" x14ac:dyDescent="0.2">
      <c r="A18" s="13" t="s">
        <v>31</v>
      </c>
      <c r="B18" s="14" t="s">
        <v>32</v>
      </c>
      <c r="C18" s="15">
        <f>'[9]Team Report'!BA36</f>
        <v>489327.92000000004</v>
      </c>
      <c r="E18" s="20">
        <f t="shared" si="1"/>
        <v>782924.67200000014</v>
      </c>
      <c r="F18" s="21">
        <f t="shared" si="2"/>
        <v>345566.75177931041</v>
      </c>
      <c r="J18" t="s">
        <v>36</v>
      </c>
      <c r="K18" s="25">
        <v>62400</v>
      </c>
      <c r="L18">
        <f>3+1</f>
        <v>4</v>
      </c>
      <c r="M18" s="25">
        <f t="shared" si="3"/>
        <v>249600</v>
      </c>
      <c r="N18" t="s">
        <v>216</v>
      </c>
      <c r="O18" s="15">
        <f t="shared" si="0"/>
        <v>10471.719750888195</v>
      </c>
    </row>
    <row r="19" spans="1:15" x14ac:dyDescent="0.2">
      <c r="A19" s="13" t="s">
        <v>34</v>
      </c>
      <c r="B19" s="14" t="s">
        <v>35</v>
      </c>
      <c r="C19" s="15">
        <f>'[9]Team Report'!BA37</f>
        <v>23628.120000000003</v>
      </c>
      <c r="E19" s="20">
        <f t="shared" si="1"/>
        <v>37804.992000000006</v>
      </c>
      <c r="F19" s="21">
        <f t="shared" si="2"/>
        <v>16686.341296551727</v>
      </c>
      <c r="J19" t="s">
        <v>39</v>
      </c>
      <c r="K19" s="25">
        <v>79200</v>
      </c>
      <c r="L19">
        <v>2</v>
      </c>
      <c r="M19" s="25">
        <f t="shared" si="3"/>
        <v>158400</v>
      </c>
      <c r="O19" s="15">
        <f t="shared" si="0"/>
        <v>505.64670595611295</v>
      </c>
    </row>
    <row r="20" spans="1:15" x14ac:dyDescent="0.2">
      <c r="A20" s="13" t="s">
        <v>37</v>
      </c>
      <c r="B20" s="14" t="s">
        <v>38</v>
      </c>
      <c r="C20" s="15">
        <f>'[9]Team Report'!BA38</f>
        <v>0</v>
      </c>
      <c r="E20" s="20">
        <f t="shared" si="1"/>
        <v>0</v>
      </c>
      <c r="F20" s="21">
        <f t="shared" si="2"/>
        <v>0</v>
      </c>
      <c r="J20" t="s">
        <v>48</v>
      </c>
      <c r="K20" s="25">
        <v>96000</v>
      </c>
      <c r="L20">
        <v>2</v>
      </c>
      <c r="M20" s="25">
        <f t="shared" si="3"/>
        <v>192000</v>
      </c>
      <c r="O20" s="15">
        <f t="shared" si="0"/>
        <v>0</v>
      </c>
    </row>
    <row r="21" spans="1:15" x14ac:dyDescent="0.2">
      <c r="A21" s="13" t="s">
        <v>40</v>
      </c>
      <c r="B21" s="14" t="s">
        <v>41</v>
      </c>
      <c r="C21" s="15">
        <f>'[9]Team Report'!BA42</f>
        <v>308878.27000000008</v>
      </c>
      <c r="E21" s="20">
        <f t="shared" si="1"/>
        <v>494205.23200000013</v>
      </c>
      <c r="F21" s="21">
        <f t="shared" si="2"/>
        <v>218131.96446896557</v>
      </c>
      <c r="J21" t="s">
        <v>52</v>
      </c>
      <c r="K21" s="25">
        <v>216000</v>
      </c>
      <c r="L21">
        <v>1</v>
      </c>
      <c r="M21" s="25">
        <f t="shared" si="3"/>
        <v>216000</v>
      </c>
      <c r="O21" s="15">
        <f t="shared" si="0"/>
        <v>6610.0595293625929</v>
      </c>
    </row>
    <row r="22" spans="1:15" x14ac:dyDescent="0.2">
      <c r="A22" s="13" t="s">
        <v>43</v>
      </c>
      <c r="B22" s="14" t="s">
        <v>44</v>
      </c>
      <c r="C22" s="15">
        <f>'[9]Team Report'!BA44</f>
        <v>30.12</v>
      </c>
      <c r="E22" s="20">
        <f t="shared" si="1"/>
        <v>48.191999999999993</v>
      </c>
      <c r="F22" s="21">
        <f t="shared" si="2"/>
        <v>21.270951724137927</v>
      </c>
      <c r="L22">
        <f>SUM(L16:L21)</f>
        <v>12</v>
      </c>
      <c r="M22" s="25">
        <f>SUM(M16:M21)*1.2</f>
        <v>1152000</v>
      </c>
      <c r="O22" s="15">
        <f t="shared" si="0"/>
        <v>0.64457429467084626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5072700.0799999991</v>
      </c>
      <c r="E23" s="28">
        <f>SUM(E8:E22)</f>
        <v>7182449.3066666648</v>
      </c>
      <c r="F23" s="28">
        <f>SUM(F8:F22)</f>
        <v>4085108.5228137933</v>
      </c>
      <c r="O23" s="58">
        <f>SUM(O8:O22)</f>
        <v>123791.16735799371</v>
      </c>
    </row>
    <row r="24" spans="1:15" x14ac:dyDescent="0.2">
      <c r="J24" s="33" t="s">
        <v>127</v>
      </c>
    </row>
    <row r="25" spans="1:15" x14ac:dyDescent="0.2">
      <c r="B25" s="27" t="s">
        <v>50</v>
      </c>
      <c r="C25" s="15"/>
      <c r="E25" s="31">
        <v>82</v>
      </c>
      <c r="F25" s="31">
        <v>32</v>
      </c>
      <c r="J25" t="s">
        <v>33</v>
      </c>
      <c r="K25" s="25">
        <v>60000</v>
      </c>
      <c r="L25">
        <v>2</v>
      </c>
      <c r="M25" s="25">
        <f>K25*L25</f>
        <v>120000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36</v>
      </c>
      <c r="K26" s="25">
        <v>78000</v>
      </c>
      <c r="L26">
        <v>1</v>
      </c>
      <c r="M26" s="25">
        <f>K26*L26</f>
        <v>78000</v>
      </c>
      <c r="O26" s="15"/>
    </row>
    <row r="27" spans="1:15" x14ac:dyDescent="0.2">
      <c r="B27" s="27" t="s">
        <v>101</v>
      </c>
      <c r="C27" s="15"/>
      <c r="E27" s="31">
        <v>5</v>
      </c>
      <c r="F27" s="31">
        <v>1</v>
      </c>
      <c r="J27" t="s">
        <v>39</v>
      </c>
      <c r="K27" s="25">
        <v>102000</v>
      </c>
      <c r="L27">
        <v>0</v>
      </c>
      <c r="M27" s="25">
        <f>K27*L27</f>
        <v>0</v>
      </c>
      <c r="O27" s="31">
        <f>SUM(U21:U22)</f>
        <v>0</v>
      </c>
    </row>
    <row r="28" spans="1:15" x14ac:dyDescent="0.2">
      <c r="L28">
        <f>SUM(L25:L27)</f>
        <v>3</v>
      </c>
      <c r="M28" s="25">
        <f>SUM(M25:M27)*1.2</f>
        <v>237600</v>
      </c>
    </row>
    <row r="29" spans="1:15" x14ac:dyDescent="0.2">
      <c r="B29" s="27" t="s">
        <v>55</v>
      </c>
      <c r="C29" s="15"/>
      <c r="E29" s="31">
        <f>+E27+E25</f>
        <v>87</v>
      </c>
      <c r="F29" s="31">
        <f>+F27+F25</f>
        <v>33</v>
      </c>
      <c r="G29" s="32"/>
      <c r="H29" s="25"/>
      <c r="O29" s="31">
        <v>1</v>
      </c>
    </row>
    <row r="30" spans="1:15" ht="11.25" customHeight="1" x14ac:dyDescent="0.2">
      <c r="J30" s="33" t="s">
        <v>128</v>
      </c>
    </row>
    <row r="31" spans="1:15" hidden="1" x14ac:dyDescent="0.2">
      <c r="A31" s="13" t="s">
        <v>71</v>
      </c>
      <c r="B31" s="14" t="s">
        <v>72</v>
      </c>
      <c r="C31" s="15">
        <f>'[9]Team Report'!BA29</f>
        <v>0</v>
      </c>
      <c r="E31" s="15">
        <f t="shared" ref="E31:E38" si="4">(C31/9)*12</f>
        <v>0</v>
      </c>
      <c r="F31" s="15"/>
      <c r="J31" t="s">
        <v>33</v>
      </c>
      <c r="K31" s="25">
        <v>49200</v>
      </c>
      <c r="L31">
        <v>0</v>
      </c>
      <c r="M31" s="25">
        <f t="shared" ref="M31:M36" si="5">K31*L31</f>
        <v>0</v>
      </c>
    </row>
    <row r="32" spans="1:15" hidden="1" x14ac:dyDescent="0.2">
      <c r="A32" s="13" t="s">
        <v>73</v>
      </c>
      <c r="B32" s="14" t="s">
        <v>74</v>
      </c>
      <c r="C32" s="15">
        <f>'[9]Team Report'!BA30</f>
        <v>0</v>
      </c>
      <c r="E32" s="15">
        <f t="shared" si="4"/>
        <v>0</v>
      </c>
      <c r="F32" s="15"/>
      <c r="J32" t="s">
        <v>36</v>
      </c>
      <c r="K32" s="25">
        <v>62400</v>
      </c>
      <c r="L32">
        <v>2</v>
      </c>
      <c r="M32" s="25">
        <f t="shared" si="5"/>
        <v>124800</v>
      </c>
    </row>
    <row r="33" spans="1:14" hidden="1" x14ac:dyDescent="0.2">
      <c r="A33" s="13" t="s">
        <v>75</v>
      </c>
      <c r="B33" s="14" t="s">
        <v>76</v>
      </c>
      <c r="C33" s="15">
        <f>'[9]Team Report'!BA31</f>
        <v>0</v>
      </c>
      <c r="E33" s="15">
        <f t="shared" si="4"/>
        <v>0</v>
      </c>
      <c r="F33" s="15"/>
      <c r="J33" t="s">
        <v>39</v>
      </c>
      <c r="K33" s="25">
        <v>74400</v>
      </c>
      <c r="L33">
        <f>2+1</f>
        <v>3</v>
      </c>
      <c r="M33" s="25">
        <f t="shared" si="5"/>
        <v>223200</v>
      </c>
      <c r="N33" t="s">
        <v>196</v>
      </c>
    </row>
    <row r="34" spans="1:14" hidden="1" x14ac:dyDescent="0.2">
      <c r="A34" s="13" t="s">
        <v>77</v>
      </c>
      <c r="B34" s="14" t="s">
        <v>78</v>
      </c>
      <c r="C34" s="15">
        <f>'[9]Team Report'!BA39</f>
        <v>0</v>
      </c>
      <c r="E34" s="15">
        <f t="shared" si="4"/>
        <v>0</v>
      </c>
      <c r="F34" s="15"/>
      <c r="J34" t="s">
        <v>48</v>
      </c>
      <c r="K34" s="25">
        <v>90000</v>
      </c>
      <c r="L34">
        <v>1</v>
      </c>
      <c r="M34" s="25">
        <f t="shared" si="5"/>
        <v>90000</v>
      </c>
    </row>
    <row r="35" spans="1:14" hidden="1" x14ac:dyDescent="0.2">
      <c r="A35" s="13" t="s">
        <v>79</v>
      </c>
      <c r="B35" s="14" t="s">
        <v>80</v>
      </c>
      <c r="C35" s="15">
        <f>'[9]Team Report'!BA40</f>
        <v>25924.200000000004</v>
      </c>
      <c r="E35" s="15">
        <f t="shared" si="4"/>
        <v>34565.600000000006</v>
      </c>
      <c r="F35" s="15"/>
      <c r="J35" t="s">
        <v>49</v>
      </c>
      <c r="K35" s="25">
        <v>120000</v>
      </c>
      <c r="L35">
        <v>1</v>
      </c>
      <c r="M35" s="25">
        <f t="shared" si="5"/>
        <v>120000</v>
      </c>
    </row>
    <row r="36" spans="1:14" hidden="1" x14ac:dyDescent="0.2">
      <c r="A36" s="13" t="s">
        <v>81</v>
      </c>
      <c r="B36" s="14" t="s">
        <v>82</v>
      </c>
      <c r="C36" s="15">
        <f>'[9]Team Report'!BA41</f>
        <v>1904.7300000000002</v>
      </c>
      <c r="E36" s="15">
        <f t="shared" si="4"/>
        <v>2539.6400000000003</v>
      </c>
      <c r="F36" s="15"/>
      <c r="J36" t="s">
        <v>52</v>
      </c>
      <c r="K36" s="25">
        <v>216000</v>
      </c>
      <c r="L36">
        <v>1</v>
      </c>
      <c r="M36" s="25">
        <f t="shared" si="5"/>
        <v>216000</v>
      </c>
    </row>
    <row r="37" spans="1:14" hidden="1" x14ac:dyDescent="0.2">
      <c r="A37" s="13" t="s">
        <v>83</v>
      </c>
      <c r="B37" s="14" t="s">
        <v>84</v>
      </c>
      <c r="C37" s="15">
        <f>'[9]Team Report'!BA43</f>
        <v>-612901.88</v>
      </c>
      <c r="E37" s="15">
        <f t="shared" si="4"/>
        <v>-817202.5066666666</v>
      </c>
      <c r="F37" s="15"/>
      <c r="L37">
        <f>SUM(L31:L36)</f>
        <v>8</v>
      </c>
      <c r="M37" s="25">
        <f>SUM(M31:M36)*1.2</f>
        <v>928800</v>
      </c>
    </row>
    <row r="38" spans="1:14" hidden="1" x14ac:dyDescent="0.2">
      <c r="A38" s="13" t="s">
        <v>85</v>
      </c>
      <c r="B38" s="14" t="s">
        <v>86</v>
      </c>
      <c r="C38" s="15">
        <f>'[9]Team Report'!BA45</f>
        <v>0</v>
      </c>
      <c r="E38" s="15">
        <f t="shared" si="4"/>
        <v>0</v>
      </c>
      <c r="F38" s="15"/>
    </row>
    <row r="39" spans="1:14" hidden="1" x14ac:dyDescent="0.2">
      <c r="A39" s="13"/>
      <c r="B39" s="14" t="s">
        <v>22</v>
      </c>
      <c r="C39" s="15">
        <v>5703580</v>
      </c>
      <c r="E39" s="15"/>
      <c r="F39" s="15"/>
      <c r="J39" s="33" t="s">
        <v>129</v>
      </c>
    </row>
    <row r="40" spans="1:14" hidden="1" x14ac:dyDescent="0.2">
      <c r="J40" t="s">
        <v>30</v>
      </c>
      <c r="K40" s="25">
        <v>52800</v>
      </c>
      <c r="L40">
        <v>1</v>
      </c>
      <c r="M40" s="25">
        <f>K40*L40</f>
        <v>52800</v>
      </c>
    </row>
    <row r="41" spans="1:14" hidden="1" x14ac:dyDescent="0.2">
      <c r="C41" s="54">
        <f>C23+C31+C32+C33+C34+C35+C36+C37+C38</f>
        <v>4487627.13</v>
      </c>
      <c r="J41" t="s">
        <v>130</v>
      </c>
      <c r="K41" s="25">
        <v>195600</v>
      </c>
      <c r="L41">
        <f>2+1</f>
        <v>3</v>
      </c>
      <c r="M41" s="25">
        <f>K41*L41</f>
        <v>586800</v>
      </c>
      <c r="N41" t="s">
        <v>215</v>
      </c>
    </row>
    <row r="42" spans="1:14" hidden="1" x14ac:dyDescent="0.2">
      <c r="J42" t="s">
        <v>52</v>
      </c>
      <c r="K42" s="25">
        <v>217200</v>
      </c>
      <c r="L42">
        <v>1</v>
      </c>
      <c r="M42" s="25">
        <f>K42*L42</f>
        <v>217200</v>
      </c>
    </row>
    <row r="43" spans="1:14" hidden="1" x14ac:dyDescent="0.2">
      <c r="L43">
        <f>SUM(L40:L42)</f>
        <v>5</v>
      </c>
      <c r="M43" s="25">
        <f>SUM(M40:M42)*1.2</f>
        <v>1028160</v>
      </c>
    </row>
    <row r="44" spans="1:14" hidden="1" x14ac:dyDescent="0.2">
      <c r="A44" s="33" t="s">
        <v>56</v>
      </c>
      <c r="B44" s="25"/>
      <c r="C44" s="25"/>
      <c r="D44" s="25"/>
    </row>
    <row r="45" spans="1:14" hidden="1" x14ac:dyDescent="0.2">
      <c r="B45" s="25"/>
      <c r="C45" s="25"/>
      <c r="D45" s="25"/>
      <c r="J45" s="33" t="s">
        <v>30</v>
      </c>
    </row>
    <row r="46" spans="1:14" hidden="1" x14ac:dyDescent="0.2">
      <c r="A46" s="34" t="s">
        <v>8</v>
      </c>
      <c r="B46" s="35" t="s">
        <v>58</v>
      </c>
      <c r="C46" s="35" t="s">
        <v>59</v>
      </c>
      <c r="E46" s="35" t="s">
        <v>2</v>
      </c>
      <c r="F46" s="35"/>
      <c r="G46" s="35" t="s">
        <v>60</v>
      </c>
      <c r="J46" t="s">
        <v>30</v>
      </c>
      <c r="K46" s="25">
        <v>52800</v>
      </c>
      <c r="L46">
        <v>3</v>
      </c>
      <c r="M46" s="25">
        <f>K46*L46</f>
        <v>158400</v>
      </c>
    </row>
    <row r="47" spans="1:14" hidden="1" x14ac:dyDescent="0.2">
      <c r="A47" s="36">
        <f>SUM(E12:E22)</f>
        <v>2513095.1999999988</v>
      </c>
      <c r="B47" s="56">
        <f>+E29</f>
        <v>87</v>
      </c>
      <c r="C47" s="37">
        <f>+A47/B47</f>
        <v>28886.151724137919</v>
      </c>
      <c r="D47" s="37"/>
      <c r="E47" s="56">
        <f>+L11</f>
        <v>32</v>
      </c>
      <c r="F47" s="56"/>
      <c r="G47" s="25">
        <f>+E47*C47</f>
        <v>924356.8551724134</v>
      </c>
      <c r="L47">
        <f>SUM(L46:L46)</f>
        <v>3</v>
      </c>
      <c r="M47" s="25">
        <f>SUM(M46:M46)*1.2</f>
        <v>190080</v>
      </c>
    </row>
    <row r="48" spans="1:14" hidden="1" x14ac:dyDescent="0.2">
      <c r="J48" s="33" t="s">
        <v>131</v>
      </c>
    </row>
    <row r="49" spans="10:13" hidden="1" x14ac:dyDescent="0.2">
      <c r="J49" t="s">
        <v>48</v>
      </c>
      <c r="K49" s="25">
        <v>90000</v>
      </c>
      <c r="L49">
        <v>1</v>
      </c>
      <c r="M49" s="25">
        <f>K49*L49</f>
        <v>90000</v>
      </c>
    </row>
    <row r="50" spans="10:13" hidden="1" x14ac:dyDescent="0.2">
      <c r="J50" t="s">
        <v>49</v>
      </c>
      <c r="K50" s="25">
        <v>168000</v>
      </c>
      <c r="L50">
        <v>1</v>
      </c>
      <c r="M50" s="25">
        <f>K50*L50</f>
        <v>168000</v>
      </c>
    </row>
    <row r="51" spans="10:13" hidden="1" x14ac:dyDescent="0.2">
      <c r="L51">
        <f>SUM(L50:L50)</f>
        <v>1</v>
      </c>
      <c r="M51" s="25">
        <f>SUM(M49:M50)*1.2</f>
        <v>309600</v>
      </c>
    </row>
    <row r="52" spans="10:13" hidden="1" x14ac:dyDescent="0.2"/>
    <row r="53" spans="10:13" hidden="1" x14ac:dyDescent="0.2"/>
    <row r="54" spans="10:13" hidden="1" x14ac:dyDescent="0.2"/>
    <row r="55" spans="10:13" hidden="1" x14ac:dyDescent="0.2"/>
    <row r="56" spans="10:13" hidden="1" x14ac:dyDescent="0.2"/>
    <row r="57" spans="10:13" hidden="1" x14ac:dyDescent="0.2"/>
    <row r="58" spans="10:13" hidden="1" x14ac:dyDescent="0.2"/>
    <row r="59" spans="10:13" hidden="1" x14ac:dyDescent="0.2"/>
    <row r="60" spans="10:13" hidden="1" x14ac:dyDescent="0.2"/>
    <row r="61" spans="10:13" hidden="1" x14ac:dyDescent="0.2"/>
    <row r="62" spans="10:13" hidden="1" x14ac:dyDescent="0.2"/>
    <row r="63" spans="10:13" hidden="1" x14ac:dyDescent="0.2"/>
    <row r="64" spans="10:13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1.01" bottom="0.48" header="1.37" footer="0.5"/>
  <pageSetup orientation="portrait" verticalDpi="196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45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2.28515625" customWidth="1"/>
    <col min="8" max="8" width="9.85546875" hidden="1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4" width="9.140625" hidden="1" customWidth="1"/>
    <col min="15" max="15" width="12.140625" hidden="1" customWidth="1"/>
    <col min="16" max="42" width="0" hidden="1" customWidth="1"/>
  </cols>
  <sheetData>
    <row r="1" spans="1:36" ht="18" x14ac:dyDescent="0.25">
      <c r="B1" s="140" t="str">
        <f>'[4]Team Report'!B1</f>
        <v>Enron North America</v>
      </c>
      <c r="C1" s="140"/>
      <c r="D1" s="140"/>
      <c r="E1" s="140"/>
      <c r="F1" s="140"/>
      <c r="G1" s="140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8" x14ac:dyDescent="0.25">
      <c r="B2" s="140" t="s">
        <v>120</v>
      </c>
      <c r="C2" s="140"/>
      <c r="D2" s="140"/>
      <c r="E2" s="140"/>
      <c r="F2" s="140"/>
      <c r="G2" s="140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8" x14ac:dyDescent="0.25">
      <c r="B3" s="141" t="s">
        <v>0</v>
      </c>
      <c r="C3" s="141"/>
      <c r="D3" s="141"/>
      <c r="E3" s="141"/>
      <c r="F3" s="141"/>
      <c r="G3" s="141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ht="13.5" thickBot="1" x14ac:dyDescent="0.25">
      <c r="I4" s="145" t="s">
        <v>121</v>
      </c>
      <c r="J4" s="145"/>
      <c r="K4" s="145"/>
      <c r="L4" s="145"/>
    </row>
    <row r="5" spans="1:36" x14ac:dyDescent="0.2">
      <c r="I5" s="4"/>
      <c r="J5" s="40"/>
      <c r="K5" s="40"/>
      <c r="L5" s="41"/>
      <c r="M5" s="8"/>
    </row>
    <row r="6" spans="1:36" x14ac:dyDescent="0.2">
      <c r="C6" s="10">
        <v>37135</v>
      </c>
      <c r="E6" s="76">
        <v>2001</v>
      </c>
      <c r="G6" s="76">
        <v>2002</v>
      </c>
      <c r="I6" s="7"/>
      <c r="J6" s="19" t="s">
        <v>1</v>
      </c>
      <c r="K6" s="19" t="s">
        <v>2</v>
      </c>
      <c r="L6" s="74" t="s">
        <v>107</v>
      </c>
      <c r="M6" s="8"/>
      <c r="O6" s="76">
        <v>2002</v>
      </c>
    </row>
    <row r="7" spans="1:36" x14ac:dyDescent="0.2">
      <c r="C7" s="12" t="s">
        <v>5</v>
      </c>
      <c r="E7" s="12" t="s">
        <v>6</v>
      </c>
      <c r="G7" s="12" t="s">
        <v>7</v>
      </c>
      <c r="I7" s="7"/>
      <c r="J7" s="17"/>
      <c r="K7" s="17"/>
      <c r="L7" s="43"/>
      <c r="M7" s="8"/>
      <c r="O7" s="12" t="s">
        <v>7</v>
      </c>
    </row>
    <row r="8" spans="1:36" x14ac:dyDescent="0.2">
      <c r="A8" s="13" t="s">
        <v>9</v>
      </c>
      <c r="B8" s="14" t="s">
        <v>10</v>
      </c>
      <c r="C8" s="53">
        <v>0</v>
      </c>
      <c r="E8" s="15">
        <v>2625993</v>
      </c>
      <c r="G8" s="15">
        <f>(L29-G10)*1.2</f>
        <v>2029536</v>
      </c>
      <c r="I8" s="7"/>
      <c r="J8" s="17"/>
      <c r="K8" s="17"/>
      <c r="L8" s="43"/>
      <c r="M8" s="8"/>
      <c r="O8" s="15">
        <f>+G8/$G$30*$O$30</f>
        <v>270604.79999999999</v>
      </c>
    </row>
    <row r="9" spans="1:36" hidden="1" x14ac:dyDescent="0.2">
      <c r="A9" s="13"/>
      <c r="B9" s="14" t="s">
        <v>11</v>
      </c>
      <c r="C9" s="15">
        <v>0</v>
      </c>
      <c r="E9" s="15">
        <f>(C9/9)*12</f>
        <v>0</v>
      </c>
      <c r="G9" s="15">
        <v>0</v>
      </c>
      <c r="I9" s="7" t="s">
        <v>10</v>
      </c>
      <c r="J9" s="17">
        <v>0</v>
      </c>
      <c r="K9" s="17">
        <f>K29</f>
        <v>15</v>
      </c>
      <c r="L9" s="43">
        <f>+L33</f>
        <v>2112480</v>
      </c>
      <c r="M9" s="8"/>
      <c r="O9" s="15">
        <f t="shared" ref="O9:O23" si="0">+G9/$G$30*$O$30</f>
        <v>0</v>
      </c>
    </row>
    <row r="10" spans="1:36" x14ac:dyDescent="0.2">
      <c r="A10" s="13"/>
      <c r="B10" s="14" t="s">
        <v>122</v>
      </c>
      <c r="C10" s="15">
        <v>0</v>
      </c>
      <c r="E10" s="15">
        <f>(C10/9)*12</f>
        <v>0</v>
      </c>
      <c r="G10" s="15">
        <f>(L21)*1.2</f>
        <v>69120</v>
      </c>
      <c r="I10" s="7"/>
      <c r="J10" s="17"/>
      <c r="K10" s="17"/>
      <c r="L10" s="43"/>
      <c r="M10" s="8"/>
      <c r="O10" s="15">
        <f t="shared" si="0"/>
        <v>9216</v>
      </c>
    </row>
    <row r="11" spans="1:36" x14ac:dyDescent="0.2">
      <c r="A11" s="13" t="s">
        <v>13</v>
      </c>
      <c r="B11" s="14" t="s">
        <v>14</v>
      </c>
      <c r="C11" s="15">
        <v>0</v>
      </c>
      <c r="E11" s="15">
        <f>247074+290236+2376</f>
        <v>539686</v>
      </c>
      <c r="G11" s="15">
        <f>(L33-L29)*1.2</f>
        <v>422496</v>
      </c>
      <c r="I11" s="7"/>
      <c r="J11" s="17"/>
      <c r="K11" s="17"/>
      <c r="L11" s="43"/>
      <c r="M11" s="8"/>
      <c r="O11" s="15">
        <f t="shared" si="0"/>
        <v>56332.800000000003</v>
      </c>
    </row>
    <row r="12" spans="1:36" x14ac:dyDescent="0.2">
      <c r="A12" s="13" t="s">
        <v>16</v>
      </c>
      <c r="B12" s="14" t="s">
        <v>17</v>
      </c>
      <c r="C12" s="15">
        <v>115211.17</v>
      </c>
      <c r="E12" s="20">
        <f t="shared" ref="E12:E23" si="1">(C12/9)*12*1.2</f>
        <v>184337.87199999997</v>
      </c>
      <c r="G12" s="21">
        <f>((E12/$E$30)*$G$30)*1.2</f>
        <v>57208.305103448271</v>
      </c>
      <c r="I12" s="7" t="s">
        <v>15</v>
      </c>
      <c r="J12" s="17">
        <f>(E12+E13+E14+E15+E16+E17+E18+E20+E21+E22+E23)/E30</f>
        <v>9254.6982068965517</v>
      </c>
      <c r="K12" s="17">
        <f>K29</f>
        <v>15</v>
      </c>
      <c r="L12" s="43">
        <f>J12*K12</f>
        <v>138820.47310344828</v>
      </c>
      <c r="M12" s="8"/>
      <c r="O12" s="15">
        <f t="shared" si="0"/>
        <v>7627.7740137931023</v>
      </c>
    </row>
    <row r="13" spans="1:36" x14ac:dyDescent="0.2">
      <c r="A13" s="13" t="s">
        <v>18</v>
      </c>
      <c r="B13" s="14" t="s">
        <v>19</v>
      </c>
      <c r="C13" s="15">
        <v>158715.85999999999</v>
      </c>
      <c r="E13" s="20">
        <f t="shared" si="1"/>
        <v>253945.37599999999</v>
      </c>
      <c r="G13" s="21">
        <f>((E13/$E$30)*$G$30+9324)*1.2</f>
        <v>89999.433931034466</v>
      </c>
      <c r="I13" s="7"/>
      <c r="J13" s="17"/>
      <c r="K13" s="17"/>
      <c r="L13" s="43"/>
      <c r="M13" s="8"/>
      <c r="O13" s="15">
        <f t="shared" si="0"/>
        <v>11999.924524137929</v>
      </c>
    </row>
    <row r="14" spans="1:36" ht="13.5" thickBot="1" x14ac:dyDescent="0.25">
      <c r="A14" s="13" t="s">
        <v>21</v>
      </c>
      <c r="B14" s="14" t="s">
        <v>22</v>
      </c>
      <c r="C14" s="15">
        <v>0</v>
      </c>
      <c r="E14" s="20">
        <f t="shared" si="1"/>
        <v>0</v>
      </c>
      <c r="G14" s="21">
        <f>((E14/$E$30)*$G$30+25000)*1.2</f>
        <v>30000</v>
      </c>
      <c r="I14" s="22" t="s">
        <v>20</v>
      </c>
      <c r="J14" s="47"/>
      <c r="K14" s="47"/>
      <c r="L14" s="48">
        <f>SUM(L9:L12)</f>
        <v>2251300.4731034483</v>
      </c>
      <c r="M14" s="8"/>
      <c r="O14" s="15">
        <f t="shared" si="0"/>
        <v>4000</v>
      </c>
    </row>
    <row r="15" spans="1:36" x14ac:dyDescent="0.2">
      <c r="A15" s="13" t="s">
        <v>23</v>
      </c>
      <c r="B15" s="14" t="s">
        <v>24</v>
      </c>
      <c r="C15" s="15">
        <v>28163.05</v>
      </c>
      <c r="E15" s="20">
        <f t="shared" si="1"/>
        <v>45060.88</v>
      </c>
      <c r="G15" s="21">
        <f>((E15/$E$30)*$G$30)*1.2</f>
        <v>13984.411034482755</v>
      </c>
      <c r="I15" s="8"/>
      <c r="J15" s="17"/>
      <c r="K15" s="17"/>
      <c r="L15" s="17"/>
      <c r="M15" s="75"/>
      <c r="O15" s="15">
        <f t="shared" si="0"/>
        <v>1864.588137931034</v>
      </c>
    </row>
    <row r="16" spans="1:36" x14ac:dyDescent="0.2">
      <c r="A16" s="13" t="s">
        <v>25</v>
      </c>
      <c r="B16" s="14" t="s">
        <v>26</v>
      </c>
      <c r="C16" s="15">
        <f>'[4]Team Report'!BA34</f>
        <v>0</v>
      </c>
      <c r="E16" s="20">
        <f t="shared" si="1"/>
        <v>0</v>
      </c>
      <c r="G16" s="21">
        <f>((E16/$E$30)*$G$30)*1.2</f>
        <v>0</v>
      </c>
      <c r="I16" s="8"/>
      <c r="J16" s="17"/>
      <c r="K16" s="17"/>
      <c r="L16" s="17"/>
      <c r="M16" s="8"/>
      <c r="O16" s="15">
        <f t="shared" si="0"/>
        <v>0</v>
      </c>
    </row>
    <row r="17" spans="1:15" x14ac:dyDescent="0.2">
      <c r="A17" s="13" t="s">
        <v>28</v>
      </c>
      <c r="B17" s="14" t="s">
        <v>29</v>
      </c>
      <c r="C17" s="15">
        <f>'[4]Team Report'!BA35</f>
        <v>0</v>
      </c>
      <c r="E17" s="20">
        <f t="shared" si="1"/>
        <v>0</v>
      </c>
      <c r="G17" s="21">
        <f>((E17/$E$30)*$G$30)*1.2</f>
        <v>0</v>
      </c>
      <c r="I17" s="8" t="s">
        <v>27</v>
      </c>
      <c r="J17" s="17">
        <v>36000</v>
      </c>
      <c r="K17">
        <v>0</v>
      </c>
      <c r="L17" s="17">
        <f t="shared" ref="L17:L28" si="2">J17*K17</f>
        <v>0</v>
      </c>
      <c r="O17" s="15">
        <f t="shared" si="0"/>
        <v>0</v>
      </c>
    </row>
    <row r="18" spans="1:15" x14ac:dyDescent="0.2">
      <c r="A18" s="13" t="s">
        <v>31</v>
      </c>
      <c r="B18" s="14" t="s">
        <v>32</v>
      </c>
      <c r="C18" s="15">
        <v>1844.33</v>
      </c>
      <c r="E18" s="20">
        <f t="shared" si="1"/>
        <v>2950.9279999999999</v>
      </c>
      <c r="G18" s="21">
        <f>((E18/$E$30)*$G$30+237)*1.2</f>
        <v>1200.2052413793101</v>
      </c>
      <c r="I18" t="s">
        <v>93</v>
      </c>
      <c r="J18" s="17">
        <v>49200</v>
      </c>
      <c r="K18">
        <v>1</v>
      </c>
      <c r="L18" s="17">
        <f t="shared" si="2"/>
        <v>49200</v>
      </c>
      <c r="O18" s="15">
        <f t="shared" si="0"/>
        <v>160.02736551724135</v>
      </c>
    </row>
    <row r="19" spans="1:15" hidden="1" x14ac:dyDescent="0.2">
      <c r="A19" s="13"/>
      <c r="B19" s="14"/>
      <c r="C19" s="15"/>
      <c r="E19" s="20">
        <f t="shared" si="1"/>
        <v>0</v>
      </c>
      <c r="G19" s="21">
        <f>((E19/$E$30)*$G$30)*1.2</f>
        <v>0</v>
      </c>
      <c r="I19" t="s">
        <v>123</v>
      </c>
      <c r="J19" s="17">
        <v>63600</v>
      </c>
      <c r="K19">
        <v>0</v>
      </c>
      <c r="L19" s="17">
        <f t="shared" si="2"/>
        <v>0</v>
      </c>
      <c r="O19" s="15">
        <f t="shared" si="0"/>
        <v>0</v>
      </c>
    </row>
    <row r="20" spans="1:15" x14ac:dyDescent="0.2">
      <c r="A20" s="13" t="s">
        <v>34</v>
      </c>
      <c r="B20" s="14" t="s">
        <v>35</v>
      </c>
      <c r="C20" s="15">
        <v>29491.73</v>
      </c>
      <c r="E20" s="20">
        <f t="shared" si="1"/>
        <v>47186.768000000004</v>
      </c>
      <c r="G20" s="21">
        <f>((E20/$E$30)*$G$30+37797)*1.2</f>
        <v>60000.569379310349</v>
      </c>
      <c r="I20" t="s">
        <v>33</v>
      </c>
      <c r="J20" s="17">
        <v>49200</v>
      </c>
      <c r="K20">
        <v>0</v>
      </c>
      <c r="L20" s="17">
        <f t="shared" si="2"/>
        <v>0</v>
      </c>
      <c r="O20" s="15">
        <f t="shared" si="0"/>
        <v>8000.07591724138</v>
      </c>
    </row>
    <row r="21" spans="1:15" x14ac:dyDescent="0.2">
      <c r="A21" s="13" t="s">
        <v>37</v>
      </c>
      <c r="B21" s="14" t="s">
        <v>38</v>
      </c>
      <c r="C21" s="15">
        <f>'[4]Team Report'!BA38</f>
        <v>0</v>
      </c>
      <c r="E21" s="20">
        <f t="shared" si="1"/>
        <v>0</v>
      </c>
      <c r="G21" s="21">
        <f>((E21/$E$30)*$G$30)*1.2</f>
        <v>0</v>
      </c>
      <c r="I21" t="s">
        <v>94</v>
      </c>
      <c r="J21" s="17">
        <v>57600</v>
      </c>
      <c r="K21">
        <v>1</v>
      </c>
      <c r="L21" s="17">
        <f t="shared" si="2"/>
        <v>57600</v>
      </c>
      <c r="O21" s="15">
        <f t="shared" si="0"/>
        <v>0</v>
      </c>
    </row>
    <row r="22" spans="1:15" x14ac:dyDescent="0.2">
      <c r="A22" s="13" t="s">
        <v>40</v>
      </c>
      <c r="B22" s="14" t="s">
        <v>41</v>
      </c>
      <c r="C22" s="15">
        <v>2056.67</v>
      </c>
      <c r="E22" s="20">
        <f t="shared" si="1"/>
        <v>3290.672</v>
      </c>
      <c r="G22" s="21">
        <f>((E22/$E$30)*$G$30+299149)*1.2</f>
        <v>360000.04303448269</v>
      </c>
      <c r="I22" t="s">
        <v>36</v>
      </c>
      <c r="J22" s="17">
        <v>66000</v>
      </c>
      <c r="K22">
        <v>1</v>
      </c>
      <c r="L22" s="17">
        <f t="shared" si="2"/>
        <v>66000</v>
      </c>
      <c r="O22" s="15">
        <f t="shared" si="0"/>
        <v>48000.005737931024</v>
      </c>
    </row>
    <row r="23" spans="1:15" x14ac:dyDescent="0.2">
      <c r="A23" s="13" t="s">
        <v>43</v>
      </c>
      <c r="B23" s="14" t="s">
        <v>44</v>
      </c>
      <c r="C23" s="15">
        <v>0</v>
      </c>
      <c r="E23" s="15">
        <f t="shared" si="1"/>
        <v>0</v>
      </c>
      <c r="G23" s="21">
        <f>((E23/$E$30)*$G$30)*1.2</f>
        <v>0</v>
      </c>
      <c r="I23" t="s">
        <v>108</v>
      </c>
      <c r="J23" s="17">
        <v>84000</v>
      </c>
      <c r="K23">
        <v>2</v>
      </c>
      <c r="L23" s="17">
        <f t="shared" si="2"/>
        <v>168000</v>
      </c>
      <c r="O23" s="15">
        <f t="shared" si="0"/>
        <v>0</v>
      </c>
    </row>
    <row r="24" spans="1:15" x14ac:dyDescent="0.2">
      <c r="A24" s="26" t="s">
        <v>46</v>
      </c>
      <c r="B24" s="27" t="s">
        <v>47</v>
      </c>
      <c r="C24" s="28">
        <f>SUM(C8:C23)</f>
        <v>335482.80999999994</v>
      </c>
      <c r="E24" s="28">
        <f>SUM(E8:E23)</f>
        <v>3702451.4959999998</v>
      </c>
      <c r="G24" s="28">
        <f>SUM(G8:G23)</f>
        <v>3133544.9677241375</v>
      </c>
      <c r="I24" t="s">
        <v>96</v>
      </c>
      <c r="J24" s="17">
        <v>105600</v>
      </c>
      <c r="K24">
        <v>5</v>
      </c>
      <c r="L24" s="17">
        <f t="shared" si="2"/>
        <v>528000</v>
      </c>
      <c r="O24" s="28">
        <f>SUM(O8:O23)</f>
        <v>417805.99569655163</v>
      </c>
    </row>
    <row r="25" spans="1:15" x14ac:dyDescent="0.2">
      <c r="I25" t="s">
        <v>97</v>
      </c>
      <c r="J25" s="17">
        <v>156000</v>
      </c>
      <c r="K25">
        <v>2</v>
      </c>
      <c r="L25" s="17">
        <f t="shared" si="2"/>
        <v>312000</v>
      </c>
    </row>
    <row r="26" spans="1:15" x14ac:dyDescent="0.2">
      <c r="B26" s="27" t="s">
        <v>50</v>
      </c>
      <c r="C26" s="55"/>
      <c r="E26" s="55">
        <v>58</v>
      </c>
      <c r="G26" s="55">
        <f>SUM(K17:K20,K22:K28)</f>
        <v>14</v>
      </c>
      <c r="I26" t="s">
        <v>98</v>
      </c>
      <c r="J26" s="17">
        <v>184800</v>
      </c>
      <c r="K26">
        <v>2</v>
      </c>
      <c r="L26" s="17">
        <f t="shared" si="2"/>
        <v>369600</v>
      </c>
      <c r="O26" s="55">
        <v>1</v>
      </c>
    </row>
    <row r="27" spans="1:15" x14ac:dyDescent="0.2">
      <c r="I27" t="s">
        <v>99</v>
      </c>
      <c r="J27" s="17">
        <v>210000</v>
      </c>
      <c r="K27">
        <v>1</v>
      </c>
      <c r="L27" s="17">
        <f t="shared" si="2"/>
        <v>210000</v>
      </c>
    </row>
    <row r="28" spans="1:15" x14ac:dyDescent="0.2">
      <c r="B28" s="27" t="s">
        <v>67</v>
      </c>
      <c r="C28" s="55"/>
      <c r="E28" s="55">
        <v>0</v>
      </c>
      <c r="G28" s="55">
        <f>SUM(K21)</f>
        <v>1</v>
      </c>
      <c r="I28" t="s">
        <v>124</v>
      </c>
      <c r="J28" s="17">
        <v>476400</v>
      </c>
      <c r="K28">
        <v>0</v>
      </c>
      <c r="L28" s="17">
        <f t="shared" si="2"/>
        <v>0</v>
      </c>
      <c r="O28" s="55">
        <v>1</v>
      </c>
    </row>
    <row r="29" spans="1:15" x14ac:dyDescent="0.2">
      <c r="K29" s="25">
        <f>SUM(K17:K28)</f>
        <v>15</v>
      </c>
      <c r="L29" s="25">
        <f>SUM(L17:L28)</f>
        <v>1760400</v>
      </c>
    </row>
    <row r="30" spans="1:15" x14ac:dyDescent="0.2">
      <c r="B30" s="27" t="s">
        <v>55</v>
      </c>
      <c r="C30" s="55"/>
      <c r="E30" s="55">
        <f>SUM(E26:E29)</f>
        <v>58</v>
      </c>
      <c r="G30" s="55">
        <f>SUM(G26:G29)</f>
        <v>15</v>
      </c>
      <c r="O30" s="55">
        <f>SUM(O26:O29)</f>
        <v>2</v>
      </c>
    </row>
    <row r="31" spans="1:15" x14ac:dyDescent="0.2">
      <c r="B31" s="27"/>
      <c r="I31" t="s">
        <v>102</v>
      </c>
      <c r="K31" s="52"/>
      <c r="L31" s="52">
        <v>0.2</v>
      </c>
    </row>
    <row r="32" spans="1:15" hidden="1" x14ac:dyDescent="0.2">
      <c r="A32" s="13" t="s">
        <v>71</v>
      </c>
      <c r="B32" s="14" t="s">
        <v>72</v>
      </c>
      <c r="C32" s="15">
        <f>'[4]Team Report'!BA29</f>
        <v>0</v>
      </c>
      <c r="E32" s="15">
        <f t="shared" ref="E32:E39" si="3">(C32/9)*12</f>
        <v>0</v>
      </c>
    </row>
    <row r="33" spans="1:13" hidden="1" x14ac:dyDescent="0.2">
      <c r="A33" s="13" t="s">
        <v>73</v>
      </c>
      <c r="B33" s="14" t="s">
        <v>74</v>
      </c>
      <c r="C33" s="15">
        <f>'[4]Team Report'!BA30</f>
        <v>0</v>
      </c>
      <c r="E33" s="15">
        <f t="shared" si="3"/>
        <v>0</v>
      </c>
      <c r="L33" s="25">
        <f>L29*1.2</f>
        <v>2112480</v>
      </c>
    </row>
    <row r="34" spans="1:13" hidden="1" x14ac:dyDescent="0.2">
      <c r="A34" s="13" t="s">
        <v>75</v>
      </c>
      <c r="B34" s="14" t="s">
        <v>76</v>
      </c>
      <c r="C34" s="15">
        <f>'[4]Team Report'!BA31</f>
        <v>0</v>
      </c>
      <c r="E34" s="15">
        <f t="shared" si="3"/>
        <v>0</v>
      </c>
    </row>
    <row r="35" spans="1:13" hidden="1" x14ac:dyDescent="0.2">
      <c r="A35" s="13" t="s">
        <v>77</v>
      </c>
      <c r="B35" s="14" t="s">
        <v>78</v>
      </c>
      <c r="C35" s="15">
        <f>'[4]Team Report'!BA39</f>
        <v>0</v>
      </c>
      <c r="E35" s="15">
        <f t="shared" si="3"/>
        <v>0</v>
      </c>
    </row>
    <row r="36" spans="1:13" hidden="1" x14ac:dyDescent="0.2">
      <c r="A36" s="13" t="s">
        <v>79</v>
      </c>
      <c r="B36" s="14" t="s">
        <v>80</v>
      </c>
      <c r="C36" s="15">
        <f>'[4]Team Report'!BA40</f>
        <v>24670.390000000003</v>
      </c>
      <c r="E36" s="15">
        <f t="shared" si="3"/>
        <v>32893.85333333334</v>
      </c>
    </row>
    <row r="37" spans="1:13" hidden="1" x14ac:dyDescent="0.2">
      <c r="A37" s="13" t="s">
        <v>81</v>
      </c>
      <c r="B37" s="14" t="s">
        <v>82</v>
      </c>
      <c r="C37" s="15">
        <f>'[4]Team Report'!BA41</f>
        <v>481045.43000000005</v>
      </c>
      <c r="E37" s="15">
        <f t="shared" si="3"/>
        <v>641393.90666666673</v>
      </c>
      <c r="H37" s="33" t="s">
        <v>56</v>
      </c>
      <c r="I37" s="25"/>
      <c r="L37"/>
    </row>
    <row r="38" spans="1:13" hidden="1" x14ac:dyDescent="0.2">
      <c r="A38" s="13" t="s">
        <v>83</v>
      </c>
      <c r="B38" s="14" t="s">
        <v>84</v>
      </c>
      <c r="C38" s="15">
        <f>'[4]Team Report'!BA43</f>
        <v>-771915.88</v>
      </c>
      <c r="E38" s="15">
        <f t="shared" si="3"/>
        <v>-1029221.1733333333</v>
      </c>
      <c r="I38" s="25"/>
      <c r="L38"/>
    </row>
    <row r="39" spans="1:13" hidden="1" x14ac:dyDescent="0.2">
      <c r="A39" s="13" t="s">
        <v>85</v>
      </c>
      <c r="B39" s="14" t="s">
        <v>86</v>
      </c>
      <c r="C39" s="15">
        <f>'[4]Team Report'!BA45</f>
        <v>0</v>
      </c>
      <c r="E39" s="15">
        <f t="shared" si="3"/>
        <v>0</v>
      </c>
      <c r="H39" s="34" t="s">
        <v>57</v>
      </c>
      <c r="I39" s="35" t="s">
        <v>58</v>
      </c>
      <c r="J39" s="35" t="s">
        <v>59</v>
      </c>
      <c r="K39" s="35" t="s">
        <v>2</v>
      </c>
      <c r="L39" s="35" t="s">
        <v>60</v>
      </c>
    </row>
    <row r="40" spans="1:13" hidden="1" x14ac:dyDescent="0.2">
      <c r="A40" s="13"/>
      <c r="B40" s="14"/>
      <c r="C40" s="15"/>
      <c r="E40" s="15"/>
      <c r="H40" s="36">
        <f>SUM(E12:E22)</f>
        <v>536772.49600000004</v>
      </c>
      <c r="I40" s="56">
        <f>+E30</f>
        <v>58</v>
      </c>
      <c r="J40" s="37">
        <f>+H40/I40</f>
        <v>9254.6982068965517</v>
      </c>
      <c r="K40" s="37">
        <f>+K12</f>
        <v>15</v>
      </c>
      <c r="L40" s="37">
        <f>+J40*K40</f>
        <v>138820.47310344828</v>
      </c>
      <c r="M40" s="25"/>
    </row>
    <row r="41" spans="1:13" hidden="1" x14ac:dyDescent="0.2"/>
    <row r="42" spans="1:13" hidden="1" x14ac:dyDescent="0.2"/>
    <row r="43" spans="1:13" hidden="1" x14ac:dyDescent="0.2"/>
    <row r="45" spans="1:13" x14ac:dyDescent="0.2">
      <c r="C45" s="54">
        <f>C24+C32+C33+C34+C35+C36+C37+C38+C39</f>
        <v>69282.75</v>
      </c>
    </row>
  </sheetData>
  <mergeCells count="4">
    <mergeCell ref="I4:L4"/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scale="110" orientation="portrait" verticalDpi="196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AR39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42578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6.85546875" hidden="1" customWidth="1"/>
    <col min="15" max="15" width="15.85546875" hidden="1" customWidth="1"/>
    <col min="16" max="16" width="14" hidden="1" customWidth="1"/>
    <col min="17" max="17" width="10.7109375" customWidth="1"/>
  </cols>
  <sheetData>
    <row r="1" spans="1:44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0" t="s">
        <v>293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(L28-H10+17820)*1.2</f>
        <v>1245024</v>
      </c>
      <c r="I8" s="42" t="s">
        <v>10</v>
      </c>
      <c r="J8" s="17">
        <v>0</v>
      </c>
      <c r="K8" s="17"/>
      <c r="L8" s="43">
        <f>L30</f>
        <v>1223640</v>
      </c>
      <c r="Q8" s="15"/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(L21+L22)*1.2</f>
        <v>0</v>
      </c>
      <c r="I10" s="42"/>
      <c r="J10" s="17"/>
      <c r="K10" s="17"/>
      <c r="L10" s="43"/>
      <c r="Q10" s="15"/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(L30-L28+3564)</f>
        <v>207504</v>
      </c>
      <c r="I11" s="42" t="s">
        <v>15</v>
      </c>
      <c r="J11" s="17">
        <f>(E12+E13+E14+E15+E16+E17+E18+E19+E20+E21+E22)/E29</f>
        <v>48270.181250000009</v>
      </c>
      <c r="K11" s="17">
        <f>K28</f>
        <v>6</v>
      </c>
      <c r="L11" s="43">
        <f>J11*K11</f>
        <v>289621.08750000002</v>
      </c>
      <c r="N11" s="124" t="s">
        <v>258</v>
      </c>
      <c r="O11" s="124" t="s">
        <v>257</v>
      </c>
      <c r="P11" s="124" t="s">
        <v>259</v>
      </c>
      <c r="Q11" s="15"/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((E12/$E$29)*$K$11)*1.2</f>
        <v>44369.81099999998</v>
      </c>
      <c r="I12" s="42"/>
      <c r="J12" s="17"/>
      <c r="K12" s="17"/>
      <c r="L12" s="43"/>
      <c r="N12" s="124" t="s">
        <v>260</v>
      </c>
      <c r="O12" s="124" t="s">
        <v>253</v>
      </c>
      <c r="P12" s="124" t="s">
        <v>259</v>
      </c>
      <c r="Q12" s="15"/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39491.6898</v>
      </c>
      <c r="I13" s="46" t="s">
        <v>20</v>
      </c>
      <c r="J13" s="47"/>
      <c r="K13" s="47"/>
      <c r="L13" s="48">
        <f>L8+L11</f>
        <v>1513261.0874999999</v>
      </c>
      <c r="N13" s="124" t="s">
        <v>261</v>
      </c>
      <c r="O13" s="124" t="s">
        <v>253</v>
      </c>
      <c r="P13" s="124" t="s">
        <v>259</v>
      </c>
      <c r="Q13" s="15"/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1.4400000001187433E-2</v>
      </c>
      <c r="N14" s="124" t="s">
        <v>262</v>
      </c>
      <c r="O14" s="124" t="s">
        <v>254</v>
      </c>
      <c r="P14" s="124" t="s">
        <v>259</v>
      </c>
      <c r="Q14" s="15"/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6273.78</v>
      </c>
      <c r="N15" s="124" t="s">
        <v>263</v>
      </c>
      <c r="O15" s="124" t="s">
        <v>255</v>
      </c>
      <c r="P15" s="124" t="s">
        <v>259</v>
      </c>
      <c r="Q15" s="15"/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N16" s="124" t="s">
        <v>264</v>
      </c>
      <c r="O16" s="124" t="s">
        <v>255</v>
      </c>
      <c r="P16" s="124" t="s">
        <v>259</v>
      </c>
      <c r="Q16" s="15"/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354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N17" s="125" t="s">
        <v>265</v>
      </c>
      <c r="O17" s="125" t="s">
        <v>36</v>
      </c>
      <c r="P17" s="124" t="s">
        <v>259</v>
      </c>
      <c r="Q17" s="15"/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6429.2952000000014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6552.6191999999992</v>
      </c>
      <c r="I19" s="25" t="s">
        <v>36</v>
      </c>
      <c r="J19" s="25">
        <v>57750</v>
      </c>
      <c r="K19" s="25">
        <v>1</v>
      </c>
      <c r="L19" s="25">
        <f t="shared" si="2"/>
        <v>57750</v>
      </c>
      <c r="Q19" s="15"/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0.96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8147.3345999999929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1564147.5042000001</v>
      </c>
      <c r="I23" s="25" t="s">
        <v>48</v>
      </c>
      <c r="J23" s="25">
        <v>110000</v>
      </c>
      <c r="K23" s="25">
        <v>1</v>
      </c>
      <c r="L23" s="25">
        <f t="shared" si="2"/>
        <v>110000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v>2</v>
      </c>
      <c r="L24" s="25">
        <f t="shared" si="2"/>
        <v>286000</v>
      </c>
      <c r="P24" s="8"/>
      <c r="Q24" s="8"/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6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2"/>
        <v>396000</v>
      </c>
      <c r="P26" s="8"/>
      <c r="Q26" s="32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6</v>
      </c>
      <c r="L28" s="25">
        <f>SUM(L16:L27)*1.2</f>
        <v>1019700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6</v>
      </c>
      <c r="L29" s="52">
        <v>0.2</v>
      </c>
      <c r="P29" s="8"/>
      <c r="Q29" s="32"/>
    </row>
    <row r="30" spans="1:17" hidden="1" x14ac:dyDescent="0.2">
      <c r="L30" s="25">
        <f>L28*1.2</f>
        <v>1223640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6</v>
      </c>
      <c r="L34" s="37">
        <f>+J34*K34</f>
        <v>289621.08750000002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scale="95" orientation="portrait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O53"/>
  <sheetViews>
    <sheetView zoomScaleNormal="100" workbookViewId="0">
      <selection activeCell="K27" sqref="K27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2" customWidth="1"/>
    <col min="7" max="7" width="12.7109375" customWidth="1"/>
    <col min="8" max="8" width="1.7109375" customWidth="1"/>
    <col min="9" max="9" width="20.7109375" customWidth="1"/>
    <col min="10" max="10" width="10.42578125" style="25" customWidth="1"/>
    <col min="11" max="11" width="10.85546875" style="25" customWidth="1"/>
    <col min="12" max="12" width="11.42578125" style="25" customWidth="1"/>
  </cols>
  <sheetData>
    <row r="1" spans="1:41" ht="18" x14ac:dyDescent="0.25">
      <c r="B1" s="140" t="str">
        <f>'[7]Team Report'!B1</f>
        <v>Enron North America</v>
      </c>
      <c r="C1" s="140"/>
      <c r="D1" s="140"/>
      <c r="E1" s="140"/>
      <c r="F1" s="140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25">
      <c r="B2" s="140" t="str">
        <f>'[7]Pull Sheet'!E9</f>
        <v>Research</v>
      </c>
      <c r="C2" s="140"/>
      <c r="D2" s="140"/>
      <c r="E2" s="140"/>
      <c r="F2" s="140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25">
      <c r="B3" s="141" t="s">
        <v>0</v>
      </c>
      <c r="C3" s="141"/>
      <c r="D3" s="141"/>
      <c r="E3" s="141"/>
      <c r="F3" s="141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5" thickBot="1" x14ac:dyDescent="0.25"/>
    <row r="5" spans="1:41" x14ac:dyDescent="0.2">
      <c r="I5" s="4"/>
      <c r="J5" s="40"/>
      <c r="K5" s="40"/>
      <c r="L5" s="41"/>
    </row>
    <row r="6" spans="1:41" x14ac:dyDescent="0.2">
      <c r="C6" s="10">
        <v>37135</v>
      </c>
      <c r="E6" s="44" t="s">
        <v>61</v>
      </c>
      <c r="F6" s="44" t="s">
        <v>63</v>
      </c>
      <c r="I6" s="7"/>
      <c r="J6" s="19" t="s">
        <v>1</v>
      </c>
      <c r="K6" s="19" t="s">
        <v>2</v>
      </c>
      <c r="L6" s="74" t="s">
        <v>107</v>
      </c>
      <c r="O6" s="44" t="s">
        <v>63</v>
      </c>
    </row>
    <row r="7" spans="1:41" x14ac:dyDescent="0.2">
      <c r="C7" s="12" t="s">
        <v>5</v>
      </c>
      <c r="E7" s="12" t="s">
        <v>6</v>
      </c>
      <c r="F7" s="12" t="s">
        <v>7</v>
      </c>
      <c r="G7" s="33"/>
      <c r="I7" s="7"/>
      <c r="J7" s="17"/>
      <c r="K7" s="17"/>
      <c r="L7" s="43"/>
      <c r="O7" s="12" t="s">
        <v>7</v>
      </c>
    </row>
    <row r="8" spans="1:41" x14ac:dyDescent="0.2">
      <c r="A8" s="13" t="s">
        <v>9</v>
      </c>
      <c r="B8" s="14" t="s">
        <v>10</v>
      </c>
      <c r="C8" s="15">
        <f>'[7]Team Report'!BA25</f>
        <v>3640949.9</v>
      </c>
      <c r="E8" s="15">
        <f>((C8/9)*12)*1.2</f>
        <v>5825519.8399999989</v>
      </c>
      <c r="F8" s="15">
        <f>L29</f>
        <v>336000</v>
      </c>
      <c r="I8" s="7"/>
      <c r="J8" s="17"/>
      <c r="K8" s="17"/>
      <c r="L8" s="43"/>
      <c r="O8" s="15">
        <f>+F8/$F$29*$O$29</f>
        <v>168000</v>
      </c>
    </row>
    <row r="9" spans="1:41" hidden="1" x14ac:dyDescent="0.2">
      <c r="A9" s="13"/>
      <c r="B9" s="14" t="s">
        <v>11</v>
      </c>
      <c r="C9" s="15">
        <v>0</v>
      </c>
      <c r="E9" s="15">
        <f>(C9/9)*12</f>
        <v>0</v>
      </c>
      <c r="F9" s="15">
        <f>(D9/9)*12</f>
        <v>0</v>
      </c>
      <c r="I9" s="7" t="s">
        <v>10</v>
      </c>
      <c r="J9" s="17">
        <v>0</v>
      </c>
      <c r="K9" s="17">
        <f>K29</f>
        <v>2</v>
      </c>
      <c r="L9" s="43">
        <f>L33</f>
        <v>403200</v>
      </c>
      <c r="O9" s="15">
        <f t="shared" ref="O9:O22" si="0">+F9/$F$29*$O$29</f>
        <v>0</v>
      </c>
    </row>
    <row r="10" spans="1:41" x14ac:dyDescent="0.2">
      <c r="B10" s="14" t="s">
        <v>12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x14ac:dyDescent="0.2">
      <c r="A11" s="13" t="s">
        <v>13</v>
      </c>
      <c r="B11" s="14" t="s">
        <v>14</v>
      </c>
      <c r="C11" s="15">
        <f>'[7]Team Report'!BA26</f>
        <v>762369.14000000013</v>
      </c>
      <c r="E11" s="15">
        <f>((C11/9)*12)*1.2</f>
        <v>1219790.6240000003</v>
      </c>
      <c r="F11" s="15">
        <f>L33-L29</f>
        <v>67200</v>
      </c>
      <c r="I11" s="7"/>
      <c r="J11" s="17"/>
      <c r="K11" s="17"/>
      <c r="L11" s="43"/>
      <c r="O11" s="15">
        <f t="shared" si="0"/>
        <v>33600</v>
      </c>
    </row>
    <row r="12" spans="1:41" x14ac:dyDescent="0.2">
      <c r="A12" s="13" t="s">
        <v>16</v>
      </c>
      <c r="B12" s="14" t="s">
        <v>17</v>
      </c>
      <c r="C12" s="15">
        <f>'[7]Team Report'!BA27</f>
        <v>173944.72999999998</v>
      </c>
      <c r="E12" s="20">
        <f>((C12/9)*12)*1.2</f>
        <v>278311.56799999997</v>
      </c>
      <c r="F12" s="21">
        <f t="shared" ref="F12:F22" si="1">(E12/$E$29)*$F$29</f>
        <v>11359.655836734693</v>
      </c>
      <c r="I12" s="7" t="s">
        <v>15</v>
      </c>
      <c r="J12" s="17">
        <f>(E12+E13+E14+E15+E16+E17+E18+E19+E20+E21+E22)/E29</f>
        <v>33269.805387755099</v>
      </c>
      <c r="K12" s="17">
        <f>K29</f>
        <v>2</v>
      </c>
      <c r="L12" s="43">
        <f>J12*K12</f>
        <v>66539.610775510198</v>
      </c>
      <c r="O12" s="15">
        <f t="shared" si="0"/>
        <v>5679.8279183673467</v>
      </c>
    </row>
    <row r="13" spans="1:41" x14ac:dyDescent="0.2">
      <c r="A13" s="13" t="s">
        <v>18</v>
      </c>
      <c r="B13" s="14" t="s">
        <v>19</v>
      </c>
      <c r="C13" s="15">
        <f>'[7]Team Report'!BA28</f>
        <v>293972.73</v>
      </c>
      <c r="E13" s="20">
        <f>((C13/9)*12)*1.2</f>
        <v>470356.36800000002</v>
      </c>
      <c r="F13" s="21">
        <f t="shared" si="1"/>
        <v>19198.219102040817</v>
      </c>
      <c r="I13" s="7"/>
      <c r="J13" s="17"/>
      <c r="K13" s="17"/>
      <c r="L13" s="43"/>
      <c r="O13" s="15">
        <f t="shared" si="0"/>
        <v>9599.1095510204086</v>
      </c>
    </row>
    <row r="14" spans="1:41" ht="13.5" thickBot="1" x14ac:dyDescent="0.25">
      <c r="A14" s="13" t="s">
        <v>21</v>
      </c>
      <c r="B14" s="14" t="s">
        <v>22</v>
      </c>
      <c r="C14" s="15">
        <f>'[7]Team Report'!BA32</f>
        <v>67481.55</v>
      </c>
      <c r="E14" s="20">
        <f>((C14/9)*12)*1.2</f>
        <v>107970.48000000001</v>
      </c>
      <c r="F14" s="21">
        <f t="shared" si="1"/>
        <v>4406.9583673469388</v>
      </c>
      <c r="I14" s="22" t="s">
        <v>20</v>
      </c>
      <c r="J14" s="47"/>
      <c r="K14" s="47"/>
      <c r="L14" s="48">
        <f>SUM(L9:L12)</f>
        <v>469739.6107755102</v>
      </c>
      <c r="N14">
        <v>1699109</v>
      </c>
      <c r="O14" s="15">
        <f t="shared" si="0"/>
        <v>2203.4791836734694</v>
      </c>
      <c r="P14" s="49">
        <f>N14-L14</f>
        <v>1229369.3892244897</v>
      </c>
    </row>
    <row r="15" spans="1:41" x14ac:dyDescent="0.2">
      <c r="A15" s="13" t="s">
        <v>23</v>
      </c>
      <c r="B15" s="14" t="s">
        <v>24</v>
      </c>
      <c r="C15" s="15">
        <f>'[7]Team Report'!BA33</f>
        <v>48511.92</v>
      </c>
      <c r="E15" s="20">
        <f>((C15/9)*12)*1.2</f>
        <v>77619.072</v>
      </c>
      <c r="F15" s="21">
        <f t="shared" si="1"/>
        <v>3168.1253877551021</v>
      </c>
      <c r="I15" s="8"/>
      <c r="J15" s="17"/>
      <c r="K15" s="17"/>
      <c r="L15" s="17"/>
      <c r="O15" s="15">
        <f t="shared" si="0"/>
        <v>1584.0626938775511</v>
      </c>
    </row>
    <row r="16" spans="1:41" x14ac:dyDescent="0.2">
      <c r="A16" s="13" t="s">
        <v>25</v>
      </c>
      <c r="B16" s="14" t="s">
        <v>26</v>
      </c>
      <c r="C16" s="15">
        <f>'[7]Team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28</v>
      </c>
      <c r="B17" s="14" t="s">
        <v>29</v>
      </c>
      <c r="C17" s="15">
        <f>'[7]Team Report'!BA35</f>
        <v>2500</v>
      </c>
      <c r="E17" s="20">
        <f>((C17/9)*12)*1.2</f>
        <v>3999.9999999999995</v>
      </c>
      <c r="F17" s="21">
        <f t="shared" si="1"/>
        <v>163.26530612244895</v>
      </c>
      <c r="I17" s="8" t="s">
        <v>27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x14ac:dyDescent="0.2">
      <c r="A18" s="13" t="s">
        <v>31</v>
      </c>
      <c r="B18" s="14" t="s">
        <v>32</v>
      </c>
      <c r="C18" s="15">
        <f>'[7]Team Report'!BA36</f>
        <v>0</v>
      </c>
      <c r="E18" s="20">
        <f>(C18/9)*12</f>
        <v>0</v>
      </c>
      <c r="F18" s="21">
        <f t="shared" si="1"/>
        <v>0</v>
      </c>
      <c r="I18" t="s">
        <v>93</v>
      </c>
      <c r="J18" s="17">
        <v>48000</v>
      </c>
      <c r="K18" s="17">
        <v>0</v>
      </c>
      <c r="L18" s="17">
        <f t="shared" si="2"/>
        <v>0</v>
      </c>
      <c r="O18" s="15">
        <f t="shared" si="0"/>
        <v>0</v>
      </c>
    </row>
    <row r="19" spans="1:15" x14ac:dyDescent="0.2">
      <c r="A19" s="13" t="s">
        <v>34</v>
      </c>
      <c r="B19" s="14" t="s">
        <v>35</v>
      </c>
      <c r="C19" s="15">
        <f>'[7]Team Report'!BA37</f>
        <v>129576.91999999998</v>
      </c>
      <c r="E19" s="20">
        <f>((C19/9)*12)*1.2</f>
        <v>207323.07199999999</v>
      </c>
      <c r="F19" s="21">
        <f t="shared" si="1"/>
        <v>8462.1662040816318</v>
      </c>
      <c r="I19" t="s">
        <v>33</v>
      </c>
      <c r="J19" s="17">
        <v>49200</v>
      </c>
      <c r="K19" s="17">
        <v>0</v>
      </c>
      <c r="L19" s="17">
        <f t="shared" si="2"/>
        <v>0</v>
      </c>
      <c r="O19" s="15">
        <f t="shared" si="0"/>
        <v>4231.0831020408159</v>
      </c>
    </row>
    <row r="20" spans="1:15" x14ac:dyDescent="0.2">
      <c r="A20" s="13" t="s">
        <v>37</v>
      </c>
      <c r="B20" s="14" t="s">
        <v>38</v>
      </c>
      <c r="C20" s="15">
        <f>'[7]Team Report'!BA38</f>
        <v>10.029999999999999</v>
      </c>
      <c r="E20" s="20">
        <f>((C20/9)*12)*1.2</f>
        <v>16.047999999999998</v>
      </c>
      <c r="F20" s="21">
        <f t="shared" si="1"/>
        <v>0.65502040816326523</v>
      </c>
      <c r="I20" t="s">
        <v>94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x14ac:dyDescent="0.2">
      <c r="A21" s="13" t="s">
        <v>40</v>
      </c>
      <c r="B21" s="14" t="s">
        <v>41</v>
      </c>
      <c r="C21" s="15">
        <f>'[7]Team Report'!BA42</f>
        <v>302115.48</v>
      </c>
      <c r="E21" s="20">
        <f>((C21/9)*12)*1.2</f>
        <v>483384.76799999998</v>
      </c>
      <c r="F21" s="21">
        <f t="shared" si="1"/>
        <v>19729.990530612245</v>
      </c>
      <c r="I21" t="s">
        <v>45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x14ac:dyDescent="0.2">
      <c r="A22" s="13" t="s">
        <v>43</v>
      </c>
      <c r="B22" s="14" t="s">
        <v>44</v>
      </c>
      <c r="C22" s="15">
        <f>'[7]Team Report'!BA44</f>
        <v>774.43</v>
      </c>
      <c r="E22" s="20">
        <f>((C22/9)*12)*1.2</f>
        <v>1239.088</v>
      </c>
      <c r="F22" s="21">
        <f t="shared" si="1"/>
        <v>50.575020408163262</v>
      </c>
      <c r="I22" t="s">
        <v>36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5422206.8300000001</v>
      </c>
      <c r="E23" s="28">
        <f>SUM(E8:E22)</f>
        <v>8675530.9279999994</v>
      </c>
      <c r="F23" s="28">
        <f>SUM(F8:F22)</f>
        <v>469739.61077551014</v>
      </c>
      <c r="I23" t="s">
        <v>95</v>
      </c>
      <c r="J23" s="17">
        <v>74400</v>
      </c>
      <c r="K23" s="17">
        <v>0</v>
      </c>
      <c r="L23" s="17">
        <f t="shared" si="2"/>
        <v>0</v>
      </c>
      <c r="O23" s="58">
        <f>SUM(O8:O22)</f>
        <v>234869.80538775507</v>
      </c>
    </row>
    <row r="24" spans="1:15" x14ac:dyDescent="0.2">
      <c r="I24" t="s">
        <v>96</v>
      </c>
      <c r="J24" s="17">
        <v>90000</v>
      </c>
      <c r="K24" s="17">
        <v>0</v>
      </c>
      <c r="L24" s="17">
        <f t="shared" si="2"/>
        <v>0</v>
      </c>
    </row>
    <row r="25" spans="1:15" x14ac:dyDescent="0.2">
      <c r="B25" s="27" t="s">
        <v>50</v>
      </c>
      <c r="C25" s="15"/>
      <c r="E25" s="31">
        <v>44</v>
      </c>
      <c r="F25" s="31">
        <f>+K29</f>
        <v>2</v>
      </c>
      <c r="I25" t="s">
        <v>97</v>
      </c>
      <c r="J25" s="17"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119</v>
      </c>
      <c r="J26" s="17">
        <v>178800</v>
      </c>
      <c r="K26" s="17">
        <v>0</v>
      </c>
      <c r="L26" s="17">
        <f t="shared" si="2"/>
        <v>0</v>
      </c>
      <c r="O26" s="15"/>
    </row>
    <row r="27" spans="1:15" x14ac:dyDescent="0.2">
      <c r="B27" s="27" t="s">
        <v>101</v>
      </c>
      <c r="C27" s="15"/>
      <c r="E27" s="31">
        <v>5</v>
      </c>
      <c r="F27" s="31">
        <v>0</v>
      </c>
      <c r="I27" t="s">
        <v>99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">
      <c r="I28" t="s">
        <v>100</v>
      </c>
      <c r="J28" s="17"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55</v>
      </c>
      <c r="C29" s="15"/>
      <c r="E29" s="31">
        <f>+E27+E25</f>
        <v>49</v>
      </c>
      <c r="F29" s="31">
        <f>+F27+F25</f>
        <v>2</v>
      </c>
      <c r="G29" s="25"/>
      <c r="K29" s="25">
        <f>SUM(K17:K28)</f>
        <v>2</v>
      </c>
      <c r="L29" s="17">
        <f>SUM(L17:L28)</f>
        <v>336000</v>
      </c>
      <c r="O29" s="31">
        <v>1</v>
      </c>
    </row>
    <row r="30" spans="1:15" hidden="1" x14ac:dyDescent="0.2"/>
    <row r="31" spans="1:15" hidden="1" x14ac:dyDescent="0.2">
      <c r="A31" s="13" t="s">
        <v>71</v>
      </c>
      <c r="B31" s="14" t="s">
        <v>72</v>
      </c>
      <c r="C31" s="15">
        <f>'[7]Team Report'!BA29</f>
        <v>0</v>
      </c>
      <c r="E31" s="15">
        <f t="shared" ref="E31:E38" si="3">(C31/9)*12</f>
        <v>0</v>
      </c>
      <c r="I31" t="s">
        <v>102</v>
      </c>
      <c r="K31" s="52"/>
      <c r="L31" s="52">
        <v>0.2</v>
      </c>
    </row>
    <row r="32" spans="1:15" hidden="1" x14ac:dyDescent="0.2">
      <c r="A32" s="13" t="s">
        <v>73</v>
      </c>
      <c r="B32" s="14" t="s">
        <v>74</v>
      </c>
      <c r="C32" s="15">
        <f>'[7]Team Report'!BA30</f>
        <v>0</v>
      </c>
      <c r="E32" s="15">
        <f t="shared" si="3"/>
        <v>0</v>
      </c>
    </row>
    <row r="33" spans="1:12" hidden="1" x14ac:dyDescent="0.2">
      <c r="A33" s="13" t="s">
        <v>75</v>
      </c>
      <c r="B33" s="14" t="s">
        <v>76</v>
      </c>
      <c r="C33" s="15">
        <f>'[7]Team Report'!BA31</f>
        <v>0</v>
      </c>
      <c r="E33" s="15">
        <f t="shared" si="3"/>
        <v>0</v>
      </c>
      <c r="L33" s="25">
        <f>L29*1.2</f>
        <v>403200</v>
      </c>
    </row>
    <row r="34" spans="1:12" hidden="1" x14ac:dyDescent="0.2">
      <c r="A34" s="13" t="s">
        <v>77</v>
      </c>
      <c r="B34" s="14" t="s">
        <v>78</v>
      </c>
      <c r="C34" s="15">
        <f>'[7]Team Report'!BA39</f>
        <v>0</v>
      </c>
      <c r="E34" s="15">
        <f t="shared" si="3"/>
        <v>0</v>
      </c>
    </row>
    <row r="35" spans="1:12" hidden="1" x14ac:dyDescent="0.2">
      <c r="A35" s="13" t="s">
        <v>79</v>
      </c>
      <c r="B35" s="14" t="s">
        <v>80</v>
      </c>
      <c r="C35" s="15">
        <f>'[7]Team Report'!BA40</f>
        <v>147341.90000000002</v>
      </c>
      <c r="E35" s="15">
        <f t="shared" si="3"/>
        <v>196455.8666666667</v>
      </c>
    </row>
    <row r="36" spans="1:12" hidden="1" x14ac:dyDescent="0.2">
      <c r="A36" s="13" t="s">
        <v>81</v>
      </c>
      <c r="B36" s="14" t="s">
        <v>82</v>
      </c>
      <c r="C36" s="15">
        <f>'[7]Team Report'!BA41</f>
        <v>285701.8</v>
      </c>
      <c r="E36" s="15">
        <f t="shared" si="3"/>
        <v>380935.73333333328</v>
      </c>
    </row>
    <row r="37" spans="1:12" hidden="1" x14ac:dyDescent="0.2">
      <c r="A37" s="13" t="s">
        <v>83</v>
      </c>
      <c r="B37" s="14" t="s">
        <v>84</v>
      </c>
      <c r="C37" s="15">
        <f>'[7]Team Report'!BA43</f>
        <v>-4445984</v>
      </c>
      <c r="E37" s="15">
        <f t="shared" si="3"/>
        <v>-5927978.666666667</v>
      </c>
      <c r="G37" s="33" t="s">
        <v>56</v>
      </c>
      <c r="I37" s="25"/>
      <c r="L37"/>
    </row>
    <row r="38" spans="1:12" hidden="1" x14ac:dyDescent="0.2">
      <c r="A38" s="13" t="s">
        <v>85</v>
      </c>
      <c r="B38" s="14" t="s">
        <v>86</v>
      </c>
      <c r="C38" s="15">
        <f>'[7]Team Report'!BA45</f>
        <v>1176.06</v>
      </c>
      <c r="E38" s="15">
        <f t="shared" si="3"/>
        <v>1568.08</v>
      </c>
      <c r="I38" s="25"/>
      <c r="L38"/>
    </row>
    <row r="39" spans="1:12" hidden="1" x14ac:dyDescent="0.2">
      <c r="G39" s="34" t="s">
        <v>57</v>
      </c>
      <c r="I39" s="35" t="s">
        <v>58</v>
      </c>
      <c r="J39" s="35" t="s">
        <v>59</v>
      </c>
      <c r="K39" s="35" t="s">
        <v>2</v>
      </c>
      <c r="L39" s="35" t="s">
        <v>60</v>
      </c>
    </row>
    <row r="40" spans="1:12" hidden="1" x14ac:dyDescent="0.2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2</v>
      </c>
      <c r="L40" s="37">
        <f>+J40*K40</f>
        <v>66539.610775510198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O53"/>
  <sheetViews>
    <sheetView zoomScaleNormal="100" workbookViewId="0">
      <selection activeCell="F19" sqref="F19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2" customWidth="1"/>
    <col min="7" max="7" width="12.7109375" hidden="1" customWidth="1"/>
    <col min="8" max="8" width="1.7109375" hidden="1" customWidth="1"/>
    <col min="9" max="9" width="20.7109375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54" width="0" hidden="1" customWidth="1"/>
  </cols>
  <sheetData>
    <row r="1" spans="1:41" ht="18" x14ac:dyDescent="0.25">
      <c r="B1" s="140" t="str">
        <f>'[7]Team Report'!B1</f>
        <v>Enron North America</v>
      </c>
      <c r="C1" s="140"/>
      <c r="D1" s="140"/>
      <c r="E1" s="140"/>
      <c r="F1" s="140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25">
      <c r="B2" s="140" t="s">
        <v>177</v>
      </c>
      <c r="C2" s="140"/>
      <c r="D2" s="140"/>
      <c r="E2" s="140"/>
      <c r="F2" s="140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25">
      <c r="B3" s="141" t="s">
        <v>0</v>
      </c>
      <c r="C3" s="141"/>
      <c r="D3" s="141"/>
      <c r="E3" s="141"/>
      <c r="F3" s="141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5" thickBot="1" x14ac:dyDescent="0.25"/>
    <row r="5" spans="1:41" x14ac:dyDescent="0.2">
      <c r="I5" s="4"/>
      <c r="J5" s="40"/>
      <c r="K5" s="40"/>
      <c r="L5" s="41"/>
    </row>
    <row r="6" spans="1:41" x14ac:dyDescent="0.2">
      <c r="C6" s="10">
        <v>37135</v>
      </c>
      <c r="E6" s="44" t="s">
        <v>61</v>
      </c>
      <c r="F6" s="44" t="s">
        <v>63</v>
      </c>
      <c r="I6" s="7"/>
      <c r="J6" s="19" t="s">
        <v>1</v>
      </c>
      <c r="K6" s="19" t="s">
        <v>2</v>
      </c>
      <c r="L6" s="74" t="s">
        <v>107</v>
      </c>
      <c r="O6" s="44" t="s">
        <v>63</v>
      </c>
    </row>
    <row r="7" spans="1:41" x14ac:dyDescent="0.2">
      <c r="C7" s="12" t="s">
        <v>5</v>
      </c>
      <c r="E7" s="12" t="s">
        <v>6</v>
      </c>
      <c r="F7" s="12" t="s">
        <v>7</v>
      </c>
      <c r="G7" s="33"/>
      <c r="I7" s="7"/>
      <c r="J7" s="17"/>
      <c r="K7" s="17"/>
      <c r="L7" s="43"/>
      <c r="O7" s="12" t="s">
        <v>7</v>
      </c>
    </row>
    <row r="8" spans="1:41" x14ac:dyDescent="0.2">
      <c r="A8" s="13" t="s">
        <v>9</v>
      </c>
      <c r="B8" s="14" t="s">
        <v>10</v>
      </c>
      <c r="C8" s="15">
        <f>'[7]Team Report'!BA25</f>
        <v>3640949.9</v>
      </c>
      <c r="E8" s="15">
        <f>((C8/9)*12)*1.2</f>
        <v>5825519.8399999989</v>
      </c>
      <c r="F8" s="15">
        <f>L29+433200</f>
        <v>1952400</v>
      </c>
      <c r="I8" s="7"/>
      <c r="J8" s="17"/>
      <c r="K8" s="17"/>
      <c r="L8" s="43"/>
      <c r="O8" s="15">
        <f>+F8/$F$29*$O$29</f>
        <v>177490.90909090909</v>
      </c>
    </row>
    <row r="9" spans="1:41" hidden="1" x14ac:dyDescent="0.2">
      <c r="A9" s="13"/>
      <c r="B9" s="14" t="s">
        <v>11</v>
      </c>
      <c r="C9" s="15">
        <v>0</v>
      </c>
      <c r="E9" s="15">
        <f>(C9/9)*12</f>
        <v>0</v>
      </c>
      <c r="F9" s="15">
        <f>(D9/9)*12</f>
        <v>0</v>
      </c>
      <c r="I9" s="7" t="s">
        <v>10</v>
      </c>
      <c r="J9" s="17">
        <v>0</v>
      </c>
      <c r="K9" s="17">
        <f>K29</f>
        <v>11</v>
      </c>
      <c r="L9" s="43">
        <f>L33</f>
        <v>1823040</v>
      </c>
      <c r="O9" s="15">
        <f t="shared" ref="O9:O22" si="0">+F9/$F$29*$O$29</f>
        <v>0</v>
      </c>
    </row>
    <row r="10" spans="1:41" x14ac:dyDescent="0.2">
      <c r="B10" s="14" t="s">
        <v>12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x14ac:dyDescent="0.2">
      <c r="A11" s="13" t="s">
        <v>13</v>
      </c>
      <c r="B11" s="14" t="s">
        <v>14</v>
      </c>
      <c r="C11" s="15">
        <f>'[7]Team Report'!BA26</f>
        <v>762369.14000000013</v>
      </c>
      <c r="E11" s="15">
        <f>((C11/9)*12)*1.2</f>
        <v>1219790.6240000003</v>
      </c>
      <c r="F11" s="15">
        <f>L33-L29+86640</f>
        <v>390480</v>
      </c>
      <c r="I11" s="7"/>
      <c r="J11" s="17"/>
      <c r="K11" s="17"/>
      <c r="L11" s="43"/>
      <c r="O11" s="15">
        <f t="shared" si="0"/>
        <v>35498.181818181816</v>
      </c>
    </row>
    <row r="12" spans="1:41" x14ac:dyDescent="0.2">
      <c r="A12" s="13" t="s">
        <v>16</v>
      </c>
      <c r="B12" s="14" t="s">
        <v>17</v>
      </c>
      <c r="C12" s="15">
        <f>'[7]Team Report'!BA27</f>
        <v>173944.72999999998</v>
      </c>
      <c r="E12" s="20">
        <f>((C12/9)*12)*1.2</f>
        <v>278311.56799999997</v>
      </c>
      <c r="F12" s="21">
        <f t="shared" ref="F12:F22" si="1">(E12/$E$29)*$F$29</f>
        <v>62478.107102040813</v>
      </c>
      <c r="I12" s="7" t="s">
        <v>15</v>
      </c>
      <c r="J12" s="17">
        <f>(E12+E13+E14+E15+E16+E17+E18+E19+E20+E21+E22)/E29</f>
        <v>33269.805387755099</v>
      </c>
      <c r="K12" s="17">
        <f>K29</f>
        <v>11</v>
      </c>
      <c r="L12" s="43">
        <f>J12*K12</f>
        <v>365967.85926530609</v>
      </c>
      <c r="O12" s="15">
        <f t="shared" si="0"/>
        <v>5679.8279183673467</v>
      </c>
    </row>
    <row r="13" spans="1:41" x14ac:dyDescent="0.2">
      <c r="A13" s="13" t="s">
        <v>18</v>
      </c>
      <c r="B13" s="14" t="s">
        <v>19</v>
      </c>
      <c r="C13" s="15">
        <f>'[7]Team Report'!BA28</f>
        <v>293972.73</v>
      </c>
      <c r="E13" s="20">
        <f>((C13/9)*12)*1.2</f>
        <v>470356.36800000002</v>
      </c>
      <c r="F13" s="21">
        <f t="shared" si="1"/>
        <v>105590.20506122449</v>
      </c>
      <c r="I13" s="7"/>
      <c r="J13" s="17"/>
      <c r="K13" s="17"/>
      <c r="L13" s="43"/>
      <c r="O13" s="15">
        <f t="shared" si="0"/>
        <v>9599.1095510204086</v>
      </c>
    </row>
    <row r="14" spans="1:41" ht="13.5" thickBot="1" x14ac:dyDescent="0.25">
      <c r="A14" s="13" t="s">
        <v>21</v>
      </c>
      <c r="B14" s="14" t="s">
        <v>22</v>
      </c>
      <c r="C14" s="15">
        <f>'[7]Team Report'!BA32</f>
        <v>67481.55</v>
      </c>
      <c r="E14" s="20">
        <f>((C14/9)*12)*1.2</f>
        <v>107970.48000000001</v>
      </c>
      <c r="F14" s="21">
        <f t="shared" si="1"/>
        <v>24238.271020408163</v>
      </c>
      <c r="I14" s="22" t="s">
        <v>20</v>
      </c>
      <c r="J14" s="47"/>
      <c r="K14" s="47"/>
      <c r="L14" s="48">
        <f>SUM(L9:L12)</f>
        <v>2189007.859265306</v>
      </c>
      <c r="N14">
        <v>1699109</v>
      </c>
      <c r="O14" s="15">
        <f t="shared" si="0"/>
        <v>2203.4791836734694</v>
      </c>
      <c r="P14" s="49"/>
    </row>
    <row r="15" spans="1:41" x14ac:dyDescent="0.2">
      <c r="A15" s="13" t="s">
        <v>23</v>
      </c>
      <c r="B15" s="14" t="s">
        <v>24</v>
      </c>
      <c r="C15" s="15">
        <f>'[7]Team Report'!BA33</f>
        <v>48511.92</v>
      </c>
      <c r="E15" s="20">
        <f>((C15/9)*12)*1.2</f>
        <v>77619.072</v>
      </c>
      <c r="F15" s="21">
        <f t="shared" si="1"/>
        <v>17424.689632653062</v>
      </c>
      <c r="I15" s="8"/>
      <c r="J15" s="17"/>
      <c r="K15" s="17"/>
      <c r="L15" s="17"/>
      <c r="O15" s="15">
        <f t="shared" si="0"/>
        <v>1584.0626938775511</v>
      </c>
    </row>
    <row r="16" spans="1:41" x14ac:dyDescent="0.2">
      <c r="A16" s="13" t="s">
        <v>25</v>
      </c>
      <c r="B16" s="14" t="s">
        <v>26</v>
      </c>
      <c r="C16" s="15">
        <f>'[7]Team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28</v>
      </c>
      <c r="B17" s="14" t="s">
        <v>29</v>
      </c>
      <c r="C17" s="15">
        <f>'[7]Team Report'!BA35</f>
        <v>2500</v>
      </c>
      <c r="E17" s="20">
        <f>((C17/9)*12)*1.2</f>
        <v>3999.9999999999995</v>
      </c>
      <c r="F17" s="21">
        <f t="shared" si="1"/>
        <v>897.95918367346917</v>
      </c>
      <c r="I17" s="8" t="s">
        <v>27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x14ac:dyDescent="0.2">
      <c r="A18" s="13" t="s">
        <v>31</v>
      </c>
      <c r="B18" s="14" t="s">
        <v>32</v>
      </c>
      <c r="C18" s="15">
        <f>'[7]Team Report'!BA36</f>
        <v>0</v>
      </c>
      <c r="E18" s="20">
        <f>(C18/9)*12</f>
        <v>0</v>
      </c>
      <c r="F18" s="21">
        <f t="shared" si="1"/>
        <v>0</v>
      </c>
      <c r="I18" t="s">
        <v>93</v>
      </c>
      <c r="J18" s="17">
        <v>48000</v>
      </c>
      <c r="K18" s="17">
        <v>1</v>
      </c>
      <c r="L18" s="17">
        <f t="shared" si="2"/>
        <v>48000</v>
      </c>
      <c r="O18" s="15">
        <f t="shared" si="0"/>
        <v>0</v>
      </c>
    </row>
    <row r="19" spans="1:15" x14ac:dyDescent="0.2">
      <c r="A19" s="13" t="s">
        <v>34</v>
      </c>
      <c r="B19" s="14" t="s">
        <v>35</v>
      </c>
      <c r="C19" s="15">
        <f>'[7]Team Report'!BA37</f>
        <v>129576.91999999998</v>
      </c>
      <c r="E19" s="20">
        <f>((C19/9)*12)*1.2</f>
        <v>207323.07199999999</v>
      </c>
      <c r="F19" s="21">
        <f>(E19/$E$29)*$F$29+60000</f>
        <v>106541.91412244897</v>
      </c>
      <c r="I19" t="s">
        <v>33</v>
      </c>
      <c r="J19" s="17">
        <v>49200</v>
      </c>
      <c r="K19" s="17">
        <v>0</v>
      </c>
      <c r="L19" s="17">
        <f t="shared" si="2"/>
        <v>0</v>
      </c>
      <c r="O19" s="15">
        <f t="shared" si="0"/>
        <v>9685.6285565862709</v>
      </c>
    </row>
    <row r="20" spans="1:15" x14ac:dyDescent="0.2">
      <c r="A20" s="13" t="s">
        <v>37</v>
      </c>
      <c r="B20" s="14" t="s">
        <v>38</v>
      </c>
      <c r="C20" s="15">
        <f>'[7]Team Report'!BA38</f>
        <v>10.029999999999999</v>
      </c>
      <c r="E20" s="20">
        <f>((C20/9)*12)*1.2</f>
        <v>16.047999999999998</v>
      </c>
      <c r="F20" s="21">
        <f t="shared" si="1"/>
        <v>3.6026122448979589</v>
      </c>
      <c r="I20" t="s">
        <v>94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x14ac:dyDescent="0.2">
      <c r="A21" s="13" t="s">
        <v>40</v>
      </c>
      <c r="B21" s="14" t="s">
        <v>41</v>
      </c>
      <c r="C21" s="15">
        <f>'[7]Team Report'!BA42</f>
        <v>302115.48</v>
      </c>
      <c r="E21" s="20">
        <f>((C21/9)*12)*1.2</f>
        <v>483384.76799999998</v>
      </c>
      <c r="F21" s="21">
        <f t="shared" si="1"/>
        <v>108514.94791836735</v>
      </c>
      <c r="I21" t="s">
        <v>45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x14ac:dyDescent="0.2">
      <c r="A22" s="13" t="s">
        <v>43</v>
      </c>
      <c r="B22" s="14" t="s">
        <v>44</v>
      </c>
      <c r="C22" s="15">
        <f>'[7]Team Report'!BA44</f>
        <v>774.43</v>
      </c>
      <c r="E22" s="20">
        <f>((C22/9)*12)*1.2</f>
        <v>1239.088</v>
      </c>
      <c r="F22" s="21">
        <f t="shared" si="1"/>
        <v>278.16261224489796</v>
      </c>
      <c r="I22" t="s">
        <v>36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5422206.8300000001</v>
      </c>
      <c r="E23" s="28">
        <f>SUM(E8:E22)</f>
        <v>8675530.9279999994</v>
      </c>
      <c r="F23" s="28">
        <f>SUM(F8:F22)</f>
        <v>2768847.859265306</v>
      </c>
      <c r="I23" t="s">
        <v>95</v>
      </c>
      <c r="J23" s="17">
        <v>74400</v>
      </c>
      <c r="K23" s="17">
        <v>1</v>
      </c>
      <c r="L23" s="17">
        <f t="shared" si="2"/>
        <v>74400</v>
      </c>
      <c r="O23" s="58">
        <f>SUM(O8:O22)</f>
        <v>251713.44175139145</v>
      </c>
    </row>
    <row r="24" spans="1:15" x14ac:dyDescent="0.2">
      <c r="I24" t="s">
        <v>96</v>
      </c>
      <c r="J24" s="17">
        <v>90000</v>
      </c>
      <c r="K24" s="17">
        <v>1</v>
      </c>
      <c r="L24" s="17">
        <f t="shared" si="2"/>
        <v>90000</v>
      </c>
    </row>
    <row r="25" spans="1:15" x14ac:dyDescent="0.2">
      <c r="B25" s="27" t="s">
        <v>50</v>
      </c>
      <c r="C25" s="15"/>
      <c r="E25" s="31">
        <v>44</v>
      </c>
      <c r="F25" s="31">
        <f>+K29</f>
        <v>11</v>
      </c>
      <c r="I25" t="s">
        <v>97</v>
      </c>
      <c r="J25" s="17">
        <v>120000</v>
      </c>
      <c r="K25" s="17">
        <v>5</v>
      </c>
      <c r="L25" s="17">
        <f t="shared" si="2"/>
        <v>600000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98</v>
      </c>
      <c r="J26" s="17">
        <v>178800</v>
      </c>
      <c r="K26" s="17">
        <v>1</v>
      </c>
      <c r="L26" s="17">
        <f t="shared" si="2"/>
        <v>178800</v>
      </c>
      <c r="O26" s="15"/>
    </row>
    <row r="27" spans="1:15" x14ac:dyDescent="0.2">
      <c r="B27" s="27" t="s">
        <v>101</v>
      </c>
      <c r="C27" s="15"/>
      <c r="E27" s="31">
        <v>5</v>
      </c>
      <c r="F27" s="31">
        <v>0</v>
      </c>
      <c r="I27" t="s">
        <v>99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">
      <c r="I28" t="s">
        <v>100</v>
      </c>
      <c r="J28" s="17">
        <v>312000</v>
      </c>
      <c r="K28" s="17">
        <v>1</v>
      </c>
      <c r="L28" s="17">
        <f t="shared" si="2"/>
        <v>312000</v>
      </c>
    </row>
    <row r="29" spans="1:15" x14ac:dyDescent="0.2">
      <c r="B29" s="27" t="s">
        <v>55</v>
      </c>
      <c r="C29" s="15"/>
      <c r="E29" s="31">
        <f>+E27+E25</f>
        <v>49</v>
      </c>
      <c r="F29" s="31">
        <f>+F27+F25</f>
        <v>11</v>
      </c>
      <c r="G29" s="25"/>
      <c r="K29" s="25">
        <f>SUM(K17:K28)</f>
        <v>11</v>
      </c>
      <c r="L29" s="17">
        <f>SUM(L17:L28)</f>
        <v>1519200</v>
      </c>
      <c r="O29" s="31">
        <v>1</v>
      </c>
    </row>
    <row r="30" spans="1:15" hidden="1" x14ac:dyDescent="0.2"/>
    <row r="31" spans="1:15" hidden="1" x14ac:dyDescent="0.2">
      <c r="A31" s="13" t="s">
        <v>71</v>
      </c>
      <c r="B31" s="14" t="s">
        <v>72</v>
      </c>
      <c r="C31" s="15">
        <f>'[7]Team Report'!BA29</f>
        <v>0</v>
      </c>
      <c r="E31" s="15">
        <f t="shared" ref="E31:E38" si="3">(C31/9)*12</f>
        <v>0</v>
      </c>
      <c r="I31" t="s">
        <v>102</v>
      </c>
      <c r="K31" s="52"/>
      <c r="L31" s="52">
        <v>0.2</v>
      </c>
    </row>
    <row r="32" spans="1:15" hidden="1" x14ac:dyDescent="0.2">
      <c r="A32" s="13" t="s">
        <v>73</v>
      </c>
      <c r="B32" s="14" t="s">
        <v>74</v>
      </c>
      <c r="C32" s="15">
        <f>'[7]Team Report'!BA30</f>
        <v>0</v>
      </c>
      <c r="E32" s="15">
        <f t="shared" si="3"/>
        <v>0</v>
      </c>
    </row>
    <row r="33" spans="1:12" hidden="1" x14ac:dyDescent="0.2">
      <c r="A33" s="13" t="s">
        <v>75</v>
      </c>
      <c r="B33" s="14" t="s">
        <v>76</v>
      </c>
      <c r="C33" s="15">
        <f>'[7]Team Report'!BA31</f>
        <v>0</v>
      </c>
      <c r="E33" s="15">
        <f t="shared" si="3"/>
        <v>0</v>
      </c>
      <c r="L33" s="25">
        <f>L29*1.2</f>
        <v>1823040</v>
      </c>
    </row>
    <row r="34" spans="1:12" hidden="1" x14ac:dyDescent="0.2">
      <c r="A34" s="13" t="s">
        <v>77</v>
      </c>
      <c r="B34" s="14" t="s">
        <v>78</v>
      </c>
      <c r="C34" s="15">
        <f>'[7]Team Report'!BA39</f>
        <v>0</v>
      </c>
      <c r="E34" s="15">
        <f t="shared" si="3"/>
        <v>0</v>
      </c>
    </row>
    <row r="35" spans="1:12" hidden="1" x14ac:dyDescent="0.2">
      <c r="A35" s="13" t="s">
        <v>79</v>
      </c>
      <c r="B35" s="14" t="s">
        <v>80</v>
      </c>
      <c r="C35" s="15">
        <f>'[7]Team Report'!BA40</f>
        <v>147341.90000000002</v>
      </c>
      <c r="E35" s="15">
        <f t="shared" si="3"/>
        <v>196455.8666666667</v>
      </c>
    </row>
    <row r="36" spans="1:12" hidden="1" x14ac:dyDescent="0.2">
      <c r="A36" s="13" t="s">
        <v>81</v>
      </c>
      <c r="B36" s="14" t="s">
        <v>82</v>
      </c>
      <c r="C36" s="15">
        <f>'[7]Team Report'!BA41</f>
        <v>285701.8</v>
      </c>
      <c r="E36" s="15">
        <f t="shared" si="3"/>
        <v>380935.73333333328</v>
      </c>
    </row>
    <row r="37" spans="1:12" hidden="1" x14ac:dyDescent="0.2">
      <c r="A37" s="13" t="s">
        <v>83</v>
      </c>
      <c r="B37" s="14" t="s">
        <v>84</v>
      </c>
      <c r="C37" s="15">
        <f>'[7]Team Report'!BA43</f>
        <v>-4445984</v>
      </c>
      <c r="E37" s="15">
        <f t="shared" si="3"/>
        <v>-5927978.666666667</v>
      </c>
      <c r="G37" s="33" t="s">
        <v>56</v>
      </c>
      <c r="I37" s="25"/>
      <c r="L37"/>
    </row>
    <row r="38" spans="1:12" hidden="1" x14ac:dyDescent="0.2">
      <c r="A38" s="13" t="s">
        <v>85</v>
      </c>
      <c r="B38" s="14" t="s">
        <v>86</v>
      </c>
      <c r="C38" s="15">
        <f>'[7]Team Report'!BA45</f>
        <v>1176.06</v>
      </c>
      <c r="E38" s="15">
        <f t="shared" si="3"/>
        <v>1568.08</v>
      </c>
      <c r="I38" s="25"/>
      <c r="L38"/>
    </row>
    <row r="39" spans="1:12" hidden="1" x14ac:dyDescent="0.2">
      <c r="G39" s="34" t="s">
        <v>57</v>
      </c>
      <c r="I39" s="35" t="s">
        <v>58</v>
      </c>
      <c r="J39" s="35" t="s">
        <v>59</v>
      </c>
      <c r="K39" s="35" t="s">
        <v>2</v>
      </c>
      <c r="L39" s="35" t="s">
        <v>60</v>
      </c>
    </row>
    <row r="40" spans="1:12" hidden="1" x14ac:dyDescent="0.2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11</v>
      </c>
      <c r="L40" s="37">
        <f>+J40*K40</f>
        <v>365967.85926530609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O53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2" customWidth="1"/>
    <col min="7" max="7" width="12.7109375" customWidth="1"/>
    <col min="8" max="8" width="1.7109375" customWidth="1"/>
    <col min="9" max="9" width="20.7109375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8" width="9.140625" hidden="1" customWidth="1"/>
  </cols>
  <sheetData>
    <row r="1" spans="1:41" ht="18" x14ac:dyDescent="0.25">
      <c r="B1" s="140" t="str">
        <f>'[7]Team Report'!B1</f>
        <v>Enron North America</v>
      </c>
      <c r="C1" s="140"/>
      <c r="D1" s="140"/>
      <c r="E1" s="140"/>
      <c r="F1" s="140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25">
      <c r="B2" s="140" t="s">
        <v>177</v>
      </c>
      <c r="C2" s="140"/>
      <c r="D2" s="140"/>
      <c r="E2" s="140"/>
      <c r="F2" s="140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25">
      <c r="B3" s="141" t="s">
        <v>0</v>
      </c>
      <c r="C3" s="141"/>
      <c r="D3" s="141"/>
      <c r="E3" s="141"/>
      <c r="F3" s="141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5" thickBot="1" x14ac:dyDescent="0.25"/>
    <row r="5" spans="1:41" x14ac:dyDescent="0.2">
      <c r="I5" s="4"/>
      <c r="J5" s="40"/>
      <c r="K5" s="40"/>
      <c r="L5" s="41"/>
    </row>
    <row r="6" spans="1:41" x14ac:dyDescent="0.2">
      <c r="C6" s="10">
        <v>37135</v>
      </c>
      <c r="E6" s="44" t="s">
        <v>61</v>
      </c>
      <c r="F6" s="44" t="s">
        <v>63</v>
      </c>
      <c r="I6" s="7"/>
      <c r="J6" s="19" t="s">
        <v>1</v>
      </c>
      <c r="K6" s="19" t="s">
        <v>2</v>
      </c>
      <c r="L6" s="74" t="s">
        <v>107</v>
      </c>
      <c r="O6" s="44" t="s">
        <v>63</v>
      </c>
    </row>
    <row r="7" spans="1:41" x14ac:dyDescent="0.2">
      <c r="C7" s="12" t="s">
        <v>5</v>
      </c>
      <c r="E7" s="12" t="s">
        <v>6</v>
      </c>
      <c r="F7" s="12" t="s">
        <v>7</v>
      </c>
      <c r="G7" s="33"/>
      <c r="I7" s="7"/>
      <c r="J7" s="17"/>
      <c r="K7" s="17"/>
      <c r="L7" s="43"/>
      <c r="O7" s="12" t="s">
        <v>7</v>
      </c>
    </row>
    <row r="8" spans="1:41" x14ac:dyDescent="0.2">
      <c r="A8" s="13" t="s">
        <v>9</v>
      </c>
      <c r="B8" s="14" t="s">
        <v>10</v>
      </c>
      <c r="C8" s="15">
        <f>'[7]Team Report'!BA25</f>
        <v>3640949.9</v>
      </c>
      <c r="E8" s="15">
        <f>((C8/9)*12)*1.2</f>
        <v>5825519.8399999989</v>
      </c>
      <c r="F8" s="15">
        <f>(L29+(433200/11*8))*1.2</f>
        <v>1859825.4545454544</v>
      </c>
      <c r="I8" s="7"/>
      <c r="J8" s="17"/>
      <c r="K8" s="17"/>
      <c r="L8" s="43"/>
      <c r="O8" s="15">
        <f t="shared" ref="O8:O22" si="0">+F8/$F$29*$O$29</f>
        <v>232478.18181818179</v>
      </c>
    </row>
    <row r="9" spans="1:41" hidden="1" x14ac:dyDescent="0.2">
      <c r="A9" s="13"/>
      <c r="B9" s="14" t="s">
        <v>11</v>
      </c>
      <c r="C9" s="15">
        <v>0</v>
      </c>
      <c r="E9" s="15">
        <f>(C9/9)*12</f>
        <v>0</v>
      </c>
      <c r="F9" s="15">
        <f>((D9/9)*12)*1.2</f>
        <v>0</v>
      </c>
      <c r="I9" s="7" t="s">
        <v>10</v>
      </c>
      <c r="J9" s="17">
        <v>0</v>
      </c>
      <c r="K9" s="17">
        <f>K29</f>
        <v>8</v>
      </c>
      <c r="L9" s="43">
        <f>L33</f>
        <v>1481760</v>
      </c>
      <c r="O9" s="15">
        <f t="shared" si="0"/>
        <v>0</v>
      </c>
    </row>
    <row r="10" spans="1:41" x14ac:dyDescent="0.2">
      <c r="B10" s="14" t="s">
        <v>12</v>
      </c>
      <c r="C10" s="15">
        <v>0</v>
      </c>
      <c r="E10" s="15">
        <f>(C10/9)*12</f>
        <v>0</v>
      </c>
      <c r="F10" s="15">
        <f>((D10/9)*12)*1.2</f>
        <v>0</v>
      </c>
      <c r="I10" s="7"/>
      <c r="J10" s="17"/>
      <c r="K10" s="17"/>
      <c r="L10" s="43"/>
      <c r="O10" s="15">
        <f t="shared" si="0"/>
        <v>0</v>
      </c>
    </row>
    <row r="11" spans="1:41" x14ac:dyDescent="0.2">
      <c r="A11" s="13" t="s">
        <v>13</v>
      </c>
      <c r="B11" s="14" t="s">
        <v>14</v>
      </c>
      <c r="C11" s="15">
        <f>'[7]Team Report'!BA26</f>
        <v>762369.14000000013</v>
      </c>
      <c r="E11" s="15">
        <f>((C11/9)*12)*1.2</f>
        <v>1219790.6240000003</v>
      </c>
      <c r="F11" s="15">
        <f>(L33-L29+(86640/11*8))*1.2</f>
        <v>371965.09090909088</v>
      </c>
      <c r="I11" s="7"/>
      <c r="J11" s="17"/>
      <c r="K11" s="17"/>
      <c r="L11" s="43"/>
      <c r="O11" s="15">
        <f t="shared" si="0"/>
        <v>46495.63636363636</v>
      </c>
    </row>
    <row r="12" spans="1:41" x14ac:dyDescent="0.2">
      <c r="A12" s="13" t="s">
        <v>16</v>
      </c>
      <c r="B12" s="14" t="s">
        <v>17</v>
      </c>
      <c r="C12" s="15">
        <f>'[7]Team Report'!BA27</f>
        <v>173944.72999999998</v>
      </c>
      <c r="E12" s="20">
        <f>((C12/9)*12)*1.2</f>
        <v>278311.56799999997</v>
      </c>
      <c r="F12" s="21">
        <f t="shared" ref="F12:F18" si="1">((E12/$E$29)*$F$29)*1.2</f>
        <v>54526.348016326527</v>
      </c>
      <c r="I12" s="7" t="s">
        <v>15</v>
      </c>
      <c r="J12" s="17">
        <f>(E12+E13+E14+E15+E16+E17+E18+E19+E20+E21+E22)/E29</f>
        <v>33269.805387755099</v>
      </c>
      <c r="K12" s="17">
        <f>K29</f>
        <v>8</v>
      </c>
      <c r="L12" s="43">
        <f>J12*K12</f>
        <v>266158.44310204079</v>
      </c>
      <c r="O12" s="15">
        <f t="shared" si="0"/>
        <v>6815.7935020408158</v>
      </c>
    </row>
    <row r="13" spans="1:41" x14ac:dyDescent="0.2">
      <c r="A13" s="13" t="s">
        <v>18</v>
      </c>
      <c r="B13" s="14" t="s">
        <v>19</v>
      </c>
      <c r="C13" s="15">
        <f>'[7]Team Report'!BA28</f>
        <v>293972.73</v>
      </c>
      <c r="E13" s="20">
        <f>((C13/9)*12)*1.2</f>
        <v>470356.36800000002</v>
      </c>
      <c r="F13" s="21">
        <f t="shared" si="1"/>
        <v>92151.451689795926</v>
      </c>
      <c r="I13" s="7"/>
      <c r="J13" s="17"/>
      <c r="K13" s="17"/>
      <c r="L13" s="43"/>
      <c r="O13" s="15">
        <f t="shared" si="0"/>
        <v>11518.931461224491</v>
      </c>
    </row>
    <row r="14" spans="1:41" ht="13.5" thickBot="1" x14ac:dyDescent="0.25">
      <c r="A14" s="13" t="s">
        <v>21</v>
      </c>
      <c r="B14" s="14" t="s">
        <v>22</v>
      </c>
      <c r="C14" s="15">
        <f>'[7]Team Report'!BA32</f>
        <v>67481.55</v>
      </c>
      <c r="E14" s="20">
        <f>((C14/9)*12)*1.2</f>
        <v>107970.48000000001</v>
      </c>
      <c r="F14" s="21">
        <f t="shared" si="1"/>
        <v>21153.400163265305</v>
      </c>
      <c r="I14" s="22" t="s">
        <v>20</v>
      </c>
      <c r="J14" s="47"/>
      <c r="K14" s="47"/>
      <c r="L14" s="48">
        <f>SUM(L9:L12)</f>
        <v>1747918.4431020408</v>
      </c>
      <c r="N14">
        <v>1699109</v>
      </c>
      <c r="O14" s="15">
        <f t="shared" si="0"/>
        <v>2644.1750204081632</v>
      </c>
      <c r="P14" s="49"/>
    </row>
    <row r="15" spans="1:41" x14ac:dyDescent="0.2">
      <c r="A15" s="13" t="s">
        <v>23</v>
      </c>
      <c r="B15" s="14" t="s">
        <v>24</v>
      </c>
      <c r="C15" s="15">
        <f>'[7]Team Report'!BA33</f>
        <v>48511.92</v>
      </c>
      <c r="E15" s="20">
        <f>((C15/9)*12)*1.2</f>
        <v>77619.072</v>
      </c>
      <c r="F15" s="21">
        <f t="shared" si="1"/>
        <v>15207.001861224489</v>
      </c>
      <c r="I15" s="8"/>
      <c r="J15" s="17"/>
      <c r="K15" s="17"/>
      <c r="L15" s="17"/>
      <c r="O15" s="15">
        <f t="shared" si="0"/>
        <v>1900.8752326530612</v>
      </c>
    </row>
    <row r="16" spans="1:41" x14ac:dyDescent="0.2">
      <c r="A16" s="13" t="s">
        <v>25</v>
      </c>
      <c r="B16" s="14" t="s">
        <v>26</v>
      </c>
      <c r="C16" s="15">
        <f>'[7]Team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28</v>
      </c>
      <c r="B17" s="14" t="s">
        <v>29</v>
      </c>
      <c r="C17" s="15">
        <f>'[7]Team Report'!BA35</f>
        <v>2500</v>
      </c>
      <c r="E17" s="20">
        <f>((C17/9)*12)*1.2</f>
        <v>3999.9999999999995</v>
      </c>
      <c r="F17" s="21">
        <f t="shared" si="1"/>
        <v>783.67346938775495</v>
      </c>
      <c r="I17" s="8" t="s">
        <v>27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97.959183673469369</v>
      </c>
    </row>
    <row r="18" spans="1:15" x14ac:dyDescent="0.2">
      <c r="A18" s="13" t="s">
        <v>31</v>
      </c>
      <c r="B18" s="14" t="s">
        <v>32</v>
      </c>
      <c r="C18" s="15">
        <f>'[7]Team Report'!BA36</f>
        <v>0</v>
      </c>
      <c r="E18" s="20">
        <f>(C18/9)*12</f>
        <v>0</v>
      </c>
      <c r="F18" s="21">
        <f t="shared" si="1"/>
        <v>0</v>
      </c>
      <c r="I18" t="s">
        <v>93</v>
      </c>
      <c r="J18" s="17">
        <v>48000</v>
      </c>
      <c r="K18" s="17">
        <v>1</v>
      </c>
      <c r="L18" s="17">
        <f t="shared" si="2"/>
        <v>48000</v>
      </c>
      <c r="O18" s="15">
        <f t="shared" si="0"/>
        <v>0</v>
      </c>
    </row>
    <row r="19" spans="1:15" x14ac:dyDescent="0.2">
      <c r="A19" s="13" t="s">
        <v>34</v>
      </c>
      <c r="B19" s="14" t="s">
        <v>35</v>
      </c>
      <c r="C19" s="15">
        <f>'[7]Team Report'!BA37</f>
        <v>129576.91999999998</v>
      </c>
      <c r="E19" s="20">
        <f>((C19/9)*12)*1.2</f>
        <v>207323.07199999999</v>
      </c>
      <c r="F19" s="21">
        <f>((E19/$E$29)*$F$29+(60000/11*8))*1.2</f>
        <v>92982.0341432282</v>
      </c>
      <c r="I19" t="s">
        <v>33</v>
      </c>
      <c r="J19" s="17">
        <v>49200</v>
      </c>
      <c r="K19" s="17">
        <v>0</v>
      </c>
      <c r="L19" s="17">
        <f t="shared" si="2"/>
        <v>0</v>
      </c>
      <c r="O19" s="15">
        <f t="shared" si="0"/>
        <v>11622.754267903525</v>
      </c>
    </row>
    <row r="20" spans="1:15" x14ac:dyDescent="0.2">
      <c r="A20" s="13" t="s">
        <v>37</v>
      </c>
      <c r="B20" s="14" t="s">
        <v>38</v>
      </c>
      <c r="C20" s="15">
        <f>'[7]Team Report'!BA38</f>
        <v>10.029999999999999</v>
      </c>
      <c r="E20" s="20">
        <f>((C20/9)*12)*1.2</f>
        <v>16.047999999999998</v>
      </c>
      <c r="F20" s="21">
        <f>((E20/$E$29)*$F$29)*1.2</f>
        <v>3.1440979591836729</v>
      </c>
      <c r="I20" t="s">
        <v>94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0.39301224489795911</v>
      </c>
    </row>
    <row r="21" spans="1:15" x14ac:dyDescent="0.2">
      <c r="A21" s="13" t="s">
        <v>40</v>
      </c>
      <c r="B21" s="14" t="s">
        <v>41</v>
      </c>
      <c r="C21" s="15">
        <f>'[7]Team Report'!BA42</f>
        <v>302115.48</v>
      </c>
      <c r="E21" s="20">
        <f>((C21/9)*12)*1.2</f>
        <v>483384.76799999998</v>
      </c>
      <c r="F21" s="21">
        <f>((E21/$E$29)*$F$29)*1.2</f>
        <v>94703.954546938781</v>
      </c>
      <c r="I21" t="s">
        <v>45</v>
      </c>
      <c r="J21" s="17">
        <v>72000</v>
      </c>
      <c r="K21" s="25">
        <v>0</v>
      </c>
      <c r="L21" s="17">
        <f t="shared" si="2"/>
        <v>0</v>
      </c>
      <c r="O21" s="15">
        <f t="shared" si="0"/>
        <v>11837.994318367348</v>
      </c>
    </row>
    <row r="22" spans="1:15" x14ac:dyDescent="0.2">
      <c r="A22" s="13" t="s">
        <v>43</v>
      </c>
      <c r="B22" s="14" t="s">
        <v>44</v>
      </c>
      <c r="C22" s="15">
        <f>'[7]Team Report'!BA44</f>
        <v>774.43</v>
      </c>
      <c r="E22" s="20">
        <f>((C22/9)*12)*1.2</f>
        <v>1239.088</v>
      </c>
      <c r="F22" s="21">
        <f>((E22/$E$29)*$F$29)*1.2</f>
        <v>242.76009795918364</v>
      </c>
      <c r="I22" t="s">
        <v>36</v>
      </c>
      <c r="J22" s="17">
        <v>62400</v>
      </c>
      <c r="K22" s="17">
        <v>0</v>
      </c>
      <c r="L22" s="17">
        <f t="shared" si="2"/>
        <v>0</v>
      </c>
      <c r="O22" s="15">
        <f t="shared" si="0"/>
        <v>30.345012244897955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5422206.8300000001</v>
      </c>
      <c r="E23" s="28">
        <f>SUM(E8:E22)</f>
        <v>8675530.9279999994</v>
      </c>
      <c r="F23" s="28">
        <f>SUM(F8:F22)</f>
        <v>2603544.3135406305</v>
      </c>
      <c r="I23" t="s">
        <v>95</v>
      </c>
      <c r="J23" s="17">
        <v>74400</v>
      </c>
      <c r="K23" s="17">
        <v>0</v>
      </c>
      <c r="L23" s="17">
        <f t="shared" si="2"/>
        <v>0</v>
      </c>
      <c r="O23" s="58">
        <f>SUM(O8:O22)</f>
        <v>325443.03919257881</v>
      </c>
    </row>
    <row r="24" spans="1:15" x14ac:dyDescent="0.2">
      <c r="I24" t="s">
        <v>96</v>
      </c>
      <c r="J24" s="17">
        <v>90000</v>
      </c>
      <c r="K24" s="17">
        <v>0</v>
      </c>
      <c r="L24" s="17">
        <f t="shared" si="2"/>
        <v>0</v>
      </c>
    </row>
    <row r="25" spans="1:15" x14ac:dyDescent="0.2">
      <c r="B25" s="27" t="s">
        <v>50</v>
      </c>
      <c r="C25" s="15"/>
      <c r="E25" s="31">
        <v>44</v>
      </c>
      <c r="F25" s="31">
        <f>+K29</f>
        <v>8</v>
      </c>
      <c r="I25" t="s">
        <v>97</v>
      </c>
      <c r="J25" s="17">
        <v>120000</v>
      </c>
      <c r="K25" s="17">
        <v>4</v>
      </c>
      <c r="L25" s="17">
        <f t="shared" si="2"/>
        <v>480000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98</v>
      </c>
      <c r="J26" s="17">
        <v>178800</v>
      </c>
      <c r="K26" s="17">
        <v>1</v>
      </c>
      <c r="L26" s="17">
        <f t="shared" si="2"/>
        <v>178800</v>
      </c>
      <c r="O26" s="15"/>
    </row>
    <row r="27" spans="1:15" x14ac:dyDescent="0.2">
      <c r="B27" s="27" t="s">
        <v>101</v>
      </c>
      <c r="C27" s="15"/>
      <c r="E27" s="31">
        <v>5</v>
      </c>
      <c r="F27" s="31">
        <v>0</v>
      </c>
      <c r="I27" t="s">
        <v>99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">
      <c r="I28" t="s">
        <v>100</v>
      </c>
      <c r="J28" s="17">
        <v>312000</v>
      </c>
      <c r="K28" s="17">
        <v>1</v>
      </c>
      <c r="L28" s="17">
        <f t="shared" si="2"/>
        <v>312000</v>
      </c>
    </row>
    <row r="29" spans="1:15" x14ac:dyDescent="0.2">
      <c r="B29" s="27" t="s">
        <v>55</v>
      </c>
      <c r="C29" s="15"/>
      <c r="E29" s="31">
        <f>+E27+E25</f>
        <v>49</v>
      </c>
      <c r="F29" s="31">
        <f>+F27+F25</f>
        <v>8</v>
      </c>
      <c r="G29" s="25"/>
      <c r="K29" s="25">
        <f>SUM(K17:K28)</f>
        <v>8</v>
      </c>
      <c r="L29" s="17">
        <f>SUM(L17:L28)</f>
        <v>1234800</v>
      </c>
      <c r="O29" s="31">
        <v>1</v>
      </c>
    </row>
    <row r="30" spans="1:15" hidden="1" x14ac:dyDescent="0.2"/>
    <row r="31" spans="1:15" hidden="1" x14ac:dyDescent="0.2">
      <c r="A31" s="13" t="s">
        <v>71</v>
      </c>
      <c r="B31" s="14" t="s">
        <v>72</v>
      </c>
      <c r="C31" s="15">
        <f>'[7]Team Report'!BA29</f>
        <v>0</v>
      </c>
      <c r="E31" s="15">
        <f t="shared" ref="E31:E38" si="3">(C31/9)*12</f>
        <v>0</v>
      </c>
      <c r="I31" t="s">
        <v>102</v>
      </c>
      <c r="K31" s="52"/>
      <c r="L31" s="52">
        <v>0.2</v>
      </c>
    </row>
    <row r="32" spans="1:15" hidden="1" x14ac:dyDescent="0.2">
      <c r="A32" s="13" t="s">
        <v>73</v>
      </c>
      <c r="B32" s="14" t="s">
        <v>74</v>
      </c>
      <c r="C32" s="15">
        <f>'[7]Team Report'!BA30</f>
        <v>0</v>
      </c>
      <c r="E32" s="15">
        <f t="shared" si="3"/>
        <v>0</v>
      </c>
    </row>
    <row r="33" spans="1:12" hidden="1" x14ac:dyDescent="0.2">
      <c r="A33" s="13" t="s">
        <v>75</v>
      </c>
      <c r="B33" s="14" t="s">
        <v>76</v>
      </c>
      <c r="C33" s="15">
        <f>'[7]Team Report'!BA31</f>
        <v>0</v>
      </c>
      <c r="E33" s="15">
        <f t="shared" si="3"/>
        <v>0</v>
      </c>
      <c r="L33" s="25">
        <f>L29*1.2</f>
        <v>1481760</v>
      </c>
    </row>
    <row r="34" spans="1:12" hidden="1" x14ac:dyDescent="0.2">
      <c r="A34" s="13" t="s">
        <v>77</v>
      </c>
      <c r="B34" s="14" t="s">
        <v>78</v>
      </c>
      <c r="C34" s="15">
        <f>'[7]Team Report'!BA39</f>
        <v>0</v>
      </c>
      <c r="E34" s="15">
        <f t="shared" si="3"/>
        <v>0</v>
      </c>
    </row>
    <row r="35" spans="1:12" hidden="1" x14ac:dyDescent="0.2">
      <c r="A35" s="13" t="s">
        <v>79</v>
      </c>
      <c r="B35" s="14" t="s">
        <v>80</v>
      </c>
      <c r="C35" s="15">
        <f>'[7]Team Report'!BA40</f>
        <v>147341.90000000002</v>
      </c>
      <c r="E35" s="15">
        <f t="shared" si="3"/>
        <v>196455.8666666667</v>
      </c>
    </row>
    <row r="36" spans="1:12" hidden="1" x14ac:dyDescent="0.2">
      <c r="A36" s="13" t="s">
        <v>81</v>
      </c>
      <c r="B36" s="14" t="s">
        <v>82</v>
      </c>
      <c r="C36" s="15">
        <f>'[7]Team Report'!BA41</f>
        <v>285701.8</v>
      </c>
      <c r="E36" s="15">
        <f t="shared" si="3"/>
        <v>380935.73333333328</v>
      </c>
    </row>
    <row r="37" spans="1:12" hidden="1" x14ac:dyDescent="0.2">
      <c r="A37" s="13" t="s">
        <v>83</v>
      </c>
      <c r="B37" s="14" t="s">
        <v>84</v>
      </c>
      <c r="C37" s="15">
        <f>'[7]Team Report'!BA43</f>
        <v>-4445984</v>
      </c>
      <c r="E37" s="15">
        <f t="shared" si="3"/>
        <v>-5927978.666666667</v>
      </c>
      <c r="G37" s="33" t="s">
        <v>56</v>
      </c>
      <c r="I37" s="25"/>
      <c r="L37"/>
    </row>
    <row r="38" spans="1:12" hidden="1" x14ac:dyDescent="0.2">
      <c r="A38" s="13" t="s">
        <v>85</v>
      </c>
      <c r="B38" s="14" t="s">
        <v>86</v>
      </c>
      <c r="C38" s="15">
        <f>'[7]Team Report'!BA45</f>
        <v>1176.06</v>
      </c>
      <c r="E38" s="15">
        <f t="shared" si="3"/>
        <v>1568.08</v>
      </c>
      <c r="I38" s="25"/>
      <c r="L38"/>
    </row>
    <row r="39" spans="1:12" hidden="1" x14ac:dyDescent="0.2">
      <c r="G39" s="34" t="s">
        <v>57</v>
      </c>
      <c r="I39" s="35" t="s">
        <v>58</v>
      </c>
      <c r="J39" s="35" t="s">
        <v>59</v>
      </c>
      <c r="K39" s="35" t="s">
        <v>2</v>
      </c>
      <c r="L39" s="35" t="s">
        <v>60</v>
      </c>
    </row>
    <row r="40" spans="1:12" hidden="1" x14ac:dyDescent="0.2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8</v>
      </c>
      <c r="L40" s="37">
        <f>+J40*K40</f>
        <v>266158.44310204079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O53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2" customWidth="1"/>
    <col min="7" max="7" width="12.7109375" customWidth="1"/>
    <col min="8" max="8" width="1.7109375" customWidth="1"/>
    <col min="9" max="9" width="20.7109375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6" width="9.140625" hidden="1" customWidth="1"/>
  </cols>
  <sheetData>
    <row r="1" spans="1:41" ht="18" x14ac:dyDescent="0.25">
      <c r="B1" s="140" t="str">
        <f>'[7]Team Report'!B1</f>
        <v>Enron North America</v>
      </c>
      <c r="C1" s="140"/>
      <c r="D1" s="140"/>
      <c r="E1" s="140"/>
      <c r="F1" s="140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25">
      <c r="B2" s="140" t="s">
        <v>296</v>
      </c>
      <c r="C2" s="140"/>
      <c r="D2" s="140"/>
      <c r="E2" s="140"/>
      <c r="F2" s="140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25">
      <c r="B3" s="141" t="s">
        <v>0</v>
      </c>
      <c r="C3" s="141"/>
      <c r="D3" s="141"/>
      <c r="E3" s="141"/>
      <c r="F3" s="141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5" thickBot="1" x14ac:dyDescent="0.25"/>
    <row r="5" spans="1:41" x14ac:dyDescent="0.2">
      <c r="I5" s="4"/>
      <c r="J5" s="40"/>
      <c r="K5" s="40"/>
      <c r="L5" s="41"/>
    </row>
    <row r="6" spans="1:41" x14ac:dyDescent="0.2">
      <c r="C6" s="10">
        <v>37135</v>
      </c>
      <c r="E6" s="44" t="s">
        <v>61</v>
      </c>
      <c r="F6" s="44" t="s">
        <v>63</v>
      </c>
      <c r="I6" s="7"/>
      <c r="J6" s="19" t="s">
        <v>1</v>
      </c>
      <c r="K6" s="19" t="s">
        <v>2</v>
      </c>
      <c r="L6" s="74" t="s">
        <v>107</v>
      </c>
      <c r="O6" s="44" t="s">
        <v>63</v>
      </c>
    </row>
    <row r="7" spans="1:41" x14ac:dyDescent="0.2">
      <c r="C7" s="12" t="s">
        <v>5</v>
      </c>
      <c r="E7" s="12" t="s">
        <v>6</v>
      </c>
      <c r="F7" s="12" t="s">
        <v>7</v>
      </c>
      <c r="G7" s="33"/>
      <c r="I7" s="7"/>
      <c r="J7" s="17"/>
      <c r="K7" s="17"/>
      <c r="L7" s="43"/>
      <c r="O7" s="12" t="s">
        <v>7</v>
      </c>
    </row>
    <row r="8" spans="1:41" x14ac:dyDescent="0.2">
      <c r="A8" s="13" t="s">
        <v>9</v>
      </c>
      <c r="B8" s="14" t="s">
        <v>10</v>
      </c>
      <c r="C8" s="15">
        <f>'[7]Team Report'!BA25</f>
        <v>3640949.9</v>
      </c>
      <c r="E8" s="15">
        <f>((C8/9)*12)*1.2</f>
        <v>5825519.8399999989</v>
      </c>
      <c r="F8" s="15">
        <f>(L29+(433200/11*3))*1.2</f>
        <v>483054.54545454547</v>
      </c>
      <c r="I8" s="7"/>
      <c r="J8" s="17"/>
      <c r="K8" s="17"/>
      <c r="L8" s="43"/>
      <c r="O8" s="15">
        <f t="shared" ref="O8:O22" si="0">+F8/$F$29*$O$29</f>
        <v>161018.18181818182</v>
      </c>
    </row>
    <row r="9" spans="1:41" hidden="1" x14ac:dyDescent="0.2">
      <c r="A9" s="13"/>
      <c r="B9" s="14" t="s">
        <v>11</v>
      </c>
      <c r="C9" s="15">
        <v>0</v>
      </c>
      <c r="E9" s="15">
        <f>(C9/9)*12</f>
        <v>0</v>
      </c>
      <c r="F9" s="15">
        <f>((D9/9)*12)*1.2</f>
        <v>0</v>
      </c>
      <c r="I9" s="7" t="s">
        <v>10</v>
      </c>
      <c r="J9" s="17">
        <v>0</v>
      </c>
      <c r="K9" s="17">
        <f>K29</f>
        <v>3</v>
      </c>
      <c r="L9" s="43">
        <f>L33</f>
        <v>341280</v>
      </c>
      <c r="O9" s="15">
        <f t="shared" si="0"/>
        <v>0</v>
      </c>
    </row>
    <row r="10" spans="1:41" x14ac:dyDescent="0.2">
      <c r="B10" s="14" t="s">
        <v>12</v>
      </c>
      <c r="C10" s="15">
        <v>0</v>
      </c>
      <c r="E10" s="15">
        <f>(C10/9)*12</f>
        <v>0</v>
      </c>
      <c r="F10" s="15">
        <f>((D10/9)*12)*1.2</f>
        <v>0</v>
      </c>
      <c r="I10" s="7"/>
      <c r="J10" s="17"/>
      <c r="K10" s="17"/>
      <c r="L10" s="43"/>
      <c r="O10" s="15">
        <f t="shared" si="0"/>
        <v>0</v>
      </c>
    </row>
    <row r="11" spans="1:41" x14ac:dyDescent="0.2">
      <c r="A11" s="13" t="s">
        <v>13</v>
      </c>
      <c r="B11" s="14" t="s">
        <v>14</v>
      </c>
      <c r="C11" s="15">
        <f>'[7]Team Report'!BA26</f>
        <v>762369.14000000013</v>
      </c>
      <c r="E11" s="15">
        <f>((C11/9)*12)*1.2</f>
        <v>1219790.6240000003</v>
      </c>
      <c r="F11" s="15">
        <f>(L33-L29+(86640/11*3))*1.2</f>
        <v>96610.909090909088</v>
      </c>
      <c r="I11" s="7"/>
      <c r="J11" s="17"/>
      <c r="K11" s="17"/>
      <c r="L11" s="43"/>
      <c r="O11" s="15">
        <f t="shared" si="0"/>
        <v>32203.636363636364</v>
      </c>
    </row>
    <row r="12" spans="1:41" x14ac:dyDescent="0.2">
      <c r="A12" s="13" t="s">
        <v>16</v>
      </c>
      <c r="B12" s="14" t="s">
        <v>17</v>
      </c>
      <c r="C12" s="15">
        <f>'[7]Team Report'!BA27</f>
        <v>173944.72999999998</v>
      </c>
      <c r="E12" s="20">
        <f>((C12/9)*12)*1.2</f>
        <v>278311.56799999997</v>
      </c>
      <c r="F12" s="21">
        <f t="shared" ref="F12:F18" si="1">((E12/$E$29)*$F$29)*1.2</f>
        <v>20447.380506122445</v>
      </c>
      <c r="I12" s="7" t="s">
        <v>15</v>
      </c>
      <c r="J12" s="17">
        <f>(E12+E13+E14+E15+E16+E17+E18+E19+E20+E21+E22)/E29</f>
        <v>33269.805387755099</v>
      </c>
      <c r="K12" s="17">
        <f>K29</f>
        <v>3</v>
      </c>
      <c r="L12" s="43">
        <f>J12*K12</f>
        <v>99809.416163265298</v>
      </c>
      <c r="O12" s="15">
        <f t="shared" si="0"/>
        <v>6815.7935020408149</v>
      </c>
    </row>
    <row r="13" spans="1:41" x14ac:dyDescent="0.2">
      <c r="A13" s="13" t="s">
        <v>18</v>
      </c>
      <c r="B13" s="14" t="s">
        <v>19</v>
      </c>
      <c r="C13" s="15">
        <f>'[7]Team Report'!BA28</f>
        <v>293972.73</v>
      </c>
      <c r="E13" s="20">
        <f>((C13/9)*12)*1.2</f>
        <v>470356.36800000002</v>
      </c>
      <c r="F13" s="21">
        <f t="shared" si="1"/>
        <v>34556.79438367347</v>
      </c>
      <c r="I13" s="7"/>
      <c r="J13" s="17"/>
      <c r="K13" s="17"/>
      <c r="L13" s="43"/>
      <c r="O13" s="15">
        <f t="shared" si="0"/>
        <v>11518.931461224491</v>
      </c>
    </row>
    <row r="14" spans="1:41" ht="13.5" thickBot="1" x14ac:dyDescent="0.25">
      <c r="A14" s="13" t="s">
        <v>21</v>
      </c>
      <c r="B14" s="14" t="s">
        <v>22</v>
      </c>
      <c r="C14" s="15">
        <f>'[7]Team Report'!BA32</f>
        <v>67481.55</v>
      </c>
      <c r="E14" s="20">
        <f>((C14/9)*12)*1.2</f>
        <v>107970.48000000001</v>
      </c>
      <c r="F14" s="21">
        <f t="shared" si="1"/>
        <v>7932.525061224489</v>
      </c>
      <c r="I14" s="22" t="s">
        <v>20</v>
      </c>
      <c r="J14" s="47"/>
      <c r="K14" s="47"/>
      <c r="L14" s="48">
        <f>SUM(L9:L12)</f>
        <v>441089.4161632653</v>
      </c>
      <c r="N14">
        <v>1699109</v>
      </c>
      <c r="O14" s="15">
        <f t="shared" si="0"/>
        <v>2644.1750204081632</v>
      </c>
      <c r="P14" s="49"/>
    </row>
    <row r="15" spans="1:41" x14ac:dyDescent="0.2">
      <c r="A15" s="13" t="s">
        <v>23</v>
      </c>
      <c r="B15" s="14" t="s">
        <v>24</v>
      </c>
      <c r="C15" s="15">
        <f>'[7]Team Report'!BA33</f>
        <v>48511.92</v>
      </c>
      <c r="E15" s="20">
        <f>((C15/9)*12)*1.2</f>
        <v>77619.072</v>
      </c>
      <c r="F15" s="21">
        <f t="shared" si="1"/>
        <v>5702.6256979591835</v>
      </c>
      <c r="I15" s="8"/>
      <c r="J15" s="17"/>
      <c r="K15" s="17"/>
      <c r="L15" s="17"/>
      <c r="O15" s="15">
        <f t="shared" si="0"/>
        <v>1900.8752326530612</v>
      </c>
    </row>
    <row r="16" spans="1:41" x14ac:dyDescent="0.2">
      <c r="A16" s="13" t="s">
        <v>25</v>
      </c>
      <c r="B16" s="14" t="s">
        <v>26</v>
      </c>
      <c r="C16" s="15">
        <f>'[7]Team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28</v>
      </c>
      <c r="B17" s="14" t="s">
        <v>29</v>
      </c>
      <c r="C17" s="15">
        <f>'[7]Team Report'!BA35</f>
        <v>2500</v>
      </c>
      <c r="E17" s="20">
        <f>((C17/9)*12)*1.2</f>
        <v>3999.9999999999995</v>
      </c>
      <c r="F17" s="21">
        <f t="shared" si="1"/>
        <v>293.87755102040813</v>
      </c>
      <c r="I17" s="8" t="s">
        <v>27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97.959183673469383</v>
      </c>
    </row>
    <row r="18" spans="1:15" x14ac:dyDescent="0.2">
      <c r="A18" s="13" t="s">
        <v>31</v>
      </c>
      <c r="B18" s="14" t="s">
        <v>32</v>
      </c>
      <c r="C18" s="15">
        <f>'[7]Team Report'!BA36</f>
        <v>0</v>
      </c>
      <c r="E18" s="20">
        <f>(C18/9)*12</f>
        <v>0</v>
      </c>
      <c r="F18" s="21">
        <f t="shared" si="1"/>
        <v>0</v>
      </c>
      <c r="I18" t="s">
        <v>93</v>
      </c>
      <c r="J18" s="17">
        <v>48000</v>
      </c>
      <c r="K18" s="17">
        <v>0</v>
      </c>
      <c r="L18" s="17">
        <f t="shared" si="2"/>
        <v>0</v>
      </c>
      <c r="O18" s="15">
        <f t="shared" si="0"/>
        <v>0</v>
      </c>
    </row>
    <row r="19" spans="1:15" x14ac:dyDescent="0.2">
      <c r="A19" s="13" t="s">
        <v>34</v>
      </c>
      <c r="B19" s="14" t="s">
        <v>35</v>
      </c>
      <c r="C19" s="15">
        <f>'[7]Team Report'!BA37</f>
        <v>129576.91999999998</v>
      </c>
      <c r="E19" s="20">
        <f>((C19/9)*12)*1.2</f>
        <v>207323.07199999999</v>
      </c>
      <c r="F19" s="21">
        <f>((E19/$E$29)*$F$29+(60000/11*3))*1.2</f>
        <v>34868.262803710575</v>
      </c>
      <c r="I19" t="s">
        <v>33</v>
      </c>
      <c r="J19" s="17">
        <v>49200</v>
      </c>
      <c r="K19" s="17">
        <v>0</v>
      </c>
      <c r="L19" s="17">
        <f t="shared" si="2"/>
        <v>0</v>
      </c>
      <c r="O19" s="15">
        <f t="shared" si="0"/>
        <v>11622.754267903525</v>
      </c>
    </row>
    <row r="20" spans="1:15" x14ac:dyDescent="0.2">
      <c r="A20" s="13" t="s">
        <v>37</v>
      </c>
      <c r="B20" s="14" t="s">
        <v>38</v>
      </c>
      <c r="C20" s="15">
        <f>'[7]Team Report'!BA38</f>
        <v>10.029999999999999</v>
      </c>
      <c r="E20" s="20">
        <f>((C20/9)*12)*1.2</f>
        <v>16.047999999999998</v>
      </c>
      <c r="F20" s="21">
        <f>((E20/$E$29)*$F$29)*1.2</f>
        <v>1.1790367346938773</v>
      </c>
      <c r="I20" t="s">
        <v>94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0.39301224489795911</v>
      </c>
    </row>
    <row r="21" spans="1:15" x14ac:dyDescent="0.2">
      <c r="A21" s="13" t="s">
        <v>40</v>
      </c>
      <c r="B21" s="14" t="s">
        <v>41</v>
      </c>
      <c r="C21" s="15">
        <f>'[7]Team Report'!BA42</f>
        <v>302115.48</v>
      </c>
      <c r="E21" s="20">
        <f>((C21/9)*12)*1.2</f>
        <v>483384.76799999998</v>
      </c>
      <c r="F21" s="21">
        <f>((E21/$E$29)*$F$29)*1.2</f>
        <v>35513.982955102038</v>
      </c>
      <c r="I21" t="s">
        <v>45</v>
      </c>
      <c r="J21" s="17">
        <v>72000</v>
      </c>
      <c r="K21" s="25">
        <v>0</v>
      </c>
      <c r="L21" s="17">
        <f t="shared" si="2"/>
        <v>0</v>
      </c>
      <c r="O21" s="15">
        <f t="shared" si="0"/>
        <v>11837.994318367346</v>
      </c>
    </row>
    <row r="22" spans="1:15" x14ac:dyDescent="0.2">
      <c r="A22" s="13" t="s">
        <v>43</v>
      </c>
      <c r="B22" s="14" t="s">
        <v>44</v>
      </c>
      <c r="C22" s="15">
        <f>'[7]Team Report'!BA44</f>
        <v>774.43</v>
      </c>
      <c r="E22" s="20">
        <f>((C22/9)*12)*1.2</f>
        <v>1239.088</v>
      </c>
      <c r="F22" s="21">
        <f>((E22/$E$29)*$F$29)*1.2</f>
        <v>91.035036734693875</v>
      </c>
      <c r="I22" t="s">
        <v>36</v>
      </c>
      <c r="J22" s="17">
        <v>62400</v>
      </c>
      <c r="K22" s="17">
        <v>0</v>
      </c>
      <c r="L22" s="17">
        <f t="shared" si="2"/>
        <v>0</v>
      </c>
      <c r="O22" s="15">
        <f t="shared" si="0"/>
        <v>30.345012244897958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5422206.8300000001</v>
      </c>
      <c r="E23" s="28">
        <f>SUM(E8:E22)</f>
        <v>8675530.9279999994</v>
      </c>
      <c r="F23" s="28">
        <f>SUM(F8:F22)</f>
        <v>719073.1175777365</v>
      </c>
      <c r="I23" t="s">
        <v>95</v>
      </c>
      <c r="J23" s="17">
        <v>74400</v>
      </c>
      <c r="K23" s="17">
        <v>1</v>
      </c>
      <c r="L23" s="17">
        <f t="shared" si="2"/>
        <v>74400</v>
      </c>
      <c r="O23" s="58">
        <f>SUM(O8:O22)</f>
        <v>239691.03919257881</v>
      </c>
    </row>
    <row r="24" spans="1:15" x14ac:dyDescent="0.2">
      <c r="I24" t="s">
        <v>96</v>
      </c>
      <c r="J24" s="17">
        <v>90000</v>
      </c>
      <c r="K24" s="17">
        <v>1</v>
      </c>
      <c r="L24" s="17">
        <f t="shared" si="2"/>
        <v>90000</v>
      </c>
    </row>
    <row r="25" spans="1:15" x14ac:dyDescent="0.2">
      <c r="B25" s="27" t="s">
        <v>50</v>
      </c>
      <c r="C25" s="15"/>
      <c r="E25" s="31">
        <v>44</v>
      </c>
      <c r="F25" s="31">
        <f>+K29</f>
        <v>3</v>
      </c>
      <c r="I25" t="s">
        <v>97</v>
      </c>
      <c r="J25" s="17"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98</v>
      </c>
      <c r="J26" s="17">
        <v>178800</v>
      </c>
      <c r="K26" s="17">
        <v>0</v>
      </c>
      <c r="L26" s="17">
        <f t="shared" si="2"/>
        <v>0</v>
      </c>
      <c r="O26" s="15"/>
    </row>
    <row r="27" spans="1:15" x14ac:dyDescent="0.2">
      <c r="B27" s="27" t="s">
        <v>101</v>
      </c>
      <c r="C27" s="15"/>
      <c r="E27" s="31">
        <v>5</v>
      </c>
      <c r="F27" s="31">
        <v>0</v>
      </c>
      <c r="I27" t="s">
        <v>99</v>
      </c>
      <c r="J27" s="17">
        <v>216000</v>
      </c>
      <c r="K27" s="17">
        <v>0</v>
      </c>
      <c r="L27" s="17">
        <f t="shared" si="2"/>
        <v>0</v>
      </c>
      <c r="O27" s="31">
        <f>SUM(U21:U22)</f>
        <v>0</v>
      </c>
    </row>
    <row r="28" spans="1:15" x14ac:dyDescent="0.2">
      <c r="I28" t="s">
        <v>100</v>
      </c>
      <c r="J28" s="17">
        <v>312000</v>
      </c>
      <c r="K28" s="17">
        <v>0</v>
      </c>
      <c r="L28" s="17">
        <f t="shared" si="2"/>
        <v>0</v>
      </c>
    </row>
    <row r="29" spans="1:15" x14ac:dyDescent="0.2">
      <c r="B29" s="27" t="s">
        <v>55</v>
      </c>
      <c r="C29" s="15"/>
      <c r="E29" s="31">
        <f>+E27+E25</f>
        <v>49</v>
      </c>
      <c r="F29" s="31">
        <f>+F27+F25</f>
        <v>3</v>
      </c>
      <c r="G29" s="25"/>
      <c r="K29" s="25">
        <f>SUM(K17:K28)</f>
        <v>3</v>
      </c>
      <c r="L29" s="17">
        <f>SUM(L17:L28)</f>
        <v>284400</v>
      </c>
      <c r="O29" s="31">
        <v>1</v>
      </c>
    </row>
    <row r="30" spans="1:15" hidden="1" x14ac:dyDescent="0.2"/>
    <row r="31" spans="1:15" hidden="1" x14ac:dyDescent="0.2">
      <c r="A31" s="13" t="s">
        <v>71</v>
      </c>
      <c r="B31" s="14" t="s">
        <v>72</v>
      </c>
      <c r="C31" s="15">
        <f>'[7]Team Report'!BA29</f>
        <v>0</v>
      </c>
      <c r="E31" s="15">
        <f t="shared" ref="E31:E38" si="3">(C31/9)*12</f>
        <v>0</v>
      </c>
      <c r="I31" t="s">
        <v>102</v>
      </c>
      <c r="K31" s="52"/>
      <c r="L31" s="52">
        <v>0.2</v>
      </c>
    </row>
    <row r="32" spans="1:15" hidden="1" x14ac:dyDescent="0.2">
      <c r="A32" s="13" t="s">
        <v>73</v>
      </c>
      <c r="B32" s="14" t="s">
        <v>74</v>
      </c>
      <c r="C32" s="15">
        <f>'[7]Team Report'!BA30</f>
        <v>0</v>
      </c>
      <c r="E32" s="15">
        <f t="shared" si="3"/>
        <v>0</v>
      </c>
    </row>
    <row r="33" spans="1:12" hidden="1" x14ac:dyDescent="0.2">
      <c r="A33" s="13" t="s">
        <v>75</v>
      </c>
      <c r="B33" s="14" t="s">
        <v>76</v>
      </c>
      <c r="C33" s="15">
        <f>'[7]Team Report'!BA31</f>
        <v>0</v>
      </c>
      <c r="E33" s="15">
        <f t="shared" si="3"/>
        <v>0</v>
      </c>
      <c r="L33" s="25">
        <f>L29*1.2</f>
        <v>341280</v>
      </c>
    </row>
    <row r="34" spans="1:12" hidden="1" x14ac:dyDescent="0.2">
      <c r="A34" s="13" t="s">
        <v>77</v>
      </c>
      <c r="B34" s="14" t="s">
        <v>78</v>
      </c>
      <c r="C34" s="15">
        <f>'[7]Team Report'!BA39</f>
        <v>0</v>
      </c>
      <c r="E34" s="15">
        <f t="shared" si="3"/>
        <v>0</v>
      </c>
    </row>
    <row r="35" spans="1:12" hidden="1" x14ac:dyDescent="0.2">
      <c r="A35" s="13" t="s">
        <v>79</v>
      </c>
      <c r="B35" s="14" t="s">
        <v>80</v>
      </c>
      <c r="C35" s="15">
        <f>'[7]Team Report'!BA40</f>
        <v>147341.90000000002</v>
      </c>
      <c r="E35" s="15">
        <f t="shared" si="3"/>
        <v>196455.8666666667</v>
      </c>
    </row>
    <row r="36" spans="1:12" hidden="1" x14ac:dyDescent="0.2">
      <c r="A36" s="13" t="s">
        <v>81</v>
      </c>
      <c r="B36" s="14" t="s">
        <v>82</v>
      </c>
      <c r="C36" s="15">
        <f>'[7]Team Report'!BA41</f>
        <v>285701.8</v>
      </c>
      <c r="E36" s="15">
        <f t="shared" si="3"/>
        <v>380935.73333333328</v>
      </c>
    </row>
    <row r="37" spans="1:12" hidden="1" x14ac:dyDescent="0.2">
      <c r="A37" s="13" t="s">
        <v>83</v>
      </c>
      <c r="B37" s="14" t="s">
        <v>84</v>
      </c>
      <c r="C37" s="15">
        <f>'[7]Team Report'!BA43</f>
        <v>-4445984</v>
      </c>
      <c r="E37" s="15">
        <f t="shared" si="3"/>
        <v>-5927978.666666667</v>
      </c>
      <c r="G37" s="33" t="s">
        <v>56</v>
      </c>
      <c r="I37" s="25"/>
      <c r="L37"/>
    </row>
    <row r="38" spans="1:12" hidden="1" x14ac:dyDescent="0.2">
      <c r="A38" s="13" t="s">
        <v>85</v>
      </c>
      <c r="B38" s="14" t="s">
        <v>86</v>
      </c>
      <c r="C38" s="15">
        <f>'[7]Team Report'!BA45</f>
        <v>1176.06</v>
      </c>
      <c r="E38" s="15">
        <f t="shared" si="3"/>
        <v>1568.08</v>
      </c>
      <c r="I38" s="25"/>
      <c r="L38"/>
    </row>
    <row r="39" spans="1:12" hidden="1" x14ac:dyDescent="0.2">
      <c r="G39" s="34" t="s">
        <v>57</v>
      </c>
      <c r="I39" s="35" t="s">
        <v>58</v>
      </c>
      <c r="J39" s="35" t="s">
        <v>59</v>
      </c>
      <c r="K39" s="35" t="s">
        <v>2</v>
      </c>
      <c r="L39" s="35" t="s">
        <v>60</v>
      </c>
    </row>
    <row r="40" spans="1:12" hidden="1" x14ac:dyDescent="0.2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3</v>
      </c>
      <c r="L40" s="37">
        <f>+J40*K40</f>
        <v>99809.416163265298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R46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5" customWidth="1"/>
    <col min="7" max="7" width="2.28515625" hidden="1" customWidth="1"/>
    <col min="8" max="9" width="9.14062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10.28515625" hidden="1" customWidth="1"/>
    <col min="15" max="15" width="12.85546875" hidden="1" customWidth="1"/>
    <col min="16" max="16" width="8.7109375" hidden="1" customWidth="1"/>
    <col min="17" max="17" width="8.85546875" hidden="1" customWidth="1"/>
    <col min="18" max="18" width="10.28515625" hidden="1" customWidth="1"/>
    <col min="19" max="22" width="9.140625" hidden="1" customWidth="1"/>
    <col min="23" max="52" width="0" hidden="1" customWidth="1"/>
  </cols>
  <sheetData>
    <row r="1" spans="1:44" ht="18" x14ac:dyDescent="0.25">
      <c r="B1" s="140" t="str">
        <f>'[4]Team Report'!B1</f>
        <v>Enron North America</v>
      </c>
      <c r="C1" s="140"/>
      <c r="D1" s="140"/>
      <c r="E1" s="140"/>
      <c r="F1" s="140"/>
      <c r="G1" s="140"/>
      <c r="H1" s="140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0" t="s">
        <v>104</v>
      </c>
      <c r="C2" s="140"/>
      <c r="D2" s="140"/>
      <c r="E2" s="140"/>
      <c r="F2" s="140"/>
      <c r="G2" s="140"/>
      <c r="H2" s="140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41" t="s">
        <v>0</v>
      </c>
      <c r="C3" s="147"/>
      <c r="D3" s="147"/>
      <c r="E3" s="147"/>
      <c r="F3" s="147"/>
      <c r="G3" s="147"/>
      <c r="H3" s="147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>
      <c r="J4" s="145" t="s">
        <v>105</v>
      </c>
      <c r="K4" s="145"/>
      <c r="L4" s="145"/>
      <c r="M4" s="145"/>
      <c r="O4" s="145" t="s">
        <v>106</v>
      </c>
      <c r="P4" s="145"/>
      <c r="Q4" s="145"/>
      <c r="R4" s="145"/>
    </row>
    <row r="5" spans="1:44" x14ac:dyDescent="0.2">
      <c r="J5" s="4"/>
      <c r="K5" s="40"/>
      <c r="L5" s="40"/>
      <c r="M5" s="41"/>
      <c r="N5" s="8"/>
      <c r="O5" s="4"/>
      <c r="P5" s="40"/>
      <c r="Q5" s="40"/>
      <c r="R5" s="41"/>
    </row>
    <row r="6" spans="1:44" x14ac:dyDescent="0.2">
      <c r="C6" s="10">
        <v>37135</v>
      </c>
      <c r="E6" s="44" t="s">
        <v>61</v>
      </c>
      <c r="F6" s="44" t="s">
        <v>63</v>
      </c>
      <c r="H6" s="10" t="s">
        <v>4</v>
      </c>
      <c r="J6" s="7"/>
      <c r="K6" s="19" t="s">
        <v>1</v>
      </c>
      <c r="L6" s="19" t="s">
        <v>2</v>
      </c>
      <c r="M6" s="74" t="s">
        <v>107</v>
      </c>
      <c r="N6" s="8"/>
      <c r="O6" s="7"/>
      <c r="P6" s="19" t="s">
        <v>1</v>
      </c>
      <c r="Q6" s="19" t="s">
        <v>2</v>
      </c>
      <c r="R6" s="74" t="s">
        <v>107</v>
      </c>
      <c r="V6" s="44" t="s">
        <v>63</v>
      </c>
    </row>
    <row r="7" spans="1:44" x14ac:dyDescent="0.2">
      <c r="C7" s="12" t="s">
        <v>5</v>
      </c>
      <c r="E7" s="12" t="s">
        <v>6</v>
      </c>
      <c r="F7" s="12" t="s">
        <v>7</v>
      </c>
      <c r="H7" s="12" t="s">
        <v>8</v>
      </c>
      <c r="J7" s="7"/>
      <c r="K7" s="17"/>
      <c r="L7" s="17"/>
      <c r="M7" s="43"/>
      <c r="N7" s="8"/>
      <c r="O7" s="7"/>
      <c r="P7" s="17"/>
      <c r="Q7" s="17"/>
      <c r="R7" s="43"/>
      <c r="V7" s="12" t="s">
        <v>7</v>
      </c>
    </row>
    <row r="8" spans="1:44" x14ac:dyDescent="0.2">
      <c r="A8" s="13" t="s">
        <v>9</v>
      </c>
      <c r="B8" s="14" t="s">
        <v>10</v>
      </c>
      <c r="C8" s="53">
        <f>'[4]Team Report'!BA25</f>
        <v>4985502.2300000004</v>
      </c>
      <c r="E8" s="15">
        <f>M28</f>
        <v>4339200</v>
      </c>
      <c r="F8" s="15">
        <f>+M17+M18+M19+M21+M22+M23+M24+M25+M26+M27</f>
        <v>4224000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93866.666666666672</v>
      </c>
    </row>
    <row r="9" spans="1:44" hidden="1" x14ac:dyDescent="0.2">
      <c r="A9" s="13"/>
      <c r="B9" s="14" t="s">
        <v>11</v>
      </c>
      <c r="C9" s="15">
        <v>0</v>
      </c>
      <c r="E9" s="15">
        <f>(C9/9)*12</f>
        <v>0</v>
      </c>
      <c r="F9" s="15">
        <v>0</v>
      </c>
      <c r="J9" s="7" t="s">
        <v>10</v>
      </c>
      <c r="K9" s="17">
        <v>0</v>
      </c>
      <c r="L9" s="17">
        <f>L28</f>
        <v>45</v>
      </c>
      <c r="M9" s="43">
        <f>+M32</f>
        <v>5207040</v>
      </c>
      <c r="N9" s="8"/>
      <c r="O9" s="7" t="s">
        <v>10</v>
      </c>
      <c r="P9" s="17">
        <v>0</v>
      </c>
      <c r="Q9" s="17">
        <f>Q28</f>
        <v>7</v>
      </c>
      <c r="R9" s="43">
        <f>+R32</f>
        <v>740160</v>
      </c>
      <c r="V9" s="15">
        <f t="shared" ref="V9:V22" si="0">+F9/$F$29*$V$29</f>
        <v>0</v>
      </c>
    </row>
    <row r="10" spans="1:44" x14ac:dyDescent="0.2">
      <c r="A10" s="13"/>
      <c r="B10" s="14" t="s">
        <v>70</v>
      </c>
      <c r="C10" s="15">
        <v>0</v>
      </c>
      <c r="E10" s="15">
        <f>(C10/9)*12</f>
        <v>0</v>
      </c>
      <c r="F10" s="15">
        <f>M20</f>
        <v>115200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2560</v>
      </c>
    </row>
    <row r="11" spans="1:44" x14ac:dyDescent="0.2">
      <c r="A11" s="13" t="s">
        <v>13</v>
      </c>
      <c r="B11" s="14" t="s">
        <v>14</v>
      </c>
      <c r="C11" s="15">
        <f>'[4]Team Report'!BA26</f>
        <v>1210281.1100000001</v>
      </c>
      <c r="E11" s="15">
        <f>M32</f>
        <v>5207040</v>
      </c>
      <c r="F11" s="15">
        <f>(F8+F10)*0.2</f>
        <v>867840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19285.333333333332</v>
      </c>
    </row>
    <row r="12" spans="1:44" x14ac:dyDescent="0.2">
      <c r="A12" s="13" t="s">
        <v>16</v>
      </c>
      <c r="B12" s="14" t="s">
        <v>17</v>
      </c>
      <c r="C12" s="15">
        <f>'[4]Team Report'!BA27</f>
        <v>190029.97</v>
      </c>
      <c r="E12" s="15">
        <f t="shared" ref="E12:E22" si="1">(C12/9)*12</f>
        <v>253373.29333333333</v>
      </c>
      <c r="F12" s="15">
        <f>(E12/$E$29*46)+220000</f>
        <v>333157.00478964404</v>
      </c>
      <c r="J12" s="7" t="s">
        <v>15</v>
      </c>
      <c r="K12" s="17">
        <f>(E12+E13+E14+E15+E16+E17+E18+E19+E20+E21+22)/E29</f>
        <v>5823.4699029126214</v>
      </c>
      <c r="L12" s="17">
        <f>L28</f>
        <v>45</v>
      </c>
      <c r="M12" s="43">
        <f>K12*L12+600000+704684</f>
        <v>1566740.1456310679</v>
      </c>
      <c r="N12" s="8"/>
      <c r="O12" s="7" t="s">
        <v>15</v>
      </c>
      <c r="P12" s="17">
        <f>K12</f>
        <v>5823.4699029126214</v>
      </c>
      <c r="Q12" s="17">
        <f>Q28</f>
        <v>7</v>
      </c>
      <c r="R12" s="43">
        <f>P12*Q12+360000-3367</f>
        <v>397397.28932038834</v>
      </c>
      <c r="V12" s="15">
        <f t="shared" si="0"/>
        <v>7403.4889953254233</v>
      </c>
    </row>
    <row r="13" spans="1:44" x14ac:dyDescent="0.2">
      <c r="A13" s="13" t="s">
        <v>18</v>
      </c>
      <c r="B13" s="14" t="s">
        <v>19</v>
      </c>
      <c r="C13" s="15">
        <f>'[4]Team Report'!BA28</f>
        <v>78390.58</v>
      </c>
      <c r="E13" s="15">
        <f t="shared" si="1"/>
        <v>104520.77333333333</v>
      </c>
      <c r="F13" s="15">
        <f>(E13/$E$29*43)</f>
        <v>43634.885954692552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969.6641323265012</v>
      </c>
    </row>
    <row r="14" spans="1:44" ht="13.5" thickBot="1" x14ac:dyDescent="0.25">
      <c r="A14" s="13" t="s">
        <v>21</v>
      </c>
      <c r="B14" s="14" t="s">
        <v>22</v>
      </c>
      <c r="C14" s="15">
        <v>0</v>
      </c>
      <c r="E14" s="15">
        <f t="shared" si="1"/>
        <v>0</v>
      </c>
      <c r="F14" s="15">
        <f>700000+300000</f>
        <v>1000000</v>
      </c>
      <c r="J14" s="22" t="s">
        <v>20</v>
      </c>
      <c r="K14" s="47"/>
      <c r="L14" s="47"/>
      <c r="M14" s="48">
        <f>SUM(M9:M12)</f>
        <v>6773780.1456310675</v>
      </c>
      <c r="N14" s="8"/>
      <c r="O14" s="22" t="s">
        <v>20</v>
      </c>
      <c r="P14" s="47"/>
      <c r="Q14" s="47"/>
      <c r="R14" s="48">
        <f>SUM(R9:R12)</f>
        <v>1137557.2893203883</v>
      </c>
      <c r="V14" s="15">
        <f t="shared" si="0"/>
        <v>22222.222222222223</v>
      </c>
    </row>
    <row r="15" spans="1:44" x14ac:dyDescent="0.2">
      <c r="A15" s="13" t="s">
        <v>23</v>
      </c>
      <c r="B15" s="14" t="s">
        <v>24</v>
      </c>
      <c r="C15" s="15">
        <f>'[4]Team Report'!BA33</f>
        <v>69921.63</v>
      </c>
      <c r="E15" s="15">
        <f t="shared" si="1"/>
        <v>93228.840000000011</v>
      </c>
      <c r="F15" s="15">
        <f>(E15/$E$29*46)+75000</f>
        <v>116636.1809708738</v>
      </c>
      <c r="J15" s="8"/>
      <c r="K15" s="17"/>
      <c r="L15" s="17"/>
      <c r="M15" s="17"/>
      <c r="N15" s="8"/>
      <c r="V15" s="15">
        <f t="shared" si="0"/>
        <v>2591.9151326860842</v>
      </c>
    </row>
    <row r="16" spans="1:44" x14ac:dyDescent="0.2">
      <c r="A16" s="13" t="s">
        <v>25</v>
      </c>
      <c r="B16" s="14" t="s">
        <v>26</v>
      </c>
      <c r="C16" s="15">
        <f>'[4]Team Report'!BA34</f>
        <v>0</v>
      </c>
      <c r="E16" s="15">
        <f t="shared" si="1"/>
        <v>0</v>
      </c>
      <c r="F16" s="15">
        <f>E16/$E$29*46</f>
        <v>0</v>
      </c>
      <c r="I16" s="49">
        <f>M14-F23</f>
        <v>-305823.65411003307</v>
      </c>
      <c r="J16" s="8"/>
      <c r="K16" s="17"/>
      <c r="L16" s="17"/>
      <c r="M16" s="17">
        <f>N16-F23</f>
        <v>831733.63521035574</v>
      </c>
      <c r="N16" s="75">
        <f>M14+R14</f>
        <v>7911337.4349514563</v>
      </c>
      <c r="V16" s="15">
        <f t="shared" si="0"/>
        <v>0</v>
      </c>
    </row>
    <row r="17" spans="1:22" x14ac:dyDescent="0.2">
      <c r="A17" s="13" t="s">
        <v>28</v>
      </c>
      <c r="B17" s="14" t="s">
        <v>29</v>
      </c>
      <c r="C17" s="15">
        <f>'[4]Team Report'!BA35</f>
        <v>0</v>
      </c>
      <c r="E17" s="15">
        <f t="shared" si="1"/>
        <v>0</v>
      </c>
      <c r="F17" s="15">
        <f>E17/$E$29*46</f>
        <v>0</v>
      </c>
      <c r="J17" s="8" t="s">
        <v>27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27</v>
      </c>
      <c r="P17" s="17">
        <f>(30000*1.2)</f>
        <v>36000</v>
      </c>
      <c r="Q17" s="8">
        <v>1</v>
      </c>
      <c r="R17" s="49">
        <f t="shared" ref="R17:R27" si="3">P17*Q17</f>
        <v>36000</v>
      </c>
      <c r="V17" s="15">
        <f t="shared" si="0"/>
        <v>0</v>
      </c>
    </row>
    <row r="18" spans="1:22" x14ac:dyDescent="0.2">
      <c r="A18" s="13" t="s">
        <v>31</v>
      </c>
      <c r="B18" s="14" t="s">
        <v>32</v>
      </c>
      <c r="C18" s="15">
        <f>'[4]Team Report'!BA36</f>
        <v>19039.670000000002</v>
      </c>
      <c r="E18" s="15">
        <f t="shared" si="1"/>
        <v>25386.226666666669</v>
      </c>
      <c r="F18" s="15">
        <f>(E18/$E$29*46)+50000</f>
        <v>61337.538122977348</v>
      </c>
      <c r="J18" t="s">
        <v>93</v>
      </c>
      <c r="K18" s="17">
        <f>(40000*1.2)*1.2</f>
        <v>57600</v>
      </c>
      <c r="L18">
        <v>4</v>
      </c>
      <c r="M18" s="17">
        <f t="shared" si="2"/>
        <v>230400</v>
      </c>
      <c r="O18" t="s">
        <v>93</v>
      </c>
      <c r="P18" s="17">
        <f>(40000*1.2)*1.2</f>
        <v>57600</v>
      </c>
      <c r="Q18">
        <v>1</v>
      </c>
      <c r="R18" s="49">
        <f t="shared" si="3"/>
        <v>57600</v>
      </c>
      <c r="V18" s="15">
        <f t="shared" si="0"/>
        <v>1363.0564027328301</v>
      </c>
    </row>
    <row r="19" spans="1:22" x14ac:dyDescent="0.2">
      <c r="A19" s="13" t="s">
        <v>34</v>
      </c>
      <c r="B19" s="14" t="s">
        <v>35</v>
      </c>
      <c r="C19" s="15">
        <f>'[4]Team Report'!BA37</f>
        <v>17422.019999999997</v>
      </c>
      <c r="E19" s="15">
        <f t="shared" si="1"/>
        <v>23229.359999999997</v>
      </c>
      <c r="F19" s="15">
        <f>(E19/$E$29*46)+136897</f>
        <v>147271.2772815534</v>
      </c>
      <c r="J19" t="s">
        <v>33</v>
      </c>
      <c r="K19" s="17">
        <v>49200</v>
      </c>
      <c r="L19">
        <v>2</v>
      </c>
      <c r="M19" s="17">
        <f t="shared" si="2"/>
        <v>98400</v>
      </c>
      <c r="O19" t="s">
        <v>33</v>
      </c>
      <c r="P19" s="17">
        <v>49200</v>
      </c>
      <c r="Q19">
        <v>1</v>
      </c>
      <c r="R19" s="49">
        <f t="shared" si="3"/>
        <v>49200</v>
      </c>
      <c r="V19" s="15">
        <f t="shared" si="0"/>
        <v>3272.6950507011866</v>
      </c>
    </row>
    <row r="20" spans="1:22" x14ac:dyDescent="0.2">
      <c r="A20" s="13" t="s">
        <v>37</v>
      </c>
      <c r="B20" s="14" t="s">
        <v>38</v>
      </c>
      <c r="C20" s="15">
        <f>'[4]Team Report'!BA38</f>
        <v>0</v>
      </c>
      <c r="E20" s="15">
        <f t="shared" si="1"/>
        <v>0</v>
      </c>
      <c r="F20" s="15">
        <f>E20/$E$29*46</f>
        <v>0</v>
      </c>
      <c r="J20" t="s">
        <v>94</v>
      </c>
      <c r="K20" s="17">
        <v>57600</v>
      </c>
      <c r="L20">
        <v>2</v>
      </c>
      <c r="M20" s="17">
        <f t="shared" si="2"/>
        <v>115200</v>
      </c>
      <c r="O20" t="s">
        <v>94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x14ac:dyDescent="0.2">
      <c r="A21" s="13" t="s">
        <v>40</v>
      </c>
      <c r="B21" s="14" t="s">
        <v>41</v>
      </c>
      <c r="C21" s="15">
        <f>'[4]Team Report'!BA42</f>
        <v>75042.680000000008</v>
      </c>
      <c r="E21" s="15">
        <f t="shared" si="1"/>
        <v>100056.90666666668</v>
      </c>
      <c r="F21" s="15">
        <f>(E21/$E$29*46)+125000</f>
        <v>169685.60880258901</v>
      </c>
      <c r="J21" t="s">
        <v>36</v>
      </c>
      <c r="K21" s="17">
        <v>62400</v>
      </c>
      <c r="L21">
        <v>7</v>
      </c>
      <c r="M21" s="17">
        <f t="shared" si="2"/>
        <v>436800</v>
      </c>
      <c r="O21" t="s">
        <v>36</v>
      </c>
      <c r="P21" s="17">
        <v>62400</v>
      </c>
      <c r="Q21">
        <v>0</v>
      </c>
      <c r="R21" s="49">
        <f t="shared" si="3"/>
        <v>0</v>
      </c>
      <c r="V21" s="15">
        <f t="shared" si="0"/>
        <v>3770.7913067242002</v>
      </c>
    </row>
    <row r="22" spans="1:22" x14ac:dyDescent="0.2">
      <c r="A22" s="13" t="s">
        <v>43</v>
      </c>
      <c r="B22" s="14" t="s">
        <v>44</v>
      </c>
      <c r="C22" s="15">
        <f>'[4]Team Report'!BA44</f>
        <v>1226.24</v>
      </c>
      <c r="E22" s="15">
        <f t="shared" si="1"/>
        <v>1634.9866666666667</v>
      </c>
      <c r="F22" s="15">
        <f>E22/$E$29*53</f>
        <v>841.3038187702266</v>
      </c>
      <c r="J22" t="s">
        <v>108</v>
      </c>
      <c r="K22" s="17">
        <v>74400</v>
      </c>
      <c r="L22">
        <v>11</v>
      </c>
      <c r="M22" s="17">
        <f t="shared" si="2"/>
        <v>818400</v>
      </c>
      <c r="O22" t="s">
        <v>108</v>
      </c>
      <c r="P22" s="17">
        <v>74400</v>
      </c>
      <c r="Q22">
        <v>0</v>
      </c>
      <c r="R22" s="49">
        <f t="shared" si="3"/>
        <v>0</v>
      </c>
      <c r="V22" s="15">
        <f t="shared" si="0"/>
        <v>18.695640417116145</v>
      </c>
    </row>
    <row r="23" spans="1:22" ht="13.5" thickBot="1" x14ac:dyDescent="0.25">
      <c r="A23" s="26" t="s">
        <v>46</v>
      </c>
      <c r="B23" s="27" t="s">
        <v>47</v>
      </c>
      <c r="C23" s="28">
        <f>SUM(C8:C22)</f>
        <v>6646856.1299999999</v>
      </c>
      <c r="E23" s="31">
        <f>SUM(E8:E22)</f>
        <v>10147670.386666665</v>
      </c>
      <c r="F23" s="31">
        <f>SUM(F8:F22)</f>
        <v>7079603.7997411005</v>
      </c>
      <c r="J23" t="s">
        <v>96</v>
      </c>
      <c r="K23" s="17">
        <v>90000</v>
      </c>
      <c r="L23">
        <v>9</v>
      </c>
      <c r="M23" s="17">
        <f t="shared" si="2"/>
        <v>810000</v>
      </c>
      <c r="O23" t="s">
        <v>96</v>
      </c>
      <c r="P23" s="17">
        <v>90000</v>
      </c>
      <c r="Q23">
        <v>2</v>
      </c>
      <c r="R23" s="49">
        <f t="shared" si="3"/>
        <v>180000</v>
      </c>
      <c r="V23" s="58">
        <f>SUM(V8:V22)</f>
        <v>157324.52888313553</v>
      </c>
    </row>
    <row r="24" spans="1:22" x14ac:dyDescent="0.2">
      <c r="J24" t="s">
        <v>97</v>
      </c>
      <c r="K24" s="17">
        <v>120000</v>
      </c>
      <c r="L24">
        <v>4</v>
      </c>
      <c r="M24" s="17">
        <f t="shared" si="2"/>
        <v>480000</v>
      </c>
      <c r="O24" t="s">
        <v>97</v>
      </c>
      <c r="P24" s="17">
        <v>120000</v>
      </c>
      <c r="Q24">
        <v>1</v>
      </c>
      <c r="R24" s="49">
        <f t="shared" si="3"/>
        <v>120000</v>
      </c>
    </row>
    <row r="25" spans="1:22" x14ac:dyDescent="0.2">
      <c r="B25" s="27" t="s">
        <v>50</v>
      </c>
      <c r="C25" s="55"/>
      <c r="E25" s="55">
        <v>99</v>
      </c>
      <c r="F25" s="55">
        <f>SUM(L17:L19,L21:L27)</f>
        <v>43</v>
      </c>
      <c r="J25" t="s">
        <v>98</v>
      </c>
      <c r="K25" s="17">
        <v>174000</v>
      </c>
      <c r="L25">
        <v>1</v>
      </c>
      <c r="M25" s="17">
        <f t="shared" si="2"/>
        <v>174000</v>
      </c>
      <c r="O25" t="s">
        <v>98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x14ac:dyDescent="0.2">
      <c r="J26" t="s">
        <v>99</v>
      </c>
      <c r="K26" s="17">
        <v>216000</v>
      </c>
      <c r="L26">
        <v>4</v>
      </c>
      <c r="M26" s="17">
        <f t="shared" si="2"/>
        <v>864000</v>
      </c>
      <c r="O26" t="s">
        <v>99</v>
      </c>
      <c r="P26" s="17">
        <v>216000</v>
      </c>
      <c r="R26" s="49">
        <f t="shared" si="3"/>
        <v>0</v>
      </c>
      <c r="V26" s="15"/>
    </row>
    <row r="27" spans="1:22" x14ac:dyDescent="0.2">
      <c r="B27" s="27" t="s">
        <v>67</v>
      </c>
      <c r="C27" s="55"/>
      <c r="E27" s="55">
        <v>4</v>
      </c>
      <c r="F27" s="55">
        <v>2</v>
      </c>
      <c r="J27" t="s">
        <v>100</v>
      </c>
      <c r="K27" s="17">
        <v>312000</v>
      </c>
      <c r="L27">
        <v>1</v>
      </c>
      <c r="M27" s="17">
        <f t="shared" si="2"/>
        <v>312000</v>
      </c>
      <c r="O27" t="s">
        <v>100</v>
      </c>
      <c r="P27" s="17">
        <v>312000</v>
      </c>
      <c r="R27" s="49">
        <f t="shared" si="3"/>
        <v>0</v>
      </c>
      <c r="V27" s="31">
        <f>SUM(AB21:AB22)</f>
        <v>0</v>
      </c>
    </row>
    <row r="28" spans="1:22" x14ac:dyDescent="0.2">
      <c r="L28" s="25">
        <f>SUM(L17:L27)</f>
        <v>45</v>
      </c>
      <c r="M28" s="25">
        <f>SUM(M17:M27)</f>
        <v>4339200</v>
      </c>
      <c r="P28" s="25"/>
      <c r="Q28">
        <f>SUM(Q17:Q27)</f>
        <v>7</v>
      </c>
      <c r="R28" s="49">
        <f>SUM(R17:R27)</f>
        <v>616800</v>
      </c>
    </row>
    <row r="29" spans="1:22" x14ac:dyDescent="0.2">
      <c r="B29" s="27" t="s">
        <v>55</v>
      </c>
      <c r="C29" s="55"/>
      <c r="E29" s="55">
        <f>SUM(E25:E28)</f>
        <v>103</v>
      </c>
      <c r="F29" s="55">
        <f>SUM(F25:F27)</f>
        <v>45</v>
      </c>
      <c r="P29" s="25"/>
      <c r="Q29" s="25"/>
      <c r="V29" s="31">
        <v>1</v>
      </c>
    </row>
    <row r="30" spans="1:22" x14ac:dyDescent="0.2">
      <c r="B30" s="27"/>
      <c r="J30" t="s">
        <v>102</v>
      </c>
      <c r="L30" s="52"/>
      <c r="M30" s="52">
        <v>0.2</v>
      </c>
      <c r="O30" t="s">
        <v>102</v>
      </c>
      <c r="P30" s="25"/>
      <c r="Q30" s="52"/>
      <c r="R30" s="52">
        <v>0.2</v>
      </c>
    </row>
    <row r="31" spans="1:22" hidden="1" x14ac:dyDescent="0.2">
      <c r="A31" s="13" t="s">
        <v>71</v>
      </c>
      <c r="B31" s="14" t="s">
        <v>72</v>
      </c>
      <c r="C31" s="15">
        <f>'[4]Team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idden="1" x14ac:dyDescent="0.2">
      <c r="A32" s="13" t="s">
        <v>73</v>
      </c>
      <c r="B32" s="14" t="s">
        <v>74</v>
      </c>
      <c r="C32" s="15">
        <f>'[4]Team Report'!BA30</f>
        <v>0</v>
      </c>
      <c r="E32" s="15">
        <f t="shared" si="4"/>
        <v>0</v>
      </c>
      <c r="F32" s="15"/>
      <c r="M32" s="25">
        <f>M28*1.2</f>
        <v>5207040</v>
      </c>
      <c r="P32" s="25"/>
      <c r="Q32" s="25"/>
      <c r="R32" s="25">
        <f>R28*1.2</f>
        <v>740160</v>
      </c>
    </row>
    <row r="33" spans="1:17" hidden="1" x14ac:dyDescent="0.2">
      <c r="A33" s="13" t="s">
        <v>75</v>
      </c>
      <c r="B33" s="14" t="s">
        <v>76</v>
      </c>
      <c r="C33" s="15">
        <f>'[4]Team Report'!BA31</f>
        <v>0</v>
      </c>
      <c r="E33" s="15">
        <f t="shared" si="4"/>
        <v>0</v>
      </c>
      <c r="F33" s="15"/>
      <c r="P33" s="25"/>
      <c r="Q33" s="25"/>
    </row>
    <row r="34" spans="1:17" hidden="1" x14ac:dyDescent="0.2">
      <c r="A34" s="13" t="s">
        <v>77</v>
      </c>
      <c r="B34" s="14" t="s">
        <v>78</v>
      </c>
      <c r="C34" s="15">
        <f>'[4]Team Report'!BA39</f>
        <v>0</v>
      </c>
      <c r="E34" s="15">
        <f t="shared" si="4"/>
        <v>0</v>
      </c>
      <c r="F34" s="15"/>
      <c r="J34" s="33" t="s">
        <v>56</v>
      </c>
      <c r="N34" s="25"/>
    </row>
    <row r="35" spans="1:17" ht="13.5" hidden="1" thickBot="1" x14ac:dyDescent="0.25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4"/>
        <v>32893.85333333334</v>
      </c>
      <c r="F35" s="15"/>
      <c r="J35" s="145" t="s">
        <v>105</v>
      </c>
      <c r="K35" s="145"/>
      <c r="L35" s="145"/>
      <c r="M35" s="145"/>
      <c r="N35" s="25"/>
    </row>
    <row r="36" spans="1:17" hidden="1" x14ac:dyDescent="0.2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4"/>
        <v>641393.90666666673</v>
      </c>
      <c r="F36" s="15"/>
      <c r="J36" s="34" t="s">
        <v>57</v>
      </c>
      <c r="L36" s="35" t="s">
        <v>58</v>
      </c>
      <c r="M36" s="35" t="s">
        <v>59</v>
      </c>
      <c r="N36" s="35" t="s">
        <v>2</v>
      </c>
      <c r="O36" s="35" t="s">
        <v>60</v>
      </c>
    </row>
    <row r="37" spans="1:17" hidden="1" x14ac:dyDescent="0.2">
      <c r="A37" s="13" t="s">
        <v>83</v>
      </c>
      <c r="B37" s="14" t="s">
        <v>84</v>
      </c>
      <c r="C37" s="15">
        <f>'[4]Team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109</v>
      </c>
    </row>
    <row r="38" spans="1:17" hidden="1" x14ac:dyDescent="0.2">
      <c r="A38" s="13" t="s">
        <v>85</v>
      </c>
      <c r="B38" s="14" t="s">
        <v>86</v>
      </c>
      <c r="C38" s="15">
        <f>'[4]Team Report'!BA45</f>
        <v>0</v>
      </c>
      <c r="E38" s="15">
        <f t="shared" si="4"/>
        <v>0</v>
      </c>
      <c r="F38" s="15"/>
      <c r="P38" t="s">
        <v>110</v>
      </c>
    </row>
    <row r="39" spans="1:17" x14ac:dyDescent="0.2">
      <c r="A39" s="13"/>
      <c r="B39" s="14"/>
      <c r="C39" s="15"/>
      <c r="E39" s="15"/>
      <c r="F39" s="15"/>
      <c r="P39" t="s">
        <v>111</v>
      </c>
    </row>
    <row r="40" spans="1:17" x14ac:dyDescent="0.2">
      <c r="A40" s="13"/>
      <c r="B40" s="14"/>
      <c r="C40" s="15"/>
      <c r="E40" s="15"/>
      <c r="F40" s="15"/>
      <c r="P40" t="s">
        <v>112</v>
      </c>
    </row>
    <row r="41" spans="1:17" ht="13.5" thickBot="1" x14ac:dyDescent="0.25">
      <c r="A41" s="13"/>
      <c r="B41" s="14"/>
      <c r="C41" s="15"/>
      <c r="E41" s="15"/>
      <c r="F41" s="15"/>
      <c r="J41" s="145" t="s">
        <v>106</v>
      </c>
      <c r="K41" s="145"/>
      <c r="L41" s="145"/>
      <c r="M41" s="145"/>
      <c r="N41" s="25"/>
      <c r="P41" t="s">
        <v>113</v>
      </c>
    </row>
    <row r="42" spans="1:17" x14ac:dyDescent="0.2">
      <c r="J42" s="34" t="s">
        <v>57</v>
      </c>
      <c r="L42" s="35" t="s">
        <v>58</v>
      </c>
      <c r="M42" s="35" t="s">
        <v>59</v>
      </c>
      <c r="N42" s="35" t="s">
        <v>2</v>
      </c>
      <c r="O42" s="35" t="s">
        <v>60</v>
      </c>
    </row>
    <row r="43" spans="1:17" x14ac:dyDescent="0.2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114</v>
      </c>
    </row>
    <row r="44" spans="1:17" x14ac:dyDescent="0.2">
      <c r="P44" t="s">
        <v>115</v>
      </c>
    </row>
    <row r="46" spans="1:17" x14ac:dyDescent="0.2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R46"/>
  <sheetViews>
    <sheetView topLeftCell="A6"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5" customWidth="1"/>
    <col min="7" max="7" width="2.28515625" hidden="1" customWidth="1"/>
    <col min="8" max="8" width="9.140625" hidden="1" customWidth="1"/>
    <col min="9" max="9" width="10.8554687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10.28515625" hidden="1" customWidth="1"/>
    <col min="15" max="15" width="12.85546875" hidden="1" customWidth="1"/>
    <col min="16" max="16" width="8.7109375" hidden="1" customWidth="1"/>
    <col min="17" max="17" width="8.85546875" hidden="1" customWidth="1"/>
    <col min="18" max="18" width="10.28515625" hidden="1" customWidth="1"/>
    <col min="19" max="23" width="9.140625" hidden="1" customWidth="1"/>
    <col min="24" max="56" width="0" hidden="1" customWidth="1"/>
  </cols>
  <sheetData>
    <row r="1" spans="1:44" ht="18" x14ac:dyDescent="0.25">
      <c r="B1" s="140" t="str">
        <f>'[4]Team Report'!B1</f>
        <v>Enron North America</v>
      </c>
      <c r="C1" s="140"/>
      <c r="D1" s="140"/>
      <c r="E1" s="140"/>
      <c r="F1" s="140"/>
      <c r="G1" s="140"/>
      <c r="H1" s="140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0" t="s">
        <v>106</v>
      </c>
      <c r="C2" s="140"/>
      <c r="D2" s="140"/>
      <c r="E2" s="140"/>
      <c r="F2" s="140"/>
      <c r="G2" s="140"/>
      <c r="H2" s="140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41" t="s">
        <v>0</v>
      </c>
      <c r="C3" s="147"/>
      <c r="D3" s="147"/>
      <c r="E3" s="147"/>
      <c r="F3" s="147"/>
      <c r="G3" s="147"/>
      <c r="H3" s="147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>
      <c r="J4" s="145" t="s">
        <v>105</v>
      </c>
      <c r="K4" s="145"/>
      <c r="L4" s="145"/>
      <c r="M4" s="145"/>
      <c r="O4" s="145" t="s">
        <v>106</v>
      </c>
      <c r="P4" s="145"/>
      <c r="Q4" s="145"/>
      <c r="R4" s="145"/>
    </row>
    <row r="5" spans="1:44" x14ac:dyDescent="0.2">
      <c r="J5" s="4"/>
      <c r="K5" s="40"/>
      <c r="L5" s="40"/>
      <c r="M5" s="41"/>
      <c r="N5" s="8"/>
      <c r="O5" s="4"/>
      <c r="P5" s="40"/>
      <c r="Q5" s="40"/>
      <c r="R5" s="41"/>
    </row>
    <row r="6" spans="1:44" x14ac:dyDescent="0.2">
      <c r="C6" s="10">
        <v>37135</v>
      </c>
      <c r="E6" s="44" t="s">
        <v>61</v>
      </c>
      <c r="F6" s="44" t="s">
        <v>63</v>
      </c>
      <c r="H6" s="10" t="s">
        <v>4</v>
      </c>
      <c r="J6" s="7"/>
      <c r="K6" s="19" t="s">
        <v>1</v>
      </c>
      <c r="L6" s="19" t="s">
        <v>2</v>
      </c>
      <c r="M6" s="74" t="s">
        <v>107</v>
      </c>
      <c r="N6" s="8"/>
      <c r="O6" s="7"/>
      <c r="P6" s="19" t="s">
        <v>1</v>
      </c>
      <c r="Q6" s="19" t="s">
        <v>2</v>
      </c>
      <c r="R6" s="74" t="s">
        <v>107</v>
      </c>
      <c r="V6" s="44" t="s">
        <v>63</v>
      </c>
    </row>
    <row r="7" spans="1:44" x14ac:dyDescent="0.2">
      <c r="C7" s="12" t="s">
        <v>5</v>
      </c>
      <c r="E7" s="12" t="s">
        <v>6</v>
      </c>
      <c r="F7" s="12" t="s">
        <v>7</v>
      </c>
      <c r="H7" s="12" t="s">
        <v>8</v>
      </c>
      <c r="J7" s="7"/>
      <c r="K7" s="17"/>
      <c r="L7" s="17"/>
      <c r="M7" s="43"/>
      <c r="N7" s="8"/>
      <c r="O7" s="7"/>
      <c r="P7" s="17"/>
      <c r="Q7" s="17"/>
      <c r="R7" s="43"/>
      <c r="V7" s="12" t="s">
        <v>7</v>
      </c>
    </row>
    <row r="8" spans="1:44" x14ac:dyDescent="0.2">
      <c r="A8" s="13" t="s">
        <v>9</v>
      </c>
      <c r="B8" s="14" t="s">
        <v>10</v>
      </c>
      <c r="C8" s="53">
        <f>'[4]Team Report'!BA25</f>
        <v>4985502.2300000004</v>
      </c>
      <c r="E8" s="15">
        <f>M28</f>
        <v>4252800</v>
      </c>
      <c r="F8" s="109">
        <f>(R17+R18+R19+R23+R24+R25)*1.2</f>
        <v>658080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109680</v>
      </c>
    </row>
    <row r="9" spans="1:44" hidden="1" x14ac:dyDescent="0.2">
      <c r="A9" s="13"/>
      <c r="B9" s="14" t="s">
        <v>11</v>
      </c>
      <c r="C9" s="15">
        <v>0</v>
      </c>
      <c r="E9" s="15">
        <f>(C9/9)*12</f>
        <v>0</v>
      </c>
      <c r="F9" s="109">
        <v>0</v>
      </c>
      <c r="J9" s="7" t="s">
        <v>10</v>
      </c>
      <c r="K9" s="17">
        <v>0</v>
      </c>
      <c r="L9" s="17">
        <f>L28</f>
        <v>46</v>
      </c>
      <c r="M9" s="43">
        <f>+M32</f>
        <v>5103360</v>
      </c>
      <c r="N9" s="8"/>
      <c r="O9" s="7" t="s">
        <v>10</v>
      </c>
      <c r="P9" s="17">
        <v>0</v>
      </c>
      <c r="Q9" s="17">
        <f>Q28</f>
        <v>6</v>
      </c>
      <c r="R9" s="43">
        <f>+R32</f>
        <v>658080</v>
      </c>
      <c r="V9" s="15">
        <f t="shared" ref="V9:V22" si="0">+F9/$F$29*$V$29</f>
        <v>0</v>
      </c>
    </row>
    <row r="10" spans="1:44" hidden="1" x14ac:dyDescent="0.2">
      <c r="A10" s="13"/>
      <c r="B10" s="14" t="s">
        <v>70</v>
      </c>
      <c r="C10" s="15">
        <v>0</v>
      </c>
      <c r="E10" s="15">
        <f>(C10/9)*12</f>
        <v>0</v>
      </c>
      <c r="F10" s="109">
        <v>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0</v>
      </c>
    </row>
    <row r="11" spans="1:44" x14ac:dyDescent="0.2">
      <c r="A11" s="13" t="s">
        <v>13</v>
      </c>
      <c r="B11" s="14" t="s">
        <v>14</v>
      </c>
      <c r="C11" s="15">
        <f>'[4]Team Report'!BA26</f>
        <v>1210281.1100000001</v>
      </c>
      <c r="E11" s="15">
        <f>M32</f>
        <v>5103360</v>
      </c>
      <c r="F11" s="109">
        <f>((F8+F10)*0.2)*1.2</f>
        <v>157939.19999999998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26323.199999999997</v>
      </c>
    </row>
    <row r="12" spans="1:44" x14ac:dyDescent="0.2">
      <c r="A12" s="13" t="s">
        <v>16</v>
      </c>
      <c r="B12" s="14" t="s">
        <v>17</v>
      </c>
      <c r="C12" s="15">
        <f>'[4]Team Report'!BA27</f>
        <v>190029.97</v>
      </c>
      <c r="E12" s="15">
        <f t="shared" ref="E12:E22" si="1">(C12/9)*12</f>
        <v>253373.29333333333</v>
      </c>
      <c r="F12" s="109">
        <f>((E12/$E$29*7)+7477+46)*1.2</f>
        <v>29691.053048543687</v>
      </c>
      <c r="J12" s="7" t="s">
        <v>15</v>
      </c>
      <c r="K12" s="17">
        <f>(E12+E13+E14+E15+E16+E17+E18+E19+E20+E21+22)/E29</f>
        <v>5823.4699029126214</v>
      </c>
      <c r="L12" s="17">
        <f>L28</f>
        <v>46</v>
      </c>
      <c r="M12" s="43">
        <f>K12*L12+600000+704684</f>
        <v>1572563.6155339805</v>
      </c>
      <c r="N12" s="8"/>
      <c r="O12" s="7" t="s">
        <v>15</v>
      </c>
      <c r="P12" s="17">
        <f>K12</f>
        <v>5823.4699029126214</v>
      </c>
      <c r="Q12" s="17">
        <f>Q28</f>
        <v>6</v>
      </c>
      <c r="R12" s="43">
        <f>P12*Q12+360000-3367</f>
        <v>391573.81941747572</v>
      </c>
      <c r="V12" s="15">
        <f t="shared" si="0"/>
        <v>4948.5088414239481</v>
      </c>
    </row>
    <row r="13" spans="1:44" x14ac:dyDescent="0.2">
      <c r="A13" s="13" t="s">
        <v>18</v>
      </c>
      <c r="B13" s="14" t="s">
        <v>19</v>
      </c>
      <c r="C13" s="15">
        <f>'[4]Team Report'!BA28</f>
        <v>78390.58</v>
      </c>
      <c r="E13" s="15">
        <f t="shared" si="1"/>
        <v>104520.77333333333</v>
      </c>
      <c r="F13" s="109">
        <f>((E13/$E$29*7)+6000)*1.2</f>
        <v>15724.024233009708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2620.6707055016182</v>
      </c>
    </row>
    <row r="14" spans="1:44" ht="13.5" thickBot="1" x14ac:dyDescent="0.25">
      <c r="A14" s="13" t="s">
        <v>21</v>
      </c>
      <c r="B14" s="14" t="s">
        <v>22</v>
      </c>
      <c r="C14" s="15">
        <v>0</v>
      </c>
      <c r="E14" s="15">
        <f t="shared" si="1"/>
        <v>0</v>
      </c>
      <c r="F14" s="109">
        <v>396000</v>
      </c>
      <c r="J14" s="22" t="s">
        <v>20</v>
      </c>
      <c r="K14" s="47"/>
      <c r="L14" s="47"/>
      <c r="M14" s="48">
        <f>SUM(M9:M12)</f>
        <v>6675923.6155339805</v>
      </c>
      <c r="N14" s="8"/>
      <c r="O14" s="22" t="s">
        <v>20</v>
      </c>
      <c r="P14" s="47"/>
      <c r="Q14" s="47"/>
      <c r="R14" s="48">
        <f>SUM(R9:R12)</f>
        <v>1049653.8194174757</v>
      </c>
      <c r="V14" s="15">
        <f t="shared" si="0"/>
        <v>66000</v>
      </c>
    </row>
    <row r="15" spans="1:44" x14ac:dyDescent="0.2">
      <c r="A15" s="13" t="s">
        <v>23</v>
      </c>
      <c r="B15" s="14" t="s">
        <v>24</v>
      </c>
      <c r="C15" s="15">
        <f>'[4]Team Report'!BA33</f>
        <v>69921.63</v>
      </c>
      <c r="E15" s="15">
        <f t="shared" si="1"/>
        <v>93228.840000000011</v>
      </c>
      <c r="F15" s="109">
        <f>((E15/$E$29*7)+2000)*1.2</f>
        <v>10003.128699029126</v>
      </c>
      <c r="J15" s="8"/>
      <c r="K15" s="17"/>
      <c r="L15" s="17"/>
      <c r="M15" s="17"/>
      <c r="N15" s="8"/>
      <c r="V15" s="15">
        <f t="shared" si="0"/>
        <v>1667.1881165048544</v>
      </c>
    </row>
    <row r="16" spans="1:44" x14ac:dyDescent="0.2">
      <c r="A16" s="13" t="s">
        <v>25</v>
      </c>
      <c r="B16" s="14" t="s">
        <v>26</v>
      </c>
      <c r="C16" s="15">
        <f>'[4]Team Report'!BA34</f>
        <v>0</v>
      </c>
      <c r="E16" s="15">
        <f t="shared" si="1"/>
        <v>0</v>
      </c>
      <c r="F16" s="109">
        <f>(E16/$E$29*7)*1.2</f>
        <v>0</v>
      </c>
      <c r="I16" s="49"/>
      <c r="J16" s="8"/>
      <c r="K16" s="17"/>
      <c r="L16" s="17"/>
      <c r="M16" s="17">
        <f>N16-F23</f>
        <v>6132681.9432233013</v>
      </c>
      <c r="N16" s="75">
        <f>M14+R14</f>
        <v>7725577.4349514563</v>
      </c>
      <c r="V16" s="15">
        <f t="shared" si="0"/>
        <v>0</v>
      </c>
    </row>
    <row r="17" spans="1:22" x14ac:dyDescent="0.2">
      <c r="A17" s="13" t="s">
        <v>28</v>
      </c>
      <c r="B17" s="14" t="s">
        <v>29</v>
      </c>
      <c r="C17" s="15">
        <f>'[4]Team Report'!BA35</f>
        <v>0</v>
      </c>
      <c r="E17" s="15">
        <f t="shared" si="1"/>
        <v>0</v>
      </c>
      <c r="F17" s="109">
        <f>(E17/$E$29*7)*1.2</f>
        <v>0</v>
      </c>
      <c r="J17" s="8" t="s">
        <v>27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27</v>
      </c>
      <c r="P17" s="17">
        <f>(30000*1.2)</f>
        <v>36000</v>
      </c>
      <c r="Q17" s="8">
        <v>0</v>
      </c>
      <c r="R17" s="49">
        <f t="shared" ref="R17:R27" si="3">P17*Q17</f>
        <v>0</v>
      </c>
      <c r="V17" s="15">
        <f t="shared" si="0"/>
        <v>0</v>
      </c>
    </row>
    <row r="18" spans="1:22" x14ac:dyDescent="0.2">
      <c r="A18" s="13" t="s">
        <v>31</v>
      </c>
      <c r="B18" s="14" t="s">
        <v>32</v>
      </c>
      <c r="C18" s="15">
        <f>'[4]Team Report'!BA36</f>
        <v>19039.670000000002</v>
      </c>
      <c r="E18" s="15">
        <f t="shared" si="1"/>
        <v>25386.226666666669</v>
      </c>
      <c r="F18" s="109">
        <f>((E18/$E$29*7)+2000)*1.2</f>
        <v>4470.33304854369</v>
      </c>
      <c r="J18" t="s">
        <v>93</v>
      </c>
      <c r="K18" s="17">
        <f>(40000*1.2)*1.2</f>
        <v>57600</v>
      </c>
      <c r="L18">
        <v>3</v>
      </c>
      <c r="M18" s="17">
        <f t="shared" si="2"/>
        <v>172800</v>
      </c>
      <c r="O18" t="s">
        <v>93</v>
      </c>
      <c r="P18" s="17">
        <f>(40000*1.2)*1.2</f>
        <v>57600</v>
      </c>
      <c r="Q18">
        <v>2</v>
      </c>
      <c r="R18" s="49">
        <f t="shared" si="3"/>
        <v>115200</v>
      </c>
      <c r="V18" s="15">
        <f t="shared" si="0"/>
        <v>745.05550809061504</v>
      </c>
    </row>
    <row r="19" spans="1:22" x14ac:dyDescent="0.2">
      <c r="A19" s="13" t="s">
        <v>34</v>
      </c>
      <c r="B19" s="14" t="s">
        <v>35</v>
      </c>
      <c r="C19" s="15">
        <f>'[4]Team Report'!BA37</f>
        <v>17422.019999999997</v>
      </c>
      <c r="E19" s="15">
        <f t="shared" si="1"/>
        <v>23229.359999999997</v>
      </c>
      <c r="F19" s="109">
        <f>((E19/$E$29*7)+7000)*1.2</f>
        <v>10294.433242718447</v>
      </c>
      <c r="J19" t="s">
        <v>33</v>
      </c>
      <c r="K19" s="17">
        <v>49200</v>
      </c>
      <c r="L19">
        <v>1</v>
      </c>
      <c r="M19" s="17">
        <f t="shared" si="2"/>
        <v>49200</v>
      </c>
      <c r="O19" t="s">
        <v>33</v>
      </c>
      <c r="P19" s="17">
        <v>49200</v>
      </c>
      <c r="Q19">
        <v>1</v>
      </c>
      <c r="R19" s="49">
        <f t="shared" si="3"/>
        <v>49200</v>
      </c>
      <c r="V19" s="15">
        <f t="shared" si="0"/>
        <v>1715.7388737864078</v>
      </c>
    </row>
    <row r="20" spans="1:22" x14ac:dyDescent="0.2">
      <c r="A20" s="13" t="s">
        <v>37</v>
      </c>
      <c r="B20" s="14" t="s">
        <v>38</v>
      </c>
      <c r="C20" s="15">
        <f>'[4]Team Report'!BA38</f>
        <v>0</v>
      </c>
      <c r="E20" s="15">
        <f t="shared" si="1"/>
        <v>0</v>
      </c>
      <c r="F20" s="109">
        <f>(E20/$E$29*46)*1.2</f>
        <v>0</v>
      </c>
      <c r="J20" t="s">
        <v>94</v>
      </c>
      <c r="K20" s="17">
        <v>57600</v>
      </c>
      <c r="L20">
        <v>3</v>
      </c>
      <c r="M20" s="17">
        <f t="shared" si="2"/>
        <v>172800</v>
      </c>
      <c r="O20" t="s">
        <v>94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x14ac:dyDescent="0.2">
      <c r="A21" s="13" t="s">
        <v>40</v>
      </c>
      <c r="B21" s="14" t="s">
        <v>41</v>
      </c>
      <c r="C21" s="15">
        <f>'[4]Team Report'!BA42</f>
        <v>75042.680000000008</v>
      </c>
      <c r="E21" s="15">
        <f t="shared" si="1"/>
        <v>100056.90666666668</v>
      </c>
      <c r="F21" s="109">
        <f>((E21/$E$29*7)+2000+250000)*1.2</f>
        <v>310559.98073786404</v>
      </c>
      <c r="J21" t="s">
        <v>36</v>
      </c>
      <c r="K21" s="17">
        <v>62400</v>
      </c>
      <c r="L21">
        <v>12</v>
      </c>
      <c r="M21" s="17">
        <f t="shared" si="2"/>
        <v>748800</v>
      </c>
      <c r="O21" t="s">
        <v>36</v>
      </c>
      <c r="P21" s="17">
        <v>62400</v>
      </c>
      <c r="Q21">
        <v>0</v>
      </c>
      <c r="R21" s="49">
        <f t="shared" si="3"/>
        <v>0</v>
      </c>
      <c r="V21" s="15">
        <f t="shared" si="0"/>
        <v>51759.996789644007</v>
      </c>
    </row>
    <row r="22" spans="1:22" x14ac:dyDescent="0.2">
      <c r="A22" s="13" t="s">
        <v>43</v>
      </c>
      <c r="B22" s="14" t="s">
        <v>44</v>
      </c>
      <c r="C22" s="15">
        <f>'[4]Team Report'!BA44</f>
        <v>1226.24</v>
      </c>
      <c r="E22" s="15">
        <f t="shared" si="1"/>
        <v>1634.9866666666667</v>
      </c>
      <c r="F22" s="109">
        <f>(E22/$E$29*7)*1.2</f>
        <v>133.33871844660194</v>
      </c>
      <c r="J22" t="s">
        <v>108</v>
      </c>
      <c r="K22" s="17">
        <v>74400</v>
      </c>
      <c r="L22">
        <v>8</v>
      </c>
      <c r="M22" s="17">
        <f t="shared" si="2"/>
        <v>595200</v>
      </c>
      <c r="O22" t="s">
        <v>108</v>
      </c>
      <c r="P22" s="17">
        <v>74400</v>
      </c>
      <c r="Q22">
        <v>0</v>
      </c>
      <c r="R22" s="49">
        <f t="shared" si="3"/>
        <v>0</v>
      </c>
      <c r="V22" s="15">
        <f t="shared" si="0"/>
        <v>22.223119741100323</v>
      </c>
    </row>
    <row r="23" spans="1:22" ht="13.5" thickBot="1" x14ac:dyDescent="0.25">
      <c r="A23" s="26" t="s">
        <v>46</v>
      </c>
      <c r="B23" s="27" t="s">
        <v>47</v>
      </c>
      <c r="C23" s="28">
        <f>SUM(C8:C22)</f>
        <v>6646856.1299999999</v>
      </c>
      <c r="E23" s="31">
        <f>SUM(E8:E22)</f>
        <v>9957590.3866666649</v>
      </c>
      <c r="F23" s="31">
        <f>SUM(F8:F22)</f>
        <v>1592895.4917281552</v>
      </c>
      <c r="J23" t="s">
        <v>96</v>
      </c>
      <c r="K23" s="17">
        <v>90000</v>
      </c>
      <c r="L23">
        <v>10</v>
      </c>
      <c r="M23" s="17">
        <f t="shared" si="2"/>
        <v>900000</v>
      </c>
      <c r="O23" t="s">
        <v>96</v>
      </c>
      <c r="P23" s="17">
        <v>90000</v>
      </c>
      <c r="Q23">
        <v>1</v>
      </c>
      <c r="R23" s="49">
        <f t="shared" si="3"/>
        <v>90000</v>
      </c>
      <c r="V23" s="58">
        <f>SUM(V8:V22)</f>
        <v>265482.58195469261</v>
      </c>
    </row>
    <row r="24" spans="1:22" x14ac:dyDescent="0.2">
      <c r="J24" t="s">
        <v>97</v>
      </c>
      <c r="K24" s="17">
        <v>120000</v>
      </c>
      <c r="L24">
        <v>4</v>
      </c>
      <c r="M24" s="17">
        <f t="shared" si="2"/>
        <v>480000</v>
      </c>
      <c r="O24" t="s">
        <v>97</v>
      </c>
      <c r="P24" s="17">
        <v>120000</v>
      </c>
      <c r="Q24">
        <v>1</v>
      </c>
      <c r="R24" s="49">
        <f t="shared" si="3"/>
        <v>120000</v>
      </c>
    </row>
    <row r="25" spans="1:22" x14ac:dyDescent="0.2">
      <c r="B25" s="27" t="s">
        <v>50</v>
      </c>
      <c r="C25" s="55"/>
      <c r="E25" s="55">
        <v>99</v>
      </c>
      <c r="F25" s="55">
        <f>+Q28</f>
        <v>6</v>
      </c>
      <c r="J25" t="s">
        <v>98</v>
      </c>
      <c r="K25" s="17">
        <v>174000</v>
      </c>
      <c r="L25">
        <v>1</v>
      </c>
      <c r="M25" s="17">
        <f t="shared" si="2"/>
        <v>174000</v>
      </c>
      <c r="O25" t="s">
        <v>98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x14ac:dyDescent="0.2">
      <c r="J26" t="s">
        <v>99</v>
      </c>
      <c r="K26" s="17">
        <v>216000</v>
      </c>
      <c r="L26">
        <v>3</v>
      </c>
      <c r="M26" s="17">
        <f t="shared" si="2"/>
        <v>648000</v>
      </c>
      <c r="O26" t="s">
        <v>99</v>
      </c>
      <c r="P26" s="17">
        <v>216000</v>
      </c>
      <c r="Q26">
        <v>0</v>
      </c>
      <c r="R26" s="49">
        <f t="shared" si="3"/>
        <v>0</v>
      </c>
      <c r="V26" s="15"/>
    </row>
    <row r="27" spans="1:22" x14ac:dyDescent="0.2">
      <c r="B27" s="27" t="s">
        <v>67</v>
      </c>
      <c r="C27" s="55"/>
      <c r="E27" s="55">
        <v>4</v>
      </c>
      <c r="F27" s="55">
        <v>0</v>
      </c>
      <c r="J27" t="s">
        <v>100</v>
      </c>
      <c r="K27" s="17">
        <v>312000</v>
      </c>
      <c r="L27">
        <v>1</v>
      </c>
      <c r="M27" s="17">
        <f t="shared" si="2"/>
        <v>312000</v>
      </c>
      <c r="O27" t="s">
        <v>100</v>
      </c>
      <c r="P27" s="17">
        <v>312000</v>
      </c>
      <c r="Q27">
        <v>0</v>
      </c>
      <c r="R27" s="49">
        <f t="shared" si="3"/>
        <v>0</v>
      </c>
      <c r="V27" s="31">
        <f>SUM(AB21:AB22)</f>
        <v>0</v>
      </c>
    </row>
    <row r="28" spans="1:22" x14ac:dyDescent="0.2">
      <c r="L28" s="25">
        <f>SUM(L17:L27)</f>
        <v>46</v>
      </c>
      <c r="M28" s="25">
        <f>SUM(M17:M27)</f>
        <v>4252800</v>
      </c>
      <c r="P28" s="25"/>
      <c r="Q28">
        <f>SUM(Q17:Q27)</f>
        <v>6</v>
      </c>
      <c r="R28" s="49">
        <f>SUM(R17:R27)</f>
        <v>548400</v>
      </c>
    </row>
    <row r="29" spans="1:22" x14ac:dyDescent="0.2">
      <c r="B29" s="27" t="s">
        <v>55</v>
      </c>
      <c r="C29" s="55"/>
      <c r="E29" s="55">
        <f>SUM(E25:E28)</f>
        <v>103</v>
      </c>
      <c r="F29" s="55">
        <f>SUM(F25:F27)</f>
        <v>6</v>
      </c>
      <c r="P29" s="25"/>
      <c r="Q29" s="25"/>
      <c r="V29" s="31">
        <v>1</v>
      </c>
    </row>
    <row r="30" spans="1:22" x14ac:dyDescent="0.2">
      <c r="B30" s="27"/>
      <c r="J30" t="s">
        <v>102</v>
      </c>
      <c r="L30" s="52"/>
      <c r="M30" s="52">
        <v>0.2</v>
      </c>
      <c r="O30" t="s">
        <v>102</v>
      </c>
      <c r="P30" s="25"/>
      <c r="Q30" s="52"/>
      <c r="R30" s="52">
        <v>0.2</v>
      </c>
    </row>
    <row r="31" spans="1:22" hidden="1" x14ac:dyDescent="0.2">
      <c r="A31" s="13" t="s">
        <v>71</v>
      </c>
      <c r="B31" s="14" t="s">
        <v>72</v>
      </c>
      <c r="C31" s="15">
        <f>'[4]Team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idden="1" x14ac:dyDescent="0.2">
      <c r="A32" s="13" t="s">
        <v>73</v>
      </c>
      <c r="B32" s="14" t="s">
        <v>74</v>
      </c>
      <c r="C32" s="15">
        <f>'[4]Team Report'!BA30</f>
        <v>0</v>
      </c>
      <c r="E32" s="15">
        <f t="shared" si="4"/>
        <v>0</v>
      </c>
      <c r="F32" s="15"/>
      <c r="M32" s="25">
        <f>M28*1.2</f>
        <v>5103360</v>
      </c>
      <c r="P32" s="25"/>
      <c r="Q32" s="25"/>
      <c r="R32" s="25">
        <f>R28*1.2</f>
        <v>658080</v>
      </c>
    </row>
    <row r="33" spans="1:17" hidden="1" x14ac:dyDescent="0.2">
      <c r="A33" s="13" t="s">
        <v>75</v>
      </c>
      <c r="B33" s="14" t="s">
        <v>76</v>
      </c>
      <c r="C33" s="15">
        <f>'[4]Team Report'!BA31</f>
        <v>0</v>
      </c>
      <c r="E33" s="15">
        <f t="shared" si="4"/>
        <v>0</v>
      </c>
      <c r="F33" s="15"/>
      <c r="P33" s="25"/>
      <c r="Q33" s="25"/>
    </row>
    <row r="34" spans="1:17" hidden="1" x14ac:dyDescent="0.2">
      <c r="A34" s="13" t="s">
        <v>77</v>
      </c>
      <c r="B34" s="14" t="s">
        <v>78</v>
      </c>
      <c r="C34" s="15">
        <f>'[4]Team Report'!BA39</f>
        <v>0</v>
      </c>
      <c r="E34" s="15">
        <f t="shared" si="4"/>
        <v>0</v>
      </c>
      <c r="F34" s="15"/>
      <c r="J34" s="33" t="s">
        <v>56</v>
      </c>
      <c r="N34" s="25"/>
    </row>
    <row r="35" spans="1:17" ht="13.5" hidden="1" thickBot="1" x14ac:dyDescent="0.25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4"/>
        <v>32893.85333333334</v>
      </c>
      <c r="F35" s="15"/>
      <c r="J35" s="145" t="s">
        <v>105</v>
      </c>
      <c r="K35" s="145"/>
      <c r="L35" s="145"/>
      <c r="M35" s="145"/>
      <c r="N35" s="25"/>
    </row>
    <row r="36" spans="1:17" hidden="1" x14ac:dyDescent="0.2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4"/>
        <v>641393.90666666673</v>
      </c>
      <c r="F36" s="15"/>
      <c r="J36" s="34" t="s">
        <v>57</v>
      </c>
      <c r="L36" s="35" t="s">
        <v>58</v>
      </c>
      <c r="M36" s="35" t="s">
        <v>59</v>
      </c>
      <c r="N36" s="35" t="s">
        <v>2</v>
      </c>
      <c r="O36" s="35" t="s">
        <v>60</v>
      </c>
    </row>
    <row r="37" spans="1:17" hidden="1" x14ac:dyDescent="0.2">
      <c r="A37" s="13" t="s">
        <v>83</v>
      </c>
      <c r="B37" s="14" t="s">
        <v>84</v>
      </c>
      <c r="C37" s="15">
        <f>'[4]Team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109</v>
      </c>
    </row>
    <row r="38" spans="1:17" hidden="1" x14ac:dyDescent="0.2">
      <c r="A38" s="13" t="s">
        <v>85</v>
      </c>
      <c r="B38" s="14" t="s">
        <v>86</v>
      </c>
      <c r="C38" s="15">
        <f>'[4]Team Report'!BA45</f>
        <v>0</v>
      </c>
      <c r="E38" s="15">
        <f t="shared" si="4"/>
        <v>0</v>
      </c>
      <c r="F38" s="15"/>
      <c r="P38" t="s">
        <v>110</v>
      </c>
    </row>
    <row r="39" spans="1:17" x14ac:dyDescent="0.2">
      <c r="A39" s="13"/>
      <c r="B39" s="14"/>
      <c r="C39" s="15"/>
      <c r="E39" s="15"/>
      <c r="F39" s="15"/>
      <c r="P39" t="s">
        <v>111</v>
      </c>
    </row>
    <row r="40" spans="1:17" x14ac:dyDescent="0.2">
      <c r="A40" s="13"/>
      <c r="B40" s="14"/>
      <c r="C40" s="15"/>
      <c r="E40" s="15"/>
      <c r="F40" s="15"/>
      <c r="P40" t="s">
        <v>112</v>
      </c>
    </row>
    <row r="41" spans="1:17" ht="13.5" thickBot="1" x14ac:dyDescent="0.25">
      <c r="A41" s="13"/>
      <c r="B41" s="14"/>
      <c r="C41" s="15"/>
      <c r="E41" s="15"/>
      <c r="F41" s="15"/>
      <c r="J41" s="145" t="s">
        <v>106</v>
      </c>
      <c r="K41" s="145"/>
      <c r="L41" s="145"/>
      <c r="M41" s="145"/>
      <c r="N41" s="25"/>
      <c r="P41" t="s">
        <v>113</v>
      </c>
    </row>
    <row r="42" spans="1:17" x14ac:dyDescent="0.2">
      <c r="J42" s="34" t="s">
        <v>57</v>
      </c>
      <c r="L42" s="35" t="s">
        <v>58</v>
      </c>
      <c r="M42" s="35" t="s">
        <v>59</v>
      </c>
      <c r="N42" s="35" t="s">
        <v>2</v>
      </c>
      <c r="O42" s="35" t="s">
        <v>60</v>
      </c>
    </row>
    <row r="43" spans="1:17" x14ac:dyDescent="0.2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114</v>
      </c>
    </row>
    <row r="44" spans="1:17" x14ac:dyDescent="0.2">
      <c r="P44" t="s">
        <v>115</v>
      </c>
    </row>
    <row r="46" spans="1:17" x14ac:dyDescent="0.2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BA42"/>
  <sheetViews>
    <sheetView zoomScaleNormal="100" workbookViewId="0">
      <selection activeCell="R144" sqref="R144"/>
    </sheetView>
  </sheetViews>
  <sheetFormatPr defaultRowHeight="12.75" x14ac:dyDescent="0.2"/>
  <cols>
    <col min="2" max="2" width="23.42578125" customWidth="1"/>
    <col min="3" max="3" width="1.85546875" hidden="1" customWidth="1"/>
    <col min="4" max="4" width="2.5703125" customWidth="1"/>
    <col min="5" max="5" width="13.85546875" hidden="1" customWidth="1"/>
    <col min="6" max="6" width="15.140625" customWidth="1"/>
    <col min="7" max="7" width="4.5703125" hidden="1" customWidth="1"/>
    <col min="8" max="8" width="4" hidden="1" customWidth="1"/>
    <col min="9" max="9" width="14.140625" hidden="1" customWidth="1"/>
    <col min="10" max="10" width="14.28515625" hidden="1" customWidth="1"/>
    <col min="11" max="11" width="10.42578125" hidden="1" customWidth="1"/>
    <col min="12" max="12" width="11.28515625" style="25" hidden="1" customWidth="1"/>
    <col min="13" max="13" width="1.42578125" hidden="1" customWidth="1"/>
    <col min="14" max="14" width="10.28515625" hidden="1" customWidth="1"/>
    <col min="15" max="15" width="2.5703125" hidden="1" customWidth="1"/>
    <col min="16" max="16" width="13.85546875" hidden="1" customWidth="1"/>
    <col min="17" max="53" width="9.140625" hidden="1" customWidth="1"/>
  </cols>
  <sheetData>
    <row r="1" spans="1:45" ht="18" x14ac:dyDescent="0.25">
      <c r="B1" s="140" t="str">
        <f>'[3]Team Report'!B1</f>
        <v>Enron North America</v>
      </c>
      <c r="C1" s="140"/>
      <c r="D1" s="140"/>
      <c r="E1" s="140"/>
      <c r="F1" s="140"/>
      <c r="G1" s="1"/>
      <c r="H1" s="1"/>
      <c r="I1" s="1"/>
      <c r="J1" s="1"/>
      <c r="K1" s="1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0" t="str">
        <f>'[3]Pull Sheet'!E9</f>
        <v>Tax</v>
      </c>
      <c r="C2" s="140"/>
      <c r="D2" s="140"/>
      <c r="E2" s="140"/>
      <c r="F2" s="140"/>
      <c r="G2" s="1"/>
      <c r="H2" s="1"/>
      <c r="I2" s="1"/>
      <c r="J2" s="1"/>
      <c r="K2" s="1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47" t="s">
        <v>0</v>
      </c>
      <c r="C3" s="147"/>
      <c r="D3" s="147"/>
      <c r="E3" s="147"/>
      <c r="F3" s="147"/>
      <c r="G3" s="3"/>
      <c r="H3" s="3"/>
      <c r="I3" s="3"/>
      <c r="J3" s="3"/>
      <c r="K3" s="3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62"/>
      <c r="K4" s="63"/>
      <c r="L4" s="64"/>
      <c r="M4" s="63"/>
      <c r="N4" s="63"/>
      <c r="O4" s="63"/>
      <c r="P4" s="65"/>
    </row>
    <row r="5" spans="1:45" x14ac:dyDescent="0.2">
      <c r="J5" s="66"/>
      <c r="K5" s="8"/>
      <c r="L5" s="17"/>
      <c r="M5" s="8"/>
      <c r="N5" s="8"/>
      <c r="O5" s="8"/>
      <c r="P5" s="67"/>
    </row>
    <row r="6" spans="1:45" x14ac:dyDescent="0.2">
      <c r="C6" s="10">
        <v>37135</v>
      </c>
      <c r="E6" s="44" t="s">
        <v>61</v>
      </c>
      <c r="F6" s="44" t="s">
        <v>63</v>
      </c>
      <c r="J6" s="66"/>
      <c r="K6" s="8"/>
      <c r="L6" s="17" t="s">
        <v>1</v>
      </c>
      <c r="M6" s="8"/>
      <c r="N6" s="8" t="s">
        <v>2</v>
      </c>
      <c r="O6" s="8"/>
      <c r="P6" s="67" t="s">
        <v>92</v>
      </c>
      <c r="Q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33"/>
      <c r="J7" s="68"/>
      <c r="K7" s="17"/>
      <c r="L7" s="17"/>
      <c r="M7" s="17"/>
      <c r="N7" s="17"/>
      <c r="O7" s="17"/>
      <c r="P7" s="69"/>
      <c r="Q7" s="12" t="s">
        <v>7</v>
      </c>
    </row>
    <row r="8" spans="1:45" x14ac:dyDescent="0.2">
      <c r="A8" s="13" t="s">
        <v>9</v>
      </c>
      <c r="B8" s="14" t="s">
        <v>10</v>
      </c>
      <c r="C8" s="15">
        <f>'[3]Team Report'!BA25</f>
        <v>1971599.0200000003</v>
      </c>
      <c r="E8" s="21">
        <f>((C8/9)*12)*1.2</f>
        <v>3154558.4320000005</v>
      </c>
      <c r="F8" s="21">
        <f>(L23+L24+45000)*1.2</f>
        <v>882000</v>
      </c>
      <c r="J8" s="66" t="s">
        <v>10</v>
      </c>
      <c r="K8" s="17"/>
      <c r="L8" s="17">
        <v>0</v>
      </c>
      <c r="M8" s="17"/>
      <c r="N8" s="17">
        <v>4</v>
      </c>
      <c r="O8" s="17"/>
      <c r="P8" s="69">
        <f>L31</f>
        <v>828000</v>
      </c>
      <c r="Q8" s="21">
        <f>+F8/$F$29*$Q$29</f>
        <v>176400</v>
      </c>
    </row>
    <row r="9" spans="1:45" hidden="1" x14ac:dyDescent="0.2">
      <c r="A9" s="13"/>
      <c r="B9" s="14" t="s">
        <v>11</v>
      </c>
      <c r="C9" s="15">
        <v>0</v>
      </c>
      <c r="E9" s="21">
        <f>((C9/9)*12)*1.2</f>
        <v>0</v>
      </c>
      <c r="F9" s="21">
        <v>0</v>
      </c>
      <c r="J9" s="66"/>
      <c r="K9" s="17"/>
      <c r="L9" s="17"/>
      <c r="M9" s="17"/>
      <c r="N9" s="17"/>
      <c r="O9" s="17"/>
      <c r="P9" s="69"/>
      <c r="Q9" s="21">
        <f t="shared" ref="Q9:Q22" si="0">+F9/$F$29*$Q$29</f>
        <v>0</v>
      </c>
    </row>
    <row r="10" spans="1:45" hidden="1" x14ac:dyDescent="0.2">
      <c r="B10" s="14" t="s">
        <v>12</v>
      </c>
      <c r="C10" s="15">
        <v>0</v>
      </c>
      <c r="E10" s="21">
        <f>((C10/9)*12)*1.2</f>
        <v>0</v>
      </c>
      <c r="F10" s="21">
        <v>0</v>
      </c>
      <c r="J10" s="66" t="s">
        <v>15</v>
      </c>
      <c r="K10" s="17"/>
      <c r="L10" s="17">
        <f>+(E12+E13+E14+E15+E16+E17+E18+E19+E20+E21+E22)/E29</f>
        <v>16010.891654320989</v>
      </c>
      <c r="M10" s="17"/>
      <c r="N10" s="17">
        <v>4</v>
      </c>
      <c r="O10" s="17"/>
      <c r="P10" s="69">
        <f>L10*N10+67934+22</f>
        <v>131999.56661728397</v>
      </c>
      <c r="Q10" s="21">
        <f t="shared" si="0"/>
        <v>0</v>
      </c>
    </row>
    <row r="11" spans="1:45" x14ac:dyDescent="0.2">
      <c r="A11" s="13" t="s">
        <v>13</v>
      </c>
      <c r="B11" s="14" t="s">
        <v>14</v>
      </c>
      <c r="C11" s="15">
        <f>'[3]Team Report'!BA26</f>
        <v>441478.66999999993</v>
      </c>
      <c r="E11" s="21">
        <f>((C11/9)*12)*1.2</f>
        <v>706365.87199999986</v>
      </c>
      <c r="F11" s="21">
        <f>(F8*0.2)*1.2</f>
        <v>211680</v>
      </c>
      <c r="J11" s="66"/>
      <c r="K11" s="17"/>
      <c r="L11" s="17"/>
      <c r="M11" s="17"/>
      <c r="N11" s="17"/>
      <c r="O11" s="17"/>
      <c r="P11" s="69"/>
      <c r="Q11" s="21">
        <f t="shared" si="0"/>
        <v>42336</v>
      </c>
    </row>
    <row r="12" spans="1:45" x14ac:dyDescent="0.2">
      <c r="A12" s="13" t="s">
        <v>16</v>
      </c>
      <c r="B12" s="14" t="s">
        <v>17</v>
      </c>
      <c r="C12" s="15">
        <f>'[3]Team Report'!BA27</f>
        <v>93416.53</v>
      </c>
      <c r="E12" s="21">
        <f>((C12/9)*12)*1.6</f>
        <v>199288.59733333334</v>
      </c>
      <c r="F12" s="21">
        <f>((E12/$E$25*$N$8)+20000)*1.2</f>
        <v>59429.083970370368</v>
      </c>
      <c r="J12" s="66"/>
      <c r="K12" s="17"/>
      <c r="L12" s="17"/>
      <c r="M12" s="17"/>
      <c r="N12" s="17"/>
      <c r="O12" s="17"/>
      <c r="P12" s="69">
        <f>SUM(P8:P10)</f>
        <v>959999.56661728397</v>
      </c>
      <c r="Q12" s="21">
        <f t="shared" si="0"/>
        <v>11885.816794074073</v>
      </c>
    </row>
    <row r="13" spans="1:45" x14ac:dyDescent="0.2">
      <c r="A13" s="13" t="s">
        <v>18</v>
      </c>
      <c r="B13" s="14" t="s">
        <v>19</v>
      </c>
      <c r="C13" s="15">
        <f>'[3]Team Report'!BA28</f>
        <v>59005.25</v>
      </c>
      <c r="E13" s="21">
        <f>((C13/9)*12)*1.4</f>
        <v>110143.13333333332</v>
      </c>
      <c r="F13" s="21">
        <f>((E13/$E$25*$N$8)+10000)*1.2</f>
        <v>31581.001481481479</v>
      </c>
      <c r="J13" s="70"/>
      <c r="K13" s="71"/>
      <c r="L13" s="71"/>
      <c r="M13" s="71"/>
      <c r="N13" s="71"/>
      <c r="O13" s="71"/>
      <c r="P13" s="72"/>
      <c r="Q13" s="21">
        <f t="shared" si="0"/>
        <v>6316.2002962962961</v>
      </c>
    </row>
    <row r="14" spans="1:45" x14ac:dyDescent="0.2">
      <c r="A14" s="13" t="s">
        <v>21</v>
      </c>
      <c r="B14" s="14" t="s">
        <v>22</v>
      </c>
      <c r="C14" s="15">
        <f>'[3]Team Report'!BA32-C39</f>
        <v>0.47000000003026798</v>
      </c>
      <c r="E14" s="21">
        <f>((C14/9)*12)*1.2</f>
        <v>0.75200000004842871</v>
      </c>
      <c r="F14" s="21">
        <f>(E14/$E$25*$N$8)*1.2</f>
        <v>0.13368888889749844</v>
      </c>
      <c r="I14" s="49">
        <f>P12-F23</f>
        <v>-292079.91332345689</v>
      </c>
      <c r="Q14" s="21">
        <f t="shared" si="0"/>
        <v>2.6737777779499688E-2</v>
      </c>
    </row>
    <row r="15" spans="1:45" x14ac:dyDescent="0.2">
      <c r="A15" s="13" t="s">
        <v>23</v>
      </c>
      <c r="B15" s="14" t="s">
        <v>24</v>
      </c>
      <c r="C15" s="15">
        <f>'[3]Team Report'!BA33</f>
        <v>23102.660000000003</v>
      </c>
      <c r="E15" s="21">
        <f>((C15/9)*12)*1.6</f>
        <v>49285.674666666673</v>
      </c>
      <c r="F15" s="21">
        <f>((E15/$E$25*$N$8)+12000)*1.2</f>
        <v>23161.897718518518</v>
      </c>
      <c r="Q15" s="21">
        <f t="shared" si="0"/>
        <v>4632.3795437037033</v>
      </c>
    </row>
    <row r="16" spans="1:45" x14ac:dyDescent="0.2">
      <c r="A16" s="13" t="s">
        <v>25</v>
      </c>
      <c r="B16" s="14" t="s">
        <v>26</v>
      </c>
      <c r="C16" s="15">
        <f>'[3]Team Report'!BA34</f>
        <v>0</v>
      </c>
      <c r="E16" s="21">
        <f>((C16/9)*12)*1.2</f>
        <v>0</v>
      </c>
      <c r="F16" s="21">
        <f>(E16/$E$25*$N$8)*1.2</f>
        <v>0</v>
      </c>
      <c r="J16" s="8" t="s">
        <v>27</v>
      </c>
      <c r="K16" s="17">
        <v>30000</v>
      </c>
      <c r="L16" s="17">
        <f t="shared" ref="L16:L26" si="1">I16*K16</f>
        <v>0</v>
      </c>
      <c r="Q16" s="21">
        <f t="shared" si="0"/>
        <v>0</v>
      </c>
    </row>
    <row r="17" spans="1:17" x14ac:dyDescent="0.2">
      <c r="A17" s="13" t="s">
        <v>28</v>
      </c>
      <c r="B17" s="14" t="s">
        <v>29</v>
      </c>
      <c r="C17" s="15">
        <f>'[3]Team Report'!BA35</f>
        <v>0</v>
      </c>
      <c r="E17" s="21">
        <f>((C17/9)*12)*1.2</f>
        <v>0</v>
      </c>
      <c r="F17" s="21">
        <f>(E17/$E$25*$N$8)*1.2</f>
        <v>0</v>
      </c>
      <c r="J17" t="s">
        <v>93</v>
      </c>
      <c r="K17" s="25">
        <v>40000</v>
      </c>
      <c r="L17" s="17">
        <f t="shared" si="1"/>
        <v>0</v>
      </c>
      <c r="Q17" s="21">
        <f t="shared" si="0"/>
        <v>0</v>
      </c>
    </row>
    <row r="18" spans="1:17" x14ac:dyDescent="0.2">
      <c r="A18" s="13" t="s">
        <v>31</v>
      </c>
      <c r="B18" s="14" t="s">
        <v>32</v>
      </c>
      <c r="C18" s="15">
        <f>'[3]Team Report'!BA36</f>
        <v>0</v>
      </c>
      <c r="E18" s="21">
        <f>((C18/9)*12)*1.2</f>
        <v>0</v>
      </c>
      <c r="F18" s="21">
        <f>(E18/$E$25*$N$8)*1.2</f>
        <v>0</v>
      </c>
      <c r="J18" t="s">
        <v>33</v>
      </c>
      <c r="K18" s="25">
        <v>41000</v>
      </c>
      <c r="L18" s="17">
        <f t="shared" si="1"/>
        <v>0</v>
      </c>
      <c r="Q18" s="21">
        <f t="shared" si="0"/>
        <v>0</v>
      </c>
    </row>
    <row r="19" spans="1:17" x14ac:dyDescent="0.2">
      <c r="A19" s="13" t="s">
        <v>34</v>
      </c>
      <c r="B19" s="14" t="s">
        <v>35</v>
      </c>
      <c r="C19" s="15">
        <f>'[3]Team Report'!BA37</f>
        <v>13879.95</v>
      </c>
      <c r="E19" s="21">
        <f>((C19/9)*12)*1.6</f>
        <v>29610.559999999998</v>
      </c>
      <c r="F19" s="21">
        <f>((E19/$E$25*$N$8)+15000)*1.2</f>
        <v>23264.099555555556</v>
      </c>
      <c r="J19" t="s">
        <v>94</v>
      </c>
      <c r="K19" s="25">
        <v>48000</v>
      </c>
      <c r="L19" s="17">
        <f t="shared" si="1"/>
        <v>0</v>
      </c>
      <c r="Q19" s="21">
        <f t="shared" si="0"/>
        <v>4652.8199111111117</v>
      </c>
    </row>
    <row r="20" spans="1:17" x14ac:dyDescent="0.2">
      <c r="A20" s="13" t="s">
        <v>37</v>
      </c>
      <c r="B20" s="14" t="s">
        <v>38</v>
      </c>
      <c r="C20" s="15">
        <f>'[3]Team Report'!BA38</f>
        <v>0</v>
      </c>
      <c r="E20" s="21">
        <f>((C20/9)*12)*1.2</f>
        <v>0</v>
      </c>
      <c r="F20" s="21">
        <f>(E20/$E$25*$N$8)*1.2</f>
        <v>0</v>
      </c>
      <c r="J20" t="s">
        <v>36</v>
      </c>
      <c r="K20" s="25">
        <v>52000</v>
      </c>
      <c r="L20" s="17">
        <f t="shared" si="1"/>
        <v>0</v>
      </c>
      <c r="Q20" s="21">
        <f t="shared" si="0"/>
        <v>0</v>
      </c>
    </row>
    <row r="21" spans="1:17" x14ac:dyDescent="0.2">
      <c r="A21" s="13" t="s">
        <v>40</v>
      </c>
      <c r="B21" s="14" t="s">
        <v>41</v>
      </c>
      <c r="C21" s="15">
        <f>'[3]Team Report'!BA42</f>
        <v>23120.5</v>
      </c>
      <c r="E21" s="21">
        <f>((C21/9)*12)*1.4</f>
        <v>43158.266666666663</v>
      </c>
      <c r="F21" s="21">
        <f>((E21/$E$25*$N$8)+10956)*1.2</f>
        <v>20819.780740740738</v>
      </c>
      <c r="J21" t="s">
        <v>95</v>
      </c>
      <c r="K21" s="25">
        <v>62000</v>
      </c>
      <c r="L21" s="17">
        <f t="shared" si="1"/>
        <v>0</v>
      </c>
      <c r="Q21" s="21">
        <f t="shared" si="0"/>
        <v>4163.9561481481478</v>
      </c>
    </row>
    <row r="22" spans="1:17" x14ac:dyDescent="0.2">
      <c r="A22" s="13" t="s">
        <v>43</v>
      </c>
      <c r="B22" s="14" t="s">
        <v>44</v>
      </c>
      <c r="C22" s="15">
        <f>'[3]Team Report'!BA44</f>
        <v>432.37</v>
      </c>
      <c r="E22" s="21">
        <f>((C22/9)*12)*1.4</f>
        <v>807.09066666666661</v>
      </c>
      <c r="F22" s="21">
        <f>(E22/$E$25*$N$8)*1.2</f>
        <v>143.48278518518518</v>
      </c>
      <c r="J22" t="s">
        <v>96</v>
      </c>
      <c r="K22" s="25">
        <v>75000</v>
      </c>
      <c r="L22" s="17">
        <f t="shared" si="1"/>
        <v>0</v>
      </c>
      <c r="Q22" s="21">
        <f t="shared" si="0"/>
        <v>28.696557037037035</v>
      </c>
    </row>
    <row r="23" spans="1:17" x14ac:dyDescent="0.2">
      <c r="A23" s="26" t="s">
        <v>46</v>
      </c>
      <c r="B23" s="27" t="s">
        <v>47</v>
      </c>
      <c r="C23" s="28">
        <f>SUM(C8:C22)</f>
        <v>2626035.4200000009</v>
      </c>
      <c r="E23" s="73">
        <f>SUM(E8:E22)</f>
        <v>4293218.3786666663</v>
      </c>
      <c r="F23" s="73">
        <f>SUM(F8:F22)</f>
        <v>1252079.4799407409</v>
      </c>
      <c r="I23">
        <v>1</v>
      </c>
      <c r="J23" t="s">
        <v>97</v>
      </c>
      <c r="K23" s="25">
        <f>125000*1.2</f>
        <v>150000</v>
      </c>
      <c r="L23" s="17">
        <f t="shared" si="1"/>
        <v>150000</v>
      </c>
      <c r="Q23" s="73">
        <f>SUM(Q8:Q22)</f>
        <v>250415.89598814814</v>
      </c>
    </row>
    <row r="24" spans="1:17" x14ac:dyDescent="0.2">
      <c r="I24">
        <v>3</v>
      </c>
      <c r="J24" t="s">
        <v>98</v>
      </c>
      <c r="K24" s="25">
        <f>150000*1.2</f>
        <v>180000</v>
      </c>
      <c r="L24" s="17">
        <f t="shared" si="1"/>
        <v>540000</v>
      </c>
    </row>
    <row r="25" spans="1:17" x14ac:dyDescent="0.2">
      <c r="B25" s="27" t="s">
        <v>50</v>
      </c>
      <c r="C25" s="15"/>
      <c r="E25" s="31">
        <v>27</v>
      </c>
      <c r="F25" s="31">
        <v>5</v>
      </c>
      <c r="J25" t="s">
        <v>99</v>
      </c>
      <c r="K25" s="25">
        <v>180000</v>
      </c>
      <c r="L25" s="17">
        <f t="shared" si="1"/>
        <v>0</v>
      </c>
      <c r="Q25" s="31">
        <v>1</v>
      </c>
    </row>
    <row r="26" spans="1:17" x14ac:dyDescent="0.2">
      <c r="C26" s="15"/>
      <c r="E26" s="15"/>
      <c r="F26" s="15"/>
      <c r="J26" t="s">
        <v>100</v>
      </c>
      <c r="K26" s="25">
        <v>260000</v>
      </c>
      <c r="L26" s="17">
        <f t="shared" si="1"/>
        <v>0</v>
      </c>
      <c r="Q26" s="15"/>
    </row>
    <row r="27" spans="1:17" x14ac:dyDescent="0.2">
      <c r="B27" s="27" t="s">
        <v>101</v>
      </c>
      <c r="C27" s="15"/>
      <c r="E27" s="31">
        <v>0</v>
      </c>
      <c r="F27" s="31"/>
      <c r="K27" s="25"/>
      <c r="L27" s="25">
        <f>SUM(L16:L26)</f>
        <v>690000</v>
      </c>
      <c r="Q27" s="31"/>
    </row>
    <row r="28" spans="1:17" x14ac:dyDescent="0.2">
      <c r="K28" s="25"/>
    </row>
    <row r="29" spans="1:17" x14ac:dyDescent="0.2">
      <c r="B29" s="27" t="s">
        <v>55</v>
      </c>
      <c r="C29" s="15"/>
      <c r="E29" s="31">
        <f>+E27+E25</f>
        <v>27</v>
      </c>
      <c r="F29" s="31">
        <f>SUM(F25:F27)</f>
        <v>5</v>
      </c>
      <c r="G29" s="32"/>
      <c r="H29" s="25"/>
      <c r="J29" t="s">
        <v>102</v>
      </c>
      <c r="K29" s="25"/>
      <c r="L29" s="52">
        <v>0.2</v>
      </c>
      <c r="Q29" s="31">
        <f>SUM(Q25:Q27)</f>
        <v>1</v>
      </c>
    </row>
    <row r="31" spans="1:17" hidden="1" x14ac:dyDescent="0.2">
      <c r="A31" s="13" t="s">
        <v>71</v>
      </c>
      <c r="B31" s="14" t="s">
        <v>72</v>
      </c>
      <c r="C31" s="15">
        <f>'[3]Team Report'!BA29</f>
        <v>0</v>
      </c>
      <c r="E31" s="15">
        <f t="shared" ref="E31:E38" si="2">(C31/9)*12</f>
        <v>0</v>
      </c>
      <c r="F31" s="15"/>
      <c r="L31" s="25">
        <f>L27*1.2</f>
        <v>828000</v>
      </c>
    </row>
    <row r="32" spans="1:17" hidden="1" x14ac:dyDescent="0.2">
      <c r="A32" s="13" t="s">
        <v>73</v>
      </c>
      <c r="B32" s="14" t="s">
        <v>74</v>
      </c>
      <c r="C32" s="15">
        <f>'[3]Team Report'!BA30</f>
        <v>-3920.75</v>
      </c>
      <c r="E32" s="15">
        <f t="shared" si="2"/>
        <v>-5227.666666666667</v>
      </c>
      <c r="F32" s="15"/>
    </row>
    <row r="33" spans="1:14" hidden="1" x14ac:dyDescent="0.2">
      <c r="A33" s="13" t="s">
        <v>75</v>
      </c>
      <c r="B33" s="14" t="s">
        <v>76</v>
      </c>
      <c r="C33" s="15">
        <f>'[3]Team Report'!BA31</f>
        <v>0</v>
      </c>
      <c r="E33" s="15">
        <f t="shared" si="2"/>
        <v>0</v>
      </c>
      <c r="F33" s="15"/>
    </row>
    <row r="34" spans="1:14" hidden="1" x14ac:dyDescent="0.2">
      <c r="A34" s="13" t="s">
        <v>77</v>
      </c>
      <c r="B34" s="14" t="s">
        <v>78</v>
      </c>
      <c r="C34" s="15">
        <f>'[3]Team Report'!BA39</f>
        <v>0</v>
      </c>
      <c r="E34" s="15">
        <f t="shared" si="2"/>
        <v>0</v>
      </c>
      <c r="F34" s="15"/>
    </row>
    <row r="35" spans="1:14" hidden="1" x14ac:dyDescent="0.2">
      <c r="A35" s="13" t="s">
        <v>79</v>
      </c>
      <c r="B35" s="14" t="s">
        <v>80</v>
      </c>
      <c r="C35" s="15">
        <f>'[3]Team Report'!BA40</f>
        <v>37953.1</v>
      </c>
      <c r="E35" s="15">
        <f t="shared" si="2"/>
        <v>50604.133333333331</v>
      </c>
      <c r="F35" s="15"/>
    </row>
    <row r="36" spans="1:14" hidden="1" x14ac:dyDescent="0.2">
      <c r="A36" s="13" t="s">
        <v>81</v>
      </c>
      <c r="B36" s="14" t="s">
        <v>82</v>
      </c>
      <c r="C36" s="15">
        <f>'[3]Team Report'!BA41</f>
        <v>218397.73</v>
      </c>
      <c r="E36" s="15">
        <f t="shared" si="2"/>
        <v>291196.97333333339</v>
      </c>
      <c r="F36" s="15"/>
    </row>
    <row r="37" spans="1:14" hidden="1" x14ac:dyDescent="0.2">
      <c r="A37" s="13" t="s">
        <v>83</v>
      </c>
      <c r="B37" s="14" t="s">
        <v>84</v>
      </c>
      <c r="C37" s="15">
        <f>'[3]Team Report'!BA43</f>
        <v>-1506130.81</v>
      </c>
      <c r="E37" s="15">
        <f t="shared" si="2"/>
        <v>-2008174.4133333333</v>
      </c>
      <c r="F37" s="15"/>
      <c r="I37" s="33" t="s">
        <v>56</v>
      </c>
      <c r="J37" s="25"/>
      <c r="K37" s="25"/>
    </row>
    <row r="38" spans="1:14" hidden="1" x14ac:dyDescent="0.2">
      <c r="A38" s="13" t="s">
        <v>85</v>
      </c>
      <c r="B38" s="14" t="s">
        <v>86</v>
      </c>
      <c r="C38" s="15">
        <f>'[3]Team Report'!BA45</f>
        <v>0</v>
      </c>
      <c r="E38" s="15">
        <f t="shared" si="2"/>
        <v>0</v>
      </c>
      <c r="F38" s="15"/>
      <c r="J38" s="25"/>
      <c r="K38" s="25"/>
    </row>
    <row r="39" spans="1:14" hidden="1" x14ac:dyDescent="0.2">
      <c r="A39" s="13"/>
      <c r="B39" s="14" t="s">
        <v>22</v>
      </c>
      <c r="C39" s="15">
        <v>195340</v>
      </c>
      <c r="E39" s="15"/>
      <c r="F39" s="15"/>
      <c r="I39" s="34" t="s">
        <v>57</v>
      </c>
      <c r="J39" s="35" t="s">
        <v>58</v>
      </c>
      <c r="K39" s="35" t="s">
        <v>59</v>
      </c>
      <c r="L39" s="35" t="s">
        <v>2</v>
      </c>
      <c r="N39" s="35" t="s">
        <v>60</v>
      </c>
    </row>
    <row r="40" spans="1:14" x14ac:dyDescent="0.2">
      <c r="I40" s="36">
        <f>SUM(E12:E22)</f>
        <v>432294.07466666668</v>
      </c>
      <c r="J40" s="56">
        <f>+E29</f>
        <v>27</v>
      </c>
      <c r="K40" s="37">
        <f>+I40/J40</f>
        <v>16010.891654320989</v>
      </c>
      <c r="L40" s="37">
        <f>+N10</f>
        <v>4</v>
      </c>
      <c r="M40" s="37">
        <f>+K40*L40</f>
        <v>64043.566617283956</v>
      </c>
      <c r="N40" s="25">
        <f>+L40*K40</f>
        <v>64043.566617283956</v>
      </c>
    </row>
    <row r="41" spans="1:14" x14ac:dyDescent="0.2">
      <c r="C41" s="54">
        <f>C23+C31+C32+C33+C34+C35+C36+C37+C38+C39</f>
        <v>1567674.6900000009</v>
      </c>
    </row>
    <row r="42" spans="1:14" x14ac:dyDescent="0.2">
      <c r="I42" t="s">
        <v>103</v>
      </c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60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2.28515625" customWidth="1"/>
    <col min="7" max="7" width="15.140625" customWidth="1"/>
    <col min="8" max="8" width="13.5703125" hidden="1" customWidth="1"/>
    <col min="9" max="9" width="20.7109375" hidden="1" customWidth="1"/>
    <col min="10" max="10" width="11.85546875" style="25" hidden="1" customWidth="1"/>
    <col min="11" max="11" width="10.85546875" style="25" hidden="1" customWidth="1"/>
    <col min="12" max="12" width="12.28515625" style="25" hidden="1" customWidth="1"/>
    <col min="13" max="13" width="12.140625" hidden="1" customWidth="1"/>
    <col min="14" max="16" width="9.140625" hidden="1" customWidth="1"/>
    <col min="17" max="46" width="0" hidden="1" customWidth="1"/>
  </cols>
  <sheetData>
    <row r="1" spans="1:44" ht="18" x14ac:dyDescent="0.25">
      <c r="B1" s="140" t="str">
        <f>'[8]Team Report'!B1</f>
        <v>Enron North America</v>
      </c>
      <c r="C1" s="140"/>
      <c r="D1" s="140"/>
      <c r="E1" s="140"/>
      <c r="F1" s="140"/>
      <c r="G1" s="140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0" t="s">
        <v>125</v>
      </c>
      <c r="C2" s="140"/>
      <c r="D2" s="140"/>
      <c r="E2" s="140"/>
      <c r="F2" s="140"/>
      <c r="G2" s="140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47" t="s">
        <v>0</v>
      </c>
      <c r="C3" s="147"/>
      <c r="D3" s="147"/>
      <c r="E3" s="147"/>
      <c r="F3" s="147"/>
      <c r="G3" s="147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/>
    <row r="5" spans="1:44" x14ac:dyDescent="0.2">
      <c r="I5" s="4"/>
      <c r="J5" s="40"/>
      <c r="K5" s="40"/>
      <c r="L5" s="41"/>
    </row>
    <row r="6" spans="1:44" x14ac:dyDescent="0.2">
      <c r="C6" s="10">
        <v>37135</v>
      </c>
      <c r="E6" s="44" t="s">
        <v>61</v>
      </c>
      <c r="G6" s="44" t="s">
        <v>63</v>
      </c>
      <c r="I6" s="7"/>
      <c r="J6" s="19" t="s">
        <v>1</v>
      </c>
      <c r="K6" s="19" t="s">
        <v>2</v>
      </c>
      <c r="L6" s="74" t="s">
        <v>107</v>
      </c>
      <c r="O6" s="11">
        <v>2002</v>
      </c>
    </row>
    <row r="7" spans="1:44" x14ac:dyDescent="0.2">
      <c r="C7" s="12" t="s">
        <v>5</v>
      </c>
      <c r="E7" s="12" t="s">
        <v>6</v>
      </c>
      <c r="G7" s="12" t="s">
        <v>7</v>
      </c>
      <c r="I7" s="7"/>
      <c r="J7" s="17"/>
      <c r="K7" s="17"/>
      <c r="L7" s="43"/>
      <c r="O7" s="12" t="s">
        <v>7</v>
      </c>
    </row>
    <row r="8" spans="1:44" x14ac:dyDescent="0.2">
      <c r="A8" s="13" t="s">
        <v>9</v>
      </c>
      <c r="B8" s="14" t="s">
        <v>10</v>
      </c>
      <c r="C8" s="53">
        <f>'[8]Team Report'!BA25</f>
        <v>3696902.5199999996</v>
      </c>
      <c r="E8" s="15">
        <f>(C8/9)*12</f>
        <v>4929203.3599999994</v>
      </c>
      <c r="G8" s="15">
        <f>(L29-G10+212800)*1.2</f>
        <v>1704000</v>
      </c>
      <c r="I8" s="7"/>
      <c r="J8" s="17"/>
      <c r="K8" s="17"/>
      <c r="L8" s="43"/>
      <c r="O8" s="15">
        <f>+G8/$G$29*$O$29</f>
        <v>121714.28571428571</v>
      </c>
    </row>
    <row r="9" spans="1:44" hidden="1" x14ac:dyDescent="0.2">
      <c r="A9" s="13"/>
      <c r="B9" s="14" t="s">
        <v>11</v>
      </c>
      <c r="C9" s="15">
        <v>0</v>
      </c>
      <c r="E9" s="15">
        <f>(C9/9)*12</f>
        <v>0</v>
      </c>
      <c r="G9" s="15">
        <v>0</v>
      </c>
      <c r="I9" s="7" t="s">
        <v>10</v>
      </c>
      <c r="J9" s="17">
        <v>0</v>
      </c>
      <c r="K9" s="17">
        <v>19</v>
      </c>
      <c r="L9" s="43">
        <f>L33</f>
        <v>1448640</v>
      </c>
      <c r="O9" s="15">
        <f t="shared" ref="O9:O21" si="0">+G9/$G$29*$O$29</f>
        <v>0</v>
      </c>
    </row>
    <row r="10" spans="1:44" hidden="1" x14ac:dyDescent="0.2">
      <c r="A10" s="13"/>
      <c r="B10" s="14" t="s">
        <v>122</v>
      </c>
      <c r="C10" s="15">
        <v>0</v>
      </c>
      <c r="E10" s="15">
        <f>(C10/9)*12</f>
        <v>0</v>
      </c>
      <c r="G10" s="15">
        <v>0</v>
      </c>
      <c r="I10" s="7"/>
      <c r="J10" s="17"/>
      <c r="K10" s="17"/>
      <c r="L10" s="43"/>
      <c r="O10" s="15">
        <f t="shared" si="0"/>
        <v>0</v>
      </c>
    </row>
    <row r="11" spans="1:44" x14ac:dyDescent="0.2">
      <c r="A11" s="13" t="s">
        <v>13</v>
      </c>
      <c r="B11" s="14" t="s">
        <v>14</v>
      </c>
      <c r="C11" s="15">
        <f>'[8]Team Report'!BA26</f>
        <v>823813.24</v>
      </c>
      <c r="E11" s="15">
        <f>(C11/9)*12</f>
        <v>1098417.6533333333</v>
      </c>
      <c r="G11" s="15">
        <f>(L33-L29+141960)*1.2</f>
        <v>460080</v>
      </c>
      <c r="I11" s="7"/>
      <c r="J11" s="17"/>
      <c r="K11" s="17"/>
      <c r="L11" s="43"/>
      <c r="O11" s="15">
        <f t="shared" si="0"/>
        <v>32862.857142857145</v>
      </c>
    </row>
    <row r="12" spans="1:44" x14ac:dyDescent="0.2">
      <c r="A12" s="13" t="s">
        <v>16</v>
      </c>
      <c r="B12" s="14" t="s">
        <v>17</v>
      </c>
      <c r="C12" s="15">
        <f>'[8]Team Report'!BA27</f>
        <v>-177210.59000000003</v>
      </c>
      <c r="E12" s="20">
        <f>((C12/9)*12+350000)*1.4</f>
        <v>159206.89866666665</v>
      </c>
      <c r="G12" s="21">
        <f>((E12/$E$29)*$G$29+13466)*1.2</f>
        <v>48000.579733333325</v>
      </c>
      <c r="I12" s="7" t="s">
        <v>15</v>
      </c>
      <c r="J12" s="17">
        <f>(E12+E13+E14+E15+E16+E17+E18+E19+E20+E21+E22)/E29</f>
        <v>13598.373873015877</v>
      </c>
      <c r="K12" s="17">
        <v>19</v>
      </c>
      <c r="L12" s="43">
        <f>J12*K12</f>
        <v>258369.10358730165</v>
      </c>
      <c r="O12" s="15">
        <f t="shared" si="0"/>
        <v>3428.6128380952373</v>
      </c>
    </row>
    <row r="13" spans="1:44" x14ac:dyDescent="0.2">
      <c r="A13" s="13" t="s">
        <v>18</v>
      </c>
      <c r="B13" s="14" t="s">
        <v>19</v>
      </c>
      <c r="C13" s="15">
        <f>'[8]Team Report'!BA28</f>
        <v>238343.32</v>
      </c>
      <c r="E13" s="20">
        <f>((C13/9)*12)*1.4</f>
        <v>444907.53066666669</v>
      </c>
      <c r="G13" s="21">
        <f>((E13/$E$29)*$G$29-19151)*1.2</f>
        <v>66000.306133333346</v>
      </c>
      <c r="I13" s="7"/>
      <c r="J13" s="17"/>
      <c r="K13" s="17"/>
      <c r="L13" s="43"/>
      <c r="O13" s="15">
        <f t="shared" si="0"/>
        <v>4714.3075809523816</v>
      </c>
    </row>
    <row r="14" spans="1:44" ht="13.5" thickBot="1" x14ac:dyDescent="0.25">
      <c r="A14" s="13" t="s">
        <v>21</v>
      </c>
      <c r="B14" s="14" t="s">
        <v>22</v>
      </c>
      <c r="C14" s="15">
        <v>0</v>
      </c>
      <c r="E14" s="20">
        <f>(C14/9)*12</f>
        <v>0</v>
      </c>
      <c r="G14" s="21">
        <f>((E14/$E$29)*$G$29+80000)*1.2</f>
        <v>96000</v>
      </c>
      <c r="I14" s="22" t="s">
        <v>20</v>
      </c>
      <c r="J14" s="47"/>
      <c r="K14" s="47"/>
      <c r="L14" s="48">
        <f>SUM(L9:L12)</f>
        <v>1707009.1035873017</v>
      </c>
      <c r="N14">
        <v>2206762</v>
      </c>
      <c r="O14" s="15">
        <f t="shared" si="0"/>
        <v>6857.1428571428569</v>
      </c>
      <c r="P14" s="49">
        <f>N14-L14</f>
        <v>499752.89641269832</v>
      </c>
    </row>
    <row r="15" spans="1:44" x14ac:dyDescent="0.2">
      <c r="A15" s="13" t="s">
        <v>23</v>
      </c>
      <c r="B15" s="14" t="s">
        <v>24</v>
      </c>
      <c r="C15" s="15">
        <f>'[8]Team Report'!BA33</f>
        <v>93641.700000000012</v>
      </c>
      <c r="E15" s="20">
        <f>((C15/9)*12)*1.4</f>
        <v>174797.84000000003</v>
      </c>
      <c r="G15" s="21">
        <f>((E15/$E$29)*$G$29)*1.2</f>
        <v>34959.568000000007</v>
      </c>
      <c r="I15" s="8"/>
      <c r="J15" s="17"/>
      <c r="K15" s="17"/>
      <c r="L15" s="17"/>
      <c r="O15" s="15">
        <f t="shared" si="0"/>
        <v>2497.1120000000005</v>
      </c>
    </row>
    <row r="16" spans="1:44" x14ac:dyDescent="0.2">
      <c r="A16" s="13" t="s">
        <v>25</v>
      </c>
      <c r="B16" s="14" t="s">
        <v>26</v>
      </c>
      <c r="C16" s="15">
        <f>'[8]Team Report'!BA34</f>
        <v>0</v>
      </c>
      <c r="E16" s="20">
        <f>(C16/9)*12</f>
        <v>0</v>
      </c>
      <c r="G16" s="21">
        <f>((E16/$E$29)*$G$29)*1.2</f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28</v>
      </c>
      <c r="B17" s="14" t="s">
        <v>29</v>
      </c>
      <c r="C17" s="15">
        <f>'[8]Team Report'!BA35</f>
        <v>0</v>
      </c>
      <c r="E17" s="20">
        <f>(C17/9)*12</f>
        <v>0</v>
      </c>
      <c r="G17" s="21">
        <f>((E17/$E$29)*$G$29)*1.2</f>
        <v>0</v>
      </c>
      <c r="I17" s="8" t="s">
        <v>27</v>
      </c>
      <c r="J17" s="17">
        <v>30000</v>
      </c>
      <c r="K17" s="17">
        <f>H17*J17</f>
        <v>0</v>
      </c>
      <c r="L17" s="17">
        <f t="shared" ref="L17:L28" si="1">J17*K17</f>
        <v>0</v>
      </c>
      <c r="O17" s="15">
        <f t="shared" si="0"/>
        <v>0</v>
      </c>
    </row>
    <row r="18" spans="1:15" x14ac:dyDescent="0.2">
      <c r="A18" s="13" t="s">
        <v>31</v>
      </c>
      <c r="B18" s="14" t="s">
        <v>32</v>
      </c>
      <c r="C18" s="15">
        <f>'[8]Team Report'!BA36</f>
        <v>3626.4</v>
      </c>
      <c r="E18" s="20">
        <f>((C18/9)*12)*1.4</f>
        <v>6769.28</v>
      </c>
      <c r="G18" s="21">
        <f>((E18/$E$29)*$G$29)*1.2</f>
        <v>1353.8559999999998</v>
      </c>
      <c r="I18" t="s">
        <v>93</v>
      </c>
      <c r="J18" s="25">
        <f>40000*1.2</f>
        <v>48000</v>
      </c>
      <c r="K18" s="17">
        <v>1</v>
      </c>
      <c r="L18" s="17">
        <f t="shared" si="1"/>
        <v>48000</v>
      </c>
      <c r="O18" s="15">
        <f t="shared" si="0"/>
        <v>96.703999999999979</v>
      </c>
    </row>
    <row r="19" spans="1:15" x14ac:dyDescent="0.2">
      <c r="A19" s="13" t="s">
        <v>34</v>
      </c>
      <c r="B19" s="14" t="s">
        <v>35</v>
      </c>
      <c r="C19" s="15">
        <f>'[8]Team Report'!BA37</f>
        <v>121524.64000000001</v>
      </c>
      <c r="E19" s="20">
        <f>((C19/9)*12)*1.6+21500</f>
        <v>280752.56533333339</v>
      </c>
      <c r="G19" s="21">
        <f>((E19/$E$29)*$G$29)*1.2</f>
        <v>56150.513066666681</v>
      </c>
      <c r="I19" t="s">
        <v>33</v>
      </c>
      <c r="J19" s="25">
        <v>41000</v>
      </c>
      <c r="K19" s="17">
        <f>H19*J19</f>
        <v>0</v>
      </c>
      <c r="L19" s="17">
        <f t="shared" si="1"/>
        <v>0</v>
      </c>
      <c r="O19" s="15">
        <f t="shared" si="0"/>
        <v>4010.7509333333342</v>
      </c>
    </row>
    <row r="20" spans="1:15" x14ac:dyDescent="0.2">
      <c r="A20" s="13" t="s">
        <v>37</v>
      </c>
      <c r="B20" s="14" t="s">
        <v>38</v>
      </c>
      <c r="C20" s="15">
        <f>'[8]Team Report'!BA38</f>
        <v>1258.2</v>
      </c>
      <c r="E20" s="20">
        <f>((C20/9)*12)*1.2</f>
        <v>2013.1200000000001</v>
      </c>
      <c r="G20" s="21">
        <f>((E20/$E$29)*$G$29-336)*1.2</f>
        <v>-0.57599999999995355</v>
      </c>
      <c r="I20" t="s">
        <v>94</v>
      </c>
      <c r="J20" s="25">
        <f>48000*1.2</f>
        <v>57600</v>
      </c>
      <c r="K20" s="17">
        <v>1</v>
      </c>
      <c r="L20" s="17">
        <f t="shared" si="1"/>
        <v>57600</v>
      </c>
      <c r="O20" s="15">
        <f t="shared" si="0"/>
        <v>-4.1142857142853824E-2</v>
      </c>
    </row>
    <row r="21" spans="1:15" x14ac:dyDescent="0.2">
      <c r="A21" s="13" t="s">
        <v>40</v>
      </c>
      <c r="B21" s="14" t="s">
        <v>41</v>
      </c>
      <c r="C21" s="15">
        <f>'[8]Team Report'!BA42</f>
        <v>33298.459999999992</v>
      </c>
      <c r="E21" s="20">
        <f>((C21/9)*12)*1.6</f>
        <v>71036.714666666652</v>
      </c>
      <c r="G21" s="21">
        <f>((E21/$E$29)*$G$29+7698)*1.2</f>
        <v>23444.942933333332</v>
      </c>
      <c r="I21" t="s">
        <v>45</v>
      </c>
      <c r="J21" s="25">
        <f>60000*1.2</f>
        <v>72000</v>
      </c>
      <c r="K21" s="25">
        <v>2</v>
      </c>
      <c r="L21" s="17">
        <f t="shared" si="1"/>
        <v>144000</v>
      </c>
      <c r="O21" s="15">
        <f t="shared" si="0"/>
        <v>1674.6387809523808</v>
      </c>
    </row>
    <row r="22" spans="1:15" x14ac:dyDescent="0.2">
      <c r="A22" s="13" t="s">
        <v>43</v>
      </c>
      <c r="B22" s="14" t="s">
        <v>44</v>
      </c>
      <c r="C22" s="15">
        <f>'[8]Team Report'!BA44</f>
        <v>1737.16</v>
      </c>
      <c r="E22" s="20">
        <f>((C22/9)*12)*1.2</f>
        <v>2779.4559999999997</v>
      </c>
      <c r="G22" s="21">
        <f>((E22/$E$29)*$G$29)*1.2</f>
        <v>555.89119999999991</v>
      </c>
      <c r="I22" t="s">
        <v>36</v>
      </c>
      <c r="J22" s="25">
        <f>52000*1.2</f>
        <v>62400</v>
      </c>
      <c r="K22" s="17">
        <v>3</v>
      </c>
      <c r="L22" s="17">
        <f t="shared" si="1"/>
        <v>187200</v>
      </c>
      <c r="O22" s="15">
        <f>+G22/$G$29*$O$29</f>
        <v>39.706514285714277</v>
      </c>
    </row>
    <row r="23" spans="1:15" x14ac:dyDescent="0.2">
      <c r="A23" s="26" t="s">
        <v>46</v>
      </c>
      <c r="B23" s="27" t="s">
        <v>47</v>
      </c>
      <c r="C23" s="28">
        <f>SUM(C8:C22)</f>
        <v>4836935.0500000007</v>
      </c>
      <c r="E23" s="28">
        <f>SUM(E8:E22)</f>
        <v>7169884.4186666673</v>
      </c>
      <c r="G23" s="28">
        <f>SUM(G8:G22)</f>
        <v>2490545.0810666666</v>
      </c>
      <c r="I23" t="s">
        <v>95</v>
      </c>
      <c r="J23" s="25">
        <f>62000*1.2</f>
        <v>74400</v>
      </c>
      <c r="K23" s="17">
        <v>1</v>
      </c>
      <c r="L23" s="17">
        <f t="shared" si="1"/>
        <v>74400</v>
      </c>
      <c r="O23" s="28">
        <f>SUM(O8:O22)</f>
        <v>177896.07721904758</v>
      </c>
    </row>
    <row r="24" spans="1:15" x14ac:dyDescent="0.2">
      <c r="I24" t="s">
        <v>96</v>
      </c>
      <c r="J24" s="25">
        <f>75000*1.2</f>
        <v>90000</v>
      </c>
      <c r="K24" s="17">
        <v>4</v>
      </c>
      <c r="L24" s="17">
        <f t="shared" si="1"/>
        <v>360000</v>
      </c>
    </row>
    <row r="25" spans="1:15" x14ac:dyDescent="0.2">
      <c r="B25" s="27" t="s">
        <v>50</v>
      </c>
      <c r="C25" s="55"/>
      <c r="E25" s="55">
        <v>84</v>
      </c>
      <c r="G25" s="79">
        <f>SUM(K17:K19,K22:K28)</f>
        <v>11</v>
      </c>
      <c r="I25" t="s">
        <v>97</v>
      </c>
      <c r="J25" s="25">
        <f>100000*1.2</f>
        <v>120000</v>
      </c>
      <c r="K25" s="17">
        <v>1</v>
      </c>
      <c r="L25" s="17">
        <f t="shared" si="1"/>
        <v>120000</v>
      </c>
      <c r="O25" s="31">
        <f>SUM(U16:U20,U23:U27)</f>
        <v>0</v>
      </c>
    </row>
    <row r="26" spans="1:15" x14ac:dyDescent="0.2">
      <c r="I26" t="s">
        <v>119</v>
      </c>
      <c r="J26" s="25">
        <f>149000*1.2</f>
        <v>178800</v>
      </c>
      <c r="K26" s="17">
        <f>H25*J26</f>
        <v>0</v>
      </c>
      <c r="L26" s="17">
        <f t="shared" si="1"/>
        <v>0</v>
      </c>
      <c r="O26" s="15"/>
    </row>
    <row r="27" spans="1:15" x14ac:dyDescent="0.2">
      <c r="B27" s="27" t="s">
        <v>67</v>
      </c>
      <c r="C27" s="55"/>
      <c r="E27" s="55"/>
      <c r="G27" s="79">
        <f>SUM(K20:K21)</f>
        <v>3</v>
      </c>
      <c r="I27" t="s">
        <v>99</v>
      </c>
      <c r="J27" s="25">
        <f>180000*1.2</f>
        <v>216000</v>
      </c>
      <c r="K27" s="17">
        <v>1</v>
      </c>
      <c r="L27" s="17">
        <f t="shared" si="1"/>
        <v>216000</v>
      </c>
      <c r="O27" s="31">
        <f>+U21+U22</f>
        <v>0</v>
      </c>
    </row>
    <row r="28" spans="1:15" x14ac:dyDescent="0.2">
      <c r="I28" t="s">
        <v>100</v>
      </c>
      <c r="J28" s="25">
        <f>260000*1.2</f>
        <v>312000</v>
      </c>
      <c r="K28" s="17">
        <f>H27*J28</f>
        <v>0</v>
      </c>
      <c r="L28" s="17">
        <f t="shared" si="1"/>
        <v>0</v>
      </c>
    </row>
    <row r="29" spans="1:15" x14ac:dyDescent="0.2">
      <c r="B29" s="27" t="s">
        <v>55</v>
      </c>
      <c r="C29" s="55"/>
      <c r="E29" s="55">
        <f>SUM(E25:E28)</f>
        <v>84</v>
      </c>
      <c r="G29" s="55">
        <f>SUM(G25:G28)</f>
        <v>14</v>
      </c>
      <c r="K29" s="25">
        <f>SUM(K17:K28)</f>
        <v>14</v>
      </c>
      <c r="L29" s="17">
        <f>SUM(L17:L28)</f>
        <v>1207200</v>
      </c>
      <c r="O29" s="31">
        <v>1</v>
      </c>
    </row>
    <row r="30" spans="1:15" x14ac:dyDescent="0.2">
      <c r="B30" s="27"/>
    </row>
    <row r="31" spans="1:15" hidden="1" x14ac:dyDescent="0.2">
      <c r="A31" s="13" t="s">
        <v>71</v>
      </c>
      <c r="B31" s="14" t="s">
        <v>72</v>
      </c>
      <c r="C31" s="15">
        <f>'[8]Team Report'!BA29</f>
        <v>0</v>
      </c>
      <c r="E31" s="15">
        <f t="shared" ref="E31:E38" si="2">(C31/9)*12</f>
        <v>0</v>
      </c>
      <c r="I31" t="s">
        <v>102</v>
      </c>
      <c r="K31" s="52"/>
      <c r="L31" s="52">
        <v>0.2</v>
      </c>
    </row>
    <row r="32" spans="1:15" hidden="1" x14ac:dyDescent="0.2">
      <c r="A32" s="13" t="s">
        <v>73</v>
      </c>
      <c r="B32" s="14" t="s">
        <v>74</v>
      </c>
      <c r="C32" s="15">
        <f>'[8]Team Report'!BA30</f>
        <v>0</v>
      </c>
      <c r="E32" s="15">
        <f t="shared" si="2"/>
        <v>0</v>
      </c>
    </row>
    <row r="33" spans="1:12" hidden="1" x14ac:dyDescent="0.2">
      <c r="A33" s="13" t="s">
        <v>75</v>
      </c>
      <c r="B33" s="14" t="s">
        <v>76</v>
      </c>
      <c r="C33" s="15">
        <f>'[8]Team Report'!BA31</f>
        <v>0</v>
      </c>
      <c r="E33" s="15">
        <f t="shared" si="2"/>
        <v>0</v>
      </c>
      <c r="L33" s="25">
        <f>L29*1.2</f>
        <v>1448640</v>
      </c>
    </row>
    <row r="34" spans="1:12" hidden="1" x14ac:dyDescent="0.2">
      <c r="A34" s="13" t="s">
        <v>77</v>
      </c>
      <c r="B34" s="14" t="s">
        <v>78</v>
      </c>
      <c r="C34" s="15">
        <f>'[8]Team Report'!BA39</f>
        <v>0</v>
      </c>
      <c r="E34" s="15">
        <f t="shared" si="2"/>
        <v>0</v>
      </c>
    </row>
    <row r="35" spans="1:12" hidden="1" x14ac:dyDescent="0.2">
      <c r="A35" s="13" t="s">
        <v>79</v>
      </c>
      <c r="B35" s="14" t="s">
        <v>80</v>
      </c>
      <c r="C35" s="15">
        <f>'[8]Team Report'!BA40</f>
        <v>77797.26999999999</v>
      </c>
      <c r="E35" s="15">
        <f t="shared" si="2"/>
        <v>103729.69333333333</v>
      </c>
    </row>
    <row r="36" spans="1:12" hidden="1" x14ac:dyDescent="0.2">
      <c r="A36" s="13" t="s">
        <v>81</v>
      </c>
      <c r="B36" s="14" t="s">
        <v>82</v>
      </c>
      <c r="C36" s="15">
        <f>'[8]Team Report'!BA41</f>
        <v>677124.53999999992</v>
      </c>
      <c r="E36" s="15">
        <f t="shared" si="2"/>
        <v>902832.72</v>
      </c>
    </row>
    <row r="37" spans="1:12" hidden="1" x14ac:dyDescent="0.2">
      <c r="A37" s="13" t="s">
        <v>83</v>
      </c>
      <c r="B37" s="14" t="s">
        <v>84</v>
      </c>
      <c r="C37" s="15">
        <f>'[8]Team Report'!BA43</f>
        <v>-1637349.75</v>
      </c>
      <c r="E37" s="15">
        <f t="shared" si="2"/>
        <v>-2183133</v>
      </c>
      <c r="H37" s="33" t="s">
        <v>56</v>
      </c>
      <c r="I37" s="25"/>
      <c r="L37"/>
    </row>
    <row r="38" spans="1:12" hidden="1" x14ac:dyDescent="0.2">
      <c r="A38" s="13" t="s">
        <v>85</v>
      </c>
      <c r="B38" s="14" t="s">
        <v>86</v>
      </c>
      <c r="C38" s="15">
        <f>'[8]Team Report'!BA45</f>
        <v>15745.09</v>
      </c>
      <c r="E38" s="15">
        <f t="shared" si="2"/>
        <v>20993.453333333335</v>
      </c>
      <c r="I38" s="25"/>
      <c r="L38"/>
    </row>
    <row r="39" spans="1:12" hidden="1" x14ac:dyDescent="0.2">
      <c r="A39" s="77" t="s">
        <v>21</v>
      </c>
      <c r="B39" s="14" t="s">
        <v>22</v>
      </c>
      <c r="C39" s="15">
        <v>180700.52</v>
      </c>
      <c r="E39" s="15">
        <v>240934.02666666661</v>
      </c>
      <c r="H39" s="34" t="s">
        <v>57</v>
      </c>
      <c r="I39" s="35" t="s">
        <v>58</v>
      </c>
      <c r="J39" s="35" t="s">
        <v>59</v>
      </c>
      <c r="K39" s="35" t="s">
        <v>2</v>
      </c>
      <c r="L39" s="35" t="s">
        <v>60</v>
      </c>
    </row>
    <row r="40" spans="1:12" hidden="1" x14ac:dyDescent="0.2">
      <c r="H40" s="36">
        <f>SUM(E12:E22)</f>
        <v>1142263.4053333336</v>
      </c>
      <c r="I40" s="56">
        <f>+E29</f>
        <v>84</v>
      </c>
      <c r="J40" s="37">
        <f>+H40/I40</f>
        <v>13598.373873015877</v>
      </c>
      <c r="K40" s="56">
        <f>+K12</f>
        <v>19</v>
      </c>
      <c r="L40" s="37">
        <f>+J40*K40</f>
        <v>258369.10358730165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3970252.2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S44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3.85546875" customWidth="1"/>
    <col min="7" max="7" width="2.28515625" hidden="1" customWidth="1"/>
    <col min="8" max="8" width="4.42578125" hidden="1" customWidth="1"/>
    <col min="9" max="9" width="13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5" width="9.140625" hidden="1" customWidth="1"/>
    <col min="16" max="49" width="0" hidden="1" customWidth="1"/>
  </cols>
  <sheetData>
    <row r="1" spans="1:45" ht="18" x14ac:dyDescent="0.25">
      <c r="B1" s="140" t="str">
        <f>'[14]Team Report'!B1</f>
        <v>Enron North America</v>
      </c>
      <c r="C1" s="140"/>
      <c r="D1" s="140"/>
      <c r="E1" s="140"/>
      <c r="F1" s="140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0" t="s">
        <v>129</v>
      </c>
      <c r="C2" s="140"/>
      <c r="D2" s="140"/>
      <c r="E2" s="140"/>
      <c r="F2" s="140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41" t="s">
        <v>0</v>
      </c>
      <c r="C3" s="141"/>
      <c r="D3" s="141"/>
      <c r="E3" s="141"/>
      <c r="F3" s="141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45" t="s">
        <v>129</v>
      </c>
      <c r="K4" s="145"/>
      <c r="L4" s="145"/>
      <c r="M4" s="145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76" t="s">
        <v>63</v>
      </c>
      <c r="J6" s="7"/>
      <c r="K6" s="19" t="s">
        <v>1</v>
      </c>
      <c r="L6" s="19" t="s">
        <v>2</v>
      </c>
      <c r="M6" s="74" t="s">
        <v>107</v>
      </c>
      <c r="O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J7" s="7"/>
      <c r="K7" s="17"/>
      <c r="L7" s="17"/>
      <c r="M7" s="43"/>
      <c r="O7" s="12" t="s">
        <v>7</v>
      </c>
    </row>
    <row r="8" spans="1:45" x14ac:dyDescent="0.2">
      <c r="A8" s="13" t="s">
        <v>9</v>
      </c>
      <c r="B8" s="14" t="s">
        <v>10</v>
      </c>
      <c r="C8" s="53">
        <f>'[14]Team Report'!BA25</f>
        <v>10228335.790000001</v>
      </c>
      <c r="E8" s="15">
        <f>(C8/9)*12</f>
        <v>13637781.053333335</v>
      </c>
      <c r="F8" s="15">
        <f>(M21+M25+M26+M27+M28+360800)*1.2</f>
        <v>3876000</v>
      </c>
      <c r="J8" s="7"/>
      <c r="K8" s="17"/>
      <c r="L8" s="17"/>
      <c r="M8" s="43"/>
      <c r="O8" s="15">
        <f>+F8/$F$29*$O$29</f>
        <v>176181.81818181818</v>
      </c>
    </row>
    <row r="9" spans="1:45" hidden="1" x14ac:dyDescent="0.2">
      <c r="A9" s="13"/>
      <c r="B9" s="14" t="s">
        <v>11</v>
      </c>
      <c r="C9" s="15">
        <v>0</v>
      </c>
      <c r="E9" s="15">
        <f>(C9/9)*12</f>
        <v>0</v>
      </c>
      <c r="F9" s="15">
        <v>0</v>
      </c>
      <c r="J9" s="7" t="s">
        <v>10</v>
      </c>
      <c r="K9" s="17">
        <v>0</v>
      </c>
      <c r="L9" s="17">
        <f>L29</f>
        <v>21</v>
      </c>
      <c r="M9" s="43">
        <f>M33</f>
        <v>3954960</v>
      </c>
      <c r="O9" s="15">
        <f t="shared" ref="O9:O22" si="0">+F9/$F$29*$O$29</f>
        <v>0</v>
      </c>
    </row>
    <row r="10" spans="1:45" hidden="1" x14ac:dyDescent="0.2">
      <c r="A10" s="13"/>
      <c r="B10" s="14" t="s">
        <v>70</v>
      </c>
      <c r="C10" s="15">
        <v>0</v>
      </c>
      <c r="E10" s="15">
        <f>(C10/9)*12</f>
        <v>0</v>
      </c>
      <c r="F10" s="15">
        <v>0</v>
      </c>
      <c r="J10" s="7"/>
      <c r="K10" s="17"/>
      <c r="L10" s="17"/>
      <c r="M10" s="43"/>
      <c r="O10" s="15">
        <f t="shared" si="0"/>
        <v>0</v>
      </c>
    </row>
    <row r="11" spans="1:45" x14ac:dyDescent="0.2">
      <c r="A11" s="13" t="s">
        <v>13</v>
      </c>
      <c r="B11" s="14" t="s">
        <v>14</v>
      </c>
      <c r="C11" s="15">
        <f>'[14]Team Report'!BA26</f>
        <v>1877442.13</v>
      </c>
      <c r="E11" s="15">
        <f>(C11/9)*12</f>
        <v>2503256.1733333333</v>
      </c>
      <c r="F11" s="15">
        <f>(F8*0.2)*1.2</f>
        <v>930240</v>
      </c>
      <c r="J11" s="7"/>
      <c r="K11" s="17"/>
      <c r="L11" s="17"/>
      <c r="M11" s="43"/>
      <c r="O11" s="15">
        <f t="shared" si="0"/>
        <v>42283.63636363636</v>
      </c>
    </row>
    <row r="12" spans="1:45" x14ac:dyDescent="0.2">
      <c r="A12" s="13" t="s">
        <v>16</v>
      </c>
      <c r="B12" s="14" t="s">
        <v>17</v>
      </c>
      <c r="C12" s="15">
        <f>'[14]Team Report'!BA27</f>
        <v>405632.98</v>
      </c>
      <c r="E12" s="21">
        <f>((C12/9)*12)*2.6</f>
        <v>1406194.3306666669</v>
      </c>
      <c r="F12" s="21">
        <f>(E12/$E$29*$L$12+179963)*1.2</f>
        <v>535199.71831351344</v>
      </c>
      <c r="J12" s="7" t="s">
        <v>15</v>
      </c>
      <c r="K12" s="17">
        <f>(E12+E13+E15+E16+E17+E18+E19+E20+E21+E22)/E29</f>
        <v>50608.385250450454</v>
      </c>
      <c r="L12" s="17">
        <f>L29</f>
        <v>21</v>
      </c>
      <c r="M12" s="43">
        <f>K12*L12+5000000</f>
        <v>6062776.0902594598</v>
      </c>
      <c r="O12" s="15">
        <f t="shared" si="0"/>
        <v>24327.25992334152</v>
      </c>
    </row>
    <row r="13" spans="1:45" x14ac:dyDescent="0.2">
      <c r="A13" s="13" t="s">
        <v>18</v>
      </c>
      <c r="B13" s="14" t="s">
        <v>19</v>
      </c>
      <c r="C13" s="15">
        <f>'[14]Team Report'!BA28</f>
        <v>648740.16999999993</v>
      </c>
      <c r="E13" s="21">
        <f>((C13/9)*12)*2.13</f>
        <v>1842422.0827999995</v>
      </c>
      <c r="F13" s="21">
        <f>(E13/$E$29*$L$12+68434)*1.2</f>
        <v>500400.40798702691</v>
      </c>
      <c r="J13" s="7"/>
      <c r="K13" s="17"/>
      <c r="L13" s="17"/>
      <c r="M13" s="43"/>
      <c r="O13" s="15">
        <f t="shared" si="0"/>
        <v>22745.473090319403</v>
      </c>
    </row>
    <row r="14" spans="1:45" ht="13.5" thickBot="1" x14ac:dyDescent="0.25">
      <c r="A14" s="13" t="s">
        <v>21</v>
      </c>
      <c r="B14" s="14" t="s">
        <v>22</v>
      </c>
      <c r="C14" s="15">
        <v>0</v>
      </c>
      <c r="E14" s="21">
        <v>0</v>
      </c>
      <c r="F14" s="21">
        <v>4200000</v>
      </c>
      <c r="J14" s="22" t="s">
        <v>20</v>
      </c>
      <c r="K14" s="47"/>
      <c r="L14" s="47"/>
      <c r="M14" s="48">
        <f>SUM(M9:M12)</f>
        <v>10017736.090259459</v>
      </c>
      <c r="O14" s="15">
        <f t="shared" si="0"/>
        <v>190909.09090909091</v>
      </c>
    </row>
    <row r="15" spans="1:45" x14ac:dyDescent="0.2">
      <c r="A15" s="13" t="s">
        <v>23</v>
      </c>
      <c r="B15" s="14" t="s">
        <v>24</v>
      </c>
      <c r="C15" s="15">
        <f>'[14]Team Report'!BA33</f>
        <v>76876.320000000007</v>
      </c>
      <c r="E15" s="21">
        <f>((C15/9)*12)*2.1</f>
        <v>215253.69600000003</v>
      </c>
      <c r="F15" s="21">
        <f>(E15/$E$29*$L$12+4276)*1.2</f>
        <v>53999.606659459467</v>
      </c>
      <c r="I15" s="49">
        <f>M14-F23</f>
        <v>-567042.8180518914</v>
      </c>
      <c r="J15" s="8"/>
      <c r="K15" s="17"/>
      <c r="L15" s="17"/>
      <c r="M15" s="17"/>
      <c r="O15" s="15">
        <f t="shared" si="0"/>
        <v>2454.527575429976</v>
      </c>
    </row>
    <row r="16" spans="1:45" x14ac:dyDescent="0.2">
      <c r="A16" s="13" t="s">
        <v>25</v>
      </c>
      <c r="B16" s="14" t="s">
        <v>26</v>
      </c>
      <c r="C16" s="15">
        <f>'[14]Team Report'!BA34</f>
        <v>0</v>
      </c>
      <c r="E16" s="21">
        <f>((C16/9)*12)*1.2</f>
        <v>0</v>
      </c>
      <c r="F16" s="21">
        <f t="shared" ref="F16:F22" si="1">(E16/$E$29*$L$12)*1.2</f>
        <v>0</v>
      </c>
      <c r="J16" s="8"/>
      <c r="K16" s="17"/>
      <c r="L16" s="78"/>
      <c r="M16" s="17"/>
      <c r="O16" s="15">
        <f t="shared" si="0"/>
        <v>0</v>
      </c>
    </row>
    <row r="17" spans="1:15" x14ac:dyDescent="0.2">
      <c r="A17" s="13" t="s">
        <v>28</v>
      </c>
      <c r="B17" s="14" t="s">
        <v>29</v>
      </c>
      <c r="C17" s="15">
        <f>'[14]Team Report'!BA35</f>
        <v>0</v>
      </c>
      <c r="E17" s="21">
        <f>((C17/9)*12)*1.2</f>
        <v>0</v>
      </c>
      <c r="F17" s="21">
        <f t="shared" si="1"/>
        <v>0</v>
      </c>
      <c r="J17" t="s">
        <v>27</v>
      </c>
      <c r="K17" s="25">
        <v>33600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x14ac:dyDescent="0.2">
      <c r="A18" s="13" t="s">
        <v>31</v>
      </c>
      <c r="B18" s="14" t="s">
        <v>32</v>
      </c>
      <c r="C18" s="15">
        <f>'[14]Team Report'!BA36</f>
        <v>5744.1</v>
      </c>
      <c r="E18" s="21">
        <f>((C18/9)*12)*1.6</f>
        <v>12254.080000000002</v>
      </c>
      <c r="F18" s="21">
        <f t="shared" si="1"/>
        <v>2782.0073513513516</v>
      </c>
      <c r="J18" t="s">
        <v>30</v>
      </c>
      <c r="K18" s="25">
        <v>52800</v>
      </c>
      <c r="L18" s="25">
        <v>2</v>
      </c>
      <c r="M18" s="17">
        <f t="shared" si="2"/>
        <v>105600</v>
      </c>
      <c r="O18" s="15">
        <f t="shared" si="0"/>
        <v>126.45487960687962</v>
      </c>
    </row>
    <row r="19" spans="1:15" x14ac:dyDescent="0.2">
      <c r="A19" s="13" t="s">
        <v>34</v>
      </c>
      <c r="B19" s="14" t="s">
        <v>35</v>
      </c>
      <c r="C19" s="15">
        <f>'[14]Team Report'!BA37</f>
        <v>67058.599999999991</v>
      </c>
      <c r="E19" s="21">
        <f>((C19/9)*12)*1.85</f>
        <v>165411.21333333329</v>
      </c>
      <c r="F19" s="21">
        <f t="shared" si="1"/>
        <v>37552.815999999992</v>
      </c>
      <c r="J19" t="s">
        <v>33</v>
      </c>
      <c r="K19" s="25">
        <v>54000</v>
      </c>
      <c r="L19" s="25">
        <v>0</v>
      </c>
      <c r="M19" s="17">
        <f t="shared" si="2"/>
        <v>0</v>
      </c>
      <c r="O19" s="15">
        <f t="shared" si="0"/>
        <v>1706.9461818181815</v>
      </c>
    </row>
    <row r="20" spans="1:15" x14ac:dyDescent="0.2">
      <c r="A20" s="13" t="s">
        <v>37</v>
      </c>
      <c r="B20" s="14" t="s">
        <v>38</v>
      </c>
      <c r="C20" s="15">
        <f>'[14]Team Report'!BA38</f>
        <v>0</v>
      </c>
      <c r="E20" s="21">
        <f>((C20/9)*12)*1.2</f>
        <v>0</v>
      </c>
      <c r="F20" s="21">
        <f t="shared" si="1"/>
        <v>0</v>
      </c>
      <c r="J20" t="s">
        <v>36</v>
      </c>
      <c r="K20" s="25">
        <v>63000</v>
      </c>
      <c r="L20" s="25">
        <v>3</v>
      </c>
      <c r="M20" s="17">
        <f t="shared" si="2"/>
        <v>189000</v>
      </c>
      <c r="O20" s="15">
        <f t="shared" si="0"/>
        <v>0</v>
      </c>
    </row>
    <row r="21" spans="1:15" x14ac:dyDescent="0.2">
      <c r="A21" s="13" t="s">
        <v>40</v>
      </c>
      <c r="B21" s="14" t="s">
        <v>41</v>
      </c>
      <c r="C21" s="15">
        <f>'[14]Team Report'!BA42</f>
        <v>842429.76</v>
      </c>
      <c r="E21" s="21">
        <f>((C21/9)*12)*1.75</f>
        <v>1965669.4400000004</v>
      </c>
      <c r="F21" s="21">
        <f t="shared" si="1"/>
        <v>446260.08908108115</v>
      </c>
      <c r="J21" t="s">
        <v>39</v>
      </c>
      <c r="K21" s="25">
        <v>78000</v>
      </c>
      <c r="L21" s="25">
        <v>0</v>
      </c>
      <c r="M21" s="17">
        <f t="shared" si="2"/>
        <v>0</v>
      </c>
      <c r="O21" s="15">
        <f t="shared" si="0"/>
        <v>20284.549503685506</v>
      </c>
    </row>
    <row r="22" spans="1:15" x14ac:dyDescent="0.2">
      <c r="A22" s="13" t="s">
        <v>43</v>
      </c>
      <c r="B22" s="14" t="s">
        <v>44</v>
      </c>
      <c r="C22" s="15">
        <f>'[14]Team Report'!BA44</f>
        <v>6453.6999999999989</v>
      </c>
      <c r="E22" s="21">
        <f>((C22/9)*12)*1.2</f>
        <v>10325.919999999998</v>
      </c>
      <c r="F22" s="21">
        <f t="shared" si="1"/>
        <v>2344.2629189189183</v>
      </c>
      <c r="J22" t="s">
        <v>42</v>
      </c>
      <c r="K22" s="25">
        <v>66000</v>
      </c>
      <c r="L22" s="25">
        <v>0</v>
      </c>
      <c r="M22" s="17">
        <f t="shared" si="2"/>
        <v>0</v>
      </c>
      <c r="O22" s="15">
        <f t="shared" si="0"/>
        <v>106.55740540540538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14158713.550000001</v>
      </c>
      <c r="E23" s="28">
        <f>SUM(E8:E22)</f>
        <v>21758567.989466671</v>
      </c>
      <c r="F23" s="28">
        <f>SUM(F8:F22)</f>
        <v>10584778.90831135</v>
      </c>
      <c r="J23" t="s">
        <v>45</v>
      </c>
      <c r="K23" s="25">
        <v>97200</v>
      </c>
      <c r="L23" s="25">
        <v>0</v>
      </c>
      <c r="M23" s="17">
        <f t="shared" si="2"/>
        <v>0</v>
      </c>
      <c r="O23" s="58">
        <f>SUM(O8:O22)</f>
        <v>481126.31401415239</v>
      </c>
    </row>
    <row r="24" spans="1:15" x14ac:dyDescent="0.2">
      <c r="J24" t="s">
        <v>48</v>
      </c>
      <c r="K24" s="25">
        <v>132000</v>
      </c>
      <c r="L24" s="25">
        <v>1</v>
      </c>
      <c r="M24" s="17">
        <f t="shared" si="2"/>
        <v>132000</v>
      </c>
    </row>
    <row r="25" spans="1:15" x14ac:dyDescent="0.2">
      <c r="B25" s="27" t="s">
        <v>50</v>
      </c>
      <c r="C25" s="55"/>
      <c r="E25" s="55">
        <v>111</v>
      </c>
      <c r="F25" s="79">
        <v>22</v>
      </c>
      <c r="J25" t="s">
        <v>119</v>
      </c>
      <c r="K25" s="25">
        <v>178800</v>
      </c>
      <c r="L25" s="25">
        <v>9</v>
      </c>
      <c r="M25" s="17">
        <f t="shared" si="2"/>
        <v>1609200</v>
      </c>
      <c r="O25" s="31">
        <f>SUM(U16:U20,U23:U27)</f>
        <v>0</v>
      </c>
    </row>
    <row r="26" spans="1:15" x14ac:dyDescent="0.2">
      <c r="J26" t="s">
        <v>140</v>
      </c>
      <c r="K26" s="25">
        <v>195600</v>
      </c>
      <c r="L26" s="25">
        <v>2</v>
      </c>
      <c r="M26" s="17">
        <f t="shared" si="2"/>
        <v>391200</v>
      </c>
      <c r="O26" s="15"/>
    </row>
    <row r="27" spans="1:15" x14ac:dyDescent="0.2">
      <c r="B27" s="27" t="s">
        <v>67</v>
      </c>
      <c r="C27" s="55"/>
      <c r="E27" s="55"/>
      <c r="F27" s="55"/>
      <c r="J27" t="s">
        <v>141</v>
      </c>
      <c r="K27" s="25">
        <v>217200</v>
      </c>
      <c r="L27" s="25">
        <v>4</v>
      </c>
      <c r="M27" s="17">
        <f t="shared" si="2"/>
        <v>868800</v>
      </c>
      <c r="O27" s="31">
        <f>SUM(U21:U22)</f>
        <v>0</v>
      </c>
    </row>
    <row r="28" spans="1:15" x14ac:dyDescent="0.2">
      <c r="J28" t="s">
        <v>54</v>
      </c>
      <c r="K28" s="25">
        <v>345600</v>
      </c>
      <c r="L28" s="25">
        <v>0</v>
      </c>
      <c r="M28" s="17">
        <f t="shared" si="2"/>
        <v>0</v>
      </c>
    </row>
    <row r="29" spans="1:15" x14ac:dyDescent="0.2">
      <c r="B29" s="27" t="s">
        <v>55</v>
      </c>
      <c r="C29" s="55"/>
      <c r="E29" s="55">
        <f>SUM(E25:E28)</f>
        <v>111</v>
      </c>
      <c r="F29" s="55">
        <f>SUM(F25:F28)</f>
        <v>22</v>
      </c>
      <c r="L29" s="25">
        <f>SUM(L17:L28)</f>
        <v>21</v>
      </c>
      <c r="M29" s="25">
        <f>SUM(M17:M28)</f>
        <v>3295800</v>
      </c>
      <c r="O29" s="31">
        <v>1</v>
      </c>
    </row>
    <row r="30" spans="1:15" x14ac:dyDescent="0.2">
      <c r="B30" s="27"/>
    </row>
    <row r="31" spans="1:15" hidden="1" x14ac:dyDescent="0.2">
      <c r="A31" s="13" t="s">
        <v>71</v>
      </c>
      <c r="B31" s="14" t="s">
        <v>72</v>
      </c>
      <c r="C31" s="15">
        <f>'[14]Team Report'!BA29</f>
        <v>-24140467.679999996</v>
      </c>
      <c r="E31" s="15">
        <f t="shared" ref="E31:E38" si="3">(C31/9)*12</f>
        <v>-32187290.239999995</v>
      </c>
      <c r="F31" s="15"/>
      <c r="J31" t="s">
        <v>102</v>
      </c>
      <c r="L31" s="52"/>
      <c r="M31" s="52">
        <v>0.2</v>
      </c>
    </row>
    <row r="32" spans="1:15" hidden="1" x14ac:dyDescent="0.2">
      <c r="A32" s="13" t="s">
        <v>73</v>
      </c>
      <c r="B32" s="14" t="s">
        <v>74</v>
      </c>
      <c r="C32" s="15">
        <f>'[14]Team Report'!BA30</f>
        <v>0</v>
      </c>
      <c r="E32" s="15">
        <f t="shared" si="3"/>
        <v>0</v>
      </c>
      <c r="F32" s="15"/>
    </row>
    <row r="33" spans="1:14" hidden="1" x14ac:dyDescent="0.2">
      <c r="A33" s="13" t="s">
        <v>75</v>
      </c>
      <c r="B33" s="14" t="s">
        <v>76</v>
      </c>
      <c r="C33" s="15">
        <f>'[14]Team Report'!BA31</f>
        <v>0</v>
      </c>
      <c r="E33" s="15">
        <f t="shared" si="3"/>
        <v>0</v>
      </c>
      <c r="F33" s="15"/>
      <c r="M33" s="25">
        <f>M29*1.2</f>
        <v>3954960</v>
      </c>
    </row>
    <row r="34" spans="1:14" hidden="1" x14ac:dyDescent="0.2">
      <c r="A34" s="13" t="s">
        <v>77</v>
      </c>
      <c r="B34" s="14" t="s">
        <v>78</v>
      </c>
      <c r="C34" s="15">
        <f>'[14]Team Report'!BA39</f>
        <v>0</v>
      </c>
      <c r="E34" s="15">
        <f t="shared" si="3"/>
        <v>0</v>
      </c>
      <c r="F34" s="15"/>
    </row>
    <row r="35" spans="1:14" hidden="1" x14ac:dyDescent="0.2">
      <c r="A35" s="13" t="s">
        <v>79</v>
      </c>
      <c r="B35" s="14" t="s">
        <v>80</v>
      </c>
      <c r="C35" s="15">
        <f>'[14]Team Report'!BA40</f>
        <v>164920.93000000002</v>
      </c>
      <c r="E35" s="15">
        <f t="shared" si="3"/>
        <v>219894.57333333336</v>
      </c>
      <c r="F35" s="15"/>
    </row>
    <row r="36" spans="1:14" hidden="1" x14ac:dyDescent="0.2">
      <c r="A36" s="13" t="s">
        <v>81</v>
      </c>
      <c r="B36" s="14" t="s">
        <v>82</v>
      </c>
      <c r="C36" s="15">
        <f>'[14]Team Report'!BA41</f>
        <v>945381.27</v>
      </c>
      <c r="E36" s="15">
        <f t="shared" si="3"/>
        <v>1260508.3600000001</v>
      </c>
      <c r="F36" s="15"/>
    </row>
    <row r="37" spans="1:14" hidden="1" x14ac:dyDescent="0.2">
      <c r="A37" s="13" t="s">
        <v>83</v>
      </c>
      <c r="B37" s="14" t="s">
        <v>84</v>
      </c>
      <c r="C37" s="15">
        <f>'[14]Team Report'!BA43</f>
        <v>-5121278.5200000005</v>
      </c>
      <c r="E37" s="15">
        <f t="shared" si="3"/>
        <v>-6828371.3600000013</v>
      </c>
      <c r="F37" s="15"/>
      <c r="I37" s="33" t="s">
        <v>56</v>
      </c>
      <c r="J37" s="25"/>
      <c r="M37"/>
    </row>
    <row r="38" spans="1:14" hidden="1" x14ac:dyDescent="0.2">
      <c r="A38" s="13" t="s">
        <v>85</v>
      </c>
      <c r="B38" s="14" t="s">
        <v>86</v>
      </c>
      <c r="C38" s="15">
        <f>'[14]Team Report'!BA45</f>
        <v>0</v>
      </c>
      <c r="E38" s="15">
        <f t="shared" si="3"/>
        <v>0</v>
      </c>
      <c r="F38" s="15"/>
      <c r="J38" s="25"/>
      <c r="M38"/>
    </row>
    <row r="39" spans="1:14" hidden="1" x14ac:dyDescent="0.2">
      <c r="A39" s="13" t="s">
        <v>21</v>
      </c>
      <c r="B39" s="14" t="s">
        <v>22</v>
      </c>
      <c r="C39" s="15">
        <v>24143776.43</v>
      </c>
      <c r="E39" s="15">
        <v>32191701.906666666</v>
      </c>
      <c r="F39" s="15"/>
      <c r="I39" s="34" t="s">
        <v>57</v>
      </c>
      <c r="J39" s="35" t="s">
        <v>58</v>
      </c>
      <c r="K39" s="35" t="s">
        <v>59</v>
      </c>
      <c r="L39" s="35" t="s">
        <v>2</v>
      </c>
      <c r="M39" s="35" t="s">
        <v>60</v>
      </c>
    </row>
    <row r="40" spans="1:14" x14ac:dyDescent="0.2">
      <c r="I40" s="36">
        <f>SUM(E12:E22)</f>
        <v>5617530.7628000006</v>
      </c>
      <c r="J40" s="56">
        <f>+E29</f>
        <v>111</v>
      </c>
      <c r="K40" s="37">
        <f>+I40/J40</f>
        <v>50608.385250450454</v>
      </c>
      <c r="L40" s="37">
        <f>+L12</f>
        <v>21</v>
      </c>
      <c r="M40" s="37">
        <f>+K40*L40</f>
        <v>1062776.0902594596</v>
      </c>
      <c r="N40" s="25"/>
    </row>
    <row r="41" spans="1:14" x14ac:dyDescent="0.2">
      <c r="K41"/>
      <c r="M41"/>
    </row>
    <row r="42" spans="1:14" x14ac:dyDescent="0.2">
      <c r="I42" t="s">
        <v>142</v>
      </c>
      <c r="K42"/>
      <c r="M42"/>
    </row>
    <row r="44" spans="1:14" x14ac:dyDescent="0.2">
      <c r="C44" s="54">
        <f>C23+C31+C32+C33+C34+C35+C36+C37+C38</f>
        <v>-13992730.449999996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AS48"/>
  <sheetViews>
    <sheetView zoomScaleNormal="100" workbookViewId="0">
      <selection activeCell="G12" sqref="G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10" max="10" width="19.42578125" customWidth="1"/>
    <col min="11" max="11" width="10.42578125" style="25" customWidth="1"/>
    <col min="12" max="12" width="10.85546875" style="25" customWidth="1"/>
    <col min="13" max="13" width="11.42578125" style="25" customWidth="1"/>
    <col min="15" max="15" width="0" hidden="1" customWidth="1"/>
  </cols>
  <sheetData>
    <row r="1" spans="1:45" ht="18" x14ac:dyDescent="0.25">
      <c r="B1" s="140" t="str">
        <f>'[12]Team Report'!B1</f>
        <v>Enron North America</v>
      </c>
      <c r="C1" s="140"/>
      <c r="D1" s="140"/>
      <c r="E1" s="140"/>
      <c r="F1" s="142"/>
      <c r="G1" s="142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0" t="s">
        <v>135</v>
      </c>
      <c r="C2" s="140"/>
      <c r="D2" s="140"/>
      <c r="E2" s="140"/>
      <c r="F2" s="142"/>
      <c r="G2" s="142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40" t="s">
        <v>0</v>
      </c>
      <c r="C3" s="140"/>
      <c r="D3" s="140"/>
      <c r="E3" s="140"/>
      <c r="F3" s="142"/>
      <c r="G3" s="142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45"/>
      <c r="K4" s="145"/>
      <c r="L4" s="145"/>
      <c r="M4" s="145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1</v>
      </c>
      <c r="L6" s="19" t="s">
        <v>2</v>
      </c>
      <c r="M6" s="74" t="s">
        <v>107</v>
      </c>
      <c r="O6" s="11">
        <v>2002</v>
      </c>
    </row>
    <row r="7" spans="1:45" x14ac:dyDescent="0.2">
      <c r="C7" s="12" t="s">
        <v>5</v>
      </c>
      <c r="E7" s="12" t="s">
        <v>6</v>
      </c>
      <c r="F7" s="12"/>
      <c r="G7" s="12" t="s">
        <v>7</v>
      </c>
      <c r="J7" s="7"/>
      <c r="K7" s="17"/>
      <c r="L7" s="17"/>
      <c r="M7" s="43"/>
      <c r="O7" s="12" t="s">
        <v>7</v>
      </c>
    </row>
    <row r="8" spans="1:45" x14ac:dyDescent="0.2">
      <c r="A8" s="13" t="s">
        <v>9</v>
      </c>
      <c r="B8" s="14" t="s">
        <v>10</v>
      </c>
      <c r="C8" s="53">
        <f>'[12]Team Report'!BA25</f>
        <v>10228335.790000001</v>
      </c>
      <c r="E8" s="15">
        <f t="shared" ref="E8:E22" si="0">+C8/9*12</f>
        <v>13637781.053333335</v>
      </c>
      <c r="F8" s="15"/>
      <c r="G8" s="15">
        <f>SUM(M19:M28)+3000000</f>
        <v>18144000</v>
      </c>
      <c r="J8" s="7"/>
      <c r="K8" s="17"/>
      <c r="L8" s="17"/>
      <c r="M8" s="43"/>
      <c r="O8" s="15">
        <f>+G8/$G$29*$O$29</f>
        <v>136421.05263157896</v>
      </c>
    </row>
    <row r="9" spans="1:45" hidden="1" x14ac:dyDescent="0.2">
      <c r="A9" s="13"/>
      <c r="B9" s="14" t="s">
        <v>11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10</v>
      </c>
      <c r="K9" s="17">
        <v>0</v>
      </c>
      <c r="L9" s="17">
        <f>+L35</f>
        <v>128</v>
      </c>
      <c r="M9" s="43">
        <f>M35</f>
        <v>18172800</v>
      </c>
      <c r="O9" s="15">
        <f t="shared" ref="O9:O21" si="1">+G9/$G$29*$O$29</f>
        <v>0</v>
      </c>
    </row>
    <row r="10" spans="1:45" x14ac:dyDescent="0.2">
      <c r="A10" s="13"/>
      <c r="B10" s="14" t="s">
        <v>70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'[12]Team Report'!BA26</f>
        <v>1877442.13</v>
      </c>
      <c r="E11" s="15">
        <f t="shared" si="0"/>
        <v>2503256.1733333333</v>
      </c>
      <c r="F11" s="15"/>
      <c r="G11" s="15">
        <f>+G8*0.2</f>
        <v>3628800</v>
      </c>
      <c r="J11" s="7"/>
      <c r="K11" s="17"/>
      <c r="L11" s="17"/>
      <c r="M11" s="43"/>
      <c r="O11" s="15">
        <f t="shared" si="1"/>
        <v>27284.21052631579</v>
      </c>
    </row>
    <row r="12" spans="1:45" x14ac:dyDescent="0.2">
      <c r="A12" s="13" t="s">
        <v>16</v>
      </c>
      <c r="B12" s="14" t="s">
        <v>17</v>
      </c>
      <c r="C12" s="15">
        <f>'[12]Team Report'!BA27</f>
        <v>405632.98</v>
      </c>
      <c r="E12" s="15">
        <f t="shared" si="0"/>
        <v>540843.97333333339</v>
      </c>
      <c r="F12" s="15"/>
      <c r="G12" s="15">
        <f>+$M$12*0.25+950000</f>
        <v>1660208</v>
      </c>
      <c r="J12" s="7" t="s">
        <v>15</v>
      </c>
      <c r="K12" s="17">
        <f>18495*1.2</f>
        <v>22194</v>
      </c>
      <c r="L12" s="17">
        <f>+L35</f>
        <v>128</v>
      </c>
      <c r="M12" s="43">
        <f>K12*L12</f>
        <v>2840832</v>
      </c>
      <c r="O12" s="15">
        <f t="shared" si="1"/>
        <v>12482.766917293233</v>
      </c>
    </row>
    <row r="13" spans="1:45" x14ac:dyDescent="0.2">
      <c r="A13" s="13" t="s">
        <v>18</v>
      </c>
      <c r="B13" s="14" t="s">
        <v>19</v>
      </c>
      <c r="C13" s="15">
        <f>'[12]Team Report'!BA28</f>
        <v>648740.16999999993</v>
      </c>
      <c r="E13" s="15">
        <f t="shared" si="0"/>
        <v>864986.8933333332</v>
      </c>
      <c r="F13" s="15"/>
      <c r="G13" s="15">
        <f>+$M$12*0.13+500000</f>
        <v>869308.16</v>
      </c>
      <c r="J13" s="7"/>
      <c r="K13" s="17"/>
      <c r="L13" s="17"/>
      <c r="M13" s="43"/>
      <c r="O13" s="15">
        <f t="shared" si="1"/>
        <v>6536.1515789473688</v>
      </c>
    </row>
    <row r="14" spans="1:45" ht="13.5" thickBot="1" x14ac:dyDescent="0.25">
      <c r="A14" s="13" t="s">
        <v>21</v>
      </c>
      <c r="B14" s="14" t="s">
        <v>22</v>
      </c>
      <c r="C14" s="15">
        <v>0</v>
      </c>
      <c r="E14" s="15">
        <f t="shared" si="0"/>
        <v>0</v>
      </c>
      <c r="F14" s="15"/>
      <c r="G14" s="15">
        <v>0</v>
      </c>
      <c r="J14" s="22" t="s">
        <v>20</v>
      </c>
      <c r="K14" s="47"/>
      <c r="L14" s="47"/>
      <c r="M14" s="48">
        <f>SUM(M9:M12)</f>
        <v>21013632</v>
      </c>
      <c r="O14" s="15">
        <f t="shared" si="1"/>
        <v>0</v>
      </c>
    </row>
    <row r="15" spans="1:45" x14ac:dyDescent="0.2">
      <c r="A15" s="13" t="s">
        <v>23</v>
      </c>
      <c r="B15" s="14" t="s">
        <v>24</v>
      </c>
      <c r="C15" s="15">
        <f>'[12]Team Report'!BA33</f>
        <v>76876.320000000007</v>
      </c>
      <c r="E15" s="15">
        <f t="shared" si="0"/>
        <v>102501.76000000001</v>
      </c>
      <c r="F15" s="15"/>
      <c r="G15" s="15">
        <f>+$M$12*0.08+90000</f>
        <v>317266.56</v>
      </c>
      <c r="J15" s="8"/>
      <c r="K15" s="17"/>
      <c r="L15" s="17"/>
      <c r="M15" s="17"/>
      <c r="O15" s="15">
        <f t="shared" si="1"/>
        <v>2385.462857142857</v>
      </c>
    </row>
    <row r="16" spans="1:45" x14ac:dyDescent="0.2">
      <c r="A16" s="13" t="s">
        <v>25</v>
      </c>
      <c r="B16" s="14" t="s">
        <v>26</v>
      </c>
      <c r="C16" s="15">
        <f>'[12]Team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'[12]Team Report'!BA35</f>
        <v>0</v>
      </c>
      <c r="E17" s="15">
        <f t="shared" si="0"/>
        <v>0</v>
      </c>
      <c r="F17" s="15"/>
      <c r="G17" s="15">
        <v>0</v>
      </c>
      <c r="J17" t="s">
        <v>27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31</v>
      </c>
      <c r="B18" s="14" t="s">
        <v>32</v>
      </c>
      <c r="C18" s="15">
        <f>'[12]Team Report'!BA36</f>
        <v>5744.1</v>
      </c>
      <c r="E18" s="15">
        <f t="shared" si="0"/>
        <v>7658.8</v>
      </c>
      <c r="F18" s="15"/>
      <c r="G18" s="15">
        <v>0</v>
      </c>
      <c r="J18" t="s">
        <v>30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x14ac:dyDescent="0.2">
      <c r="A19" s="13" t="s">
        <v>34</v>
      </c>
      <c r="B19" s="14" t="s">
        <v>35</v>
      </c>
      <c r="C19" s="15">
        <f>'[12]Team Report'!BA37</f>
        <v>67058.599999999991</v>
      </c>
      <c r="E19" s="15">
        <f t="shared" si="0"/>
        <v>89411.466666666645</v>
      </c>
      <c r="F19" s="15"/>
      <c r="G19" s="15">
        <f>+$M$12*0.19+2000000</f>
        <v>2539758.08</v>
      </c>
      <c r="J19" t="s">
        <v>33</v>
      </c>
      <c r="K19" s="25">
        <v>60000</v>
      </c>
      <c r="L19" s="25">
        <v>3</v>
      </c>
      <c r="M19" s="17">
        <f t="shared" si="2"/>
        <v>180000</v>
      </c>
      <c r="O19" s="15">
        <f t="shared" si="1"/>
        <v>19095.925413533834</v>
      </c>
    </row>
    <row r="20" spans="1:15" x14ac:dyDescent="0.2">
      <c r="A20" s="13" t="s">
        <v>37</v>
      </c>
      <c r="B20" s="14" t="s">
        <v>38</v>
      </c>
      <c r="C20" s="15">
        <f>'[12]Team Report'!BA38</f>
        <v>0</v>
      </c>
      <c r="E20" s="15">
        <f t="shared" si="0"/>
        <v>0</v>
      </c>
      <c r="F20" s="15"/>
      <c r="G20" s="15">
        <v>0</v>
      </c>
      <c r="J20" t="s">
        <v>36</v>
      </c>
      <c r="K20" s="25">
        <v>78000</v>
      </c>
      <c r="L20" s="25">
        <v>24</v>
      </c>
      <c r="M20" s="17">
        <f t="shared" si="2"/>
        <v>1872000</v>
      </c>
      <c r="O20" s="15">
        <f t="shared" si="1"/>
        <v>0</v>
      </c>
    </row>
    <row r="21" spans="1:15" x14ac:dyDescent="0.2">
      <c r="A21" s="13" t="s">
        <v>40</v>
      </c>
      <c r="B21" s="14" t="s">
        <v>41</v>
      </c>
      <c r="C21" s="15">
        <f>'[12]Team Report'!BA42</f>
        <v>842429.76</v>
      </c>
      <c r="E21" s="15">
        <f t="shared" si="0"/>
        <v>1123239.6800000002</v>
      </c>
      <c r="F21" s="15"/>
      <c r="G21" s="15">
        <f>2295000+6368166</f>
        <v>8663166</v>
      </c>
      <c r="J21" t="s">
        <v>39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65136.586466165412</v>
      </c>
    </row>
    <row r="22" spans="1:15" x14ac:dyDescent="0.2">
      <c r="A22" s="13" t="s">
        <v>43</v>
      </c>
      <c r="B22" s="14" t="s">
        <v>44</v>
      </c>
      <c r="C22" s="15">
        <f>'[12]Team Report'!BA44</f>
        <v>6453.6999999999989</v>
      </c>
      <c r="E22" s="15">
        <f t="shared" si="0"/>
        <v>8604.9333333333325</v>
      </c>
      <c r="F22" s="15"/>
      <c r="G22" s="15">
        <v>0</v>
      </c>
      <c r="J22" t="s">
        <v>136</v>
      </c>
      <c r="K22" s="25">
        <v>192000</v>
      </c>
      <c r="L22" s="25">
        <v>1</v>
      </c>
      <c r="M22" s="17">
        <f t="shared" si="2"/>
        <v>192000</v>
      </c>
      <c r="O22" s="15">
        <f>+G22/$G$29*$O$29</f>
        <v>0</v>
      </c>
    </row>
    <row r="23" spans="1:15" x14ac:dyDescent="0.2">
      <c r="A23" s="26" t="s">
        <v>46</v>
      </c>
      <c r="B23" s="27" t="s">
        <v>47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35822506.799999997</v>
      </c>
      <c r="J23" t="s">
        <v>137</v>
      </c>
      <c r="K23" s="25">
        <v>192000</v>
      </c>
      <c r="L23" s="25">
        <v>9</v>
      </c>
      <c r="M23" s="17">
        <f t="shared" si="2"/>
        <v>1728000</v>
      </c>
      <c r="O23" s="28">
        <f>SUM(O8:O22)</f>
        <v>269342.15639097744</v>
      </c>
    </row>
    <row r="24" spans="1:15" x14ac:dyDescent="0.2">
      <c r="J24" t="s">
        <v>48</v>
      </c>
      <c r="K24" s="25">
        <v>144000</v>
      </c>
      <c r="L24" s="25">
        <v>15</v>
      </c>
      <c r="M24" s="17">
        <f t="shared" si="2"/>
        <v>2160000</v>
      </c>
    </row>
    <row r="25" spans="1:15" x14ac:dyDescent="0.2">
      <c r="B25" s="27" t="s">
        <v>50</v>
      </c>
      <c r="C25" s="55"/>
      <c r="E25" s="55">
        <v>111</v>
      </c>
      <c r="F25" s="60">
        <v>40</v>
      </c>
      <c r="G25" s="79">
        <v>133</v>
      </c>
      <c r="J25" t="s">
        <v>49</v>
      </c>
      <c r="K25" s="25">
        <v>168000</v>
      </c>
      <c r="L25" s="25">
        <v>7</v>
      </c>
      <c r="M25" s="17">
        <f t="shared" si="2"/>
        <v>1176000</v>
      </c>
      <c r="O25" s="31">
        <f>SUM(U16:U20,U23:U27)</f>
        <v>0</v>
      </c>
    </row>
    <row r="26" spans="1:15" x14ac:dyDescent="0.2">
      <c r="J26" t="s">
        <v>51</v>
      </c>
      <c r="K26" s="25">
        <v>216000</v>
      </c>
      <c r="L26" s="25">
        <v>7</v>
      </c>
      <c r="M26" s="17">
        <f t="shared" si="2"/>
        <v>1512000</v>
      </c>
      <c r="O26" s="15"/>
    </row>
    <row r="27" spans="1:15" x14ac:dyDescent="0.2">
      <c r="B27" s="27" t="s">
        <v>67</v>
      </c>
      <c r="C27" s="55"/>
      <c r="E27" s="55"/>
      <c r="F27" s="60"/>
      <c r="G27" s="55"/>
      <c r="J27" t="s">
        <v>52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">
      <c r="J28" t="s">
        <v>54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55</v>
      </c>
      <c r="C29" s="55"/>
      <c r="E29" s="55">
        <f>SUM(E25:E28)</f>
        <v>111</v>
      </c>
      <c r="F29" s="60"/>
      <c r="G29" s="55">
        <f>SUM(G25:G28)</f>
        <v>133</v>
      </c>
      <c r="L29" s="25">
        <f>SUM(L17:L28)</f>
        <v>128</v>
      </c>
      <c r="M29" s="25">
        <f>SUM(M17:M28)</f>
        <v>15144000</v>
      </c>
      <c r="O29" s="31">
        <v>1</v>
      </c>
    </row>
    <row r="30" spans="1:15" x14ac:dyDescent="0.2">
      <c r="B30" s="27"/>
    </row>
    <row r="31" spans="1:15" hidden="1" x14ac:dyDescent="0.2">
      <c r="A31" s="13" t="s">
        <v>71</v>
      </c>
      <c r="B31" s="14" t="s">
        <v>72</v>
      </c>
      <c r="C31" s="15">
        <f>'[12]Team Report'!BA29</f>
        <v>-24140467.679999996</v>
      </c>
      <c r="E31" s="15">
        <v>0</v>
      </c>
      <c r="F31" s="15"/>
      <c r="J31" t="s">
        <v>102</v>
      </c>
      <c r="L31" s="52"/>
      <c r="M31" s="52">
        <v>0.2</v>
      </c>
    </row>
    <row r="32" spans="1:15" hidden="1" x14ac:dyDescent="0.2">
      <c r="A32" s="13" t="s">
        <v>73</v>
      </c>
      <c r="B32" s="14" t="s">
        <v>74</v>
      </c>
      <c r="C32" s="15">
        <f>'[12]Team Report'!BA30</f>
        <v>0</v>
      </c>
      <c r="E32" s="15">
        <f>(C32/9)*12</f>
        <v>0</v>
      </c>
      <c r="F32" s="15"/>
    </row>
    <row r="33" spans="1:13" hidden="1" x14ac:dyDescent="0.2">
      <c r="A33" s="13" t="s">
        <v>75</v>
      </c>
      <c r="B33" s="14" t="s">
        <v>76</v>
      </c>
      <c r="C33" s="15">
        <f>'[12]Team Report'!BA31</f>
        <v>0</v>
      </c>
      <c r="E33" s="15">
        <f>(C33/9)*12</f>
        <v>0</v>
      </c>
      <c r="F33" s="15"/>
      <c r="J33" t="s">
        <v>133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77</v>
      </c>
      <c r="B34" s="14" t="s">
        <v>78</v>
      </c>
      <c r="C34" s="15">
        <f>'[12]Team Report'!BA39</f>
        <v>0</v>
      </c>
      <c r="E34" s="15">
        <f>(C34/9)*12</f>
        <v>0</v>
      </c>
      <c r="F34" s="15"/>
    </row>
    <row r="35" spans="1:13" hidden="1" x14ac:dyDescent="0.2">
      <c r="A35" s="13" t="s">
        <v>79</v>
      </c>
      <c r="B35" s="14" t="s">
        <v>80</v>
      </c>
      <c r="C35" s="15">
        <f>'[12]Team Report'!BA40</f>
        <v>164920.93000000002</v>
      </c>
      <c r="E35" s="15">
        <v>0</v>
      </c>
      <c r="F35" s="15"/>
      <c r="L35" s="25">
        <f>+L29+L33</f>
        <v>128</v>
      </c>
      <c r="M35" s="25">
        <f>M29*1.2+M33</f>
        <v>18172800</v>
      </c>
    </row>
    <row r="36" spans="1:13" hidden="1" x14ac:dyDescent="0.2">
      <c r="A36" s="13" t="s">
        <v>81</v>
      </c>
      <c r="B36" s="14" t="s">
        <v>82</v>
      </c>
      <c r="C36" s="15">
        <f>'[12]Team Report'!BA41</f>
        <v>945381.27</v>
      </c>
      <c r="E36" s="15">
        <v>0</v>
      </c>
      <c r="F36" s="15"/>
    </row>
    <row r="37" spans="1:13" hidden="1" x14ac:dyDescent="0.2">
      <c r="A37" s="13" t="s">
        <v>83</v>
      </c>
      <c r="B37" s="14" t="s">
        <v>84</v>
      </c>
      <c r="C37" s="15">
        <f>'[12]Team Report'!BA43</f>
        <v>-5121278.5200000005</v>
      </c>
      <c r="E37" s="15">
        <v>0</v>
      </c>
      <c r="F37" s="15"/>
      <c r="I37" s="33" t="s">
        <v>56</v>
      </c>
    </row>
    <row r="38" spans="1:13" hidden="1" x14ac:dyDescent="0.2">
      <c r="A38" s="13" t="s">
        <v>85</v>
      </c>
      <c r="B38" s="14" t="s">
        <v>86</v>
      </c>
      <c r="C38" s="15">
        <f>'[12]Team Report'!BA45</f>
        <v>0</v>
      </c>
      <c r="E38" s="15">
        <f>(C38/9)*12</f>
        <v>0</v>
      </c>
      <c r="F38" s="15"/>
    </row>
    <row r="39" spans="1:13" hidden="1" x14ac:dyDescent="0.2">
      <c r="A39" s="13" t="s">
        <v>21</v>
      </c>
      <c r="B39" s="14" t="s">
        <v>22</v>
      </c>
      <c r="C39" s="15">
        <v>24143776.43</v>
      </c>
      <c r="E39" s="15">
        <v>0</v>
      </c>
      <c r="F39" s="15"/>
      <c r="I39" t="s">
        <v>134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169</v>
      </c>
    </row>
    <row r="47" spans="1:13" x14ac:dyDescent="0.2">
      <c r="B47" s="14" t="s">
        <v>170</v>
      </c>
    </row>
    <row r="48" spans="1:13" x14ac:dyDescent="0.2">
      <c r="B48" s="14" t="s">
        <v>171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scale="61" orientation="portrait" verticalDpi="196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R39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4" max="14" width="14" customWidth="1"/>
    <col min="16" max="16" width="10.28515625" customWidth="1"/>
    <col min="17" max="17" width="10.7109375" customWidth="1"/>
  </cols>
  <sheetData>
    <row r="1" spans="1:44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0" t="s">
        <v>249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687774</v>
      </c>
      <c r="I8" s="42" t="s">
        <v>10</v>
      </c>
      <c r="J8" s="17">
        <v>0</v>
      </c>
      <c r="K8" s="17"/>
      <c r="L8" s="43">
        <f>L30</f>
        <v>839520</v>
      </c>
      <c r="Q8" s="15"/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(L21+L22)*1.2</f>
        <v>0</v>
      </c>
      <c r="I10" s="42"/>
      <c r="J10" s="17"/>
      <c r="K10" s="17"/>
      <c r="L10" s="43"/>
      <c r="Q10" s="15"/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v>109802.4</v>
      </c>
      <c r="I11" s="42" t="s">
        <v>15</v>
      </c>
      <c r="J11" s="17">
        <f>(E12+E13+E14+E15+E16+E17+E18+E19+E20+E21+E22)/E29</f>
        <v>48270.181250000009</v>
      </c>
      <c r="K11" s="17">
        <f>K28</f>
        <v>4</v>
      </c>
      <c r="L11" s="43">
        <f>J11*K11</f>
        <v>193080.72500000003</v>
      </c>
      <c r="Q11" s="15"/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81394.8</v>
      </c>
      <c r="I12" s="42"/>
      <c r="J12" s="17"/>
      <c r="K12" s="17"/>
      <c r="L12" s="43"/>
      <c r="Q12" s="15"/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466285.2</v>
      </c>
      <c r="I13" s="46" t="s">
        <v>20</v>
      </c>
      <c r="J13" s="47"/>
      <c r="K13" s="47"/>
      <c r="L13" s="48">
        <f>L8+L11</f>
        <v>1032600.7250000001</v>
      </c>
      <c r="N13" s="25"/>
      <c r="P13" s="49"/>
      <c r="Q13" s="15"/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48000</v>
      </c>
      <c r="Q14" s="15"/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131794.79999999999</v>
      </c>
      <c r="Q15" s="15"/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v>10285.200000000001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Q16" s="15"/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0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Q17" s="15"/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Q18" s="15"/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54856.800000000003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Q19" s="15"/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Q20" s="15"/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13714.8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1603908.0000000002</v>
      </c>
      <c r="I23" s="25" t="s">
        <v>48</v>
      </c>
      <c r="J23" s="25">
        <v>110000</v>
      </c>
      <c r="K23" s="25">
        <v>2</v>
      </c>
      <c r="L23" s="25">
        <f t="shared" si="1"/>
        <v>220000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v>1</v>
      </c>
      <c r="L24" s="25">
        <f t="shared" si="1"/>
        <v>143000</v>
      </c>
      <c r="P24" s="8"/>
      <c r="Q24" s="8"/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4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1"/>
        <v>0</v>
      </c>
      <c r="P26" s="8"/>
      <c r="Q26" s="32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1</v>
      </c>
      <c r="L27" s="25">
        <f t="shared" si="1"/>
        <v>220000</v>
      </c>
      <c r="P27" s="8"/>
      <c r="Q27" s="32"/>
    </row>
    <row r="28" spans="1:17" x14ac:dyDescent="0.2">
      <c r="K28" s="25">
        <f>SUM(K16:K27)</f>
        <v>4</v>
      </c>
      <c r="L28" s="25">
        <f>SUM(L16:L27)*1.2</f>
        <v>699600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4</v>
      </c>
      <c r="L29" s="52">
        <v>0.2</v>
      </c>
      <c r="P29" s="8"/>
      <c r="Q29" s="32"/>
    </row>
    <row r="30" spans="1:17" hidden="1" x14ac:dyDescent="0.2">
      <c r="L30" s="25">
        <f>L28*1.2</f>
        <v>839520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4</v>
      </c>
      <c r="L34" s="37">
        <f>+J34*K34</f>
        <v>193080.72500000003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AS44"/>
  <sheetViews>
    <sheetView topLeftCell="A2" zoomScaleNormal="100" workbookViewId="0">
      <selection activeCell="G12" sqref="G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1.85546875" customWidth="1"/>
    <col min="10" max="10" width="19.42578125" customWidth="1"/>
    <col min="11" max="11" width="10.42578125" style="25" customWidth="1"/>
    <col min="12" max="12" width="10.85546875" style="25" customWidth="1"/>
    <col min="13" max="13" width="11.42578125" style="25" customWidth="1"/>
  </cols>
  <sheetData>
    <row r="1" spans="1:45" ht="18" x14ac:dyDescent="0.25">
      <c r="B1" s="140" t="str">
        <f>'[13]Team Report'!B1</f>
        <v>Enron North America</v>
      </c>
      <c r="C1" s="140"/>
      <c r="D1" s="140"/>
      <c r="E1" s="140"/>
      <c r="F1" s="142"/>
      <c r="G1" s="142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0" t="str">
        <f>"IT EOL"</f>
        <v>IT EOL</v>
      </c>
      <c r="C2" s="140"/>
      <c r="D2" s="140"/>
      <c r="E2" s="140"/>
      <c r="F2" s="142"/>
      <c r="G2" s="142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40" t="s">
        <v>0</v>
      </c>
      <c r="C3" s="140"/>
      <c r="D3" s="140"/>
      <c r="E3" s="140"/>
      <c r="F3" s="142"/>
      <c r="G3" s="142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45"/>
      <c r="K4" s="145"/>
      <c r="L4" s="145"/>
      <c r="M4" s="145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1</v>
      </c>
      <c r="L6" s="19" t="s">
        <v>2</v>
      </c>
      <c r="M6" s="74" t="s">
        <v>107</v>
      </c>
      <c r="O6" s="11">
        <v>2002</v>
      </c>
    </row>
    <row r="7" spans="1:45" x14ac:dyDescent="0.2">
      <c r="C7" s="12" t="s">
        <v>5</v>
      </c>
      <c r="E7" s="12" t="s">
        <v>6</v>
      </c>
      <c r="F7" s="12"/>
      <c r="G7" s="12" t="s">
        <v>7</v>
      </c>
      <c r="J7" s="7"/>
      <c r="K7" s="17"/>
      <c r="L7" s="17"/>
      <c r="M7" s="43"/>
      <c r="O7" s="12" t="s">
        <v>7</v>
      </c>
    </row>
    <row r="8" spans="1:45" x14ac:dyDescent="0.2">
      <c r="A8" s="13" t="s">
        <v>9</v>
      </c>
      <c r="B8" s="14" t="s">
        <v>10</v>
      </c>
      <c r="C8" s="53">
        <f>'[13]Team Report'!BA25</f>
        <v>10228335.790000001</v>
      </c>
      <c r="E8" s="15">
        <f>+C8/9*12</f>
        <v>13637781.053333335</v>
      </c>
      <c r="F8" s="15"/>
      <c r="G8" s="15">
        <f>SUM(M17:M28)+200000+100000</f>
        <v>5263200</v>
      </c>
      <c r="J8" s="7"/>
      <c r="K8" s="17"/>
      <c r="L8" s="17"/>
      <c r="M8" s="43"/>
      <c r="O8" s="15">
        <f>+G8/$G$29*$O$29</f>
        <v>119618.18181818182</v>
      </c>
    </row>
    <row r="9" spans="1:45" hidden="1" x14ac:dyDescent="0.2">
      <c r="A9" s="13"/>
      <c r="B9" s="14" t="s">
        <v>11</v>
      </c>
      <c r="C9" s="15">
        <v>0</v>
      </c>
      <c r="E9" s="15">
        <f>+C9/9*12</f>
        <v>0</v>
      </c>
      <c r="F9" s="15"/>
      <c r="G9" s="15">
        <f>+E9/9*12</f>
        <v>0</v>
      </c>
      <c r="J9" s="7" t="s">
        <v>10</v>
      </c>
      <c r="K9" s="17">
        <v>0</v>
      </c>
      <c r="L9" s="17">
        <f>L29+1</f>
        <v>44</v>
      </c>
      <c r="M9" s="43">
        <f>M33+M35</f>
        <v>6147840</v>
      </c>
      <c r="O9" s="15">
        <f t="shared" ref="O9:O21" si="0">+G9/$G$29*$O$29</f>
        <v>0</v>
      </c>
    </row>
    <row r="10" spans="1:45" x14ac:dyDescent="0.2">
      <c r="A10" s="13"/>
      <c r="B10" s="14" t="s">
        <v>70</v>
      </c>
      <c r="C10" s="15">
        <v>0</v>
      </c>
      <c r="E10" s="15">
        <f>+C10/9*12</f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0"/>
        <v>0</v>
      </c>
    </row>
    <row r="11" spans="1:45" x14ac:dyDescent="0.2">
      <c r="A11" s="13" t="s">
        <v>13</v>
      </c>
      <c r="B11" s="14" t="s">
        <v>14</v>
      </c>
      <c r="C11" s="15">
        <f>'[13]Team Report'!BA26</f>
        <v>1877442.13</v>
      </c>
      <c r="E11" s="15">
        <f>+C11/9*12</f>
        <v>2503256.1733333333</v>
      </c>
      <c r="F11" s="15"/>
      <c r="G11" s="15">
        <f>+G8*0.2</f>
        <v>1052640</v>
      </c>
      <c r="J11" s="7"/>
      <c r="K11" s="17"/>
      <c r="L11" s="17"/>
      <c r="M11" s="43"/>
      <c r="O11" s="15">
        <f t="shared" si="0"/>
        <v>23923.636363636364</v>
      </c>
    </row>
    <row r="12" spans="1:45" x14ac:dyDescent="0.2">
      <c r="A12" s="13" t="s">
        <v>16</v>
      </c>
      <c r="B12" s="14" t="s">
        <v>17</v>
      </c>
      <c r="C12" s="15">
        <f>'[13]Team Report'!BA27</f>
        <v>405632.98</v>
      </c>
      <c r="E12" s="15">
        <f t="shared" ref="E12:E22" si="1">(+C12/9*12)*1.2</f>
        <v>649012.76800000004</v>
      </c>
      <c r="F12" s="15"/>
      <c r="G12" s="108">
        <f>+$M$12*0.25+50000+250000</f>
        <v>544134</v>
      </c>
      <c r="J12" s="7" t="s">
        <v>15</v>
      </c>
      <c r="K12" s="17">
        <f>18495*1.2</f>
        <v>22194</v>
      </c>
      <c r="L12" s="17">
        <f>L29+1</f>
        <v>44</v>
      </c>
      <c r="M12" s="43">
        <f>K12*L12</f>
        <v>976536</v>
      </c>
      <c r="O12" s="15">
        <f t="shared" si="0"/>
        <v>12366.681818181818</v>
      </c>
    </row>
    <row r="13" spans="1:45" x14ac:dyDescent="0.2">
      <c r="A13" s="13" t="s">
        <v>18</v>
      </c>
      <c r="B13" s="14" t="s">
        <v>19</v>
      </c>
      <c r="C13" s="15">
        <f>'[13]Team Report'!BA28</f>
        <v>648740.16999999993</v>
      </c>
      <c r="E13" s="15">
        <f t="shared" si="1"/>
        <v>1037984.2719999998</v>
      </c>
      <c r="F13" s="15"/>
      <c r="G13" s="15">
        <f>+$M$12*0.13+200000</f>
        <v>326949.68</v>
      </c>
      <c r="J13" s="7"/>
      <c r="K13" s="17"/>
      <c r="L13" s="17"/>
      <c r="M13" s="43"/>
      <c r="O13" s="15">
        <f t="shared" si="0"/>
        <v>7430.6745454545453</v>
      </c>
    </row>
    <row r="14" spans="1:45" ht="13.5" thickBot="1" x14ac:dyDescent="0.25">
      <c r="A14" s="13" t="s">
        <v>21</v>
      </c>
      <c r="B14" s="14" t="s">
        <v>22</v>
      </c>
      <c r="C14" s="15">
        <v>0</v>
      </c>
      <c r="E14" s="15">
        <f t="shared" si="1"/>
        <v>0</v>
      </c>
      <c r="F14" s="15"/>
      <c r="G14" s="15">
        <v>0</v>
      </c>
      <c r="J14" s="22" t="s">
        <v>20</v>
      </c>
      <c r="K14" s="47"/>
      <c r="L14" s="47"/>
      <c r="M14" s="48">
        <f>SUM(M9:M12)</f>
        <v>7124376</v>
      </c>
      <c r="O14" s="15">
        <f t="shared" si="0"/>
        <v>0</v>
      </c>
    </row>
    <row r="15" spans="1:45" x14ac:dyDescent="0.2">
      <c r="A15" s="13" t="s">
        <v>23</v>
      </c>
      <c r="B15" s="14" t="s">
        <v>24</v>
      </c>
      <c r="C15" s="15">
        <f>'[13]Team Report'!BA33</f>
        <v>76876.320000000007</v>
      </c>
      <c r="E15" s="15">
        <f t="shared" si="1"/>
        <v>123002.11200000001</v>
      </c>
      <c r="F15" s="15"/>
      <c r="G15" s="15">
        <f>+$M$12*0.08+100000</f>
        <v>178122.88</v>
      </c>
      <c r="J15" s="8"/>
      <c r="K15" s="17"/>
      <c r="L15" s="17"/>
      <c r="M15" s="17"/>
      <c r="O15" s="15">
        <f t="shared" si="0"/>
        <v>4048.247272727273</v>
      </c>
    </row>
    <row r="16" spans="1:45" x14ac:dyDescent="0.2">
      <c r="A16" s="13" t="s">
        <v>25</v>
      </c>
      <c r="B16" s="14" t="s">
        <v>26</v>
      </c>
      <c r="C16" s="15">
        <f>'[13]Team Report'!BA34</f>
        <v>0</v>
      </c>
      <c r="E16" s="15">
        <f t="shared" si="1"/>
        <v>0</v>
      </c>
      <c r="F16" s="15"/>
      <c r="G16" s="15">
        <v>0</v>
      </c>
      <c r="J16" s="8"/>
      <c r="K16" s="17"/>
      <c r="L16" s="78"/>
      <c r="M16" s="17"/>
      <c r="O16" s="15">
        <f t="shared" si="0"/>
        <v>0</v>
      </c>
    </row>
    <row r="17" spans="1:15" x14ac:dyDescent="0.2">
      <c r="A17" s="13" t="s">
        <v>28</v>
      </c>
      <c r="B17" s="14" t="s">
        <v>29</v>
      </c>
      <c r="C17" s="15">
        <f>'[13]Team Report'!BA35</f>
        <v>0</v>
      </c>
      <c r="E17" s="15">
        <f t="shared" si="1"/>
        <v>0</v>
      </c>
      <c r="F17" s="15"/>
      <c r="G17" s="15">
        <v>0</v>
      </c>
      <c r="J17" t="s">
        <v>27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x14ac:dyDescent="0.2">
      <c r="A18" s="13" t="s">
        <v>31</v>
      </c>
      <c r="B18" s="14" t="s">
        <v>32</v>
      </c>
      <c r="C18" s="15">
        <f>'[13]Team Report'!BA36</f>
        <v>5744.1</v>
      </c>
      <c r="E18" s="15">
        <f t="shared" si="1"/>
        <v>9190.56</v>
      </c>
      <c r="F18" s="15"/>
      <c r="G18" s="15">
        <v>0</v>
      </c>
      <c r="J18" t="s">
        <v>30</v>
      </c>
      <c r="K18" s="25">
        <v>57600</v>
      </c>
      <c r="L18" s="25">
        <v>2</v>
      </c>
      <c r="M18" s="17">
        <f t="shared" si="2"/>
        <v>115200</v>
      </c>
      <c r="O18" s="15">
        <f t="shared" si="0"/>
        <v>0</v>
      </c>
    </row>
    <row r="19" spans="1:15" x14ac:dyDescent="0.2">
      <c r="A19" s="13" t="s">
        <v>34</v>
      </c>
      <c r="B19" s="14" t="s">
        <v>35</v>
      </c>
      <c r="C19" s="15">
        <f>'[13]Team Report'!BA37</f>
        <v>67058.599999999991</v>
      </c>
      <c r="E19" s="15">
        <f t="shared" si="1"/>
        <v>107293.75999999997</v>
      </c>
      <c r="F19" s="15"/>
      <c r="G19" s="15">
        <f>+$M$12*0.19+100000</f>
        <v>285541.83999999997</v>
      </c>
      <c r="J19" t="s">
        <v>33</v>
      </c>
      <c r="K19" s="25">
        <v>60000</v>
      </c>
      <c r="L19" s="25">
        <v>2</v>
      </c>
      <c r="M19" s="17">
        <f t="shared" si="2"/>
        <v>120000</v>
      </c>
      <c r="O19" s="15">
        <f t="shared" si="0"/>
        <v>6489.5872727272717</v>
      </c>
    </row>
    <row r="20" spans="1:15" x14ac:dyDescent="0.2">
      <c r="A20" s="13" t="s">
        <v>37</v>
      </c>
      <c r="B20" s="14" t="s">
        <v>38</v>
      </c>
      <c r="C20" s="15">
        <f>'[13]Team Report'!BA38</f>
        <v>0</v>
      </c>
      <c r="E20" s="15">
        <f t="shared" si="1"/>
        <v>0</v>
      </c>
      <c r="F20" s="15"/>
      <c r="G20" s="15">
        <v>0</v>
      </c>
      <c r="J20" t="s">
        <v>36</v>
      </c>
      <c r="K20" s="25">
        <v>78000</v>
      </c>
      <c r="L20" s="25">
        <v>15</v>
      </c>
      <c r="M20" s="17">
        <f t="shared" si="2"/>
        <v>1170000</v>
      </c>
      <c r="O20" s="15">
        <f t="shared" si="0"/>
        <v>0</v>
      </c>
    </row>
    <row r="21" spans="1:15" x14ac:dyDescent="0.2">
      <c r="A21" s="13" t="s">
        <v>40</v>
      </c>
      <c r="B21" s="14" t="s">
        <v>41</v>
      </c>
      <c r="C21" s="15">
        <f>'[13]Team Report'!BA42</f>
        <v>842429.76</v>
      </c>
      <c r="E21" s="15">
        <f t="shared" si="1"/>
        <v>1347887.6160000002</v>
      </c>
      <c r="F21" s="15"/>
      <c r="G21" s="15">
        <f>+$M$12*0.15+141124+150000+687307</f>
        <v>1124911.3999999999</v>
      </c>
      <c r="J21" t="s">
        <v>39</v>
      </c>
      <c r="K21" s="25">
        <v>102000</v>
      </c>
      <c r="L21" s="25">
        <v>8</v>
      </c>
      <c r="M21" s="17">
        <f t="shared" si="2"/>
        <v>816000</v>
      </c>
      <c r="O21" s="15">
        <f t="shared" si="0"/>
        <v>25566.168181818179</v>
      </c>
    </row>
    <row r="22" spans="1:15" x14ac:dyDescent="0.2">
      <c r="A22" s="13" t="s">
        <v>43</v>
      </c>
      <c r="B22" s="14" t="s">
        <v>44</v>
      </c>
      <c r="C22" s="15">
        <f>'[13]Team Report'!BA44</f>
        <v>6453.6999999999989</v>
      </c>
      <c r="E22" s="80">
        <f t="shared" si="1"/>
        <v>10325.919999999998</v>
      </c>
      <c r="F22" s="32"/>
      <c r="G22" s="15">
        <v>0</v>
      </c>
      <c r="J22" t="s">
        <v>42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x14ac:dyDescent="0.2">
      <c r="A23" s="26" t="s">
        <v>46</v>
      </c>
      <c r="B23" s="27" t="s">
        <v>47</v>
      </c>
      <c r="C23" s="28">
        <f>SUM(C8:C22)</f>
        <v>14158713.550000001</v>
      </c>
      <c r="E23" s="28">
        <f>SUM(E8:E22)</f>
        <v>19425734.234666672</v>
      </c>
      <c r="F23" s="29"/>
      <c r="G23" s="28">
        <f>SUM(G8:G22)</f>
        <v>8775499.7999999989</v>
      </c>
      <c r="J23" t="s">
        <v>45</v>
      </c>
      <c r="K23" s="25">
        <v>0</v>
      </c>
      <c r="L23" s="25">
        <v>0</v>
      </c>
      <c r="M23" s="17">
        <f t="shared" si="2"/>
        <v>0</v>
      </c>
      <c r="O23" s="28">
        <f>SUM(O8:O22)</f>
        <v>199443.17727272731</v>
      </c>
    </row>
    <row r="24" spans="1:15" x14ac:dyDescent="0.2">
      <c r="J24" t="s">
        <v>48</v>
      </c>
      <c r="K24" s="25">
        <v>144000</v>
      </c>
      <c r="L24" s="25">
        <v>6</v>
      </c>
      <c r="M24" s="17">
        <f t="shared" si="2"/>
        <v>864000</v>
      </c>
    </row>
    <row r="25" spans="1:15" x14ac:dyDescent="0.2">
      <c r="B25" s="27" t="s">
        <v>50</v>
      </c>
      <c r="C25" s="55"/>
      <c r="E25" s="55">
        <v>0</v>
      </c>
      <c r="F25" s="60">
        <v>40</v>
      </c>
      <c r="G25" s="79">
        <f>+L12</f>
        <v>44</v>
      </c>
      <c r="J25" t="s">
        <v>49</v>
      </c>
      <c r="K25" s="25">
        <v>168000</v>
      </c>
      <c r="L25" s="25">
        <v>6</v>
      </c>
      <c r="M25" s="17">
        <f t="shared" si="2"/>
        <v>1008000</v>
      </c>
      <c r="O25" s="31">
        <f>SUM(U16:U20,U23:U27)</f>
        <v>0</v>
      </c>
    </row>
    <row r="26" spans="1:15" x14ac:dyDescent="0.2">
      <c r="J26" t="s">
        <v>51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x14ac:dyDescent="0.2">
      <c r="B27" s="27" t="s">
        <v>67</v>
      </c>
      <c r="C27" s="55"/>
      <c r="E27" s="55"/>
      <c r="F27" s="60"/>
      <c r="G27" s="55"/>
      <c r="J27" t="s">
        <v>52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54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55</v>
      </c>
      <c r="C29" s="55"/>
      <c r="E29" s="55">
        <f>SUM(E25:E28)</f>
        <v>0</v>
      </c>
      <c r="F29" s="60"/>
      <c r="G29" s="55">
        <f>SUM(G25:G28)</f>
        <v>44</v>
      </c>
      <c r="L29" s="25">
        <f>SUM(L17:L28)</f>
        <v>43</v>
      </c>
      <c r="M29" s="25">
        <f>SUM(M17:M28)</f>
        <v>4963200</v>
      </c>
      <c r="O29" s="31">
        <v>1</v>
      </c>
    </row>
    <row r="30" spans="1:15" x14ac:dyDescent="0.2">
      <c r="B30" s="27"/>
    </row>
    <row r="31" spans="1:15" hidden="1" x14ac:dyDescent="0.2">
      <c r="A31" s="13" t="s">
        <v>71</v>
      </c>
      <c r="B31" s="14" t="s">
        <v>72</v>
      </c>
      <c r="C31" s="15">
        <f>'[13]Team Report'!BA29</f>
        <v>-24140467.679999996</v>
      </c>
      <c r="E31" s="15">
        <v>0</v>
      </c>
      <c r="F31" s="15"/>
      <c r="J31" t="s">
        <v>102</v>
      </c>
      <c r="L31" s="52"/>
      <c r="M31" s="52">
        <v>0.2</v>
      </c>
    </row>
    <row r="32" spans="1:15" hidden="1" x14ac:dyDescent="0.2">
      <c r="A32" s="13" t="s">
        <v>73</v>
      </c>
      <c r="B32" s="14" t="s">
        <v>74</v>
      </c>
      <c r="C32" s="15">
        <f>'[13]Team Report'!BA30</f>
        <v>0</v>
      </c>
      <c r="E32" s="15">
        <f>(C32/9)*12</f>
        <v>0</v>
      </c>
      <c r="F32" s="15"/>
    </row>
    <row r="33" spans="1:13" hidden="1" x14ac:dyDescent="0.2">
      <c r="A33" s="13" t="s">
        <v>75</v>
      </c>
      <c r="B33" s="14" t="s">
        <v>76</v>
      </c>
      <c r="C33" s="15">
        <f>'[13]Team Report'!BA31</f>
        <v>0</v>
      </c>
      <c r="E33" s="15">
        <f>(C33/9)*12</f>
        <v>0</v>
      </c>
      <c r="F33" s="15"/>
      <c r="M33" s="25">
        <f>M29*1.2</f>
        <v>5955840</v>
      </c>
    </row>
    <row r="34" spans="1:13" hidden="1" x14ac:dyDescent="0.2">
      <c r="A34" s="13" t="s">
        <v>77</v>
      </c>
      <c r="B34" s="14" t="s">
        <v>78</v>
      </c>
      <c r="C34" s="15">
        <f>'[13]Team Report'!BA39</f>
        <v>0</v>
      </c>
      <c r="E34" s="15">
        <v>0</v>
      </c>
      <c r="F34" s="15"/>
    </row>
    <row r="35" spans="1:13" hidden="1" x14ac:dyDescent="0.2">
      <c r="A35" s="13" t="s">
        <v>79</v>
      </c>
      <c r="B35" s="14" t="s">
        <v>80</v>
      </c>
      <c r="C35" s="15">
        <f>'[13]Team Report'!BA40</f>
        <v>164920.93000000002</v>
      </c>
      <c r="E35" s="15">
        <v>0</v>
      </c>
      <c r="F35" s="15"/>
      <c r="J35" t="s">
        <v>138</v>
      </c>
      <c r="K35" s="25">
        <v>192000</v>
      </c>
      <c r="L35" s="25">
        <v>1</v>
      </c>
      <c r="M35" s="25">
        <f>K35*L35</f>
        <v>192000</v>
      </c>
    </row>
    <row r="36" spans="1:13" hidden="1" x14ac:dyDescent="0.2">
      <c r="A36" s="13" t="s">
        <v>81</v>
      </c>
      <c r="B36" s="14" t="s">
        <v>82</v>
      </c>
      <c r="C36" s="15">
        <f>'[13]Team Report'!BA41</f>
        <v>945381.27</v>
      </c>
      <c r="E36" s="15">
        <v>0</v>
      </c>
      <c r="F36" s="15"/>
    </row>
    <row r="37" spans="1:13" hidden="1" x14ac:dyDescent="0.2">
      <c r="A37" s="13" t="s">
        <v>83</v>
      </c>
      <c r="B37" s="14" t="s">
        <v>84</v>
      </c>
      <c r="C37" s="15">
        <f>'[13]Team Report'!BA43</f>
        <v>-5121278.5200000005</v>
      </c>
      <c r="E37" s="15">
        <v>0</v>
      </c>
      <c r="F37" s="15"/>
      <c r="I37" s="33" t="s">
        <v>56</v>
      </c>
    </row>
    <row r="38" spans="1:13" hidden="1" x14ac:dyDescent="0.2">
      <c r="A38" s="13" t="s">
        <v>85</v>
      </c>
      <c r="B38" s="14" t="s">
        <v>86</v>
      </c>
      <c r="C38" s="15">
        <f>'[13]Team Report'!BA45</f>
        <v>0</v>
      </c>
      <c r="E38" s="15">
        <f>(C38/9)*12</f>
        <v>0</v>
      </c>
      <c r="F38" s="15"/>
    </row>
    <row r="39" spans="1:13" hidden="1" x14ac:dyDescent="0.2">
      <c r="A39" s="13" t="s">
        <v>21</v>
      </c>
      <c r="B39" s="14" t="s">
        <v>22</v>
      </c>
      <c r="C39" s="15">
        <v>24143776.43</v>
      </c>
      <c r="E39" s="15">
        <v>0</v>
      </c>
      <c r="F39" s="15"/>
      <c r="I39" t="s">
        <v>134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x14ac:dyDescent="0.2">
      <c r="C44" s="54">
        <f>C23+C31+C32+C33+C34+C35+C36+C37+C38</f>
        <v>-13992730.449999996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0.75" right="0.75" top="0.73" bottom="0.48" header="1.04" footer="0.5"/>
  <pageSetup scale="84" orientation="portrait" verticalDpi="196" r:id="rId1"/>
  <headerFooter alignWithMargins="0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S4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8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6" width="9.140625" hidden="1" customWidth="1"/>
    <col min="17" max="69" width="0" hidden="1" customWidth="1"/>
  </cols>
  <sheetData>
    <row r="1" spans="1:45" ht="18" x14ac:dyDescent="0.25">
      <c r="B1" s="140" t="str">
        <f>'[12]Team Report'!B1</f>
        <v>Enron North America</v>
      </c>
      <c r="C1" s="140"/>
      <c r="D1" s="140"/>
      <c r="E1" s="140"/>
      <c r="F1" s="142"/>
      <c r="G1" s="142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0" t="s">
        <v>197</v>
      </c>
      <c r="C2" s="140"/>
      <c r="D2" s="140"/>
      <c r="E2" s="140"/>
      <c r="F2" s="142"/>
      <c r="G2" s="142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40" t="s">
        <v>0</v>
      </c>
      <c r="C3" s="140"/>
      <c r="D3" s="140"/>
      <c r="E3" s="140"/>
      <c r="F3" s="142"/>
      <c r="G3" s="142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45"/>
      <c r="K4" s="145"/>
      <c r="L4" s="145"/>
      <c r="M4" s="145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1</v>
      </c>
      <c r="L6" s="19" t="s">
        <v>2</v>
      </c>
      <c r="M6" s="74" t="s">
        <v>107</v>
      </c>
      <c r="O6" s="11">
        <v>2002</v>
      </c>
    </row>
    <row r="7" spans="1:45" x14ac:dyDescent="0.2">
      <c r="C7" s="12" t="s">
        <v>5</v>
      </c>
      <c r="E7" s="12" t="s">
        <v>6</v>
      </c>
      <c r="F7" s="12"/>
      <c r="G7" s="12" t="s">
        <v>7</v>
      </c>
      <c r="J7" s="7"/>
      <c r="K7" s="17"/>
      <c r="L7" s="17"/>
      <c r="M7" s="43"/>
      <c r="O7" s="12" t="s">
        <v>7</v>
      </c>
    </row>
    <row r="8" spans="1:45" x14ac:dyDescent="0.2">
      <c r="A8" s="13" t="s">
        <v>9</v>
      </c>
      <c r="B8" s="14" t="s">
        <v>10</v>
      </c>
      <c r="C8" s="53">
        <f>'[12]Team Report'!BA25</f>
        <v>10228335.790000001</v>
      </c>
      <c r="E8" s="15">
        <f t="shared" ref="E8:E22" si="0">+C8/9*12</f>
        <v>13637781.053333335</v>
      </c>
      <c r="F8" s="15"/>
      <c r="G8" s="15">
        <f>+'IT Dev-EOL'!G8+'IT Infra'!H8</f>
        <v>28313280</v>
      </c>
      <c r="J8" s="7"/>
      <c r="K8" s="17"/>
      <c r="L8" s="17"/>
      <c r="M8" s="43"/>
      <c r="O8" s="15">
        <f t="shared" ref="O8:O22" si="1">+G8/$G$29*$O$29</f>
        <v>142277.78894472361</v>
      </c>
    </row>
    <row r="9" spans="1:45" hidden="1" x14ac:dyDescent="0.2">
      <c r="A9" s="13"/>
      <c r="B9" s="14" t="s">
        <v>11</v>
      </c>
      <c r="C9" s="15">
        <v>0</v>
      </c>
      <c r="E9" s="15">
        <f t="shared" si="0"/>
        <v>0</v>
      </c>
      <c r="F9" s="15"/>
      <c r="G9" s="15">
        <f>+'IT Dev-EOL'!G9+'IT Infra'!H9</f>
        <v>0</v>
      </c>
      <c r="J9" s="7" t="s">
        <v>10</v>
      </c>
      <c r="K9" s="17">
        <v>0</v>
      </c>
      <c r="L9" s="17">
        <f>+L35</f>
        <v>140</v>
      </c>
      <c r="M9" s="43">
        <f>M35</f>
        <v>20197440</v>
      </c>
      <c r="O9" s="15">
        <f t="shared" si="1"/>
        <v>0</v>
      </c>
    </row>
    <row r="10" spans="1:45" x14ac:dyDescent="0.2">
      <c r="A10" s="13"/>
      <c r="B10" s="14" t="s">
        <v>122</v>
      </c>
      <c r="C10" s="15">
        <v>0</v>
      </c>
      <c r="E10" s="15">
        <f t="shared" si="0"/>
        <v>0</v>
      </c>
      <c r="F10" s="15"/>
      <c r="G10" s="15">
        <f>+'IT Dev-EOL'!G10+'IT Infra'!H10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'[12]Team Report'!BA26</f>
        <v>1877442.13</v>
      </c>
      <c r="E11" s="15">
        <f t="shared" si="0"/>
        <v>2503256.1733333333</v>
      </c>
      <c r="F11" s="15"/>
      <c r="G11" s="15">
        <f>+'IT Dev-EOL'!G11+'IT Infra'!H11</f>
        <v>6795187.1999999993</v>
      </c>
      <c r="J11" s="7"/>
      <c r="K11" s="17"/>
      <c r="L11" s="17"/>
      <c r="M11" s="43"/>
      <c r="O11" s="15">
        <f t="shared" si="1"/>
        <v>34146.669346733666</v>
      </c>
    </row>
    <row r="12" spans="1:45" x14ac:dyDescent="0.2">
      <c r="A12" s="13" t="s">
        <v>16</v>
      </c>
      <c r="B12" s="14" t="s">
        <v>17</v>
      </c>
      <c r="C12" s="15">
        <f>'[12]Team Report'!BA27</f>
        <v>405632.98</v>
      </c>
      <c r="E12" s="15">
        <f t="shared" si="0"/>
        <v>540843.97333333339</v>
      </c>
      <c r="F12" s="15"/>
      <c r="G12" s="15">
        <f>+'IT Dev-EOL'!G12+'IT Infra'!H12</f>
        <v>3901030.1372477058</v>
      </c>
      <c r="J12" s="7" t="s">
        <v>15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19603.166518832692</v>
      </c>
    </row>
    <row r="13" spans="1:45" x14ac:dyDescent="0.2">
      <c r="A13" s="13" t="s">
        <v>18</v>
      </c>
      <c r="B13" s="14" t="s">
        <v>19</v>
      </c>
      <c r="C13" s="15">
        <f>'[12]Team Report'!BA28</f>
        <v>648740.16999999993</v>
      </c>
      <c r="E13" s="15">
        <f t="shared" si="0"/>
        <v>864986.8933333332</v>
      </c>
      <c r="F13" s="15"/>
      <c r="G13" s="15">
        <f>+'IT Dev-EOL'!G13+'IT Infra'!H13</f>
        <v>2324079.9368807338</v>
      </c>
      <c r="J13" s="7"/>
      <c r="K13" s="17"/>
      <c r="L13" s="17"/>
      <c r="M13" s="43"/>
      <c r="O13" s="15">
        <f t="shared" si="1"/>
        <v>11678.793652667004</v>
      </c>
    </row>
    <row r="14" spans="1:45" ht="13.5" thickBot="1" x14ac:dyDescent="0.25">
      <c r="A14" s="13" t="s">
        <v>21</v>
      </c>
      <c r="B14" s="14" t="s">
        <v>22</v>
      </c>
      <c r="C14" s="15">
        <v>0</v>
      </c>
      <c r="E14" s="15">
        <f t="shared" si="0"/>
        <v>0</v>
      </c>
      <c r="F14" s="15"/>
      <c r="G14" s="15">
        <f>+'IT Dev-EOL'!G14+'IT Infra'!H14</f>
        <v>2400000</v>
      </c>
      <c r="J14" s="22" t="s">
        <v>20</v>
      </c>
      <c r="K14" s="47"/>
      <c r="L14" s="47"/>
      <c r="M14" s="48">
        <f>SUM(M9:M12)</f>
        <v>23304600</v>
      </c>
      <c r="O14" s="15">
        <f t="shared" si="1"/>
        <v>12060.301507537688</v>
      </c>
    </row>
    <row r="15" spans="1:45" x14ac:dyDescent="0.2">
      <c r="A15" s="13" t="s">
        <v>23</v>
      </c>
      <c r="B15" s="14" t="s">
        <v>24</v>
      </c>
      <c r="C15" s="15">
        <f>'[12]Team Report'!BA33</f>
        <v>76876.320000000007</v>
      </c>
      <c r="E15" s="15">
        <f t="shared" si="0"/>
        <v>102501.76000000001</v>
      </c>
      <c r="F15" s="15"/>
      <c r="G15" s="15">
        <f>+'IT Dev-EOL'!G15+'IT Infra'!H15</f>
        <v>795168.4579816513</v>
      </c>
      <c r="J15" s="8"/>
      <c r="K15" s="17"/>
      <c r="L15" s="17"/>
      <c r="M15" s="17"/>
      <c r="O15" s="15">
        <f t="shared" si="1"/>
        <v>3995.8213968927203</v>
      </c>
    </row>
    <row r="16" spans="1:45" x14ac:dyDescent="0.2">
      <c r="A16" s="13" t="s">
        <v>25</v>
      </c>
      <c r="B16" s="14" t="s">
        <v>26</v>
      </c>
      <c r="C16" s="15">
        <f>'[12]Team Report'!BA34</f>
        <v>0</v>
      </c>
      <c r="E16" s="15">
        <f t="shared" si="0"/>
        <v>0</v>
      </c>
      <c r="F16" s="15"/>
      <c r="G16" s="15">
        <f>+'IT Dev-EOL'!G16+'IT Infra'!H16</f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'[12]Team Report'!BA35</f>
        <v>0</v>
      </c>
      <c r="E17" s="15">
        <f t="shared" si="0"/>
        <v>0</v>
      </c>
      <c r="F17" s="15"/>
      <c r="G17" s="15">
        <f>+'IT Dev-EOL'!G17+'IT Infra'!H17</f>
        <v>0</v>
      </c>
      <c r="J17" t="s">
        <v>27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31</v>
      </c>
      <c r="B18" s="14" t="s">
        <v>32</v>
      </c>
      <c r="C18" s="15">
        <f>'[12]Team Report'!BA36</f>
        <v>5744.1</v>
      </c>
      <c r="E18" s="15">
        <f t="shared" si="0"/>
        <v>7658.8</v>
      </c>
      <c r="F18" s="15"/>
      <c r="G18" s="15">
        <f>+'IT Dev-EOL'!G18+'IT Infra'!H18</f>
        <v>2323200</v>
      </c>
      <c r="J18" t="s">
        <v>30</v>
      </c>
      <c r="K18" s="25">
        <v>57600</v>
      </c>
      <c r="L18" s="25">
        <v>2</v>
      </c>
      <c r="M18" s="17">
        <f t="shared" si="2"/>
        <v>115200</v>
      </c>
      <c r="O18" s="15">
        <f t="shared" si="1"/>
        <v>11674.371859296483</v>
      </c>
    </row>
    <row r="19" spans="1:15" x14ac:dyDescent="0.2">
      <c r="A19" s="13" t="s">
        <v>34</v>
      </c>
      <c r="B19" s="14" t="s">
        <v>35</v>
      </c>
      <c r="C19" s="15">
        <f>'[12]Team Report'!BA37</f>
        <v>67058.599999999991</v>
      </c>
      <c r="E19" s="15">
        <f t="shared" si="0"/>
        <v>89411.466666666645</v>
      </c>
      <c r="F19" s="15"/>
      <c r="G19" s="15">
        <f>+'IT Dev-EOL'!G19+'IT Infra'!H19</f>
        <v>13019040.215779817</v>
      </c>
      <c r="J19" t="s">
        <v>33</v>
      </c>
      <c r="K19" s="25">
        <v>60000</v>
      </c>
      <c r="L19" s="25">
        <v>2</v>
      </c>
      <c r="M19" s="17">
        <f t="shared" si="2"/>
        <v>120000</v>
      </c>
      <c r="O19" s="15">
        <f t="shared" si="1"/>
        <v>65422.312642109631</v>
      </c>
    </row>
    <row r="20" spans="1:15" x14ac:dyDescent="0.2">
      <c r="A20" s="13" t="s">
        <v>37</v>
      </c>
      <c r="B20" s="14" t="s">
        <v>38</v>
      </c>
      <c r="C20" s="15">
        <f>'[12]Team Report'!BA38</f>
        <v>0</v>
      </c>
      <c r="E20" s="15">
        <f t="shared" si="0"/>
        <v>0</v>
      </c>
      <c r="F20" s="15"/>
      <c r="G20" s="15">
        <f>+'IT Dev-EOL'!G20+'IT Infra'!H20</f>
        <v>0</v>
      </c>
      <c r="J20" t="s">
        <v>36</v>
      </c>
      <c r="K20" s="25">
        <v>78000</v>
      </c>
      <c r="L20" s="25">
        <v>29</v>
      </c>
      <c r="M20" s="17">
        <f t="shared" si="2"/>
        <v>2262000</v>
      </c>
      <c r="O20" s="15">
        <f t="shared" si="1"/>
        <v>0</v>
      </c>
    </row>
    <row r="21" spans="1:15" x14ac:dyDescent="0.2">
      <c r="A21" s="13" t="s">
        <v>40</v>
      </c>
      <c r="B21" s="14" t="s">
        <v>41</v>
      </c>
      <c r="C21" s="15">
        <f>'[12]Team Report'!BA42</f>
        <v>842429.76</v>
      </c>
      <c r="E21" s="15">
        <f t="shared" si="0"/>
        <v>1123239.6800000002</v>
      </c>
      <c r="F21" s="15"/>
      <c r="G21" s="15">
        <f>+'IT Dev-EOL'!G21+'IT Infra'!H21</f>
        <v>8590347.1200000029</v>
      </c>
      <c r="J21" t="s">
        <v>39</v>
      </c>
      <c r="K21" s="25">
        <v>102000</v>
      </c>
      <c r="L21" s="25">
        <v>60</v>
      </c>
      <c r="M21" s="17">
        <f t="shared" si="2"/>
        <v>6120000</v>
      </c>
      <c r="O21" s="15">
        <f t="shared" si="1"/>
        <v>43167.573467336697</v>
      </c>
    </row>
    <row r="22" spans="1:15" x14ac:dyDescent="0.2">
      <c r="A22" s="13" t="s">
        <v>43</v>
      </c>
      <c r="B22" s="14" t="s">
        <v>44</v>
      </c>
      <c r="C22" s="15">
        <f>'[12]Team Report'!BA44</f>
        <v>6453.6999999999989</v>
      </c>
      <c r="E22" s="15">
        <f t="shared" si="0"/>
        <v>8604.9333333333325</v>
      </c>
      <c r="F22" s="15"/>
      <c r="G22" s="15">
        <f>+'IT Dev-EOL'!G22+'IT Infra'!H22</f>
        <v>0</v>
      </c>
      <c r="J22" t="s">
        <v>136</v>
      </c>
      <c r="K22" s="25">
        <v>192000</v>
      </c>
      <c r="L22" s="25">
        <v>7</v>
      </c>
      <c r="M22" s="17">
        <f t="shared" si="2"/>
        <v>1344000</v>
      </c>
      <c r="O22" s="15">
        <f t="shared" si="1"/>
        <v>0</v>
      </c>
    </row>
    <row r="23" spans="1:15" x14ac:dyDescent="0.2">
      <c r="A23" s="26" t="s">
        <v>46</v>
      </c>
      <c r="B23" s="27" t="s">
        <v>47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68461333.067889914</v>
      </c>
      <c r="J23" t="s">
        <v>137</v>
      </c>
      <c r="K23" s="25">
        <v>192000</v>
      </c>
      <c r="L23" s="25">
        <f>3+1</f>
        <v>4</v>
      </c>
      <c r="M23" s="17">
        <f t="shared" si="2"/>
        <v>768000</v>
      </c>
      <c r="O23" s="28">
        <f>SUM(O8:O22)</f>
        <v>344026.79933613021</v>
      </c>
    </row>
    <row r="24" spans="1:15" x14ac:dyDescent="0.2">
      <c r="J24" t="s">
        <v>48</v>
      </c>
      <c r="K24" s="25">
        <v>144000</v>
      </c>
      <c r="L24" s="25">
        <v>16</v>
      </c>
      <c r="M24" s="17">
        <f t="shared" si="2"/>
        <v>2304000</v>
      </c>
    </row>
    <row r="25" spans="1:15" x14ac:dyDescent="0.2">
      <c r="B25" s="27" t="s">
        <v>50</v>
      </c>
      <c r="C25" s="55"/>
      <c r="E25" s="55">
        <v>111</v>
      </c>
      <c r="F25" s="60">
        <v>40</v>
      </c>
      <c r="G25" s="79">
        <v>199</v>
      </c>
      <c r="J25" t="s">
        <v>49</v>
      </c>
      <c r="K25" s="25">
        <v>168000</v>
      </c>
      <c r="L25" s="25">
        <v>11</v>
      </c>
      <c r="M25" s="17">
        <f t="shared" si="2"/>
        <v>1848000</v>
      </c>
      <c r="O25" s="31">
        <f>SUM(U16:U20,U23:U27)</f>
        <v>0</v>
      </c>
    </row>
    <row r="26" spans="1:15" x14ac:dyDescent="0.2">
      <c r="J26" t="s">
        <v>51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x14ac:dyDescent="0.2">
      <c r="B27" s="27" t="s">
        <v>67</v>
      </c>
      <c r="C27" s="55"/>
      <c r="E27" s="55"/>
      <c r="F27" s="60"/>
      <c r="G27" s="55"/>
      <c r="J27" t="s">
        <v>52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54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x14ac:dyDescent="0.2">
      <c r="B29" s="27" t="s">
        <v>55</v>
      </c>
      <c r="C29" s="55"/>
      <c r="E29" s="55">
        <f>SUM(E25:E28)</f>
        <v>111</v>
      </c>
      <c r="F29" s="60"/>
      <c r="G29" s="55">
        <f>SUM(G25:G28)</f>
        <v>199</v>
      </c>
      <c r="L29" s="25">
        <f>SUM(L17:L28)</f>
        <v>140</v>
      </c>
      <c r="M29" s="25">
        <f>SUM(M17:M28)</f>
        <v>16831200</v>
      </c>
      <c r="O29" s="31">
        <v>1</v>
      </c>
    </row>
    <row r="30" spans="1:15" x14ac:dyDescent="0.2">
      <c r="B30" s="27"/>
    </row>
    <row r="31" spans="1:15" hidden="1" x14ac:dyDescent="0.2">
      <c r="A31" s="13" t="s">
        <v>71</v>
      </c>
      <c r="B31" s="14" t="s">
        <v>72</v>
      </c>
      <c r="C31" s="15">
        <f>'[12]Team Report'!BA29</f>
        <v>-24140467.679999996</v>
      </c>
      <c r="E31" s="15">
        <v>0</v>
      </c>
      <c r="F31" s="15"/>
      <c r="J31" t="s">
        <v>102</v>
      </c>
      <c r="L31" s="52"/>
      <c r="M31" s="52">
        <v>0.2</v>
      </c>
    </row>
    <row r="32" spans="1:15" hidden="1" x14ac:dyDescent="0.2">
      <c r="A32" s="13" t="s">
        <v>73</v>
      </c>
      <c r="B32" s="14" t="s">
        <v>74</v>
      </c>
      <c r="C32" s="15">
        <f>'[12]Team Report'!BA30</f>
        <v>0</v>
      </c>
      <c r="E32" s="15">
        <f>(C32/9)*12</f>
        <v>0</v>
      </c>
      <c r="F32" s="15"/>
    </row>
    <row r="33" spans="1:13" hidden="1" x14ac:dyDescent="0.2">
      <c r="A33" s="13" t="s">
        <v>75</v>
      </c>
      <c r="B33" s="14" t="s">
        <v>76</v>
      </c>
      <c r="C33" s="15">
        <f>'[12]Team Report'!BA31</f>
        <v>0</v>
      </c>
      <c r="E33" s="15">
        <f>(C33/9)*12</f>
        <v>0</v>
      </c>
      <c r="F33" s="15"/>
      <c r="J33" t="s">
        <v>133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77</v>
      </c>
      <c r="B34" s="14" t="s">
        <v>78</v>
      </c>
      <c r="C34" s="15">
        <f>'[12]Team Report'!BA39</f>
        <v>0</v>
      </c>
      <c r="E34" s="15">
        <f>(C34/9)*12</f>
        <v>0</v>
      </c>
      <c r="F34" s="15"/>
    </row>
    <row r="35" spans="1:13" hidden="1" x14ac:dyDescent="0.2">
      <c r="A35" s="13" t="s">
        <v>79</v>
      </c>
      <c r="B35" s="14" t="s">
        <v>80</v>
      </c>
      <c r="C35" s="15">
        <f>'[12]Team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20197440</v>
      </c>
    </row>
    <row r="36" spans="1:13" hidden="1" x14ac:dyDescent="0.2">
      <c r="A36" s="13" t="s">
        <v>81</v>
      </c>
      <c r="B36" s="14" t="s">
        <v>82</v>
      </c>
      <c r="C36" s="15">
        <f>'[12]Team Report'!BA41</f>
        <v>945381.27</v>
      </c>
      <c r="E36" s="15">
        <v>0</v>
      </c>
      <c r="F36" s="15"/>
    </row>
    <row r="37" spans="1:13" hidden="1" x14ac:dyDescent="0.2">
      <c r="A37" s="13" t="s">
        <v>83</v>
      </c>
      <c r="B37" s="14" t="s">
        <v>84</v>
      </c>
      <c r="C37" s="15">
        <f>'[12]Team Report'!BA43</f>
        <v>-5121278.5200000005</v>
      </c>
      <c r="E37" s="15">
        <v>0</v>
      </c>
      <c r="F37" s="15"/>
      <c r="I37" s="33" t="s">
        <v>56</v>
      </c>
    </row>
    <row r="38" spans="1:13" hidden="1" x14ac:dyDescent="0.2">
      <c r="A38" s="13" t="s">
        <v>85</v>
      </c>
      <c r="B38" s="14" t="s">
        <v>86</v>
      </c>
      <c r="C38" s="15">
        <f>'[12]Team Report'!BA45</f>
        <v>0</v>
      </c>
      <c r="E38" s="15">
        <f>(C38/9)*12</f>
        <v>0</v>
      </c>
      <c r="F38" s="15"/>
    </row>
    <row r="39" spans="1:13" hidden="1" x14ac:dyDescent="0.2">
      <c r="A39" s="13" t="s">
        <v>21</v>
      </c>
      <c r="B39" s="14" t="s">
        <v>22</v>
      </c>
      <c r="C39" s="15">
        <v>24143776.43</v>
      </c>
      <c r="E39" s="15">
        <v>0</v>
      </c>
      <c r="F39" s="15"/>
      <c r="I39" t="s">
        <v>134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198</v>
      </c>
    </row>
    <row r="47" spans="1:13" x14ac:dyDescent="0.2">
      <c r="B47" s="14"/>
    </row>
    <row r="48" spans="1:13" x14ac:dyDescent="0.2">
      <c r="B48" s="14"/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R38"/>
  <sheetViews>
    <sheetView topLeftCell="A3"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0" hidden="1" customWidth="1"/>
  </cols>
  <sheetData>
    <row r="1" spans="1:44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0" t="s">
        <v>195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 t="s">
        <v>63</v>
      </c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 t="s">
        <v>7</v>
      </c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</f>
        <v>1316380</v>
      </c>
      <c r="I8" s="42" t="s">
        <v>10</v>
      </c>
      <c r="J8" s="17">
        <v>0</v>
      </c>
      <c r="K8" s="17"/>
      <c r="L8" s="43">
        <f>L30</f>
        <v>2208096</v>
      </c>
      <c r="Q8" s="15">
        <f>+H8/$H$29*$Q$29</f>
        <v>50630</v>
      </c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f>+'Competitive Ana'!F9+'Gas - Fund'!H9+'East - Fund'!F9</f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+'Competitive Ana'!F10+'Gas - Fund'!H10+'East - Fund'!F10</f>
        <v>1137500</v>
      </c>
      <c r="I10" s="42"/>
      <c r="J10" s="17"/>
      <c r="K10" s="17"/>
      <c r="L10" s="43"/>
      <c r="Q10" s="15">
        <f t="shared" si="1"/>
        <v>43750</v>
      </c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</f>
        <v>490776</v>
      </c>
      <c r="I11" s="42" t="s">
        <v>15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18876</v>
      </c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</f>
        <v>149533.47917426541</v>
      </c>
      <c r="I12" s="42"/>
      <c r="J12" s="17"/>
      <c r="K12" s="17"/>
      <c r="L12" s="43"/>
      <c r="Q12" s="15">
        <f t="shared" si="1"/>
        <v>5751.287660548669</v>
      </c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</f>
        <v>210573.79887386021</v>
      </c>
      <c r="I13" s="46" t="s">
        <v>20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8098.9922643792388</v>
      </c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</f>
        <v>1955600.0094285714</v>
      </c>
      <c r="Q14" s="15">
        <f t="shared" si="1"/>
        <v>75215.384978021975</v>
      </c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</f>
        <v>26135.705931610937</v>
      </c>
      <c r="Q15" s="15">
        <f t="shared" si="1"/>
        <v>1005.219458908113</v>
      </c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</f>
        <v>0</v>
      </c>
      <c r="I16" s="50" t="s">
        <v>66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</f>
        <v>1109.3262411347516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Q17" s="15">
        <f t="shared" si="1"/>
        <v>42.666393889798137</v>
      </c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</f>
        <v>12773.593603343465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Q18" s="15">
        <f t="shared" si="1"/>
        <v>491.29206166705632</v>
      </c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</f>
        <v>118934.13733839919</v>
      </c>
      <c r="I19" s="25" t="s">
        <v>36</v>
      </c>
      <c r="J19" s="25">
        <v>57750</v>
      </c>
      <c r="K19" s="25">
        <v>0</v>
      </c>
      <c r="L19" s="25">
        <f t="shared" si="2"/>
        <v>0</v>
      </c>
      <c r="Q19" s="15">
        <f t="shared" si="1"/>
        <v>4574.3898976307382</v>
      </c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</f>
        <v>10.502304457953393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>
        <f t="shared" si="1"/>
        <v>0.40393478684436129</v>
      </c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</f>
        <v>122393.6530764944</v>
      </c>
      <c r="I21" s="25" t="s">
        <v>42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4707.4481952497845</v>
      </c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</f>
        <v>131310.92964842982</v>
      </c>
      <c r="I22" s="25" t="s">
        <v>45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5050.4203710934544</v>
      </c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5673031.1356205689</v>
      </c>
      <c r="I23" s="25" t="s">
        <v>48</v>
      </c>
      <c r="J23" s="25">
        <v>110000</v>
      </c>
      <c r="K23" s="25">
        <v>4</v>
      </c>
      <c r="L23" s="25">
        <f t="shared" si="2"/>
        <v>440000</v>
      </c>
      <c r="Q23" s="28">
        <f>SUM(Q8:Q22)</f>
        <v>218193.50521617563</v>
      </c>
    </row>
    <row r="24" spans="1:17" x14ac:dyDescent="0.2">
      <c r="I24" s="25" t="s">
        <v>49</v>
      </c>
      <c r="J24" s="25">
        <v>143000</v>
      </c>
      <c r="K24" s="25">
        <v>1</v>
      </c>
      <c r="L24" s="25">
        <f t="shared" si="2"/>
        <v>143000</v>
      </c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+'Competitive Ana'!F25+'Gas - Fund'!H25+'East - Fund'!F25</f>
        <v>11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+'Competitive Ana'!F27+'Gas - Fund'!H27+'East - Fund'!F27</f>
        <v>15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">
      <c r="K28" s="25">
        <f>SUM(K16:K27)</f>
        <v>17</v>
      </c>
      <c r="L28" s="25">
        <f>SUM(L16:L27)*1.2</f>
        <v>1840080</v>
      </c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26</v>
      </c>
      <c r="L29" s="52">
        <v>0.2</v>
      </c>
      <c r="Q29" s="31">
        <v>1</v>
      </c>
    </row>
    <row r="30" spans="1:17" hidden="1" x14ac:dyDescent="0.2">
      <c r="L30" s="25">
        <f>L28*1.2</f>
        <v>2208096</v>
      </c>
    </row>
    <row r="31" spans="1:17" hidden="1" x14ac:dyDescent="0.2">
      <c r="H31" s="33" t="s">
        <v>56</v>
      </c>
      <c r="L31"/>
    </row>
    <row r="32" spans="1:17" hidden="1" x14ac:dyDescent="0.2">
      <c r="B32" s="14" t="s">
        <v>22</v>
      </c>
      <c r="C32" s="15">
        <v>254512</v>
      </c>
      <c r="L32"/>
    </row>
    <row r="33" spans="8:12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48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4.85546875" customWidth="1"/>
    <col min="7" max="7" width="13.28515625" hidden="1" customWidth="1"/>
    <col min="8" max="8" width="1.7109375" hidden="1" customWidth="1"/>
    <col min="9" max="9" width="19.42578125" hidden="1" customWidth="1"/>
    <col min="10" max="10" width="12" hidden="1" customWidth="1"/>
    <col min="11" max="11" width="8.85546875" hidden="1" customWidth="1"/>
    <col min="12" max="12" width="12.7109375" hidden="1" customWidth="1"/>
    <col min="13" max="13" width="9.140625" hidden="1" customWidth="1"/>
    <col min="14" max="14" width="11.28515625" hidden="1" customWidth="1"/>
    <col min="15" max="15" width="9.140625" hidden="1" customWidth="1"/>
    <col min="16" max="27" width="0" hidden="1" customWidth="1"/>
  </cols>
  <sheetData>
    <row r="1" spans="1:16" ht="18" x14ac:dyDescent="0.25">
      <c r="B1" s="140" t="str">
        <f>'[6]Team Report'!B1</f>
        <v>Enron North America</v>
      </c>
      <c r="C1" s="140"/>
      <c r="D1" s="140"/>
      <c r="E1" s="140"/>
      <c r="F1" s="140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8" x14ac:dyDescent="0.25">
      <c r="B2" s="140" t="str">
        <f>'[6]Pull Sheet'!E9</f>
        <v>Competitive Analysis</v>
      </c>
      <c r="C2" s="140"/>
      <c r="D2" s="140"/>
      <c r="E2" s="140"/>
      <c r="F2" s="140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8" x14ac:dyDescent="0.25">
      <c r="B3" s="141" t="s">
        <v>0</v>
      </c>
      <c r="C3" s="141"/>
      <c r="D3" s="141"/>
      <c r="E3" s="141"/>
      <c r="F3" s="141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3.5" thickBot="1" x14ac:dyDescent="0.25"/>
    <row r="5" spans="1:16" x14ac:dyDescent="0.2">
      <c r="I5" s="4"/>
      <c r="J5" s="40"/>
      <c r="K5" s="40"/>
      <c r="L5" s="41"/>
    </row>
    <row r="6" spans="1:16" x14ac:dyDescent="0.2">
      <c r="C6" s="10">
        <v>37135</v>
      </c>
      <c r="E6" s="11">
        <v>2001</v>
      </c>
      <c r="F6" s="11">
        <v>2002</v>
      </c>
      <c r="I6" s="7"/>
      <c r="J6" s="19" t="s">
        <v>1</v>
      </c>
      <c r="K6" s="19" t="s">
        <v>2</v>
      </c>
      <c r="L6" s="74" t="s">
        <v>107</v>
      </c>
      <c r="O6" s="44" t="s">
        <v>63</v>
      </c>
    </row>
    <row r="7" spans="1:16" x14ac:dyDescent="0.2">
      <c r="C7" s="12" t="s">
        <v>5</v>
      </c>
      <c r="E7" s="12" t="s">
        <v>6</v>
      </c>
      <c r="F7" s="12" t="s">
        <v>7</v>
      </c>
      <c r="G7" s="33"/>
      <c r="I7" s="7"/>
      <c r="J7" s="17"/>
      <c r="K7" s="17"/>
      <c r="L7" s="43"/>
      <c r="O7" s="12" t="s">
        <v>7</v>
      </c>
    </row>
    <row r="8" spans="1:16" x14ac:dyDescent="0.2">
      <c r="A8" s="13" t="s">
        <v>9</v>
      </c>
      <c r="B8" s="14" t="s">
        <v>10</v>
      </c>
      <c r="C8" s="15">
        <f>'[6]Team Report'!BA25</f>
        <v>1004954.44</v>
      </c>
      <c r="E8" s="15">
        <f>(C8/9)*12</f>
        <v>1339939.2533333334</v>
      </c>
      <c r="F8" s="15">
        <f>L29</f>
        <v>406800</v>
      </c>
      <c r="I8" s="7"/>
      <c r="J8" s="17"/>
      <c r="K8" s="17"/>
      <c r="L8" s="43"/>
      <c r="O8" s="15">
        <f>+F8/$F$29*$O$29</f>
        <v>81360</v>
      </c>
    </row>
    <row r="9" spans="1:16" ht="12.75" hidden="1" customHeight="1" x14ac:dyDescent="0.2">
      <c r="A9" s="13"/>
      <c r="B9" s="14" t="s">
        <v>11</v>
      </c>
      <c r="C9" s="15">
        <v>0</v>
      </c>
      <c r="E9" s="15">
        <f>(C9/9)*12</f>
        <v>0</v>
      </c>
      <c r="F9" s="15">
        <f>(D9/9)*12</f>
        <v>0</v>
      </c>
      <c r="I9" s="7" t="s">
        <v>10</v>
      </c>
      <c r="J9" s="17">
        <v>0</v>
      </c>
      <c r="K9" s="17">
        <f>K29</f>
        <v>5</v>
      </c>
      <c r="L9" s="43">
        <f>L33</f>
        <v>488160</v>
      </c>
      <c r="O9" s="15">
        <f t="shared" ref="O9:O22" si="0">+F9/$F$29*$O$29</f>
        <v>0</v>
      </c>
    </row>
    <row r="10" spans="1:16" ht="12.75" hidden="1" customHeight="1" x14ac:dyDescent="0.2">
      <c r="B10" s="14" t="s">
        <v>12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16" x14ac:dyDescent="0.2">
      <c r="A11" s="13" t="s">
        <v>13</v>
      </c>
      <c r="B11" s="14" t="s">
        <v>14</v>
      </c>
      <c r="C11" s="15">
        <f>'[6]Team Report'!BA26</f>
        <v>241285.2</v>
      </c>
      <c r="E11" s="15">
        <f>(C11/9)*12</f>
        <v>321713.59999999998</v>
      </c>
      <c r="F11" s="15">
        <f>L33-L29</f>
        <v>81360</v>
      </c>
      <c r="I11" s="7"/>
      <c r="J11" s="17"/>
      <c r="K11" s="17"/>
      <c r="L11" s="43"/>
      <c r="O11" s="15">
        <f t="shared" si="0"/>
        <v>16272</v>
      </c>
    </row>
    <row r="12" spans="1:16" x14ac:dyDescent="0.2">
      <c r="A12" s="13" t="s">
        <v>16</v>
      </c>
      <c r="B12" s="14" t="s">
        <v>17</v>
      </c>
      <c r="C12" s="15">
        <f>'[6]Team Report'!BA27</f>
        <v>64034.85</v>
      </c>
      <c r="E12" s="20">
        <f>((C12/9)*12)*1.25</f>
        <v>106724.75</v>
      </c>
      <c r="F12" s="21">
        <f t="shared" ref="F12:F22" si="1">(E12/$E$29)*$F$29</f>
        <v>19057.991071428572</v>
      </c>
      <c r="I12" s="7" t="s">
        <v>15</v>
      </c>
      <c r="J12" s="17">
        <f>(E12+E13+E14+E15+E16+E17+E18+E19+E20+E21+E22)/E29</f>
        <v>29159.270999999997</v>
      </c>
      <c r="K12" s="17">
        <f>K29</f>
        <v>5</v>
      </c>
      <c r="L12" s="43">
        <f>J12*K12</f>
        <v>145796.35499999998</v>
      </c>
      <c r="O12" s="15">
        <f t="shared" si="0"/>
        <v>3811.5982142857147</v>
      </c>
    </row>
    <row r="13" spans="1:16" x14ac:dyDescent="0.2">
      <c r="A13" s="13" t="s">
        <v>18</v>
      </c>
      <c r="B13" s="14" t="s">
        <v>19</v>
      </c>
      <c r="C13" s="15">
        <f>'[6]Team Report'!BA28</f>
        <v>201286.59999999998</v>
      </c>
      <c r="E13" s="20">
        <f>((C13/9)*12)*1.17</f>
        <v>314007.09599999996</v>
      </c>
      <c r="F13" s="21">
        <f>(E13/$E$29)*$F$29+63927</f>
        <v>119999.69571428571</v>
      </c>
      <c r="I13" s="7"/>
      <c r="J13" s="17"/>
      <c r="K13" s="17"/>
      <c r="L13" s="43"/>
      <c r="O13" s="15">
        <f t="shared" si="0"/>
        <v>23999.939142857143</v>
      </c>
    </row>
    <row r="14" spans="1:16" ht="13.5" thickBot="1" x14ac:dyDescent="0.25">
      <c r="A14" s="13" t="s">
        <v>21</v>
      </c>
      <c r="B14" s="14" t="s">
        <v>22</v>
      </c>
      <c r="C14" s="15">
        <f>'[6]Team Report'!BA32-C39</f>
        <v>-6.0000000055879354E-2</v>
      </c>
      <c r="E14" s="20">
        <f>((C14/9)*12)*1.3</f>
        <v>-0.10400000009685754</v>
      </c>
      <c r="F14" s="21">
        <f>(E14/$E$29)*$F$29+480000</f>
        <v>479999.98142857139</v>
      </c>
      <c r="I14" s="22" t="s">
        <v>20</v>
      </c>
      <c r="J14" s="47"/>
      <c r="K14" s="47"/>
      <c r="L14" s="48">
        <f>SUM(L9:L12)</f>
        <v>633956.35499999998</v>
      </c>
      <c r="N14" s="25"/>
      <c r="O14" s="15">
        <f t="shared" si="0"/>
        <v>95999.996285714282</v>
      </c>
    </row>
    <row r="15" spans="1:16" x14ac:dyDescent="0.2">
      <c r="A15" s="13" t="s">
        <v>23</v>
      </c>
      <c r="B15" s="14" t="s">
        <v>24</v>
      </c>
      <c r="C15" s="15">
        <f>'[6]Team Report'!BA33</f>
        <v>21945.55</v>
      </c>
      <c r="E15" s="20">
        <f>((C15/9)*12)*1.25</f>
        <v>36575.916666666664</v>
      </c>
      <c r="F15" s="21">
        <f t="shared" si="1"/>
        <v>6531.4136904761908</v>
      </c>
      <c r="I15" s="8"/>
      <c r="J15" s="17"/>
      <c r="K15" s="17"/>
      <c r="L15" s="17"/>
      <c r="O15" s="15">
        <f t="shared" si="0"/>
        <v>1306.2827380952381</v>
      </c>
    </row>
    <row r="16" spans="1:16" x14ac:dyDescent="0.2">
      <c r="A16" s="13" t="s">
        <v>25</v>
      </c>
      <c r="B16" s="14" t="s">
        <v>26</v>
      </c>
      <c r="C16" s="15">
        <f>'[6]Team Report'!BA34</f>
        <v>0</v>
      </c>
      <c r="E16" s="20">
        <f>((C16/9)*12)*1.3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28</v>
      </c>
      <c r="B17" s="14" t="s">
        <v>29</v>
      </c>
      <c r="C17" s="15">
        <f>'[6]Team Report'!BA35</f>
        <v>0</v>
      </c>
      <c r="E17" s="20">
        <f>((C17/9)*12)*1.3</f>
        <v>0</v>
      </c>
      <c r="F17" s="21">
        <f t="shared" si="1"/>
        <v>0</v>
      </c>
      <c r="I17" s="8" t="s">
        <v>27</v>
      </c>
      <c r="J17" s="17">
        <f>36000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x14ac:dyDescent="0.2">
      <c r="A18" s="13" t="s">
        <v>31</v>
      </c>
      <c r="B18" s="14" t="s">
        <v>32</v>
      </c>
      <c r="C18" s="15">
        <f>'[6]Team Report'!BA36</f>
        <v>837.87000000000012</v>
      </c>
      <c r="E18" s="20">
        <f>((C18/9)*12)*1.25</f>
        <v>1396.45</v>
      </c>
      <c r="F18" s="21">
        <f t="shared" si="1"/>
        <v>249.36607142857144</v>
      </c>
      <c r="I18" t="s">
        <v>93</v>
      </c>
      <c r="J18" s="25">
        <v>48000</v>
      </c>
      <c r="K18" s="17">
        <v>1</v>
      </c>
      <c r="L18" s="17">
        <f t="shared" si="2"/>
        <v>48000</v>
      </c>
      <c r="O18" s="15">
        <f t="shared" si="0"/>
        <v>49.87321428571429</v>
      </c>
    </row>
    <row r="19" spans="1:15" x14ac:dyDescent="0.2">
      <c r="A19" s="13" t="s">
        <v>34</v>
      </c>
      <c r="B19" s="14" t="s">
        <v>35</v>
      </c>
      <c r="C19" s="15">
        <f>'[6]Team Report'!BA37</f>
        <v>24222.35</v>
      </c>
      <c r="E19" s="20">
        <f>((C19/9)*12)*1.3</f>
        <v>41985.406666666669</v>
      </c>
      <c r="F19" s="21">
        <f>(E19/$E$29)*$F$29+60000</f>
        <v>67497.394047619047</v>
      </c>
      <c r="I19" t="s">
        <v>33</v>
      </c>
      <c r="J19" s="25">
        <v>49200</v>
      </c>
      <c r="K19" s="17">
        <v>0</v>
      </c>
      <c r="L19" s="17">
        <f t="shared" si="2"/>
        <v>0</v>
      </c>
      <c r="O19" s="15">
        <f t="shared" si="0"/>
        <v>13499.478809523809</v>
      </c>
    </row>
    <row r="20" spans="1:15" x14ac:dyDescent="0.2">
      <c r="A20" s="13" t="s">
        <v>37</v>
      </c>
      <c r="B20" s="14" t="s">
        <v>38</v>
      </c>
      <c r="C20" s="15">
        <f>'[6]Team Report'!BA38</f>
        <v>8.15</v>
      </c>
      <c r="E20" s="20">
        <f>((C20/9)*12)*1.25</f>
        <v>13.583333333333334</v>
      </c>
      <c r="F20" s="21">
        <f t="shared" si="1"/>
        <v>2.4255952380952381</v>
      </c>
      <c r="I20" t="s">
        <v>94</v>
      </c>
      <c r="J20" s="25">
        <v>57600</v>
      </c>
      <c r="K20" s="17">
        <v>0</v>
      </c>
      <c r="L20" s="17">
        <f t="shared" si="2"/>
        <v>0</v>
      </c>
      <c r="O20" s="15">
        <f t="shared" si="0"/>
        <v>0.48511904761904762</v>
      </c>
    </row>
    <row r="21" spans="1:15" x14ac:dyDescent="0.2">
      <c r="A21" s="13" t="s">
        <v>40</v>
      </c>
      <c r="B21" s="14" t="s">
        <v>41</v>
      </c>
      <c r="C21" s="15">
        <f>'[6]Team Report'!BA42</f>
        <v>196834.1</v>
      </c>
      <c r="E21" s="20">
        <f>((C21/9)*12)*1.2</f>
        <v>314934.56</v>
      </c>
      <c r="F21" s="21">
        <f t="shared" si="1"/>
        <v>56238.314285714288</v>
      </c>
      <c r="I21" t="s">
        <v>45</v>
      </c>
      <c r="J21" s="25">
        <v>72000</v>
      </c>
      <c r="K21" s="25">
        <v>0</v>
      </c>
      <c r="L21" s="17">
        <f t="shared" si="2"/>
        <v>0</v>
      </c>
      <c r="O21" s="15">
        <f t="shared" si="0"/>
        <v>11247.662857142857</v>
      </c>
    </row>
    <row r="22" spans="1:15" x14ac:dyDescent="0.2">
      <c r="A22" s="13" t="s">
        <v>43</v>
      </c>
      <c r="B22" s="14" t="s">
        <v>44</v>
      </c>
      <c r="C22" s="15">
        <f>'[6]Team Report'!BA44</f>
        <v>474.19</v>
      </c>
      <c r="E22" s="20">
        <f>((C22/9)*12)*1.3</f>
        <v>821.92933333333337</v>
      </c>
      <c r="F22" s="21">
        <f t="shared" si="1"/>
        <v>146.77309523809524</v>
      </c>
      <c r="I22" t="s">
        <v>36</v>
      </c>
      <c r="J22" s="25">
        <v>62400</v>
      </c>
      <c r="K22" s="17">
        <v>0</v>
      </c>
      <c r="L22" s="17">
        <f t="shared" si="2"/>
        <v>0</v>
      </c>
      <c r="O22" s="15">
        <f t="shared" si="0"/>
        <v>29.354619047619046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1755883.24</v>
      </c>
      <c r="E23" s="28">
        <f>SUM(E8:E22)</f>
        <v>2478112.441333334</v>
      </c>
      <c r="F23" s="28">
        <f>SUM(F8:F22)</f>
        <v>1237883.355</v>
      </c>
      <c r="I23" t="s">
        <v>95</v>
      </c>
      <c r="J23" s="25">
        <v>74400</v>
      </c>
      <c r="K23" s="17">
        <v>2</v>
      </c>
      <c r="L23" s="17">
        <f t="shared" si="2"/>
        <v>148800</v>
      </c>
      <c r="O23" s="58">
        <f>SUM(O8:O22)</f>
        <v>247576.67099999997</v>
      </c>
    </row>
    <row r="24" spans="1:15" x14ac:dyDescent="0.2">
      <c r="I24" t="s">
        <v>96</v>
      </c>
      <c r="J24" s="25">
        <v>90000</v>
      </c>
      <c r="K24" s="17">
        <v>1</v>
      </c>
      <c r="L24" s="17">
        <f t="shared" si="2"/>
        <v>90000</v>
      </c>
    </row>
    <row r="25" spans="1:15" x14ac:dyDescent="0.2">
      <c r="B25" s="27" t="s">
        <v>50</v>
      </c>
      <c r="C25" s="15"/>
      <c r="E25" s="31">
        <v>28</v>
      </c>
      <c r="F25" s="31">
        <f>+K29</f>
        <v>5</v>
      </c>
      <c r="I25" t="s">
        <v>97</v>
      </c>
      <c r="J25" s="25"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119</v>
      </c>
      <c r="J26" s="25">
        <v>178800</v>
      </c>
      <c r="K26" s="17">
        <v>0</v>
      </c>
      <c r="L26" s="17">
        <f t="shared" si="2"/>
        <v>0</v>
      </c>
      <c r="O26" s="15"/>
    </row>
    <row r="27" spans="1:15" x14ac:dyDescent="0.2">
      <c r="B27" s="27" t="s">
        <v>101</v>
      </c>
      <c r="C27" s="15"/>
      <c r="E27" s="31">
        <v>0</v>
      </c>
      <c r="F27" s="31">
        <v>0</v>
      </c>
      <c r="I27" t="s">
        <v>99</v>
      </c>
      <c r="J27" s="25">
        <v>216000</v>
      </c>
      <c r="K27" s="17">
        <v>0</v>
      </c>
      <c r="L27" s="17">
        <f t="shared" si="2"/>
        <v>0</v>
      </c>
      <c r="O27" s="31">
        <f>SUM(U21:U22)</f>
        <v>0</v>
      </c>
    </row>
    <row r="28" spans="1:15" x14ac:dyDescent="0.2">
      <c r="I28" t="s">
        <v>100</v>
      </c>
      <c r="J28" s="25"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55</v>
      </c>
      <c r="C29" s="15"/>
      <c r="E29" s="31">
        <f>+E27+E25</f>
        <v>28</v>
      </c>
      <c r="F29" s="31">
        <f>+F27+F25</f>
        <v>5</v>
      </c>
      <c r="G29" s="25"/>
      <c r="J29" s="25"/>
      <c r="K29" s="25">
        <f>SUM(K17:K28)</f>
        <v>5</v>
      </c>
      <c r="L29" s="17">
        <f>SUM(L17:L28)</f>
        <v>406800</v>
      </c>
      <c r="O29" s="31">
        <v>1</v>
      </c>
    </row>
    <row r="30" spans="1:15" x14ac:dyDescent="0.2">
      <c r="J30" s="25"/>
      <c r="K30" s="25"/>
      <c r="L30" s="25"/>
    </row>
    <row r="31" spans="1:15" hidden="1" x14ac:dyDescent="0.2">
      <c r="A31" s="13" t="s">
        <v>71</v>
      </c>
      <c r="B31" s="14" t="s">
        <v>72</v>
      </c>
      <c r="C31" s="15">
        <f>'[6]Team Report'!BA29</f>
        <v>0</v>
      </c>
      <c r="E31" s="15">
        <f t="shared" ref="E31:E38" si="3">(C31/9)*12</f>
        <v>0</v>
      </c>
      <c r="I31" t="s">
        <v>102</v>
      </c>
      <c r="J31" s="25"/>
      <c r="K31" s="52"/>
      <c r="L31" s="52">
        <v>0.2</v>
      </c>
    </row>
    <row r="32" spans="1:15" hidden="1" x14ac:dyDescent="0.2">
      <c r="A32" s="13" t="s">
        <v>73</v>
      </c>
      <c r="B32" s="14" t="s">
        <v>74</v>
      </c>
      <c r="C32" s="15">
        <f>'[6]Team Report'!BA30</f>
        <v>0</v>
      </c>
      <c r="E32" s="15">
        <f t="shared" si="3"/>
        <v>0</v>
      </c>
      <c r="J32" s="25"/>
      <c r="K32" s="25"/>
      <c r="L32" s="25"/>
    </row>
    <row r="33" spans="1:12" hidden="1" x14ac:dyDescent="0.2">
      <c r="A33" s="13" t="s">
        <v>75</v>
      </c>
      <c r="B33" s="14" t="s">
        <v>76</v>
      </c>
      <c r="C33" s="15">
        <f>'[6]Team Report'!BA31</f>
        <v>0</v>
      </c>
      <c r="E33" s="15">
        <f t="shared" si="3"/>
        <v>0</v>
      </c>
      <c r="J33" s="25"/>
      <c r="K33" s="25"/>
      <c r="L33" s="25">
        <f>L29*1.2</f>
        <v>488160</v>
      </c>
    </row>
    <row r="34" spans="1:12" hidden="1" x14ac:dyDescent="0.2">
      <c r="A34" s="13" t="s">
        <v>77</v>
      </c>
      <c r="B34" s="14" t="s">
        <v>78</v>
      </c>
      <c r="C34" s="15">
        <f>'[6]Team Report'!BA39</f>
        <v>0</v>
      </c>
      <c r="E34" s="15">
        <f t="shared" si="3"/>
        <v>0</v>
      </c>
      <c r="J34" s="25"/>
      <c r="K34" s="25"/>
      <c r="L34" s="25"/>
    </row>
    <row r="35" spans="1:12" hidden="1" x14ac:dyDescent="0.2">
      <c r="A35" s="13" t="s">
        <v>79</v>
      </c>
      <c r="B35" s="14" t="s">
        <v>80</v>
      </c>
      <c r="C35" s="15">
        <f>'[6]Team Report'!BA40</f>
        <v>155543.13</v>
      </c>
      <c r="E35" s="15">
        <f t="shared" si="3"/>
        <v>207390.84</v>
      </c>
    </row>
    <row r="36" spans="1:12" hidden="1" x14ac:dyDescent="0.2">
      <c r="A36" s="13" t="s">
        <v>81</v>
      </c>
      <c r="B36" s="14" t="s">
        <v>82</v>
      </c>
      <c r="C36" s="15">
        <f>'[6]Team Report'!BA41</f>
        <v>132051.71</v>
      </c>
      <c r="E36" s="15">
        <f t="shared" si="3"/>
        <v>176068.94666666666</v>
      </c>
    </row>
    <row r="37" spans="1:12" hidden="1" x14ac:dyDescent="0.2">
      <c r="A37" s="13" t="s">
        <v>83</v>
      </c>
      <c r="B37" s="14" t="s">
        <v>84</v>
      </c>
      <c r="C37" s="15">
        <f>'[6]Team Report'!BA43</f>
        <v>-1900070.7900000003</v>
      </c>
      <c r="E37" s="15">
        <f t="shared" si="3"/>
        <v>-2533427.7200000002</v>
      </c>
      <c r="G37" s="33" t="s">
        <v>56</v>
      </c>
      <c r="I37" s="25"/>
      <c r="J37" s="25"/>
      <c r="K37" s="25"/>
    </row>
    <row r="38" spans="1:12" hidden="1" x14ac:dyDescent="0.2">
      <c r="A38" s="13" t="s">
        <v>85</v>
      </c>
      <c r="B38" s="14" t="s">
        <v>86</v>
      </c>
      <c r="C38" s="15">
        <f>'[6]Team Report'!BA45</f>
        <v>0</v>
      </c>
      <c r="E38" s="15">
        <f t="shared" si="3"/>
        <v>0</v>
      </c>
      <c r="I38" s="25"/>
      <c r="J38" s="25"/>
      <c r="K38" s="25"/>
    </row>
    <row r="39" spans="1:12" hidden="1" x14ac:dyDescent="0.2">
      <c r="B39" s="14" t="s">
        <v>22</v>
      </c>
      <c r="C39" s="15">
        <v>1140923</v>
      </c>
      <c r="E39" s="15"/>
      <c r="G39" s="34" t="s">
        <v>57</v>
      </c>
      <c r="I39" s="35" t="s">
        <v>58</v>
      </c>
      <c r="J39" s="35" t="s">
        <v>59</v>
      </c>
      <c r="K39" s="35" t="s">
        <v>2</v>
      </c>
      <c r="L39" s="35" t="s">
        <v>60</v>
      </c>
    </row>
    <row r="40" spans="1:12" hidden="1" x14ac:dyDescent="0.2">
      <c r="B40" s="14"/>
      <c r="G40" s="36">
        <f>SUM(E12:E22)</f>
        <v>816459.58799999987</v>
      </c>
      <c r="I40" s="56">
        <f>+E29</f>
        <v>28</v>
      </c>
      <c r="J40" s="37">
        <f>+G40/I40</f>
        <v>29159.270999999997</v>
      </c>
      <c r="K40" s="56">
        <f>+K12</f>
        <v>5</v>
      </c>
      <c r="L40" s="37">
        <f>+J40*K40</f>
        <v>145796.35499999998</v>
      </c>
    </row>
    <row r="41" spans="1:12" hidden="1" x14ac:dyDescent="0.2">
      <c r="C41" s="54">
        <f>C23+C31+C32+C33+C34+C35+C36+C37+C38</f>
        <v>143407.2899999998</v>
      </c>
    </row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R38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17" width="12.7109375" hidden="1" customWidth="1"/>
    <col min="18" max="52" width="0" hidden="1" customWidth="1"/>
  </cols>
  <sheetData>
    <row r="1" spans="1:44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0" t="s">
        <v>188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 t="s">
        <v>63</v>
      </c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 t="s">
        <v>7</v>
      </c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591580</v>
      </c>
      <c r="I8" s="42" t="s">
        <v>10</v>
      </c>
      <c r="J8" s="17">
        <v>0</v>
      </c>
      <c r="K8" s="17"/>
      <c r="L8" s="43">
        <f>L30</f>
        <v>1645776</v>
      </c>
      <c r="Q8" s="15">
        <f>+H8/$H$29*$Q$29</f>
        <v>42255.714285714283</v>
      </c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779900</v>
      </c>
      <c r="I10" s="42"/>
      <c r="J10" s="17"/>
      <c r="K10" s="17"/>
      <c r="L10" s="43"/>
      <c r="Q10" s="15">
        <f t="shared" si="1"/>
        <v>55707.142857142855</v>
      </c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274296</v>
      </c>
      <c r="I11" s="42" t="s">
        <v>15</v>
      </c>
      <c r="J11" s="17">
        <f>(E12+E13+E14+E15+E16+E17+E18+E19+E20+E21+E22)/E29</f>
        <v>48270.181250000009</v>
      </c>
      <c r="K11" s="17">
        <f>K28</f>
        <v>14</v>
      </c>
      <c r="L11" s="43">
        <f>J11*K11</f>
        <v>675782.53750000009</v>
      </c>
      <c r="Q11" s="15">
        <f t="shared" si="1"/>
        <v>19592.571428571428</v>
      </c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86274.632499999963</v>
      </c>
      <c r="I12" s="42"/>
      <c r="J12" s="17"/>
      <c r="K12" s="17"/>
      <c r="L12" s="43"/>
      <c r="Q12" s="15">
        <f t="shared" si="1"/>
        <v>6162.4737499999974</v>
      </c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>(E13/$E$29)*$K$11-66789</f>
        <v>10000.396833333347</v>
      </c>
      <c r="I13" s="46" t="s">
        <v>20</v>
      </c>
      <c r="J13" s="47"/>
      <c r="K13" s="47"/>
      <c r="L13" s="48">
        <f>L8+L11</f>
        <v>2321558.5375000001</v>
      </c>
      <c r="N13" s="25">
        <v>24109311.029375006</v>
      </c>
      <c r="P13" s="49">
        <f>N13-L13</f>
        <v>21787752.491875004</v>
      </c>
      <c r="Q13" s="15">
        <f t="shared" si="1"/>
        <v>714.31405952381044</v>
      </c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>(E14/$E$29)*$K$11+180000+250000+6600+9000+30000</f>
        <v>475600.02799999999</v>
      </c>
      <c r="Q14" s="15">
        <f t="shared" si="1"/>
        <v>33971.430571428573</v>
      </c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12199.016666666665</v>
      </c>
      <c r="Q15" s="15">
        <f t="shared" si="1"/>
        <v>871.35833333333323</v>
      </c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66</v>
      </c>
      <c r="J16" s="25">
        <v>33000</v>
      </c>
      <c r="K16" s="25"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688.33333333333326</v>
      </c>
      <c r="I17" s="25" t="s">
        <v>30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12501.407333333334</v>
      </c>
      <c r="I18" s="25" t="s">
        <v>33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892.9576666666668</v>
      </c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12741.204</v>
      </c>
      <c r="I19" s="25" t="s">
        <v>36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910.08600000000001</v>
      </c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1.8666666666666667</v>
      </c>
      <c r="I20" s="25" t="s">
        <v>39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15842.039499999986</v>
      </c>
      <c r="I21" s="25" t="s">
        <v>42</v>
      </c>
      <c r="J21" s="25">
        <v>60500</v>
      </c>
      <c r="K21" s="25">
        <v>7</v>
      </c>
      <c r="L21" s="25">
        <f t="shared" si="3"/>
        <v>423500</v>
      </c>
      <c r="Q21" s="15">
        <f t="shared" si="1"/>
        <v>1131.574249999999</v>
      </c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(E22/$E$29)*$K$11-327675</f>
        <v>131069.61266666692</v>
      </c>
      <c r="I22" s="25" t="s">
        <v>45</v>
      </c>
      <c r="J22" s="25">
        <v>89100</v>
      </c>
      <c r="K22" s="25">
        <v>4</v>
      </c>
      <c r="L22" s="25">
        <f t="shared" si="3"/>
        <v>356400</v>
      </c>
      <c r="Q22" s="15">
        <f t="shared" si="1"/>
        <v>9362.1151904762082</v>
      </c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2402694.5375000006</v>
      </c>
      <c r="I23" s="25" t="s">
        <v>48</v>
      </c>
      <c r="J23" s="25">
        <v>110000</v>
      </c>
      <c r="K23" s="25">
        <v>2</v>
      </c>
      <c r="L23" s="25">
        <f t="shared" si="3"/>
        <v>220000</v>
      </c>
      <c r="Q23" s="28">
        <f>SUM(Q8:Q22)</f>
        <v>171621.03839285715</v>
      </c>
    </row>
    <row r="24" spans="1:17" x14ac:dyDescent="0.2">
      <c r="I24" s="25" t="s">
        <v>49</v>
      </c>
      <c r="J24" s="25">
        <v>143000</v>
      </c>
      <c r="K24" s="25">
        <v>1</v>
      </c>
      <c r="L24" s="25">
        <f t="shared" si="3"/>
        <v>143000</v>
      </c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3</v>
      </c>
      <c r="I25" s="25" t="s">
        <v>51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3"/>
        <v>0</v>
      </c>
      <c r="Q26" s="15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11</v>
      </c>
      <c r="I27" s="25" t="s">
        <v>54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14</v>
      </c>
      <c r="L28" s="25">
        <f>SUM(L16:L27)*1.2</f>
        <v>1371480</v>
      </c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14</v>
      </c>
      <c r="L29" s="52">
        <v>0.2</v>
      </c>
      <c r="Q29" s="31">
        <f>SUM(Q25:Q27)</f>
        <v>1</v>
      </c>
    </row>
    <row r="30" spans="1:17" hidden="1" x14ac:dyDescent="0.2">
      <c r="L30" s="25">
        <f>L28*1.2</f>
        <v>1645776</v>
      </c>
    </row>
    <row r="31" spans="1:17" hidden="1" x14ac:dyDescent="0.2">
      <c r="H31" s="33" t="s">
        <v>56</v>
      </c>
      <c r="L31"/>
    </row>
    <row r="32" spans="1:17" hidden="1" x14ac:dyDescent="0.2">
      <c r="B32" s="14" t="s">
        <v>22</v>
      </c>
      <c r="C32" s="15">
        <v>254512</v>
      </c>
      <c r="L32"/>
    </row>
    <row r="33" spans="8:12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14</v>
      </c>
      <c r="L34" s="37">
        <f>+J34*K34</f>
        <v>675782.53750000009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pageSetUpPr fitToPage="1"/>
  </sheetPr>
  <dimension ref="A1:AS34"/>
  <sheetViews>
    <sheetView topLeftCell="A6"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2" width="0" hidden="1" customWidth="1"/>
  </cols>
  <sheetData>
    <row r="1" spans="1:45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0" t="s">
        <v>192</v>
      </c>
      <c r="C2" s="140"/>
      <c r="D2" s="140"/>
      <c r="E2" s="140"/>
      <c r="F2" s="140"/>
      <c r="G2" s="140"/>
      <c r="H2" s="14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N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N7" s="12" t="s">
        <v>7</v>
      </c>
    </row>
    <row r="8" spans="1:45" x14ac:dyDescent="0.2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M16+M17+M18+M19+M20+M23+M24+M26</f>
        <v>318000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810720</v>
      </c>
      <c r="N8" s="15">
        <f>+F8/$F$29*$N$29</f>
        <v>45428.571428571428</v>
      </c>
    </row>
    <row r="9" spans="1:45" x14ac:dyDescent="0.2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x14ac:dyDescent="0.2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M21+M22</f>
        <v>357600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51085.714285714283</v>
      </c>
    </row>
    <row r="11" spans="1:45" x14ac:dyDescent="0.2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M28*0.2</f>
        <v>135120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7</v>
      </c>
      <c r="M11" s="18">
        <f>K11*L11</f>
        <v>221733.27330496447</v>
      </c>
      <c r="N11" s="15">
        <f t="shared" si="1"/>
        <v>19302.857142857141</v>
      </c>
    </row>
    <row r="12" spans="1:45" x14ac:dyDescent="0.2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44200.855602836877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6314.4079432624112</v>
      </c>
    </row>
    <row r="13" spans="1:45" ht="13.5" thickBot="1" x14ac:dyDescent="0.2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21">
        <f t="shared" si="3"/>
        <v>80573.706326241139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1032453.2733049644</v>
      </c>
      <c r="N13" s="15">
        <f t="shared" si="1"/>
        <v>11510.529475177305</v>
      </c>
    </row>
    <row r="14" spans="1:45" x14ac:dyDescent="0.2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21">
        <v>1000000</v>
      </c>
      <c r="H14" s="16">
        <f t="shared" si="0"/>
        <v>2.9853903459396468E-8</v>
      </c>
      <c r="N14" s="15">
        <f t="shared" si="1"/>
        <v>142857.14285714287</v>
      </c>
    </row>
    <row r="15" spans="1:45" x14ac:dyDescent="0.2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21">
        <f t="shared" si="3"/>
        <v>7405.2755744680844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x14ac:dyDescent="0.2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27</v>
      </c>
      <c r="K16" s="25">
        <v>33600</v>
      </c>
      <c r="L16">
        <f>'[17]Ercot Trading'!K16+'[17]Ercot Origination'!K16+'[17]Southeast Trading'!K16+'[17]Southeast Origination'!K16+'[17]Midwest Trading'!K16+'[17]Midwest Origination'!K16+'[17]Northeast Trading'!K16+'[17]Northeast Origination'!K16+'[17]Management Book'!K16+[17]Structuring_Fund!K16+[17]Services!K16+[17]Options!K16</f>
        <v>0</v>
      </c>
      <c r="M16" s="25">
        <f t="shared" ref="M16:M27" si="4">K16*L16</f>
        <v>0</v>
      </c>
      <c r="N16" s="15">
        <f t="shared" si="1"/>
        <v>0</v>
      </c>
    </row>
    <row r="17" spans="1:14" x14ac:dyDescent="0.2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21">
        <f t="shared" si="3"/>
        <v>420.99290780141843</v>
      </c>
      <c r="H17" s="16">
        <f t="shared" si="0"/>
        <v>4.1638339022207621E-4</v>
      </c>
      <c r="J17" t="s">
        <v>30</v>
      </c>
      <c r="K17" s="25">
        <v>52800</v>
      </c>
      <c r="L17">
        <f>'[17]Ercot Trading'!K17+'[17]Ercot Origination'!K17+'[17]Southeast Trading'!K17+'[17]Southeast Origination'!K17+'[17]Midwest Trading'!K17+'[17]Midwest Origination'!K17+'[17]Northeast Trading'!K17+'[17]Northeast Origination'!K17+'[17]Management Book'!K17+[17]Structuring_Fund!K17+[17]Services!K17+[17]Options!K17</f>
        <v>0</v>
      </c>
      <c r="M17" s="25">
        <f t="shared" si="4"/>
        <v>0</v>
      </c>
      <c r="N17" s="15">
        <f t="shared" si="1"/>
        <v>60.141843971631204</v>
      </c>
    </row>
    <row r="18" spans="1:14" x14ac:dyDescent="0.2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21">
        <f t="shared" si="3"/>
        <v>22.82019858156001</v>
      </c>
      <c r="H18" s="16">
        <f t="shared" si="0"/>
        <v>2.2570336637150724E-5</v>
      </c>
      <c r="J18" t="s">
        <v>33</v>
      </c>
      <c r="K18" s="25">
        <v>54000</v>
      </c>
      <c r="L18">
        <f>'[17]Ercot Trading'!K18+'[17]Ercot Origination'!K18+'[17]Southeast Trading'!K18+'[17]Southeast Origination'!K18+'[17]Midwest Trading'!K18+'[17]Midwest Origination'!K18+'[17]Northeast Trading'!K18+'[17]Northeast Origination'!K18+'[17]Management Book'!K18+[17]Structuring_Fund!K18+[17]Services!K18+[17]Options!K18</f>
        <v>0</v>
      </c>
      <c r="M18" s="25">
        <f t="shared" si="4"/>
        <v>0</v>
      </c>
      <c r="N18" s="15">
        <f t="shared" si="1"/>
        <v>3.2600283687942873</v>
      </c>
    </row>
    <row r="19" spans="1:14" x14ac:dyDescent="0.2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21">
        <f t="shared" si="3"/>
        <v>38695.539290780143</v>
      </c>
      <c r="H19" s="16">
        <f t="shared" si="0"/>
        <v>3.8271855743390995E-2</v>
      </c>
      <c r="J19" t="s">
        <v>36</v>
      </c>
      <c r="K19" s="25">
        <v>63000</v>
      </c>
      <c r="L19">
        <f>'[17]Ercot Trading'!K19+'[17]Ercot Origination'!K19+'[17]Southeast Trading'!K19+'[17]Southeast Origination'!K19+'[17]Midwest Trading'!K19+'[17]Midwest Origination'!K19+'[17]Northeast Trading'!K19+'[17]Northeast Origination'!K19+'[17]Management Book'!K19+[17]Structuring_Fund!K19+[17]Services!K19+[17]Options!K19</f>
        <v>0</v>
      </c>
      <c r="M19" s="25">
        <f t="shared" si="4"/>
        <v>0</v>
      </c>
      <c r="N19" s="15">
        <f t="shared" si="1"/>
        <v>5527.9341843971633</v>
      </c>
    </row>
    <row r="20" spans="1:14" x14ac:dyDescent="0.2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21">
        <f t="shared" si="3"/>
        <v>6.2100425531914896</v>
      </c>
      <c r="H20" s="16">
        <f t="shared" si="0"/>
        <v>6.1420478202947023E-6</v>
      </c>
      <c r="J20" t="s">
        <v>39</v>
      </c>
      <c r="K20" s="25">
        <v>78000</v>
      </c>
      <c r="L20">
        <v>1</v>
      </c>
      <c r="M20" s="25">
        <f t="shared" si="4"/>
        <v>78000</v>
      </c>
      <c r="N20" s="15">
        <f t="shared" si="1"/>
        <v>0.88714893617021284</v>
      </c>
    </row>
    <row r="21" spans="1:14" x14ac:dyDescent="0.2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21">
        <f t="shared" si="3"/>
        <v>50313.299290780131</v>
      </c>
      <c r="H21" s="16">
        <f t="shared" si="0"/>
        <v>4.9762411061411306E-2</v>
      </c>
      <c r="J21" t="s">
        <v>42</v>
      </c>
      <c r="K21" s="25">
        <v>66000</v>
      </c>
      <c r="L21">
        <v>1</v>
      </c>
      <c r="M21" s="25">
        <f t="shared" si="4"/>
        <v>66000</v>
      </c>
      <c r="N21" s="15">
        <f t="shared" si="1"/>
        <v>7187.6141843971618</v>
      </c>
    </row>
    <row r="22" spans="1:14" x14ac:dyDescent="0.2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21">
        <f t="shared" si="3"/>
        <v>94.543886524822696</v>
      </c>
      <c r="H22" s="16">
        <f t="shared" si="0"/>
        <v>9.350871063734415E-5</v>
      </c>
      <c r="J22" t="s">
        <v>45</v>
      </c>
      <c r="K22" s="25">
        <v>97200</v>
      </c>
      <c r="L22">
        <v>3</v>
      </c>
      <c r="M22" s="25">
        <f t="shared" si="4"/>
        <v>291600</v>
      </c>
      <c r="N22" s="15">
        <f t="shared" si="1"/>
        <v>13.506269503546099</v>
      </c>
    </row>
    <row r="23" spans="1:14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2032453.2431205676</v>
      </c>
      <c r="H23" s="30">
        <f>SUM(H8:H22)</f>
        <v>1</v>
      </c>
      <c r="J23" t="s">
        <v>48</v>
      </c>
      <c r="K23" s="25">
        <v>120000</v>
      </c>
      <c r="L23">
        <f>3-1</f>
        <v>2</v>
      </c>
      <c r="M23" s="25">
        <f t="shared" si="4"/>
        <v>240000</v>
      </c>
      <c r="N23" s="58">
        <f>SUM(N8:N22)</f>
        <v>290350.46330293821</v>
      </c>
    </row>
    <row r="24" spans="1:14" x14ac:dyDescent="0.2">
      <c r="J24" t="s">
        <v>49</v>
      </c>
      <c r="K24" s="25">
        <v>156000</v>
      </c>
      <c r="L24">
        <f>1-1</f>
        <v>0</v>
      </c>
      <c r="M24" s="25">
        <f t="shared" si="4"/>
        <v>0</v>
      </c>
    </row>
    <row r="25" spans="1:14" x14ac:dyDescent="0.2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31">
        <f>SUM(L16:L20,L23:L27)</f>
        <v>3</v>
      </c>
      <c r="J25" t="s">
        <v>51</v>
      </c>
      <c r="K25" s="25">
        <v>180000</v>
      </c>
      <c r="L25">
        <f>'[17]Ercot Trading'!K25+'[17]Ercot Origination'!K25+'[17]Southeast Trading'!K25+'[17]Southeast Origination'!K25+'[17]Midwest Trading'!K25+'[17]Midwest Origination'!K25+'[17]Northeast Trading'!K25+'[17]Northeast Origination'!K25+'[17]Management Book'!K25+[17]Structuring_Fund!K25+[17]Services!K25+[17]Options!K25</f>
        <v>0</v>
      </c>
      <c r="M25" s="25">
        <f t="shared" si="4"/>
        <v>0</v>
      </c>
      <c r="N25" s="31">
        <v>1</v>
      </c>
    </row>
    <row r="26" spans="1:14" x14ac:dyDescent="0.2">
      <c r="C26" s="15"/>
      <c r="E26" s="15"/>
      <c r="F26" s="15"/>
      <c r="J26" t="s">
        <v>52</v>
      </c>
      <c r="K26" s="25">
        <v>216000</v>
      </c>
      <c r="L26">
        <f>'[17]Ercot Trading'!K26+'[17]Ercot Origination'!K26+'[17]Southeast Trading'!K26+'[17]Southeast Origination'!K26+'[17]Midwest Trading'!K26+'[17]Midwest Origination'!K26+'[17]Northeast Trading'!K26+'[17]Northeast Origination'!K26+'[17]Management Book'!K26+[17]Structuring_Fund!K26+[17]Services!K26+[17]Options!K26</f>
        <v>0</v>
      </c>
      <c r="M26" s="25">
        <f t="shared" si="4"/>
        <v>0</v>
      </c>
      <c r="N26" s="15"/>
    </row>
    <row r="27" spans="1:14" x14ac:dyDescent="0.2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31">
        <f>SUM(L21:L22)</f>
        <v>4</v>
      </c>
      <c r="J27" t="s">
        <v>54</v>
      </c>
      <c r="K27" s="25">
        <v>240000</v>
      </c>
      <c r="L27">
        <f>'[17]Ercot Trading'!K27+'[17]Ercot Origination'!K27+'[17]Southeast Trading'!K27+'[17]Southeast Origination'!K27+'[17]Midwest Trading'!K27+'[17]Midwest Origination'!K27+'[17]Northeast Trading'!K27+'[17]Northeast Origination'!K27+'[17]Management Book'!K27+[17]Structuring_Fund!K27+[17]Services!K27+[17]Options!K27</f>
        <v>0</v>
      </c>
      <c r="M27" s="25">
        <f t="shared" si="4"/>
        <v>0</v>
      </c>
      <c r="N27" s="31">
        <f>SUM(T21:T22)</f>
        <v>0</v>
      </c>
    </row>
    <row r="28" spans="1:14" x14ac:dyDescent="0.2">
      <c r="B28" s="27"/>
      <c r="L28">
        <f>SUM(L16:L27)</f>
        <v>7</v>
      </c>
      <c r="M28" s="25">
        <f>SUM(M16:M27)</f>
        <v>675600</v>
      </c>
    </row>
    <row r="29" spans="1:14" x14ac:dyDescent="0.2">
      <c r="B29" s="27" t="s">
        <v>55</v>
      </c>
      <c r="E29" s="59">
        <f>SUM(E25:E27)</f>
        <v>141</v>
      </c>
      <c r="F29" s="59">
        <f>SUM(F25:F27)</f>
        <v>7</v>
      </c>
      <c r="H29" s="25"/>
      <c r="N29" s="59">
        <f>SUM(N25:N27)</f>
        <v>1</v>
      </c>
    </row>
    <row r="31" spans="1:14" x14ac:dyDescent="0.2">
      <c r="I31" s="33" t="s">
        <v>56</v>
      </c>
      <c r="J31" s="25"/>
      <c r="K31" s="25"/>
      <c r="L31" s="25"/>
    </row>
    <row r="32" spans="1:14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7</v>
      </c>
      <c r="M34" s="37">
        <f>+K34*L34</f>
        <v>221733.27330496447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pageSetUpPr fitToPage="1"/>
  </sheetPr>
  <dimension ref="A1:AU34"/>
  <sheetViews>
    <sheetView topLeftCell="A4" zoomScaleNormal="100" workbookViewId="0">
      <selection activeCell="D64" sqref="D64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9.140625" hidden="1" customWidth="1"/>
    <col min="16" max="55" width="0" hidden="1" customWidth="1"/>
  </cols>
  <sheetData>
    <row r="1" spans="1:47" ht="18" x14ac:dyDescent="0.25">
      <c r="B1" s="140" t="str">
        <f>'[16]Team Report'!B1</f>
        <v>Enron North America</v>
      </c>
      <c r="C1" s="140"/>
      <c r="D1" s="142"/>
      <c r="E1" s="142"/>
      <c r="F1" s="142"/>
      <c r="G1" s="142"/>
      <c r="H1" s="142"/>
      <c r="I1" s="14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40" t="s">
        <v>190</v>
      </c>
      <c r="C2" s="140"/>
      <c r="D2" s="142"/>
      <c r="E2" s="142"/>
      <c r="F2" s="142"/>
      <c r="G2" s="142"/>
      <c r="H2" s="142"/>
      <c r="I2" s="14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43" t="s">
        <v>0</v>
      </c>
      <c r="C3" s="143"/>
      <c r="D3" s="144"/>
      <c r="E3" s="144"/>
      <c r="F3" s="144"/>
      <c r="G3" s="144"/>
      <c r="H3" s="144"/>
      <c r="I3" s="14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1</v>
      </c>
      <c r="M5" s="8" t="s">
        <v>2</v>
      </c>
      <c r="N5" s="9" t="s">
        <v>3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47" x14ac:dyDescent="0.2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47" x14ac:dyDescent="0.2">
      <c r="A8" s="13" t="s">
        <v>9</v>
      </c>
      <c r="B8" s="14" t="s">
        <v>10</v>
      </c>
      <c r="C8" s="15">
        <f>'[19]Executive Orig'!C8+[19]Trading!C8+[19]Origination!C8+'[19]Mid Market'!C8+[19]Services!C8+[19]Fundamentals!C8</f>
        <v>4789958.9899999993</v>
      </c>
      <c r="E8" s="15">
        <f>(C8/9)*12</f>
        <v>6386611.9866666663</v>
      </c>
      <c r="F8" s="15"/>
      <c r="G8" s="15">
        <v>495000</v>
      </c>
      <c r="H8" s="15"/>
      <c r="I8" s="16">
        <f t="shared" ref="I8:I22" si="0">+G8/$G$23</f>
        <v>0.471726905556827</v>
      </c>
      <c r="K8" s="7" t="s">
        <v>10</v>
      </c>
      <c r="L8" s="17">
        <v>0</v>
      </c>
      <c r="M8" s="8">
        <f>+M11</f>
        <v>6</v>
      </c>
      <c r="N8" s="18">
        <f>N28</f>
        <v>673200</v>
      </c>
      <c r="O8" s="15">
        <f>+G8/$G$29*$O$29</f>
        <v>70714.28571428571</v>
      </c>
    </row>
    <row r="9" spans="1:47" hidden="1" x14ac:dyDescent="0.2">
      <c r="A9" s="13"/>
      <c r="B9" s="14" t="s">
        <v>11</v>
      </c>
      <c r="C9" s="15">
        <f>'[19]Executive Orig'!C9+[19]Trading!C9+[19]Origination!C9+'[19]Mid Market'!C9+[19]Services!C9+[19]Fundamentals!C9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x14ac:dyDescent="0.2">
      <c r="B10" s="14" t="s">
        <v>12</v>
      </c>
      <c r="C10" s="15">
        <f>'[19]Executive Orig'!C10+[19]Trading!C10+[19]Origination!C10+'[19]Mid Market'!C10+[19]Services!C10+[19]Fundamentals!C10</f>
        <v>804567</v>
      </c>
      <c r="E10" s="15">
        <f>(C10/9)*12</f>
        <v>1072756</v>
      </c>
      <c r="F10" s="15"/>
      <c r="G10" s="15">
        <v>132000</v>
      </c>
      <c r="H10" s="15"/>
      <c r="I10" s="16">
        <f t="shared" si="0"/>
        <v>0.12579384148182052</v>
      </c>
      <c r="K10" s="7"/>
      <c r="L10" s="8"/>
      <c r="M10" s="8"/>
      <c r="N10" s="9"/>
      <c r="O10" s="15">
        <f t="shared" si="1"/>
        <v>18857.142857142859</v>
      </c>
    </row>
    <row r="11" spans="1:47" x14ac:dyDescent="0.2">
      <c r="A11" s="13" t="s">
        <v>13</v>
      </c>
      <c r="B11" s="14" t="s">
        <v>14</v>
      </c>
      <c r="C11" s="15">
        <f>'[19]Executive Orig'!C11+[19]Trading!C11+[19]Origination!C11+'[19]Mid Market'!C11+[19]Services!C11+[19]Fundamentals!C11</f>
        <v>1096068.21</v>
      </c>
      <c r="E11" s="15">
        <f>(C11/9)*12</f>
        <v>1461424.2799999998</v>
      </c>
      <c r="F11" s="15"/>
      <c r="G11" s="15">
        <v>125400</v>
      </c>
      <c r="H11" s="15"/>
      <c r="I11" s="16">
        <f t="shared" si="0"/>
        <v>0.11950414940772951</v>
      </c>
      <c r="K11" s="7" t="s">
        <v>15</v>
      </c>
      <c r="L11" s="19">
        <f>(E12+E13+E14+E15+E16+E17+E18+E19+E20+E21+E22)/E29</f>
        <v>47533.855280898868</v>
      </c>
      <c r="M11" s="8">
        <f>M28</f>
        <v>6</v>
      </c>
      <c r="N11" s="18">
        <f>L11*M11</f>
        <v>285203.13168539322</v>
      </c>
      <c r="O11" s="15">
        <f t="shared" si="1"/>
        <v>17914.285714285714</v>
      </c>
    </row>
    <row r="12" spans="1:47" x14ac:dyDescent="0.2">
      <c r="A12" s="13" t="s">
        <v>16</v>
      </c>
      <c r="B12" s="14" t="s">
        <v>17</v>
      </c>
      <c r="C12" s="15">
        <f>'[19]Executive Orig'!C12+[19]Trading!C12+[19]Origination!C12+'[19]Mid Market'!C12+[19]Services!C12+[19]Fundamentals!C12</f>
        <v>658117.68000000005</v>
      </c>
      <c r="E12" s="20">
        <f t="shared" ref="E12:E22" si="2">((C12/9)*12)*1.2</f>
        <v>1052988.2880000002</v>
      </c>
      <c r="F12" s="15"/>
      <c r="G12" s="21">
        <v>30000</v>
      </c>
      <c r="H12" s="15"/>
      <c r="I12" s="16">
        <f t="shared" si="0"/>
        <v>2.8589509427686483E-2</v>
      </c>
      <c r="K12" s="7"/>
      <c r="L12" s="8"/>
      <c r="M12" s="8"/>
      <c r="N12" s="9"/>
      <c r="O12" s="15">
        <f t="shared" si="1"/>
        <v>4285.7142857142853</v>
      </c>
    </row>
    <row r="13" spans="1:47" ht="13.5" thickBot="1" x14ac:dyDescent="0.25">
      <c r="A13" s="13" t="s">
        <v>18</v>
      </c>
      <c r="B13" s="14" t="s">
        <v>19</v>
      </c>
      <c r="C13" s="15">
        <f>'[19]Executive Orig'!C13+[19]Trading!C13+[19]Origination!C13+'[19]Mid Market'!C13+[19]Services!C13+[19]Fundamentals!C13</f>
        <v>719773.79999999993</v>
      </c>
      <c r="E13" s="20">
        <f t="shared" si="2"/>
        <v>1151638.0799999998</v>
      </c>
      <c r="F13" s="15"/>
      <c r="G13" s="21">
        <v>30000</v>
      </c>
      <c r="H13" s="15"/>
      <c r="I13" s="16">
        <f t="shared" si="0"/>
        <v>2.8589509427686483E-2</v>
      </c>
      <c r="K13" s="22" t="s">
        <v>20</v>
      </c>
      <c r="L13" s="23"/>
      <c r="M13" s="23"/>
      <c r="N13" s="24">
        <f>N8+N11</f>
        <v>958403.13168539316</v>
      </c>
      <c r="O13" s="15">
        <f t="shared" si="1"/>
        <v>4285.7142857142853</v>
      </c>
    </row>
    <row r="14" spans="1:47" x14ac:dyDescent="0.2">
      <c r="A14" s="13" t="s">
        <v>21</v>
      </c>
      <c r="B14" s="14" t="s">
        <v>22</v>
      </c>
      <c r="C14" s="15">
        <f>'[19]Executive Orig'!C14+[19]Trading!C14+[19]Origination!C14+'[19]Mid Market'!C14+[19]Services!C14+[19]Fundamentals!C14-C32</f>
        <v>0.23999999975785613</v>
      </c>
      <c r="E14" s="20">
        <f t="shared" si="2"/>
        <v>0.38399999961256975</v>
      </c>
      <c r="F14" s="15"/>
      <c r="G14" s="21">
        <v>80000</v>
      </c>
      <c r="H14" s="15"/>
      <c r="I14" s="16">
        <f t="shared" si="0"/>
        <v>7.6238691807163958E-2</v>
      </c>
      <c r="O14" s="15">
        <f t="shared" si="1"/>
        <v>11428.571428571429</v>
      </c>
    </row>
    <row r="15" spans="1:47" x14ac:dyDescent="0.2">
      <c r="A15" s="13" t="s">
        <v>23</v>
      </c>
      <c r="B15" s="14" t="s">
        <v>24</v>
      </c>
      <c r="C15" s="15">
        <f>'[19]Executive Orig'!C15+[19]Trading!C15+[19]Origination!C15+'[19]Mid Market'!C15+[19]Services!C15+[19]Fundamentals!C15</f>
        <v>128890.14</v>
      </c>
      <c r="E15" s="20">
        <f t="shared" si="2"/>
        <v>206224.22400000002</v>
      </c>
      <c r="F15" s="15"/>
      <c r="G15" s="21">
        <v>20160</v>
      </c>
      <c r="H15" s="15"/>
      <c r="I15" s="16">
        <f t="shared" si="0"/>
        <v>1.9212150335405319E-2</v>
      </c>
      <c r="O15" s="15">
        <f t="shared" si="1"/>
        <v>2880</v>
      </c>
    </row>
    <row r="16" spans="1:47" x14ac:dyDescent="0.2">
      <c r="A16" s="13" t="s">
        <v>25</v>
      </c>
      <c r="B16" s="14" t="s">
        <v>26</v>
      </c>
      <c r="C16" s="15">
        <f>'[19]Executive Orig'!C16+[19]Trading!C16+[19]Origination!C16+'[19]Mid Market'!C16+[19]Services!C16+[19]Fundamentals!C16</f>
        <v>0</v>
      </c>
      <c r="E16" s="20">
        <f t="shared" si="2"/>
        <v>0</v>
      </c>
      <c r="F16" s="15"/>
      <c r="G16" s="21">
        <v>0</v>
      </c>
      <c r="H16" s="15"/>
      <c r="I16" s="16">
        <f t="shared" si="0"/>
        <v>0</v>
      </c>
      <c r="K16" t="s">
        <v>27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'[19]Executive Orig'!C17+[19]Trading!C17+[19]Origination!C17+'[19]Mid Market'!C17+[19]Services!C17+[19]Fundamentals!C17</f>
        <v>11300</v>
      </c>
      <c r="E17" s="20">
        <f t="shared" si="2"/>
        <v>18080</v>
      </c>
      <c r="F17" s="15"/>
      <c r="G17" s="21">
        <v>0</v>
      </c>
      <c r="H17" s="15"/>
      <c r="I17" s="16">
        <f t="shared" si="0"/>
        <v>0</v>
      </c>
      <c r="K17" t="s">
        <v>30</v>
      </c>
      <c r="L17" s="25">
        <v>52800</v>
      </c>
      <c r="M17">
        <v>0</v>
      </c>
      <c r="N17" s="25">
        <f t="shared" si="3"/>
        <v>0</v>
      </c>
      <c r="O17" s="15">
        <f t="shared" si="1"/>
        <v>0</v>
      </c>
    </row>
    <row r="18" spans="1:15" x14ac:dyDescent="0.2">
      <c r="A18" s="13" t="s">
        <v>31</v>
      </c>
      <c r="B18" s="14" t="s">
        <v>32</v>
      </c>
      <c r="C18" s="15">
        <f>'[19]Executive Orig'!C18+[19]Trading!C18+[19]Origination!C18+'[19]Mid Market'!C18+[19]Services!C18+[19]Fundamentals!C18</f>
        <v>327447.74000000005</v>
      </c>
      <c r="E18" s="20">
        <f t="shared" si="2"/>
        <v>523916.38400000002</v>
      </c>
      <c r="F18" s="15"/>
      <c r="G18" s="21">
        <v>6300</v>
      </c>
      <c r="H18" s="15"/>
      <c r="I18" s="16">
        <f t="shared" si="0"/>
        <v>6.0037969798141617E-3</v>
      </c>
      <c r="K18" t="s">
        <v>33</v>
      </c>
      <c r="L18" s="25">
        <v>54000</v>
      </c>
      <c r="M18">
        <v>0</v>
      </c>
      <c r="N18" s="25">
        <f t="shared" si="3"/>
        <v>0</v>
      </c>
      <c r="O18" s="15">
        <f t="shared" si="1"/>
        <v>900</v>
      </c>
    </row>
    <row r="19" spans="1:15" x14ac:dyDescent="0.2">
      <c r="A19" s="13" t="s">
        <v>34</v>
      </c>
      <c r="B19" s="14" t="s">
        <v>35</v>
      </c>
      <c r="C19" s="15">
        <f>'[19]Executive Orig'!C19+[19]Trading!C19+[19]Origination!C19+'[19]Mid Market'!C19+[19]Services!C19+[19]Fundamentals!C19</f>
        <v>155845.37</v>
      </c>
      <c r="E19" s="20">
        <f t="shared" si="2"/>
        <v>249352.59199999998</v>
      </c>
      <c r="F19" s="15"/>
      <c r="G19" s="21">
        <v>49612.001617977527</v>
      </c>
      <c r="H19" s="15"/>
      <c r="I19" s="16">
        <f t="shared" si="0"/>
        <v>4.7279426266118856E-2</v>
      </c>
      <c r="K19" t="s">
        <v>36</v>
      </c>
      <c r="L19" s="25">
        <v>63000</v>
      </c>
      <c r="M19">
        <v>1</v>
      </c>
      <c r="N19" s="25">
        <f t="shared" si="3"/>
        <v>63000</v>
      </c>
      <c r="O19" s="15">
        <f t="shared" si="1"/>
        <v>7087.4288025682181</v>
      </c>
    </row>
    <row r="20" spans="1:15" x14ac:dyDescent="0.2">
      <c r="A20" s="13" t="s">
        <v>37</v>
      </c>
      <c r="B20" s="14" t="s">
        <v>38</v>
      </c>
      <c r="C20" s="15">
        <f>'[19]Executive Orig'!C20+[19]Trading!C20+[19]Origination!C20+'[19]Mid Market'!C20+[19]Services!C20+[19]Fundamentals!C20</f>
        <v>116.15</v>
      </c>
      <c r="E20" s="20">
        <f t="shared" si="2"/>
        <v>185.84</v>
      </c>
      <c r="F20" s="15"/>
      <c r="G20" s="21">
        <v>0</v>
      </c>
      <c r="H20" s="15"/>
      <c r="I20" s="16">
        <f t="shared" si="0"/>
        <v>0</v>
      </c>
      <c r="K20" t="s">
        <v>39</v>
      </c>
      <c r="L20" s="25">
        <v>78000</v>
      </c>
      <c r="M20">
        <v>2</v>
      </c>
      <c r="N20" s="25">
        <f t="shared" si="3"/>
        <v>156000</v>
      </c>
      <c r="O20" s="15">
        <f t="shared" si="1"/>
        <v>0</v>
      </c>
    </row>
    <row r="21" spans="1:15" x14ac:dyDescent="0.2">
      <c r="A21" s="13" t="s">
        <v>40</v>
      </c>
      <c r="B21" s="14" t="s">
        <v>41</v>
      </c>
      <c r="C21" s="15">
        <f>'[19]Executive Orig'!C21+[19]Trading!C21+[19]Origination!C21+'[19]Mid Market'!C21+[19]Services!C21+[19]Fundamentals!C21</f>
        <v>566869.93000000017</v>
      </c>
      <c r="E21" s="20">
        <f t="shared" si="2"/>
        <v>906991.88800000027</v>
      </c>
      <c r="F21" s="15"/>
      <c r="G21" s="21">
        <v>71336.44062921351</v>
      </c>
      <c r="H21" s="15"/>
      <c r="I21" s="16">
        <f t="shared" si="0"/>
        <v>6.7982461396883229E-2</v>
      </c>
      <c r="K21" t="s">
        <v>42</v>
      </c>
      <c r="L21" s="25">
        <v>66000</v>
      </c>
      <c r="M21">
        <v>1</v>
      </c>
      <c r="N21" s="25">
        <f t="shared" si="3"/>
        <v>66000</v>
      </c>
      <c r="O21" s="15">
        <f t="shared" si="1"/>
        <v>10190.920089887644</v>
      </c>
    </row>
    <row r="22" spans="1:15" x14ac:dyDescent="0.2">
      <c r="A22" s="13" t="s">
        <v>43</v>
      </c>
      <c r="B22" s="14" t="s">
        <v>44</v>
      </c>
      <c r="C22" s="15">
        <f>'[19]Executive Orig'!C22+[19]Trading!C22+[19]Origination!C22+'[19]Mid Market'!C22+[19]Services!C22+[19]Fundamentals!C22</f>
        <v>75709.649999999965</v>
      </c>
      <c r="E22" s="20">
        <f t="shared" si="2"/>
        <v>121135.43999999994</v>
      </c>
      <c r="F22" s="15"/>
      <c r="G22" s="21">
        <v>9527.5065168539295</v>
      </c>
      <c r="H22" s="15"/>
      <c r="I22" s="16">
        <f t="shared" si="0"/>
        <v>9.0795579128646609E-3</v>
      </c>
      <c r="K22" t="s">
        <v>45</v>
      </c>
      <c r="L22" s="25">
        <v>97200</v>
      </c>
      <c r="M22">
        <v>0</v>
      </c>
      <c r="N22" s="25">
        <f t="shared" si="3"/>
        <v>0</v>
      </c>
      <c r="O22" s="15">
        <f t="shared" si="1"/>
        <v>1361.0723595505613</v>
      </c>
    </row>
    <row r="23" spans="1:15" x14ac:dyDescent="0.2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v>1049335.9487640448</v>
      </c>
      <c r="H23" s="29"/>
      <c r="I23" s="30">
        <f>SUM(I8:I22)</f>
        <v>1</v>
      </c>
      <c r="K23" t="s">
        <v>48</v>
      </c>
      <c r="L23" s="25">
        <v>120000</v>
      </c>
      <c r="M23">
        <v>1</v>
      </c>
      <c r="N23" s="25">
        <f t="shared" si="3"/>
        <v>120000</v>
      </c>
      <c r="O23" s="28">
        <f>SUM(O8:O22)</f>
        <v>149905.13553772069</v>
      </c>
    </row>
    <row r="24" spans="1:15" x14ac:dyDescent="0.2">
      <c r="K24" t="s">
        <v>49</v>
      </c>
      <c r="L24" s="25">
        <v>156000</v>
      </c>
      <c r="M24">
        <v>1</v>
      </c>
      <c r="N24" s="25">
        <f t="shared" si="3"/>
        <v>156000</v>
      </c>
    </row>
    <row r="25" spans="1:15" x14ac:dyDescent="0.2">
      <c r="B25" s="27" t="s">
        <v>50</v>
      </c>
      <c r="C25" s="15"/>
      <c r="E25" s="31">
        <f>'[19]Executive Orig'!E25+[19]Trading!E25+[19]Origination!E25+'[19]Mid Market'!E25+[19]Services!E25+[19]Fundamentals!E25</f>
        <v>74</v>
      </c>
      <c r="F25" s="32"/>
      <c r="G25" s="31">
        <v>5</v>
      </c>
      <c r="H25" s="32"/>
      <c r="K25" t="s">
        <v>51</v>
      </c>
      <c r="L25" s="25">
        <v>180000</v>
      </c>
      <c r="M25">
        <v>0</v>
      </c>
      <c r="N25" s="25">
        <f t="shared" si="3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52</v>
      </c>
      <c r="L26" s="25">
        <v>216000</v>
      </c>
      <c r="M26">
        <v>0</v>
      </c>
      <c r="N26" s="25">
        <f t="shared" si="3"/>
        <v>0</v>
      </c>
      <c r="O26" s="15"/>
    </row>
    <row r="27" spans="1:15" x14ac:dyDescent="0.2">
      <c r="B27" s="27" t="s">
        <v>53</v>
      </c>
      <c r="C27" s="15"/>
      <c r="E27" s="31">
        <f>'[19]Executive Orig'!E27+[19]Trading!E27+[19]Origination!E27+'[19]Mid Market'!E27+[19]Services!E27+[19]Fundamentals!E27</f>
        <v>15</v>
      </c>
      <c r="F27" s="32"/>
      <c r="G27" s="31">
        <v>2</v>
      </c>
      <c r="H27" s="32"/>
      <c r="K27" t="s">
        <v>54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15" x14ac:dyDescent="0.2">
      <c r="M28">
        <f>SUM(M16:M27)</f>
        <v>6</v>
      </c>
      <c r="N28" s="25">
        <f>SUM(N16:N27)*1.2</f>
        <v>673200</v>
      </c>
    </row>
    <row r="29" spans="1:15" x14ac:dyDescent="0.2">
      <c r="B29" s="27" t="s">
        <v>55</v>
      </c>
      <c r="C29" s="15"/>
      <c r="E29" s="31">
        <f>+E27+E25</f>
        <v>89</v>
      </c>
      <c r="F29" s="32"/>
      <c r="G29" s="31">
        <v>7</v>
      </c>
      <c r="H29" s="32"/>
      <c r="I29" s="25"/>
      <c r="O29" s="31">
        <f>+O27+O25</f>
        <v>1</v>
      </c>
    </row>
    <row r="31" spans="1:15" x14ac:dyDescent="0.2">
      <c r="J31" s="33" t="s">
        <v>56</v>
      </c>
      <c r="K31" s="25"/>
      <c r="L31" s="25"/>
      <c r="M31" s="25"/>
    </row>
    <row r="32" spans="1:15" hidden="1" x14ac:dyDescent="0.2">
      <c r="B32" s="14" t="s">
        <v>22</v>
      </c>
      <c r="C32" s="15">
        <v>677322</v>
      </c>
      <c r="K32" s="25"/>
      <c r="L32" s="25"/>
      <c r="M32" s="25"/>
    </row>
    <row r="33" spans="10:14" x14ac:dyDescent="0.2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6</v>
      </c>
      <c r="N34" s="37">
        <f>+L34*M34</f>
        <v>285203.13168539322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pageSetUpPr fitToPage="1"/>
  </sheetPr>
  <dimension ref="A1:AU34"/>
  <sheetViews>
    <sheetView zoomScaleNormal="100" workbookViewId="0">
      <selection activeCell="G27" sqref="G27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3.1406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9.140625" hidden="1" customWidth="1"/>
    <col min="16" max="47" width="0" hidden="1" customWidth="1"/>
  </cols>
  <sheetData>
    <row r="1" spans="1:47" ht="18" x14ac:dyDescent="0.25">
      <c r="B1" s="140" t="str">
        <f>'[16]Team Report'!B1</f>
        <v>Enron North America</v>
      </c>
      <c r="C1" s="140"/>
      <c r="D1" s="142"/>
      <c r="E1" s="142"/>
      <c r="F1" s="142"/>
      <c r="G1" s="142"/>
      <c r="H1" s="142"/>
      <c r="I1" s="14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40" t="s">
        <v>191</v>
      </c>
      <c r="C2" s="140"/>
      <c r="D2" s="142"/>
      <c r="E2" s="142"/>
      <c r="F2" s="142"/>
      <c r="G2" s="142"/>
      <c r="H2" s="142"/>
      <c r="I2" s="14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43" t="s">
        <v>0</v>
      </c>
      <c r="C3" s="143"/>
      <c r="D3" s="144"/>
      <c r="E3" s="144"/>
      <c r="F3" s="144"/>
      <c r="G3" s="144"/>
      <c r="H3" s="144"/>
      <c r="I3" s="14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1</v>
      </c>
      <c r="M5" s="8" t="s">
        <v>2</v>
      </c>
      <c r="N5" s="9" t="s">
        <v>3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47" x14ac:dyDescent="0.2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47" x14ac:dyDescent="0.2">
      <c r="A8" s="13" t="s">
        <v>9</v>
      </c>
      <c r="B8" s="14" t="s">
        <v>10</v>
      </c>
      <c r="C8" s="15">
        <f>'[19]Executive Orig'!C8+[19]Trading!C8+[19]Origination!C8+'[19]Mid Market'!C8+[19]Services!C8+[19]Fundamentals!C8</f>
        <v>4789958.9899999993</v>
      </c>
      <c r="E8" s="15">
        <f>(C8/9)*12</f>
        <v>6386611.9866666663</v>
      </c>
      <c r="F8" s="15"/>
      <c r="G8" s="15">
        <v>120000</v>
      </c>
      <c r="H8" s="15"/>
      <c r="I8" s="16">
        <f t="shared" ref="I8:I22" si="0">+G8/$G$23</f>
        <v>0.37067954621506577</v>
      </c>
      <c r="K8" s="7" t="s">
        <v>10</v>
      </c>
      <c r="L8" s="17">
        <v>0</v>
      </c>
      <c r="M8" s="8">
        <f>+M11</f>
        <v>3</v>
      </c>
      <c r="N8" s="18">
        <f>N28</f>
        <v>339840</v>
      </c>
      <c r="O8" s="15">
        <f>+G8/$G$29*$O$29</f>
        <v>60000</v>
      </c>
    </row>
    <row r="9" spans="1:47" hidden="1" x14ac:dyDescent="0.2">
      <c r="A9" s="13"/>
      <c r="B9" s="14" t="s">
        <v>11</v>
      </c>
      <c r="C9" s="15">
        <f>'[19]Executive Orig'!C9+[19]Trading!C9+[19]Origination!C9+'[19]Mid Market'!C9+[19]Services!C9+[19]Fundamentals!C9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x14ac:dyDescent="0.2">
      <c r="B10" s="14" t="s">
        <v>12</v>
      </c>
      <c r="C10" s="15">
        <f>'[19]Executive Orig'!C10+[19]Trading!C10+[19]Origination!C10+'[19]Mid Market'!C10+[19]Services!C10+[19]Fundamentals!C10</f>
        <v>804567</v>
      </c>
      <c r="E10" s="15">
        <f>(C10/9)*12</f>
        <v>1072756</v>
      </c>
      <c r="F10" s="15"/>
      <c r="G10" s="15">
        <v>97200</v>
      </c>
      <c r="H10" s="15"/>
      <c r="I10" s="16">
        <f t="shared" si="0"/>
        <v>0.30025043243420324</v>
      </c>
      <c r="K10" s="7"/>
      <c r="L10" s="8"/>
      <c r="M10" s="8"/>
      <c r="N10" s="9"/>
      <c r="O10" s="15">
        <f t="shared" si="1"/>
        <v>48600</v>
      </c>
    </row>
    <row r="11" spans="1:47" x14ac:dyDescent="0.2">
      <c r="A11" s="13" t="s">
        <v>13</v>
      </c>
      <c r="B11" s="14" t="s">
        <v>14</v>
      </c>
      <c r="C11" s="15">
        <f>'[19]Executive Orig'!C11+[19]Trading!C11+[19]Origination!C11+'[19]Mid Market'!C11+[19]Services!C11+[19]Fundamentals!C11</f>
        <v>1096068.21</v>
      </c>
      <c r="E11" s="15">
        <f>(C11/9)*12</f>
        <v>1461424.2799999998</v>
      </c>
      <c r="F11" s="15"/>
      <c r="G11" s="15">
        <v>43440</v>
      </c>
      <c r="H11" s="15"/>
      <c r="I11" s="16">
        <f t="shared" si="0"/>
        <v>0.13418599572985379</v>
      </c>
      <c r="K11" s="7" t="s">
        <v>15</v>
      </c>
      <c r="L11" s="19">
        <f>(E12+E13+E14+E15+E16+E17+E18+E19+E20+E21+E22)/E29</f>
        <v>47533.855280898868</v>
      </c>
      <c r="M11" s="8">
        <f>M28</f>
        <v>3</v>
      </c>
      <c r="N11" s="18">
        <f>L11*M11</f>
        <v>142601.56584269661</v>
      </c>
      <c r="O11" s="15">
        <f t="shared" si="1"/>
        <v>21720</v>
      </c>
    </row>
    <row r="12" spans="1:47" x14ac:dyDescent="0.2">
      <c r="A12" s="13" t="s">
        <v>16</v>
      </c>
      <c r="B12" s="14" t="s">
        <v>17</v>
      </c>
      <c r="C12" s="15">
        <f>'[19]Executive Orig'!C12+[19]Trading!C12+[19]Origination!C12+'[19]Mid Market'!C12+[19]Services!C12+[19]Fundamentals!C12</f>
        <v>658117.68000000005</v>
      </c>
      <c r="E12" s="20">
        <f t="shared" ref="E12:E22" si="2">((C12/9)*12)*1.2</f>
        <v>1052988.2880000002</v>
      </c>
      <c r="F12" s="15"/>
      <c r="G12" s="21">
        <v>14400</v>
      </c>
      <c r="H12" s="15"/>
      <c r="I12" s="16">
        <f t="shared" si="0"/>
        <v>4.4481545545807889E-2</v>
      </c>
      <c r="K12" s="7"/>
      <c r="L12" s="8"/>
      <c r="M12" s="8"/>
      <c r="N12" s="9"/>
      <c r="O12" s="15">
        <f t="shared" si="1"/>
        <v>7200</v>
      </c>
    </row>
    <row r="13" spans="1:47" ht="13.5" thickBot="1" x14ac:dyDescent="0.25">
      <c r="A13" s="13" t="s">
        <v>18</v>
      </c>
      <c r="B13" s="14" t="s">
        <v>19</v>
      </c>
      <c r="C13" s="15">
        <f>'[19]Executive Orig'!C13+[19]Trading!C13+[19]Origination!C13+'[19]Mid Market'!C13+[19]Services!C13+[19]Fundamentals!C13</f>
        <v>719773.79999999993</v>
      </c>
      <c r="E13" s="20">
        <f t="shared" si="2"/>
        <v>1151638.0799999998</v>
      </c>
      <c r="F13" s="15"/>
      <c r="G13" s="21">
        <v>27800</v>
      </c>
      <c r="H13" s="15"/>
      <c r="I13" s="16">
        <f t="shared" si="0"/>
        <v>8.5874094873156892E-2</v>
      </c>
      <c r="K13" s="22" t="s">
        <v>20</v>
      </c>
      <c r="L13" s="23"/>
      <c r="M13" s="23"/>
      <c r="N13" s="24">
        <f>N8+N11</f>
        <v>482441.56584269658</v>
      </c>
      <c r="O13" s="15">
        <f t="shared" si="1"/>
        <v>13900</v>
      </c>
    </row>
    <row r="14" spans="1:47" x14ac:dyDescent="0.2">
      <c r="A14" s="13" t="s">
        <v>21</v>
      </c>
      <c r="B14" s="14" t="s">
        <v>22</v>
      </c>
      <c r="C14" s="15">
        <f>'[19]Executive Orig'!C14+[19]Trading!C14+[19]Origination!C14+'[19]Mid Market'!C14+[19]Services!C14+[19]Fundamentals!C14-C32</f>
        <v>0.23999999975785613</v>
      </c>
      <c r="E14" s="20">
        <f t="shared" si="2"/>
        <v>0.38399999961256975</v>
      </c>
      <c r="F14" s="15"/>
      <c r="G14" s="21">
        <v>8.6292134744397689E-3</v>
      </c>
      <c r="H14" s="15"/>
      <c r="I14" s="16">
        <f t="shared" si="0"/>
        <v>2.6655607790818869E-8</v>
      </c>
      <c r="O14" s="15">
        <f t="shared" si="1"/>
        <v>4.3146067372198844E-3</v>
      </c>
    </row>
    <row r="15" spans="1:47" x14ac:dyDescent="0.2">
      <c r="A15" s="13" t="s">
        <v>23</v>
      </c>
      <c r="B15" s="14" t="s">
        <v>24</v>
      </c>
      <c r="C15" s="15">
        <f>'[19]Executive Orig'!C15+[19]Trading!C15+[19]Origination!C15+'[19]Mid Market'!C15+[19]Services!C15+[19]Fundamentals!C15</f>
        <v>128890.14</v>
      </c>
      <c r="E15" s="20">
        <f t="shared" si="2"/>
        <v>206224.22400000002</v>
      </c>
      <c r="F15" s="15"/>
      <c r="G15" s="21">
        <v>5760</v>
      </c>
      <c r="H15" s="15"/>
      <c r="I15" s="16">
        <f t="shared" si="0"/>
        <v>1.7792618218323154E-2</v>
      </c>
      <c r="O15" s="15">
        <f t="shared" si="1"/>
        <v>2880</v>
      </c>
    </row>
    <row r="16" spans="1:47" x14ac:dyDescent="0.2">
      <c r="A16" s="13" t="s">
        <v>25</v>
      </c>
      <c r="B16" s="14" t="s">
        <v>26</v>
      </c>
      <c r="C16" s="15">
        <f>'[19]Executive Orig'!C16+[19]Trading!C16+[19]Origination!C16+'[19]Mid Market'!C16+[19]Services!C16+[19]Fundamentals!C16</f>
        <v>0</v>
      </c>
      <c r="E16" s="20">
        <f t="shared" si="2"/>
        <v>0</v>
      </c>
      <c r="F16" s="15"/>
      <c r="G16" s="21">
        <v>0</v>
      </c>
      <c r="H16" s="15"/>
      <c r="I16" s="16">
        <f t="shared" si="0"/>
        <v>0</v>
      </c>
      <c r="K16" t="s">
        <v>27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'[19]Executive Orig'!C17+[19]Trading!C17+[19]Origination!C17+'[19]Mid Market'!C17+[19]Services!C17+[19]Fundamentals!C17</f>
        <v>11300</v>
      </c>
      <c r="E17" s="20">
        <f t="shared" si="2"/>
        <v>18080</v>
      </c>
      <c r="F17" s="15"/>
      <c r="G17" s="21">
        <v>0</v>
      </c>
      <c r="H17" s="15"/>
      <c r="I17" s="16">
        <f t="shared" si="0"/>
        <v>0</v>
      </c>
      <c r="K17" t="s">
        <v>30</v>
      </c>
      <c r="L17" s="25">
        <v>52800</v>
      </c>
      <c r="M17">
        <v>0</v>
      </c>
      <c r="N17" s="25">
        <f t="shared" si="3"/>
        <v>0</v>
      </c>
      <c r="O17" s="15">
        <f t="shared" si="1"/>
        <v>0</v>
      </c>
    </row>
    <row r="18" spans="1:15" x14ac:dyDescent="0.2">
      <c r="A18" s="13" t="s">
        <v>31</v>
      </c>
      <c r="B18" s="14" t="s">
        <v>32</v>
      </c>
      <c r="C18" s="15">
        <f>'[19]Executive Orig'!C18+[19]Trading!C18+[19]Origination!C18+'[19]Mid Market'!C18+[19]Services!C18+[19]Fundamentals!C18</f>
        <v>327447.74000000005</v>
      </c>
      <c r="E18" s="20">
        <f t="shared" si="2"/>
        <v>523916.38400000002</v>
      </c>
      <c r="F18" s="15"/>
      <c r="G18" s="21">
        <v>1800</v>
      </c>
      <c r="H18" s="15"/>
      <c r="I18" s="16">
        <f t="shared" si="0"/>
        <v>5.5601931932259862E-3</v>
      </c>
      <c r="K18" t="s">
        <v>33</v>
      </c>
      <c r="L18" s="25">
        <v>54000</v>
      </c>
      <c r="M18">
        <v>0</v>
      </c>
      <c r="N18" s="25">
        <f t="shared" si="3"/>
        <v>0</v>
      </c>
      <c r="O18" s="15">
        <f t="shared" si="1"/>
        <v>900</v>
      </c>
    </row>
    <row r="19" spans="1:15" x14ac:dyDescent="0.2">
      <c r="A19" s="13" t="s">
        <v>34</v>
      </c>
      <c r="B19" s="14" t="s">
        <v>35</v>
      </c>
      <c r="C19" s="15">
        <f>'[19]Executive Orig'!C19+[19]Trading!C19+[19]Origination!C19+'[19]Mid Market'!C19+[19]Services!C19+[19]Fundamentals!C19</f>
        <v>155845.37</v>
      </c>
      <c r="E19" s="20">
        <f t="shared" si="2"/>
        <v>249352.59199999998</v>
      </c>
      <c r="F19" s="15"/>
      <c r="G19" s="21">
        <v>5603.4290337078646</v>
      </c>
      <c r="H19" s="15"/>
      <c r="I19" s="16">
        <f t="shared" si="0"/>
        <v>1.7308971095526298E-2</v>
      </c>
      <c r="K19" t="s">
        <v>36</v>
      </c>
      <c r="L19" s="25">
        <v>63000</v>
      </c>
      <c r="M19">
        <v>0</v>
      </c>
      <c r="N19" s="25">
        <f t="shared" si="3"/>
        <v>0</v>
      </c>
      <c r="O19" s="15">
        <f t="shared" si="1"/>
        <v>2801.7145168539323</v>
      </c>
    </row>
    <row r="20" spans="1:15" x14ac:dyDescent="0.2">
      <c r="A20" s="13" t="s">
        <v>37</v>
      </c>
      <c r="B20" s="14" t="s">
        <v>38</v>
      </c>
      <c r="C20" s="15">
        <f>'[19]Executive Orig'!C20+[19]Trading!C20+[19]Origination!C20+'[19]Mid Market'!C20+[19]Services!C20+[19]Fundamentals!C20</f>
        <v>116.15</v>
      </c>
      <c r="E20" s="20">
        <f t="shared" si="2"/>
        <v>185.84</v>
      </c>
      <c r="F20" s="15"/>
      <c r="G20" s="21">
        <v>4.1761797752808993</v>
      </c>
      <c r="H20" s="15"/>
      <c r="I20" s="16">
        <f t="shared" si="0"/>
        <v>1.2900203533447158E-5</v>
      </c>
      <c r="K20" t="s">
        <v>39</v>
      </c>
      <c r="L20" s="25">
        <v>78000</v>
      </c>
      <c r="M20">
        <f>2-2</f>
        <v>0</v>
      </c>
      <c r="N20" s="25">
        <f t="shared" si="3"/>
        <v>0</v>
      </c>
      <c r="O20" s="15">
        <f t="shared" si="1"/>
        <v>2.0880898876404497</v>
      </c>
    </row>
    <row r="21" spans="1:15" x14ac:dyDescent="0.2">
      <c r="A21" s="13" t="s">
        <v>40</v>
      </c>
      <c r="B21" s="14" t="s">
        <v>41</v>
      </c>
      <c r="C21" s="15">
        <f>'[19]Executive Orig'!C21+[19]Trading!C21+[19]Origination!C21+'[19]Mid Market'!C21+[19]Services!C21+[19]Fundamentals!C21</f>
        <v>566869.93000000017</v>
      </c>
      <c r="E21" s="20">
        <f t="shared" si="2"/>
        <v>906991.88800000027</v>
      </c>
      <c r="F21" s="15"/>
      <c r="G21" s="21">
        <v>5000</v>
      </c>
      <c r="H21" s="15"/>
      <c r="I21" s="16">
        <f t="shared" si="0"/>
        <v>1.5444981092294406E-2</v>
      </c>
      <c r="K21" t="s">
        <v>42</v>
      </c>
      <c r="L21" s="25">
        <v>66000</v>
      </c>
      <c r="M21">
        <v>1</v>
      </c>
      <c r="N21" s="25">
        <f t="shared" si="3"/>
        <v>66000</v>
      </c>
      <c r="O21" s="15">
        <f t="shared" si="1"/>
        <v>2500</v>
      </c>
    </row>
    <row r="22" spans="1:15" x14ac:dyDescent="0.2">
      <c r="A22" s="13" t="s">
        <v>43</v>
      </c>
      <c r="B22" s="14" t="s">
        <v>44</v>
      </c>
      <c r="C22" s="15">
        <f>'[19]Executive Orig'!C22+[19]Trading!C22+[19]Origination!C22+'[19]Mid Market'!C22+[19]Services!C22+[19]Fundamentals!C22</f>
        <v>75709.649999999965</v>
      </c>
      <c r="E22" s="20">
        <f t="shared" si="2"/>
        <v>121135.43999999994</v>
      </c>
      <c r="F22" s="15"/>
      <c r="G22" s="21">
        <v>2722.1447191011225</v>
      </c>
      <c r="H22" s="15"/>
      <c r="I22" s="16">
        <f t="shared" si="0"/>
        <v>8.4086947434011804E-3</v>
      </c>
      <c r="K22" t="s">
        <v>45</v>
      </c>
      <c r="L22" s="25">
        <v>97200</v>
      </c>
      <c r="M22">
        <v>1</v>
      </c>
      <c r="N22" s="25">
        <f t="shared" si="3"/>
        <v>97200</v>
      </c>
      <c r="O22" s="15">
        <f t="shared" si="1"/>
        <v>1361.0723595505613</v>
      </c>
    </row>
    <row r="23" spans="1:15" x14ac:dyDescent="0.2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v>323729.75856179779</v>
      </c>
      <c r="H23" s="29"/>
      <c r="I23" s="30">
        <f>SUM(I8:I22)</f>
        <v>0.99999999999999989</v>
      </c>
      <c r="K23" t="s">
        <v>48</v>
      </c>
      <c r="L23" s="25">
        <v>120000</v>
      </c>
      <c r="M23">
        <v>1</v>
      </c>
      <c r="N23" s="25">
        <f t="shared" si="3"/>
        <v>120000</v>
      </c>
      <c r="O23" s="28">
        <f>SUM(O8:O22)</f>
        <v>161864.87928089889</v>
      </c>
    </row>
    <row r="24" spans="1:15" x14ac:dyDescent="0.2">
      <c r="K24" t="s">
        <v>49</v>
      </c>
      <c r="L24" s="25">
        <v>156000</v>
      </c>
      <c r="M24">
        <f>1-1</f>
        <v>0</v>
      </c>
      <c r="N24" s="25">
        <f t="shared" si="3"/>
        <v>0</v>
      </c>
    </row>
    <row r="25" spans="1:15" x14ac:dyDescent="0.2">
      <c r="B25" s="27" t="s">
        <v>50</v>
      </c>
      <c r="C25" s="15"/>
      <c r="E25" s="31">
        <f>'[19]Executive Orig'!E25+[19]Trading!E25+[19]Origination!E25+'[19]Mid Market'!E25+[19]Services!E25+[19]Fundamentals!E25</f>
        <v>74</v>
      </c>
      <c r="F25" s="32"/>
      <c r="G25" s="31">
        <v>1</v>
      </c>
      <c r="H25" s="32"/>
      <c r="K25" t="s">
        <v>51</v>
      </c>
      <c r="L25" s="25">
        <v>180000</v>
      </c>
      <c r="M25">
        <v>0</v>
      </c>
      <c r="N25" s="25">
        <f t="shared" si="3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52</v>
      </c>
      <c r="L26" s="25">
        <v>216000</v>
      </c>
      <c r="M26">
        <v>0</v>
      </c>
      <c r="N26" s="25">
        <f t="shared" si="3"/>
        <v>0</v>
      </c>
      <c r="O26" s="15"/>
    </row>
    <row r="27" spans="1:15" x14ac:dyDescent="0.2">
      <c r="B27" s="27" t="s">
        <v>53</v>
      </c>
      <c r="C27" s="15"/>
      <c r="E27" s="31">
        <f>'[19]Executive Orig'!E27+[19]Trading!E27+[19]Origination!E27+'[19]Mid Market'!E27+[19]Services!E27+[19]Fundamentals!E27</f>
        <v>15</v>
      </c>
      <c r="F27" s="32"/>
      <c r="G27" s="31">
        <v>1</v>
      </c>
      <c r="H27" s="32"/>
      <c r="K27" t="s">
        <v>54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15" x14ac:dyDescent="0.2">
      <c r="M28">
        <f>SUM(M16:M27)</f>
        <v>3</v>
      </c>
      <c r="N28" s="25">
        <f>SUM(N16:N27)*1.2</f>
        <v>339840</v>
      </c>
    </row>
    <row r="29" spans="1:15" x14ac:dyDescent="0.2">
      <c r="B29" s="27" t="s">
        <v>55</v>
      </c>
      <c r="C29" s="15"/>
      <c r="E29" s="31">
        <f>+E27+E25</f>
        <v>89</v>
      </c>
      <c r="F29" s="32"/>
      <c r="G29" s="31">
        <v>2</v>
      </c>
      <c r="H29" s="32"/>
      <c r="I29" s="25"/>
      <c r="O29" s="31">
        <f>+O27+O25</f>
        <v>1</v>
      </c>
    </row>
    <row r="31" spans="1:15" x14ac:dyDescent="0.2">
      <c r="J31" s="33" t="s">
        <v>56</v>
      </c>
      <c r="K31" s="25"/>
      <c r="L31" s="25"/>
      <c r="M31" s="25"/>
    </row>
    <row r="32" spans="1:15" hidden="1" x14ac:dyDescent="0.2">
      <c r="B32" s="14" t="s">
        <v>22</v>
      </c>
      <c r="C32" s="15">
        <v>677322</v>
      </c>
      <c r="K32" s="25"/>
      <c r="L32" s="25"/>
      <c r="M32" s="25"/>
    </row>
    <row r="33" spans="10:14" x14ac:dyDescent="0.2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3</v>
      </c>
      <c r="N34" s="37">
        <f>+L34*M34</f>
        <v>142601.56584269661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R3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43" width="0" hidden="1" customWidth="1"/>
  </cols>
  <sheetData>
    <row r="1" spans="1:44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0" t="s">
        <v>189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 t="s">
        <v>63</v>
      </c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 t="s">
        <v>7</v>
      </c>
    </row>
    <row r="8" spans="1:44" x14ac:dyDescent="0.2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475200</v>
      </c>
      <c r="I8" s="42" t="s">
        <v>10</v>
      </c>
      <c r="J8" s="17">
        <v>0</v>
      </c>
      <c r="K8" s="17"/>
      <c r="L8" s="43">
        <f>L30</f>
        <v>570240</v>
      </c>
      <c r="Q8" s="15">
        <f>+H8/$H$29*$Q$29</f>
        <v>158400</v>
      </c>
    </row>
    <row r="9" spans="1:44" hidden="1" x14ac:dyDescent="0.2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x14ac:dyDescent="0.2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95040</v>
      </c>
      <c r="I11" s="42" t="s">
        <v>15</v>
      </c>
      <c r="J11" s="17">
        <f>(E12+E13+E14+E15+E16+E17+E18+E19+E20+E21+E22)/E29</f>
        <v>48270.181250000009</v>
      </c>
      <c r="K11" s="17">
        <f>K28</f>
        <v>3</v>
      </c>
      <c r="L11" s="43">
        <f>J11*K11</f>
        <v>144810.54375000001</v>
      </c>
      <c r="Q11" s="15">
        <f t="shared" si="1"/>
        <v>31680</v>
      </c>
    </row>
    <row r="12" spans="1:44" x14ac:dyDescent="0.2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18487.421249999992</v>
      </c>
      <c r="I12" s="42"/>
      <c r="J12" s="17"/>
      <c r="K12" s="17"/>
      <c r="L12" s="43"/>
      <c r="Q12" s="15">
        <f t="shared" si="1"/>
        <v>6162.4737499999974</v>
      </c>
    </row>
    <row r="13" spans="1:44" ht="13.5" thickBot="1" x14ac:dyDescent="0.2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16454.870750000002</v>
      </c>
      <c r="I13" s="46" t="s">
        <v>20</v>
      </c>
      <c r="J13" s="47"/>
      <c r="K13" s="47"/>
      <c r="L13" s="48">
        <f>L8+L11</f>
        <v>715050.54374999995</v>
      </c>
      <c r="N13" s="25">
        <v>24109311.029375006</v>
      </c>
      <c r="P13" s="49">
        <f>N13-L13</f>
        <v>23394260.485625006</v>
      </c>
      <c r="Q13" s="15">
        <f t="shared" si="1"/>
        <v>5484.956916666667</v>
      </c>
    </row>
    <row r="14" spans="1:44" x14ac:dyDescent="0.2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6.0000000004947641E-3</v>
      </c>
      <c r="Q14" s="15">
        <f t="shared" si="1"/>
        <v>2.0000000001649215E-3</v>
      </c>
    </row>
    <row r="15" spans="1:44" x14ac:dyDescent="0.2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2614.0749999999998</v>
      </c>
      <c r="Q15" s="15">
        <f t="shared" si="1"/>
        <v>871.35833333333323</v>
      </c>
    </row>
    <row r="16" spans="1:44" x14ac:dyDescent="0.2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147.5</v>
      </c>
      <c r="I17" s="25" t="s">
        <v>30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2678.8730000000005</v>
      </c>
      <c r="I18" s="25" t="s">
        <v>33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892.9576666666668</v>
      </c>
    </row>
    <row r="19" spans="1:17" x14ac:dyDescent="0.2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2730.2579999999998</v>
      </c>
      <c r="I19" s="25" t="s">
        <v>36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910.0859999999999</v>
      </c>
    </row>
    <row r="20" spans="1:17" x14ac:dyDescent="0.2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0.4</v>
      </c>
      <c r="I20" s="25" t="s">
        <v>39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x14ac:dyDescent="0.2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3394.7227499999972</v>
      </c>
      <c r="I21" s="25" t="s">
        <v>42</v>
      </c>
      <c r="J21" s="25">
        <v>60500</v>
      </c>
      <c r="K21" s="25">
        <f>6-5-1</f>
        <v>0</v>
      </c>
      <c r="L21" s="25">
        <f t="shared" si="3"/>
        <v>0</v>
      </c>
      <c r="Q21" s="15">
        <f t="shared" si="1"/>
        <v>1131.574249999999</v>
      </c>
    </row>
    <row r="22" spans="1:17" x14ac:dyDescent="0.2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(E22/$E$29)*$K$11-98302</f>
        <v>0.41700000004493631</v>
      </c>
      <c r="I22" s="25" t="s">
        <v>45</v>
      </c>
      <c r="J22" s="25">
        <v>89100</v>
      </c>
      <c r="K22" s="25">
        <v>0</v>
      </c>
      <c r="L22" s="25">
        <f t="shared" si="3"/>
        <v>0</v>
      </c>
      <c r="Q22" s="15">
        <f t="shared" si="1"/>
        <v>0.13900000001497878</v>
      </c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616748.54375000007</v>
      </c>
      <c r="I23" s="25" t="s">
        <v>48</v>
      </c>
      <c r="J23" s="25">
        <v>110000</v>
      </c>
      <c r="K23" s="25">
        <v>1</v>
      </c>
      <c r="L23" s="25">
        <f t="shared" si="3"/>
        <v>110000</v>
      </c>
      <c r="Q23" s="28">
        <f>SUM(Q8:Q22)</f>
        <v>205582.84791666671</v>
      </c>
    </row>
    <row r="24" spans="1:17" x14ac:dyDescent="0.2">
      <c r="I24" s="25" t="s">
        <v>49</v>
      </c>
      <c r="J24" s="25">
        <v>143000</v>
      </c>
      <c r="K24" s="25">
        <v>2</v>
      </c>
      <c r="L24" s="25">
        <f t="shared" si="3"/>
        <v>286000</v>
      </c>
    </row>
    <row r="25" spans="1:17" x14ac:dyDescent="0.2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3</v>
      </c>
      <c r="I25" s="25" t="s">
        <v>51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3"/>
        <v>0</v>
      </c>
      <c r="Q26" s="15"/>
    </row>
    <row r="27" spans="1:17" x14ac:dyDescent="0.2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3</v>
      </c>
      <c r="L28" s="25">
        <f>SUM(L16:L27)*1.2</f>
        <v>475200</v>
      </c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3</v>
      </c>
      <c r="L29" s="52">
        <v>0.2</v>
      </c>
      <c r="Q29" s="31">
        <f>SUM(Q25:Q27)</f>
        <v>1</v>
      </c>
    </row>
    <row r="30" spans="1:17" hidden="1" x14ac:dyDescent="0.2">
      <c r="L30" s="25">
        <f>L28*1.2</f>
        <v>570240</v>
      </c>
    </row>
    <row r="31" spans="1:17" hidden="1" x14ac:dyDescent="0.2">
      <c r="H31" s="33" t="s">
        <v>56</v>
      </c>
      <c r="L31"/>
    </row>
    <row r="32" spans="1:17" hidden="1" x14ac:dyDescent="0.2">
      <c r="B32" s="14" t="s">
        <v>22</v>
      </c>
      <c r="C32" s="15">
        <v>254512</v>
      </c>
      <c r="L32"/>
    </row>
    <row r="33" spans="8:12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</v>
      </c>
      <c r="L34" s="37">
        <f>+J34*K34</f>
        <v>144810.54375000001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pageSetUpPr fitToPage="1"/>
  </sheetPr>
  <dimension ref="A1:AS34"/>
  <sheetViews>
    <sheetView topLeftCell="A7" zoomScaleNormal="100" workbookViewId="0">
      <selection activeCell="B7" sqref="B7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0" hidden="1" customWidth="1"/>
    <col min="13" max="13" width="14" hidden="1" customWidth="1"/>
    <col min="14" max="14" width="10.85546875" bestFit="1" customWidth="1"/>
  </cols>
  <sheetData>
    <row r="1" spans="1:45" ht="18" x14ac:dyDescent="0.2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0" t="s">
        <v>193</v>
      </c>
      <c r="C2" s="140"/>
      <c r="D2" s="140"/>
      <c r="E2" s="140"/>
      <c r="F2" s="140"/>
      <c r="G2" s="140"/>
      <c r="H2" s="14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N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N7" s="12" t="s">
        <v>7</v>
      </c>
    </row>
    <row r="8" spans="1:45" x14ac:dyDescent="0.2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M16+M17+M18+M19+M20+M23+M24+M26</f>
        <v>432000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676800</v>
      </c>
      <c r="N8" s="15">
        <f>+F8/$F$29*$N$29</f>
        <v>72000</v>
      </c>
    </row>
    <row r="9" spans="1:45" x14ac:dyDescent="0.2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x14ac:dyDescent="0.2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M21+M22</f>
        <v>132000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22000</v>
      </c>
    </row>
    <row r="11" spans="1:45" x14ac:dyDescent="0.2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M28*0.2</f>
        <v>112800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6</v>
      </c>
      <c r="M11" s="18">
        <f>K11*L11</f>
        <v>190057.09140425528</v>
      </c>
      <c r="N11" s="15">
        <f t="shared" si="1"/>
        <v>18800</v>
      </c>
    </row>
    <row r="12" spans="1:45" x14ac:dyDescent="0.2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37886.447659574464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6314.4079432624103</v>
      </c>
    </row>
    <row r="13" spans="1:45" ht="13.5" thickBot="1" x14ac:dyDescent="0.2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21">
        <f t="shared" si="3"/>
        <v>69063.176851063836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866857.09140425525</v>
      </c>
      <c r="N13" s="15">
        <f t="shared" si="1"/>
        <v>11510.529475177305</v>
      </c>
    </row>
    <row r="14" spans="1:45" x14ac:dyDescent="0.2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21">
        <f t="shared" si="3"/>
        <v>2.5872340433775107E-2</v>
      </c>
      <c r="H14" s="16">
        <f t="shared" si="0"/>
        <v>2.9853903459396468E-8</v>
      </c>
      <c r="N14" s="15">
        <f t="shared" si="1"/>
        <v>4.3120567389625178E-3</v>
      </c>
    </row>
    <row r="15" spans="1:45" x14ac:dyDescent="0.2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21">
        <f t="shared" si="3"/>
        <v>6347.3790638297869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x14ac:dyDescent="0.2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27</v>
      </c>
      <c r="K16" s="25">
        <v>33600</v>
      </c>
      <c r="L16">
        <f>'[17]Ercot Trading'!K16+'[17]Ercot Origination'!K16+'[17]Southeast Trading'!K16+'[17]Southeast Origination'!K16+'[17]Midwest Trading'!K16+'[17]Midwest Origination'!K16+'[17]Northeast Trading'!K16+'[17]Northeast Origination'!K16+'[17]Management Book'!K16+[17]Structuring_Fund!K16+[17]Services!K16+[17]Options!K16</f>
        <v>0</v>
      </c>
      <c r="M16" s="25">
        <f t="shared" ref="M16:M27" si="4">K16*L16</f>
        <v>0</v>
      </c>
      <c r="N16" s="15">
        <f t="shared" si="1"/>
        <v>0</v>
      </c>
    </row>
    <row r="17" spans="1:14" x14ac:dyDescent="0.2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21">
        <f t="shared" si="3"/>
        <v>360.85106382978722</v>
      </c>
      <c r="H17" s="16">
        <f t="shared" si="0"/>
        <v>4.1638339022207621E-4</v>
      </c>
      <c r="J17" t="s">
        <v>30</v>
      </c>
      <c r="K17" s="25">
        <v>52800</v>
      </c>
      <c r="L17">
        <f>'[17]Ercot Trading'!K17+'[17]Ercot Origination'!K17+'[17]Southeast Trading'!K17+'[17]Southeast Origination'!K17+'[17]Midwest Trading'!K17+'[17]Midwest Origination'!K17+'[17]Northeast Trading'!K17+'[17]Northeast Origination'!K17+'[17]Management Book'!K17+[17]Structuring_Fund!K17+[17]Services!K17+[17]Options!K17</f>
        <v>0</v>
      </c>
      <c r="M17" s="25">
        <f t="shared" si="4"/>
        <v>0</v>
      </c>
      <c r="N17" s="15">
        <f t="shared" si="1"/>
        <v>60.141843971631204</v>
      </c>
    </row>
    <row r="18" spans="1:14" x14ac:dyDescent="0.2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21">
        <f t="shared" si="3"/>
        <v>19.560170212765723</v>
      </c>
      <c r="H18" s="16">
        <f t="shared" si="0"/>
        <v>2.2570336637150724E-5</v>
      </c>
      <c r="J18" t="s">
        <v>33</v>
      </c>
      <c r="K18" s="25">
        <v>54000</v>
      </c>
      <c r="L18">
        <f>'[17]Ercot Trading'!K18+'[17]Ercot Origination'!K18+'[17]Southeast Trading'!K18+'[17]Southeast Origination'!K18+'[17]Midwest Trading'!K18+'[17]Midwest Origination'!K18+'[17]Northeast Trading'!K18+'[17]Northeast Origination'!K18+'[17]Management Book'!K18+[17]Structuring_Fund!K18+[17]Services!K18+[17]Options!K18</f>
        <v>0</v>
      </c>
      <c r="M18" s="25">
        <f t="shared" si="4"/>
        <v>0</v>
      </c>
      <c r="N18" s="15">
        <f t="shared" si="1"/>
        <v>3.2600283687942873</v>
      </c>
    </row>
    <row r="19" spans="1:14" x14ac:dyDescent="0.2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21">
        <f t="shared" si="3"/>
        <v>33167.60510638298</v>
      </c>
      <c r="H19" s="16">
        <f t="shared" si="0"/>
        <v>3.8271855743390995E-2</v>
      </c>
      <c r="J19" t="s">
        <v>36</v>
      </c>
      <c r="K19" s="25">
        <v>63000</v>
      </c>
      <c r="L19">
        <f>'[17]Ercot Trading'!K19+'[17]Ercot Origination'!K19+'[17]Southeast Trading'!K19+'[17]Southeast Origination'!K19+'[17]Midwest Trading'!K19+'[17]Midwest Origination'!K19+'[17]Northeast Trading'!K19+'[17]Northeast Origination'!K19+'[17]Management Book'!K19+[17]Structuring_Fund!K19+[17]Services!K19+[17]Options!K19</f>
        <v>0</v>
      </c>
      <c r="M19" s="25">
        <f t="shared" si="4"/>
        <v>0</v>
      </c>
      <c r="N19" s="15">
        <f t="shared" si="1"/>
        <v>5527.9341843971633</v>
      </c>
    </row>
    <row r="20" spans="1:14" x14ac:dyDescent="0.2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21">
        <f t="shared" si="3"/>
        <v>5.3228936170212773</v>
      </c>
      <c r="H20" s="16">
        <f t="shared" si="0"/>
        <v>6.1420478202947023E-6</v>
      </c>
      <c r="J20" t="s">
        <v>39</v>
      </c>
      <c r="K20" s="25">
        <v>78000</v>
      </c>
      <c r="L20">
        <f>3-1</f>
        <v>2</v>
      </c>
      <c r="M20" s="25">
        <f t="shared" si="4"/>
        <v>156000</v>
      </c>
      <c r="N20" s="15">
        <f t="shared" si="1"/>
        <v>0.88714893617021284</v>
      </c>
    </row>
    <row r="21" spans="1:14" x14ac:dyDescent="0.2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21">
        <f t="shared" si="3"/>
        <v>43125.685106382967</v>
      </c>
      <c r="H21" s="16">
        <f t="shared" si="0"/>
        <v>4.9762411061411306E-2</v>
      </c>
      <c r="J21" t="s">
        <v>42</v>
      </c>
      <c r="K21" s="25">
        <v>66000</v>
      </c>
      <c r="L21">
        <f>3-1</f>
        <v>2</v>
      </c>
      <c r="M21" s="25">
        <f t="shared" si="4"/>
        <v>132000</v>
      </c>
      <c r="N21" s="15">
        <f t="shared" si="1"/>
        <v>7187.6141843971609</v>
      </c>
    </row>
    <row r="22" spans="1:14" x14ac:dyDescent="0.2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21">
        <f t="shared" si="3"/>
        <v>81.037617021276589</v>
      </c>
      <c r="H22" s="16">
        <f t="shared" si="0"/>
        <v>9.350871063734415E-5</v>
      </c>
      <c r="J22" t="s">
        <v>45</v>
      </c>
      <c r="K22" s="25">
        <v>97200</v>
      </c>
      <c r="L22">
        <f>3-3</f>
        <v>0</v>
      </c>
      <c r="M22" s="25">
        <f t="shared" si="4"/>
        <v>0</v>
      </c>
      <c r="N22" s="15">
        <f t="shared" si="1"/>
        <v>13.506269503546099</v>
      </c>
    </row>
    <row r="23" spans="1:14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866857.09140425513</v>
      </c>
      <c r="H23" s="30">
        <f>SUM(H8:H22)</f>
        <v>1</v>
      </c>
      <c r="J23" t="s">
        <v>48</v>
      </c>
      <c r="K23" s="25">
        <v>120000</v>
      </c>
      <c r="L23">
        <f>3-2</f>
        <v>1</v>
      </c>
      <c r="M23" s="25">
        <f t="shared" si="4"/>
        <v>120000</v>
      </c>
      <c r="N23" s="58">
        <f>SUM(N8:N22)</f>
        <v>144476.18190070923</v>
      </c>
    </row>
    <row r="24" spans="1:14" x14ac:dyDescent="0.2">
      <c r="J24" t="s">
        <v>49</v>
      </c>
      <c r="K24" s="25">
        <v>156000</v>
      </c>
      <c r="L24">
        <v>1</v>
      </c>
      <c r="M24" s="25">
        <f t="shared" si="4"/>
        <v>156000</v>
      </c>
    </row>
    <row r="25" spans="1:14" x14ac:dyDescent="0.2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31">
        <f>SUM(L16:L20,L23:L27)</f>
        <v>4</v>
      </c>
      <c r="J25" t="s">
        <v>51</v>
      </c>
      <c r="K25" s="25">
        <v>180000</v>
      </c>
      <c r="L25">
        <f>'[17]Ercot Trading'!K25+'[17]Ercot Origination'!K25+'[17]Southeast Trading'!K25+'[17]Southeast Origination'!K25+'[17]Midwest Trading'!K25+'[17]Midwest Origination'!K25+'[17]Northeast Trading'!K25+'[17]Northeast Origination'!K25+'[17]Management Book'!K25+[17]Structuring_Fund!K25+[17]Services!K25+[17]Options!K25</f>
        <v>0</v>
      </c>
      <c r="M25" s="25">
        <f t="shared" si="4"/>
        <v>0</v>
      </c>
      <c r="N25" s="31">
        <v>1</v>
      </c>
    </row>
    <row r="26" spans="1:14" x14ac:dyDescent="0.2">
      <c r="C26" s="15"/>
      <c r="E26" s="15"/>
      <c r="F26" s="15"/>
      <c r="J26" t="s">
        <v>52</v>
      </c>
      <c r="K26" s="25">
        <v>216000</v>
      </c>
      <c r="L26">
        <f>'[17]Ercot Trading'!K26+'[17]Ercot Origination'!K26+'[17]Southeast Trading'!K26+'[17]Southeast Origination'!K26+'[17]Midwest Trading'!K26+'[17]Midwest Origination'!K26+'[17]Northeast Trading'!K26+'[17]Northeast Origination'!K26+'[17]Management Book'!K26+[17]Structuring_Fund!K26+[17]Services!K26+[17]Options!K26</f>
        <v>0</v>
      </c>
      <c r="M26" s="25">
        <f t="shared" si="4"/>
        <v>0</v>
      </c>
      <c r="N26" s="15"/>
    </row>
    <row r="27" spans="1:14" x14ac:dyDescent="0.2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31">
        <f>SUM(L21:L22)</f>
        <v>2</v>
      </c>
      <c r="J27" t="s">
        <v>54</v>
      </c>
      <c r="K27" s="25">
        <v>240000</v>
      </c>
      <c r="L27">
        <f>'[17]Ercot Trading'!K27+'[17]Ercot Origination'!K27+'[17]Southeast Trading'!K27+'[17]Southeast Origination'!K27+'[17]Midwest Trading'!K27+'[17]Midwest Origination'!K27+'[17]Northeast Trading'!K27+'[17]Northeast Origination'!K27+'[17]Management Book'!K27+[17]Structuring_Fund!K27+[17]Services!K27+[17]Options!K27</f>
        <v>0</v>
      </c>
      <c r="M27" s="25">
        <f t="shared" si="4"/>
        <v>0</v>
      </c>
      <c r="N27" s="31">
        <f>SUM(T21:T22)</f>
        <v>0</v>
      </c>
    </row>
    <row r="28" spans="1:14" x14ac:dyDescent="0.2">
      <c r="B28" s="27"/>
      <c r="L28">
        <f>SUM(L16:L27)</f>
        <v>6</v>
      </c>
      <c r="M28" s="25">
        <f>SUM(M16:M27)</f>
        <v>564000</v>
      </c>
    </row>
    <row r="29" spans="1:14" x14ac:dyDescent="0.2">
      <c r="B29" s="27" t="s">
        <v>55</v>
      </c>
      <c r="E29" s="59">
        <f>SUM(E25:E27)</f>
        <v>141</v>
      </c>
      <c r="F29" s="59">
        <f>SUM(F25:F27)</f>
        <v>6</v>
      </c>
      <c r="H29" s="25"/>
      <c r="N29" s="59">
        <f>SUM(N25:N27)</f>
        <v>1</v>
      </c>
    </row>
    <row r="31" spans="1:14" x14ac:dyDescent="0.2">
      <c r="I31" s="33" t="s">
        <v>56</v>
      </c>
      <c r="J31" s="25"/>
      <c r="K31" s="25"/>
      <c r="L31" s="25"/>
    </row>
    <row r="32" spans="1:14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</v>
      </c>
      <c r="M34" s="37">
        <f>+K34*L34</f>
        <v>190057.09140425528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AO39"/>
  <sheetViews>
    <sheetView zoomScaleNormal="100" workbookViewId="0">
      <selection activeCell="R144" sqref="R14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4" max="14" width="10.7109375" customWidth="1"/>
  </cols>
  <sheetData>
    <row r="1" spans="1:41" ht="18" x14ac:dyDescent="0.25">
      <c r="B1" s="140" t="str">
        <f>'[20]Team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25">
      <c r="B2" s="140" t="s">
        <v>269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.75" thickBot="1" x14ac:dyDescent="0.3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2">
      <c r="I4" s="39"/>
      <c r="J4" s="40"/>
      <c r="K4" s="40"/>
      <c r="L4" s="41"/>
    </row>
    <row r="5" spans="1:41" x14ac:dyDescent="0.2">
      <c r="I5" s="42"/>
      <c r="J5" s="17" t="s">
        <v>1</v>
      </c>
      <c r="K5" s="17" t="s">
        <v>2</v>
      </c>
      <c r="L5" s="43" t="s">
        <v>3</v>
      </c>
    </row>
    <row r="6" spans="1:41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N6" s="44"/>
    </row>
    <row r="7" spans="1:41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N7" s="12"/>
    </row>
    <row r="8" spans="1:41" x14ac:dyDescent="0.2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681120</v>
      </c>
      <c r="I8" s="42" t="s">
        <v>10</v>
      </c>
      <c r="J8" s="17">
        <v>0</v>
      </c>
      <c r="K8" s="17"/>
      <c r="L8" s="43">
        <f>L30</f>
        <v>855360</v>
      </c>
      <c r="N8" s="15"/>
    </row>
    <row r="9" spans="1:41" hidden="1" x14ac:dyDescent="0.2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N9" s="15"/>
    </row>
    <row r="10" spans="1:41" x14ac:dyDescent="0.2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0</v>
      </c>
      <c r="I10" s="42"/>
      <c r="J10" s="17"/>
      <c r="K10" s="17"/>
      <c r="L10" s="43"/>
      <c r="N10" s="15"/>
    </row>
    <row r="11" spans="1:41" x14ac:dyDescent="0.2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v>140304</v>
      </c>
      <c r="I11" s="42" t="s">
        <v>15</v>
      </c>
      <c r="J11" s="17">
        <f>(E12+E13+E14+E15+E16+E17+E18+E19+E20+E21+E22)/E29</f>
        <v>48270.181250000009</v>
      </c>
      <c r="K11" s="17">
        <f>K28</f>
        <v>4</v>
      </c>
      <c r="L11" s="43">
        <f>J11*K11</f>
        <v>193080.72500000003</v>
      </c>
      <c r="N11" s="15"/>
    </row>
    <row r="12" spans="1:41" x14ac:dyDescent="0.2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36000</v>
      </c>
      <c r="I12" s="42"/>
      <c r="J12" s="17"/>
      <c r="K12" s="17"/>
      <c r="L12" s="43"/>
      <c r="N12" s="15"/>
    </row>
    <row r="13" spans="1:41" ht="13.5" thickBot="1" x14ac:dyDescent="0.2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270000</v>
      </c>
      <c r="I13" s="46" t="s">
        <v>20</v>
      </c>
      <c r="J13" s="47"/>
      <c r="K13" s="47"/>
      <c r="L13" s="48">
        <f>L8+L11</f>
        <v>1048440.7250000001</v>
      </c>
      <c r="N13" s="15"/>
    </row>
    <row r="14" spans="1:41" x14ac:dyDescent="0.2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N14" s="15"/>
    </row>
    <row r="15" spans="1:41" x14ac:dyDescent="0.2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24000</v>
      </c>
      <c r="N15" s="15"/>
    </row>
    <row r="16" spans="1:41" x14ac:dyDescent="0.2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N16" s="15"/>
    </row>
    <row r="17" spans="1:14" x14ac:dyDescent="0.2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6000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N17" s="15"/>
    </row>
    <row r="18" spans="1:14" x14ac:dyDescent="0.2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N18" s="15"/>
    </row>
    <row r="19" spans="1:14" x14ac:dyDescent="0.2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24000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N19" s="15"/>
    </row>
    <row r="20" spans="1:14" x14ac:dyDescent="0.2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N20" s="15"/>
    </row>
    <row r="21" spans="1:14" x14ac:dyDescent="0.2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6782.4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N21" s="32"/>
    </row>
    <row r="22" spans="1:14" x14ac:dyDescent="0.2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N22" s="32"/>
    </row>
    <row r="23" spans="1:14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1188206.3999999999</v>
      </c>
      <c r="I23" s="25" t="s">
        <v>48</v>
      </c>
      <c r="J23" s="25">
        <v>110000</v>
      </c>
      <c r="K23" s="25">
        <v>1</v>
      </c>
      <c r="L23" s="25">
        <f t="shared" si="1"/>
        <v>110000</v>
      </c>
      <c r="N23" s="29"/>
    </row>
    <row r="24" spans="1:14" x14ac:dyDescent="0.2">
      <c r="I24" s="25" t="s">
        <v>49</v>
      </c>
      <c r="J24" s="25">
        <v>143000</v>
      </c>
      <c r="K24" s="25">
        <f>1+1</f>
        <v>2</v>
      </c>
      <c r="L24" s="25">
        <f t="shared" si="1"/>
        <v>286000</v>
      </c>
      <c r="N24" s="8"/>
    </row>
    <row r="25" spans="1:14" x14ac:dyDescent="0.2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f>+K16+K17+K18+K19+K20+K23+K24+K25+K26+K27</f>
        <v>4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N25" s="32"/>
    </row>
    <row r="26" spans="1:14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N26" s="32"/>
    </row>
    <row r="27" spans="1:14" x14ac:dyDescent="0.2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N27" s="32"/>
    </row>
    <row r="28" spans="1:14" x14ac:dyDescent="0.2">
      <c r="K28" s="25">
        <f>SUM(K16:K27)</f>
        <v>4</v>
      </c>
      <c r="L28" s="25">
        <f>SUM(L16:L27)*1.2</f>
        <v>712800</v>
      </c>
      <c r="N28" s="8"/>
    </row>
    <row r="29" spans="1:14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4</v>
      </c>
      <c r="L29" s="52">
        <v>0.2</v>
      </c>
      <c r="N29" s="32"/>
    </row>
    <row r="30" spans="1:14" hidden="1" x14ac:dyDescent="0.2">
      <c r="L30" s="25">
        <f>L28*1.2</f>
        <v>855360</v>
      </c>
      <c r="N30" s="8"/>
    </row>
    <row r="31" spans="1:14" hidden="1" x14ac:dyDescent="0.2">
      <c r="H31" s="33" t="s">
        <v>56</v>
      </c>
      <c r="L31"/>
      <c r="N31" s="8"/>
    </row>
    <row r="32" spans="1:14" hidden="1" x14ac:dyDescent="0.2">
      <c r="B32" s="14" t="s">
        <v>22</v>
      </c>
      <c r="C32" s="15">
        <v>254512</v>
      </c>
      <c r="L32"/>
      <c r="N32" s="8"/>
    </row>
    <row r="33" spans="8:14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N33" s="8"/>
    </row>
    <row r="34" spans="8:14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4</v>
      </c>
      <c r="L34" s="37">
        <f>+J34*K34</f>
        <v>193080.72500000003</v>
      </c>
      <c r="N34" s="8"/>
    </row>
    <row r="35" spans="8:14" hidden="1" x14ac:dyDescent="0.2">
      <c r="N35" s="8"/>
    </row>
    <row r="36" spans="8:14" hidden="1" x14ac:dyDescent="0.2">
      <c r="N36" s="8"/>
    </row>
    <row r="37" spans="8:14" hidden="1" x14ac:dyDescent="0.2">
      <c r="N37" s="8"/>
    </row>
    <row r="38" spans="8:14" hidden="1" x14ac:dyDescent="0.2">
      <c r="N38" s="8"/>
    </row>
    <row r="39" spans="8:14" x14ac:dyDescent="0.2">
      <c r="N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89</vt:i4>
      </vt:variant>
      <vt:variant>
        <vt:lpstr>Named Ranges</vt:lpstr>
      </vt:variant>
      <vt:variant>
        <vt:i4>72</vt:i4>
      </vt:variant>
    </vt:vector>
  </HeadingPairs>
  <TitlesOfParts>
    <vt:vector size="161" baseType="lpstr">
      <vt:lpstr>Summary 2002 Revised</vt:lpstr>
      <vt:lpstr>Summary 2002</vt:lpstr>
      <vt:lpstr>Texas-Trading w-o AA</vt:lpstr>
      <vt:lpstr>East-Trading w-o AA</vt:lpstr>
      <vt:lpstr>Central-Trading w-o AA</vt:lpstr>
      <vt:lpstr>West-Trading w-o AA</vt:lpstr>
      <vt:lpstr>Financial w-o AA</vt:lpstr>
      <vt:lpstr>Texas - Orig</vt:lpstr>
      <vt:lpstr>East - Orig</vt:lpstr>
      <vt:lpstr>Central Gas - Orig</vt:lpstr>
      <vt:lpstr>West - Orig</vt:lpstr>
      <vt:lpstr>Derivatives w-o  AA-Mex</vt:lpstr>
      <vt:lpstr>Derivatives w-o  AA</vt:lpstr>
      <vt:lpstr>Mexico</vt:lpstr>
      <vt:lpstr>East-Trading AA</vt:lpstr>
      <vt:lpstr>West-Trading AA</vt:lpstr>
      <vt:lpstr>Texas-Trading AA</vt:lpstr>
      <vt:lpstr>Financial - AA</vt:lpstr>
      <vt:lpstr>Derivatives AA</vt:lpstr>
      <vt:lpstr>Central - Trading AA</vt:lpstr>
      <vt:lpstr>Financial Gas</vt:lpstr>
      <vt:lpstr>East Power</vt:lpstr>
      <vt:lpstr>Crude w-o AA</vt:lpstr>
      <vt:lpstr>Management</vt:lpstr>
      <vt:lpstr>Ercot</vt:lpstr>
      <vt:lpstr>Northeast</vt:lpstr>
      <vt:lpstr>Midwest</vt:lpstr>
      <vt:lpstr>Southeast</vt:lpstr>
      <vt:lpstr>Options</vt:lpstr>
      <vt:lpstr>East Power Origination</vt:lpstr>
      <vt:lpstr>West Power Trading</vt:lpstr>
      <vt:lpstr>West Power Origination</vt:lpstr>
      <vt:lpstr>Canada Trading</vt:lpstr>
      <vt:lpstr>Canada Origination</vt:lpstr>
      <vt:lpstr>Office of the Chair</vt:lpstr>
      <vt:lpstr>OOC w-o Adm</vt:lpstr>
      <vt:lpstr>East Power A&amp;A</vt:lpstr>
      <vt:lpstr>Gas A&amp;A</vt:lpstr>
      <vt:lpstr>Crude AA</vt:lpstr>
      <vt:lpstr>West Power A&amp;A</vt:lpstr>
      <vt:lpstr>Canada A&amp;A</vt:lpstr>
      <vt:lpstr>OOC Admin</vt:lpstr>
      <vt:lpstr>Natural Gas Admin</vt:lpstr>
      <vt:lpstr>East Power Admins</vt:lpstr>
      <vt:lpstr>West Power Admins</vt:lpstr>
      <vt:lpstr>Canada</vt:lpstr>
      <vt:lpstr>Canada Admins</vt:lpstr>
      <vt:lpstr>Reg Affairs</vt:lpstr>
      <vt:lpstr>Fundies-All</vt:lpstr>
      <vt:lpstr>Struct</vt:lpstr>
      <vt:lpstr>Weather</vt:lpstr>
      <vt:lpstr>SAP</vt:lpstr>
      <vt:lpstr>EOPs</vt:lpstr>
      <vt:lpstr>Gas Risk</vt:lpstr>
      <vt:lpstr>Gas Vol Mgmt</vt:lpstr>
      <vt:lpstr>Gas Logistics</vt:lpstr>
      <vt:lpstr>Gas Settlemnt</vt:lpstr>
      <vt:lpstr>Pwr Risk</vt:lpstr>
      <vt:lpstr>Pwr Vol Mgmt</vt:lpstr>
      <vt:lpstr>Power Logistics (2)</vt:lpstr>
      <vt:lpstr>Power Logistics</vt:lpstr>
      <vt:lpstr>Pwr Settlemt</vt:lpstr>
      <vt:lpstr>Documentation</vt:lpstr>
      <vt:lpstr>Managemt</vt:lpstr>
      <vt:lpstr>IT Dev-EOL</vt:lpstr>
      <vt:lpstr>IT Infra</vt:lpstr>
      <vt:lpstr>EOL Support</vt:lpstr>
      <vt:lpstr>Canada Support</vt:lpstr>
      <vt:lpstr>Credit</vt:lpstr>
      <vt:lpstr>Research</vt:lpstr>
      <vt:lpstr>Mkt Risk - Combined</vt:lpstr>
      <vt:lpstr>Mkt Risk </vt:lpstr>
      <vt:lpstr>Research1</vt:lpstr>
      <vt:lpstr>Fin Ops</vt:lpstr>
      <vt:lpstr>Cash Ops</vt:lpstr>
      <vt:lpstr>Tax</vt:lpstr>
      <vt:lpstr>HR</vt:lpstr>
      <vt:lpstr>Legal</vt:lpstr>
      <vt:lpstr>IT Dev</vt:lpstr>
      <vt:lpstr>IT EOL</vt:lpstr>
      <vt:lpstr>IT All</vt:lpstr>
      <vt:lpstr>Fundies-Hou</vt:lpstr>
      <vt:lpstr>Competitive Ana</vt:lpstr>
      <vt:lpstr>Gas - Fund</vt:lpstr>
      <vt:lpstr>East - Fund</vt:lpstr>
      <vt:lpstr>West - Fund</vt:lpstr>
      <vt:lpstr>West - Struct</vt:lpstr>
      <vt:lpstr>Gas - Struct</vt:lpstr>
      <vt:lpstr>East - Struct</vt:lpstr>
      <vt:lpstr>Canada!Print_Area</vt:lpstr>
      <vt:lpstr>'Canada A&amp;A'!Print_Area</vt:lpstr>
      <vt:lpstr>'Canada Admins'!Print_Area</vt:lpstr>
      <vt:lpstr>'Canada Origination'!Print_Area</vt:lpstr>
      <vt:lpstr>'Canada Support'!Print_Area</vt:lpstr>
      <vt:lpstr>'Canada Trading'!Print_Area</vt:lpstr>
      <vt:lpstr>'Cash Ops'!Print_Area</vt:lpstr>
      <vt:lpstr>'Central - Trading AA'!Print_Area</vt:lpstr>
      <vt:lpstr>'Central Gas - Orig'!Print_Area</vt:lpstr>
      <vt:lpstr>'Central-Trading w-o AA'!Print_Area</vt:lpstr>
      <vt:lpstr>'Competitive Ana'!Print_Area</vt:lpstr>
      <vt:lpstr>Credit!Print_Area</vt:lpstr>
      <vt:lpstr>'Crude AA'!Print_Area</vt:lpstr>
      <vt:lpstr>'Crude w-o AA'!Print_Area</vt:lpstr>
      <vt:lpstr>'Derivatives AA'!Print_Area</vt:lpstr>
      <vt:lpstr>'Derivatives w-o  AA'!Print_Area</vt:lpstr>
      <vt:lpstr>'Derivatives w-o  AA-Mex'!Print_Area</vt:lpstr>
      <vt:lpstr>'East - Fund'!Print_Area</vt:lpstr>
      <vt:lpstr>'East - Orig'!Print_Area</vt:lpstr>
      <vt:lpstr>'East - Struct'!Print_Area</vt:lpstr>
      <vt:lpstr>'East Power'!Print_Area</vt:lpstr>
      <vt:lpstr>'East Power A&amp;A'!Print_Area</vt:lpstr>
      <vt:lpstr>'East Power Admins'!Print_Area</vt:lpstr>
      <vt:lpstr>'East Power Origination'!Print_Area</vt:lpstr>
      <vt:lpstr>'East-Trading AA'!Print_Area</vt:lpstr>
      <vt:lpstr>'East-Trading w-o AA'!Print_Area</vt:lpstr>
      <vt:lpstr>'EOL Support'!Print_Area</vt:lpstr>
      <vt:lpstr>EOPs!Print_Area</vt:lpstr>
      <vt:lpstr>'Fin Ops'!Print_Area</vt:lpstr>
      <vt:lpstr>'Financial - AA'!Print_Area</vt:lpstr>
      <vt:lpstr>'Financial Gas'!Print_Area</vt:lpstr>
      <vt:lpstr>'Financial w-o AA'!Print_Area</vt:lpstr>
      <vt:lpstr>'Fundies-All'!Print_Area</vt:lpstr>
      <vt:lpstr>'Fundies-Hou'!Print_Area</vt:lpstr>
      <vt:lpstr>'Gas - Fund'!Print_Area</vt:lpstr>
      <vt:lpstr>'Gas - Struct'!Print_Area</vt:lpstr>
      <vt:lpstr>'Gas A&amp;A'!Print_Area</vt:lpstr>
      <vt:lpstr>HR!Print_Area</vt:lpstr>
      <vt:lpstr>'IT All'!Print_Area</vt:lpstr>
      <vt:lpstr>'IT Dev'!Print_Area</vt:lpstr>
      <vt:lpstr>'IT Dev-EOL'!Print_Area</vt:lpstr>
      <vt:lpstr>'IT EOL'!Print_Area</vt:lpstr>
      <vt:lpstr>'IT Infra'!Print_Area</vt:lpstr>
      <vt:lpstr>Legal!Print_Area</vt:lpstr>
      <vt:lpstr>Mexico!Print_Area</vt:lpstr>
      <vt:lpstr>'Mkt Risk '!Print_Area</vt:lpstr>
      <vt:lpstr>'Mkt Risk - Combined'!Print_Area</vt:lpstr>
      <vt:lpstr>'Natural Gas Admin'!Print_Area</vt:lpstr>
      <vt:lpstr>'Office of the Chair'!Print_Area</vt:lpstr>
      <vt:lpstr>'OOC Admin'!Print_Area</vt:lpstr>
      <vt:lpstr>'OOC w-o Adm'!Print_Area</vt:lpstr>
      <vt:lpstr>'Reg Affairs'!Print_Area</vt:lpstr>
      <vt:lpstr>Research!Print_Area</vt:lpstr>
      <vt:lpstr>Research1!Print_Area</vt:lpstr>
      <vt:lpstr>SAP!Print_Area</vt:lpstr>
      <vt:lpstr>Struct!Print_Area</vt:lpstr>
      <vt:lpstr>'Summary 2002'!Print_Area</vt:lpstr>
      <vt:lpstr>'Summary 2002 Revised'!Print_Area</vt:lpstr>
      <vt:lpstr>Tax!Print_Area</vt:lpstr>
      <vt:lpstr>'Texas - Orig'!Print_Area</vt:lpstr>
      <vt:lpstr>'Texas-Trading AA'!Print_Area</vt:lpstr>
      <vt:lpstr>'Texas-Trading w-o AA'!Print_Area</vt:lpstr>
      <vt:lpstr>Weather!Print_Area</vt:lpstr>
      <vt:lpstr>'West - Fund'!Print_Area</vt:lpstr>
      <vt:lpstr>'West - Orig'!Print_Area</vt:lpstr>
      <vt:lpstr>'West - Struct'!Print_Area</vt:lpstr>
      <vt:lpstr>'West Power A&amp;A'!Print_Area</vt:lpstr>
      <vt:lpstr>'West Power Admins'!Print_Area</vt:lpstr>
      <vt:lpstr>'West Power Origination'!Print_Area</vt:lpstr>
      <vt:lpstr>'West Power Trading'!Print_Area</vt:lpstr>
      <vt:lpstr>'West-Trading AA'!Print_Area</vt:lpstr>
      <vt:lpstr>'West-Trading w-o AA'!Print_Area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Jan Havlíček</cp:lastModifiedBy>
  <cp:lastPrinted>2002-01-08T21:24:30Z</cp:lastPrinted>
  <dcterms:created xsi:type="dcterms:W3CDTF">2001-12-05T13:20:56Z</dcterms:created>
  <dcterms:modified xsi:type="dcterms:W3CDTF">2023-09-16T22:58:38Z</dcterms:modified>
</cp:coreProperties>
</file>