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5A9A48-DEB6-4EA7-B9E1-747F47DE58F6}" xr6:coauthVersionLast="47" xr6:coauthVersionMax="47" xr10:uidLastSave="{00000000-0000-0000-0000-000000000000}"/>
  <bookViews>
    <workbookView xWindow="-120" yWindow="-120" windowWidth="38640" windowHeight="15720" tabRatio="830" firstSheet="3" activeTab="16"/>
  </bookViews>
  <sheets>
    <sheet name="Template" sheetId="154" r:id="rId1"/>
    <sheet name="1203" sheetId="205" r:id="rId2"/>
    <sheet name="1204" sheetId="207" r:id="rId3"/>
    <sheet name="1205" sheetId="208" r:id="rId4"/>
    <sheet name="1206" sheetId="209" r:id="rId5"/>
    <sheet name="1207" sheetId="211" r:id="rId6"/>
    <sheet name="1210" sheetId="212" r:id="rId7"/>
    <sheet name="1211" sheetId="213" r:id="rId8"/>
    <sheet name="1212" sheetId="215" r:id="rId9"/>
    <sheet name="1213" sheetId="216" r:id="rId10"/>
    <sheet name="1214" sheetId="217" r:id="rId11"/>
    <sheet name="1217" sheetId="218" r:id="rId12"/>
    <sheet name="1218" sheetId="219" r:id="rId13"/>
    <sheet name="1219" sheetId="220" r:id="rId14"/>
    <sheet name="1220" sheetId="222" r:id="rId15"/>
    <sheet name="1226" sheetId="223" r:id="rId16"/>
    <sheet name="1228" sheetId="22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Print_Area" localSheetId="0">Template!$A$1:$P$43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54" l="1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J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J25" i="154"/>
  <c r="L25" i="154"/>
  <c r="P25" i="154"/>
  <c r="B26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B24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no wire or statement sent for 11/29 biz day.</t>
        </r>
      </text>
    </comment>
  </commentList>
</comments>
</file>

<file path=xl/sharedStrings.xml><?xml version="1.0" encoding="utf-8"?>
<sst xmlns="http://schemas.openxmlformats.org/spreadsheetml/2006/main" count="850" uniqueCount="46">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</sst>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0" borderId="2" xfId="2" applyNumberFormat="1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</definedNames>
    <sheetDataSet>
      <sheetData sheetId="0"/>
      <sheetData sheetId="1"/>
      <sheetData sheetId="2">
        <row r="4">
          <cell r="B4">
            <v>37225</v>
          </cell>
          <cell r="BB4">
            <v>0</v>
          </cell>
          <cell r="BF4">
            <v>-4107510</v>
          </cell>
        </row>
        <row r="5">
          <cell r="B5">
            <v>37226</v>
          </cell>
        </row>
        <row r="6">
          <cell r="B6">
            <v>37227</v>
          </cell>
        </row>
        <row r="7">
          <cell r="B7">
            <v>37228</v>
          </cell>
          <cell r="BB7">
            <v>0</v>
          </cell>
          <cell r="BF7">
            <v>0</v>
          </cell>
        </row>
        <row r="8">
          <cell r="B8">
            <v>37229</v>
          </cell>
        </row>
        <row r="9">
          <cell r="B9">
            <v>37230</v>
          </cell>
        </row>
        <row r="10">
          <cell r="B10">
            <v>37231</v>
          </cell>
        </row>
        <row r="11">
          <cell r="B11">
            <v>37232</v>
          </cell>
          <cell r="BF11">
            <v>0</v>
          </cell>
        </row>
        <row r="12">
          <cell r="B12">
            <v>37233</v>
          </cell>
        </row>
        <row r="13">
          <cell r="B13">
            <v>37234</v>
          </cell>
        </row>
        <row r="14">
          <cell r="B14">
            <v>37235</v>
          </cell>
          <cell r="BF14">
            <v>0</v>
          </cell>
        </row>
        <row r="15">
          <cell r="B15">
            <v>37236</v>
          </cell>
        </row>
        <row r="16">
          <cell r="B16">
            <v>37237</v>
          </cell>
        </row>
        <row r="17">
          <cell r="B17">
            <v>37238</v>
          </cell>
          <cell r="K17">
            <v>0</v>
          </cell>
        </row>
        <row r="18">
          <cell r="B18">
            <v>37239</v>
          </cell>
        </row>
        <row r="19">
          <cell r="B19">
            <v>37240</v>
          </cell>
        </row>
        <row r="20">
          <cell r="B20">
            <v>37241</v>
          </cell>
        </row>
        <row r="21">
          <cell r="B21">
            <v>37242</v>
          </cell>
        </row>
        <row r="22">
          <cell r="B22">
            <v>37243</v>
          </cell>
        </row>
        <row r="23">
          <cell r="B23">
            <v>37244</v>
          </cell>
        </row>
        <row r="24">
          <cell r="B24">
            <v>37245</v>
          </cell>
        </row>
        <row r="25">
          <cell r="B25">
            <v>37246</v>
          </cell>
        </row>
        <row r="26">
          <cell r="B26">
            <v>37247</v>
          </cell>
        </row>
        <row r="27">
          <cell r="B27">
            <v>37248</v>
          </cell>
          <cell r="BB27">
            <v>0</v>
          </cell>
        </row>
        <row r="28">
          <cell r="B28">
            <v>37249</v>
          </cell>
        </row>
        <row r="29">
          <cell r="B29">
            <v>37250</v>
          </cell>
        </row>
        <row r="30">
          <cell r="B30">
            <v>37251</v>
          </cell>
          <cell r="BB30">
            <v>0</v>
          </cell>
        </row>
        <row r="31">
          <cell r="B31">
            <v>37252</v>
          </cell>
          <cell r="BB31">
            <v>0</v>
          </cell>
        </row>
        <row r="32">
          <cell r="B32">
            <v>37253</v>
          </cell>
          <cell r="BB32">
            <v>0</v>
          </cell>
        </row>
        <row r="33">
          <cell r="B33">
            <v>37254</v>
          </cell>
          <cell r="BB33">
            <v>0</v>
          </cell>
        </row>
        <row r="34">
          <cell r="B34">
            <v>37255</v>
          </cell>
          <cell r="BB34">
            <v>0</v>
          </cell>
        </row>
        <row r="35">
          <cell r="B35">
            <v>37256</v>
          </cell>
        </row>
        <row r="36">
          <cell r="B36">
            <v>37257</v>
          </cell>
        </row>
      </sheetData>
      <sheetData sheetId="3">
        <row r="17">
          <cell r="K17" t="str">
            <v>YES</v>
          </cell>
        </row>
      </sheetData>
      <sheetData sheetId="4"/>
      <sheetData sheetId="5"/>
      <sheetData sheetId="6"/>
      <sheetData sheetId="7">
        <row r="17">
          <cell r="K17">
            <v>0</v>
          </cell>
        </row>
      </sheetData>
      <sheetData sheetId="8">
        <row r="20">
          <cell r="J20">
            <v>0</v>
          </cell>
        </row>
      </sheetData>
      <sheetData sheetId="9"/>
      <sheetData sheetId="10"/>
      <sheetData sheetId="11"/>
      <sheetData sheetId="12">
        <row r="13">
          <cell r="I13">
            <v>0</v>
          </cell>
        </row>
      </sheetData>
      <sheetData sheetId="13">
        <row r="47">
          <cell r="I47" t="str">
            <v>Loan Outstanding for VM</v>
          </cell>
        </row>
      </sheetData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>
        <row r="12">
          <cell r="I12">
            <v>684102.75</v>
          </cell>
        </row>
      </sheetData>
      <sheetData sheetId="21">
        <row r="16">
          <cell r="K16">
            <v>0</v>
          </cell>
        </row>
        <row r="17">
          <cell r="K17">
            <v>0</v>
          </cell>
        </row>
        <row r="47">
          <cell r="I4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735239.84999999963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735239.84999999963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735239.84999999963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735239.84999999963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735239.84999999963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735239.84999999963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735239.84999999963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735239.84999999963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735239.84999999963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735239.84999999963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735239.84999999963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735239.84999999963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735239.84999999963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4.849999999627471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4.849999999627471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4.849999999627471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4.849999999627471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4.849999999627471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4.849999999627471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4.849999999627471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4.849999999627471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4.849999999627471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4.849999999627471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4.849999999627471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4.849999999627471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4.849999999627471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4.849999999627471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4.849999999627471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4.849999999627471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4.849999999627471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116052968.58000003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37227</v>
          </cell>
          <cell r="DB47">
            <v>116052968.58000003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37228</v>
          </cell>
          <cell r="DB89">
            <v>90264354.660000041</v>
          </cell>
          <cell r="DJ89">
            <v>-3723290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-3723290</v>
          </cell>
          <cell r="DJ95">
            <v>13707757.59</v>
          </cell>
        </row>
        <row r="131">
          <cell r="A131">
            <v>37229</v>
          </cell>
          <cell r="DB131">
            <v>86402774.660000056</v>
          </cell>
          <cell r="DJ131">
            <v>-47750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-47750</v>
          </cell>
          <cell r="DJ137">
            <v>0</v>
          </cell>
        </row>
        <row r="173">
          <cell r="A173">
            <v>37230</v>
          </cell>
          <cell r="DB173">
            <v>82103124.660000056</v>
          </cell>
          <cell r="DJ173">
            <v>2535090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2535090</v>
          </cell>
          <cell r="DJ179">
            <v>0</v>
          </cell>
        </row>
        <row r="215">
          <cell r="A215">
            <v>37231</v>
          </cell>
          <cell r="DB215">
            <v>81049062.160000056</v>
          </cell>
          <cell r="DJ215">
            <v>200590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200590</v>
          </cell>
          <cell r="DJ221">
            <v>0</v>
          </cell>
        </row>
        <row r="257">
          <cell r="A257">
            <v>37232</v>
          </cell>
          <cell r="DB257">
            <v>80639812.160000056</v>
          </cell>
          <cell r="DJ257">
            <v>55020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55020</v>
          </cell>
          <cell r="DJ263">
            <v>0</v>
          </cell>
        </row>
        <row r="299">
          <cell r="A299">
            <v>37233</v>
          </cell>
          <cell r="DB299">
            <v>80584792.160000056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37234</v>
          </cell>
          <cell r="DB341">
            <v>80584792.160000056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37235</v>
          </cell>
          <cell r="DB383">
            <v>80511677.160000056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37236</v>
          </cell>
          <cell r="DB425">
            <v>80449517.160000056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37237</v>
          </cell>
          <cell r="DB467">
            <v>80449517.160000056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37238</v>
          </cell>
          <cell r="DB509">
            <v>80449517.160000056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37239</v>
          </cell>
          <cell r="DB551">
            <v>80449517.160000056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37240</v>
          </cell>
          <cell r="DB593">
            <v>80449517.160000056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37241</v>
          </cell>
          <cell r="DB635">
            <v>80449517.160000056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37242</v>
          </cell>
          <cell r="DB677">
            <v>80449517.160000056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37243</v>
          </cell>
          <cell r="DB719">
            <v>80449517.160000056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37244</v>
          </cell>
          <cell r="DB761">
            <v>80449517.160000056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37245</v>
          </cell>
          <cell r="DB803">
            <v>80449517.160000056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37246</v>
          </cell>
          <cell r="DB845">
            <v>80449517.160000056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37247</v>
          </cell>
          <cell r="DB887">
            <v>80449517.160000056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37248</v>
          </cell>
          <cell r="DB929">
            <v>80449517.160000056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37249</v>
          </cell>
          <cell r="DB971">
            <v>80449517.160000056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37250</v>
          </cell>
          <cell r="DB1013">
            <v>80449517.160000056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37251</v>
          </cell>
          <cell r="DB1055">
            <v>80449517.160000056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37252</v>
          </cell>
          <cell r="DB1097">
            <v>80449517.160000056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37253</v>
          </cell>
          <cell r="DB1139">
            <v>80449517.160000056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37254</v>
          </cell>
          <cell r="DB1181">
            <v>80449517.160000056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37255</v>
          </cell>
          <cell r="DB1223">
            <v>80449517.160000056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37256</v>
          </cell>
          <cell r="DB1265">
            <v>80449517.160000056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EC5">
            <v>0</v>
          </cell>
          <cell r="EQ5">
            <v>-1112541.4885787889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37227</v>
          </cell>
          <cell r="EC47">
            <v>0</v>
          </cell>
          <cell r="EQ47">
            <v>-1112541.4885787889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37228</v>
          </cell>
          <cell r="EC89">
            <v>0</v>
          </cell>
          <cell r="EQ89">
            <v>-1112541.4885787889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37229</v>
          </cell>
          <cell r="EC131">
            <v>0</v>
          </cell>
          <cell r="EQ131">
            <v>-1112541.4885787889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37230</v>
          </cell>
          <cell r="EC173">
            <v>0</v>
          </cell>
          <cell r="EQ173">
            <v>-1112541.4885787889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37231</v>
          </cell>
          <cell r="EC215">
            <v>0</v>
          </cell>
          <cell r="EQ215">
            <v>-1112541.4885787889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37232</v>
          </cell>
          <cell r="EC257">
            <v>0</v>
          </cell>
          <cell r="EQ257">
            <v>-1112541.4885787889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37233</v>
          </cell>
          <cell r="EC299">
            <v>0</v>
          </cell>
          <cell r="EQ299">
            <v>-1112541.4885787889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37234</v>
          </cell>
          <cell r="EC341">
            <v>0</v>
          </cell>
          <cell r="EQ341">
            <v>-1112541.4885787889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37235</v>
          </cell>
          <cell r="EC383">
            <v>-19725.3</v>
          </cell>
          <cell r="EQ383">
            <v>-1132266.7885787887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37236</v>
          </cell>
          <cell r="EC425">
            <v>0</v>
          </cell>
          <cell r="EQ425">
            <v>-1112541.4885787889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37237</v>
          </cell>
          <cell r="EC467">
            <v>0</v>
          </cell>
          <cell r="EQ467">
            <v>-1112541.4885787889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37238</v>
          </cell>
          <cell r="EC509">
            <v>0</v>
          </cell>
          <cell r="EQ509">
            <v>-1112541.4885787889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37239</v>
          </cell>
          <cell r="EC551">
            <v>0</v>
          </cell>
          <cell r="EQ551">
            <v>-1112541.4885787889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37240</v>
          </cell>
          <cell r="EC593">
            <v>0</v>
          </cell>
          <cell r="EQ593">
            <v>-1112541.4885787889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37241</v>
          </cell>
          <cell r="EC635">
            <v>0</v>
          </cell>
          <cell r="EQ635">
            <v>-1112541.4885787889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37242</v>
          </cell>
          <cell r="EC677">
            <v>0</v>
          </cell>
          <cell r="EQ677">
            <v>-1112541.4885787889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37243</v>
          </cell>
          <cell r="EC719">
            <v>0</v>
          </cell>
          <cell r="EQ719">
            <v>-1112541.4885787889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37244</v>
          </cell>
          <cell r="EC761">
            <v>0</v>
          </cell>
          <cell r="EQ761">
            <v>-1112541.4885787889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37245</v>
          </cell>
          <cell r="EC803">
            <v>0</v>
          </cell>
          <cell r="EQ803">
            <v>-1112541.4885787889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37246</v>
          </cell>
          <cell r="EC845">
            <v>0</v>
          </cell>
          <cell r="EQ845">
            <v>-1112541.4885787889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37247</v>
          </cell>
          <cell r="EC887">
            <v>0</v>
          </cell>
          <cell r="EQ887">
            <v>-1112541.4885787889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37248</v>
          </cell>
          <cell r="EC929">
            <v>0</v>
          </cell>
          <cell r="EQ929">
            <v>-1112541.4885787889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37249</v>
          </cell>
          <cell r="EC971">
            <v>0</v>
          </cell>
          <cell r="EQ971">
            <v>-1112541.4885787889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37250</v>
          </cell>
          <cell r="EC1013">
            <v>0</v>
          </cell>
          <cell r="EQ1013">
            <v>-1112541.4885787889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37251</v>
          </cell>
          <cell r="EC1055">
            <v>0</v>
          </cell>
          <cell r="EQ1055">
            <v>-1112541.4885787889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37252</v>
          </cell>
          <cell r="EC1097">
            <v>0</v>
          </cell>
          <cell r="EQ1097">
            <v>-1112541.4885787889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37253</v>
          </cell>
          <cell r="EC1139">
            <v>0</v>
          </cell>
          <cell r="EQ1139">
            <v>-1112541.4885787889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37254</v>
          </cell>
          <cell r="EC1181">
            <v>0</v>
          </cell>
          <cell r="EQ1181">
            <v>-1112541.4885787889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37227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37228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37229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37230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37231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37232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37233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37234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37235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37236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37237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37238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37239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37240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37241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37242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37243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37244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37245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37246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37247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37248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37249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37250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37251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37252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37253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37254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37255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37256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37227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37228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37229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37230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37231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37232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37233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37234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37235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37236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37237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37238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37239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37240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37241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37242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37243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37244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37245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37246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37247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37248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37249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37250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37251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37252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37253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37254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37255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37256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37227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37228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37229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37230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37231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37232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37233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37234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37235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37236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37237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37238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37239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37240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37241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37242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37243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37244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37245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37246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37247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37248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37249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37250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37251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37252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37253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37254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37255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37256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-2448144.8100000005</v>
          </cell>
        </row>
        <row r="131">
          <cell r="A131">
            <v>37229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P5">
            <v>0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37227</v>
          </cell>
          <cell r="CP47">
            <v>0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37228</v>
          </cell>
          <cell r="CP89">
            <v>0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37229</v>
          </cell>
          <cell r="CP131">
            <v>0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37230</v>
          </cell>
          <cell r="CP173">
            <v>0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37231</v>
          </cell>
          <cell r="CP215">
            <v>0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37232</v>
          </cell>
          <cell r="CP257">
            <v>0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37233</v>
          </cell>
          <cell r="CP299">
            <v>0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37234</v>
          </cell>
          <cell r="CP341">
            <v>0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37235</v>
          </cell>
          <cell r="CP383">
            <v>0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37236</v>
          </cell>
          <cell r="CP425">
            <v>0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37237</v>
          </cell>
          <cell r="CP467">
            <v>0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37238</v>
          </cell>
          <cell r="CP509">
            <v>0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37239</v>
          </cell>
          <cell r="CP551">
            <v>0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37240</v>
          </cell>
          <cell r="CP593">
            <v>0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37241</v>
          </cell>
          <cell r="CP635">
            <v>0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37242</v>
          </cell>
          <cell r="CP677">
            <v>0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37243</v>
          </cell>
          <cell r="CP719">
            <v>0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37244</v>
          </cell>
          <cell r="CP761">
            <v>0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37245</v>
          </cell>
          <cell r="CP803">
            <v>0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37246</v>
          </cell>
          <cell r="CP845">
            <v>0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37247</v>
          </cell>
          <cell r="CP887">
            <v>0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37248</v>
          </cell>
          <cell r="CP929">
            <v>0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37249</v>
          </cell>
          <cell r="CP971">
            <v>0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37250</v>
          </cell>
          <cell r="CP1013">
            <v>0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37251</v>
          </cell>
          <cell r="CP1055">
            <v>0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37252</v>
          </cell>
          <cell r="CP1097">
            <v>0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37253</v>
          </cell>
          <cell r="CP1139">
            <v>112.59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37254</v>
          </cell>
          <cell r="CP1181">
            <v>112.59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37255</v>
          </cell>
          <cell r="CP1223">
            <v>112.59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37256</v>
          </cell>
          <cell r="CP1265">
            <v>112.59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N5">
            <v>239390.8660000246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37227</v>
          </cell>
          <cell r="BN47">
            <v>239390.8660000246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37228</v>
          </cell>
          <cell r="BN89">
            <v>194902.53600002639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37229</v>
          </cell>
          <cell r="BN131">
            <v>194902.53600002639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37230</v>
          </cell>
          <cell r="BN173">
            <v>194902.53600002639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37231</v>
          </cell>
          <cell r="BN215">
            <v>194902.53600002639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37232</v>
          </cell>
          <cell r="BN257">
            <v>194902.53600002639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37233</v>
          </cell>
          <cell r="BN299">
            <v>194902.53600002639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37234</v>
          </cell>
          <cell r="BN341">
            <v>194902.53600002639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37235</v>
          </cell>
          <cell r="BN383">
            <v>194902.53600002639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37236</v>
          </cell>
          <cell r="BN425">
            <v>194902.53600002639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37237</v>
          </cell>
          <cell r="BN467">
            <v>194902.53600002639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37238</v>
          </cell>
          <cell r="BN509">
            <v>194902.53600002639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37239</v>
          </cell>
          <cell r="BN551">
            <v>194902.53600002639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37240</v>
          </cell>
          <cell r="BN593">
            <v>194902.53600002639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37241</v>
          </cell>
          <cell r="BN635">
            <v>194902.53600002639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37242</v>
          </cell>
          <cell r="BN677">
            <v>194902.53600002639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37243</v>
          </cell>
          <cell r="BN719">
            <v>194902.53600002639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37244</v>
          </cell>
          <cell r="BN761">
            <v>194902.53600002639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37245</v>
          </cell>
          <cell r="BN803">
            <v>194902.53600002639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37246</v>
          </cell>
          <cell r="BN845">
            <v>194902.53600002639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37247</v>
          </cell>
          <cell r="BN887">
            <v>194902.53600002639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37248</v>
          </cell>
          <cell r="BN929">
            <v>194902.53600002639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37249</v>
          </cell>
          <cell r="BN971">
            <v>194902.53600002639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37250</v>
          </cell>
          <cell r="BN1013">
            <v>194902.53600002639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37251</v>
          </cell>
          <cell r="BN1055">
            <v>194902.53600002639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37252</v>
          </cell>
          <cell r="BN1097">
            <v>194902.53600002639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37253</v>
          </cell>
          <cell r="BN1139">
            <v>194902.53600002639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37254</v>
          </cell>
          <cell r="BN1181">
            <v>194902.53600002639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37255</v>
          </cell>
          <cell r="BN1223">
            <v>194902.53600002639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37256</v>
          </cell>
          <cell r="BN1265">
            <v>194902.53600002639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37227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37228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37229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37230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37231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37232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37233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37234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37235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37236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37237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37238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37239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37240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37241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37242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37243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37244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37245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37246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37247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37248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37249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37250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37251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37252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37253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37254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37255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37256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DB5">
            <v>-1460.7799999713898</v>
          </cell>
        </row>
        <row r="47">
          <cell r="A47">
            <v>37227</v>
          </cell>
          <cell r="DB47">
            <v>-1460.7799999713898</v>
          </cell>
        </row>
        <row r="89">
          <cell r="A89">
            <v>37228</v>
          </cell>
          <cell r="DB89">
            <v>-1460.7799999713898</v>
          </cell>
        </row>
        <row r="131">
          <cell r="A131">
            <v>37229</v>
          </cell>
          <cell r="DB131">
            <v>-1460.7799999713898</v>
          </cell>
        </row>
        <row r="173">
          <cell r="A173">
            <v>37230</v>
          </cell>
          <cell r="DB173">
            <v>-1460.7799999713898</v>
          </cell>
        </row>
        <row r="215">
          <cell r="A215">
            <v>37231</v>
          </cell>
          <cell r="DB215">
            <v>-1460.7799999713898</v>
          </cell>
        </row>
        <row r="257">
          <cell r="A257">
            <v>37232</v>
          </cell>
          <cell r="DB257">
            <v>-1460.7799999713898</v>
          </cell>
        </row>
        <row r="299">
          <cell r="A299">
            <v>37233</v>
          </cell>
          <cell r="DB299">
            <v>-1460.7799999713898</v>
          </cell>
        </row>
        <row r="341">
          <cell r="A341">
            <v>37234</v>
          </cell>
          <cell r="DB341">
            <v>-1460.7799999713898</v>
          </cell>
        </row>
        <row r="383">
          <cell r="A383">
            <v>37235</v>
          </cell>
          <cell r="DB383">
            <v>-1460.7799999713898</v>
          </cell>
        </row>
        <row r="425">
          <cell r="A425">
            <v>37236</v>
          </cell>
          <cell r="DB425">
            <v>-1460.7799999713898</v>
          </cell>
        </row>
        <row r="467">
          <cell r="A467">
            <v>37237</v>
          </cell>
          <cell r="DB467">
            <v>-1460.7799999713898</v>
          </cell>
        </row>
        <row r="509">
          <cell r="A509">
            <v>37238</v>
          </cell>
          <cell r="DB509">
            <v>-1460.7799999713898</v>
          </cell>
        </row>
        <row r="551">
          <cell r="A551">
            <v>37239</v>
          </cell>
          <cell r="DB551">
            <v>-1460.7799999713898</v>
          </cell>
        </row>
        <row r="593">
          <cell r="A593">
            <v>37240</v>
          </cell>
          <cell r="DB593">
            <v>-1460.7799999713898</v>
          </cell>
        </row>
        <row r="635">
          <cell r="A635">
            <v>37241</v>
          </cell>
          <cell r="DB635">
            <v>-1460.7799999713898</v>
          </cell>
        </row>
        <row r="677">
          <cell r="A677">
            <v>37242</v>
          </cell>
          <cell r="DB677">
            <v>-1460.7799999713898</v>
          </cell>
        </row>
        <row r="719">
          <cell r="A719">
            <v>37243</v>
          </cell>
          <cell r="DB719">
            <v>-1460.7799999713898</v>
          </cell>
        </row>
        <row r="761">
          <cell r="A761">
            <v>37244</v>
          </cell>
          <cell r="DB761">
            <v>-1460.7799999713898</v>
          </cell>
        </row>
        <row r="803">
          <cell r="A803">
            <v>37245</v>
          </cell>
          <cell r="DB803">
            <v>-1460.7799999713898</v>
          </cell>
        </row>
        <row r="845">
          <cell r="A845">
            <v>37246</v>
          </cell>
          <cell r="DB845">
            <v>-1460.7799999713898</v>
          </cell>
        </row>
        <row r="887">
          <cell r="A887">
            <v>37247</v>
          </cell>
          <cell r="DB887">
            <v>-1460.7799999713898</v>
          </cell>
        </row>
        <row r="929">
          <cell r="A929">
            <v>37248</v>
          </cell>
          <cell r="DB929">
            <v>-1460.7799999713898</v>
          </cell>
        </row>
        <row r="971">
          <cell r="A971">
            <v>37249</v>
          </cell>
          <cell r="DB971">
            <v>-1460.7799999713898</v>
          </cell>
        </row>
        <row r="1013">
          <cell r="A1013">
            <v>37250</v>
          </cell>
          <cell r="DB1013">
            <v>-1460.7799999713898</v>
          </cell>
        </row>
        <row r="1055">
          <cell r="A1055">
            <v>37251</v>
          </cell>
          <cell r="DB1055">
            <v>-1460.7799999713898</v>
          </cell>
        </row>
        <row r="1097">
          <cell r="A1097">
            <v>37252</v>
          </cell>
          <cell r="DB1097">
            <v>-1460.7799999713898</v>
          </cell>
        </row>
        <row r="1139">
          <cell r="A1139">
            <v>37253</v>
          </cell>
          <cell r="DB1139">
            <v>-1460.7799999713898</v>
          </cell>
        </row>
        <row r="1181">
          <cell r="A1181">
            <v>37254</v>
          </cell>
          <cell r="DB1181">
            <v>-1460.7799999713898</v>
          </cell>
        </row>
        <row r="1223">
          <cell r="A1223">
            <v>37255</v>
          </cell>
          <cell r="DB1223">
            <v>-1460.7799999713898</v>
          </cell>
        </row>
        <row r="1265">
          <cell r="A1265">
            <v>37256</v>
          </cell>
          <cell r="DB1265">
            <v>-1460.7799999713898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Statements"/>
      <sheetName val="Prior Month Balance"/>
    </sheetNames>
    <sheetDataSet>
      <sheetData sheetId="0"/>
      <sheetData sheetId="1"/>
      <sheetData sheetId="2">
        <row r="5">
          <cell r="A5">
            <v>37226</v>
          </cell>
          <cell r="FF5">
            <v>5657660.3017823128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37227</v>
          </cell>
          <cell r="FF47">
            <v>5546450.965774307</v>
          </cell>
          <cell r="FJ47">
            <v>0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37228</v>
          </cell>
          <cell r="FF89">
            <v>3662789.6921894448</v>
          </cell>
          <cell r="FJ89">
            <v>-1950107.1870000002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37229</v>
          </cell>
          <cell r="FF131">
            <v>3680359.9232304092</v>
          </cell>
          <cell r="FJ131">
            <v>-1932825.8549999997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37230</v>
          </cell>
          <cell r="FF173">
            <v>4068679.5990916872</v>
          </cell>
          <cell r="FJ173">
            <v>-1553591.2962500001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37231</v>
          </cell>
          <cell r="FF215">
            <v>4140706.9076689426</v>
          </cell>
          <cell r="FJ215">
            <v>-1469880.86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37232</v>
          </cell>
          <cell r="FF257">
            <v>4176676.7418139772</v>
          </cell>
          <cell r="FJ257">
            <v>-1441565.4824999999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37233</v>
          </cell>
          <cell r="FF299">
            <v>5637336.4195783678</v>
          </cell>
          <cell r="FJ299">
            <v>0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37234</v>
          </cell>
          <cell r="FF341">
            <v>5547349.9674011264</v>
          </cell>
          <cell r="FJ341">
            <v>0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37235</v>
          </cell>
          <cell r="FF383">
            <v>4029309.5866221334</v>
          </cell>
          <cell r="FJ383">
            <v>-1587787.4559000002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37236</v>
          </cell>
          <cell r="FF425">
            <v>3920158.7280502785</v>
          </cell>
          <cell r="FJ425">
            <v>-1696047.625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37237</v>
          </cell>
          <cell r="FF467">
            <v>3832085.0551248207</v>
          </cell>
          <cell r="FJ467">
            <v>-1781357.9775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37238</v>
          </cell>
          <cell r="FF509">
            <v>4030525.654192321</v>
          </cell>
          <cell r="FJ509">
            <v>-1586372.48875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37239</v>
          </cell>
          <cell r="FF551">
            <v>4164393.4925932512</v>
          </cell>
          <cell r="FJ551">
            <v>-1446533.0724999998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37240</v>
          </cell>
          <cell r="FF593">
            <v>5634759.855158438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37241</v>
          </cell>
          <cell r="FF635">
            <v>5547380.5174011262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37242</v>
          </cell>
          <cell r="FF677">
            <v>4173920.4092362961</v>
          </cell>
          <cell r="FJ677">
            <v>-1439590.96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37243</v>
          </cell>
          <cell r="FF719">
            <v>4134768.7325349376</v>
          </cell>
          <cell r="FJ719">
            <v>-1277979.4099999999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37244</v>
          </cell>
          <cell r="FF761">
            <v>4154451.5865971688</v>
          </cell>
          <cell r="FJ761">
            <v>-1258750.0599999998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37245</v>
          </cell>
          <cell r="FF803">
            <v>4143941.5600595502</v>
          </cell>
          <cell r="FJ803">
            <v>-103176.5625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37246</v>
          </cell>
          <cell r="FF845">
            <v>4210315.7879936881</v>
          </cell>
          <cell r="FJ845">
            <v>-55344.208749999991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37247</v>
          </cell>
          <cell r="FF887">
            <v>4317685.8613224803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37248</v>
          </cell>
          <cell r="FF929">
            <v>3993231.7114011254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37249</v>
          </cell>
          <cell r="FF971">
            <v>4215321.2142743049</v>
          </cell>
          <cell r="FJ971">
            <v>-61580.238750000004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37250</v>
          </cell>
          <cell r="FF1013">
            <v>4311538.0289259097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37251</v>
          </cell>
          <cell r="FF1055">
            <v>4206426.4844018007</v>
          </cell>
          <cell r="FJ1055">
            <v>-62053.14375000001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8">
          <cell r="A1098">
            <v>37252</v>
          </cell>
          <cell r="FF1098">
            <v>4253387.5923413923</v>
          </cell>
          <cell r="FJ1098">
            <v>-10675.258750000001</v>
          </cell>
        </row>
        <row r="1099">
          <cell r="FJ1099" t="str">
            <v>COB/PALO</v>
          </cell>
        </row>
        <row r="1100">
          <cell r="FF1100" t="str">
            <v>Fut. Fees</v>
          </cell>
          <cell r="FJ1100" t="str">
            <v>Initial Margin</v>
          </cell>
        </row>
        <row r="1101">
          <cell r="FF1101">
            <v>0</v>
          </cell>
          <cell r="FJ1101">
            <v>0</v>
          </cell>
        </row>
        <row r="1102">
          <cell r="FJ1102" t="str">
            <v>Palo &amp; Cob Elec</v>
          </cell>
        </row>
        <row r="1103">
          <cell r="FF1103" t="str">
            <v>OTE</v>
          </cell>
          <cell r="FJ1103" t="str">
            <v>Margin</v>
          </cell>
        </row>
        <row r="1104">
          <cell r="FF1104">
            <v>0</v>
          </cell>
          <cell r="FJ1104">
            <v>0</v>
          </cell>
        </row>
        <row r="1105">
          <cell r="FJ1105" t="str">
            <v>Japanese Yen (US $)</v>
          </cell>
        </row>
        <row r="1106">
          <cell r="FF1106" t="str">
            <v>OTE</v>
          </cell>
          <cell r="FJ1106" t="str">
            <v>Margin</v>
          </cell>
        </row>
        <row r="1107">
          <cell r="FF1107">
            <v>0</v>
          </cell>
          <cell r="FJ1107">
            <v>0</v>
          </cell>
        </row>
        <row r="1109">
          <cell r="FF1109" t="str">
            <v>Palo &amp; Cob Elec</v>
          </cell>
          <cell r="FJ1109" t="str">
            <v>1 Month Libor (EM)</v>
          </cell>
        </row>
        <row r="1110">
          <cell r="FF1110">
            <v>-9.9999999983992893E-3</v>
          </cell>
          <cell r="FJ1110">
            <v>-232096.3</v>
          </cell>
        </row>
        <row r="1112">
          <cell r="FF1112">
            <v>-9.9999999983992893E-3</v>
          </cell>
          <cell r="FJ1112">
            <v>-232096.3</v>
          </cell>
        </row>
        <row r="1140">
          <cell r="A1140">
            <v>37253</v>
          </cell>
          <cell r="FF1140">
            <v>4242514.551015419</v>
          </cell>
          <cell r="FJ1140">
            <v>-16845.437500000007</v>
          </cell>
        </row>
        <row r="1141">
          <cell r="FJ1141" t="str">
            <v>COB/PALO</v>
          </cell>
        </row>
        <row r="1142">
          <cell r="FF1142" t="str">
            <v>Fut. Fees</v>
          </cell>
          <cell r="FJ1142" t="str">
            <v>Initial Margin</v>
          </cell>
        </row>
        <row r="1143">
          <cell r="FF1143">
            <v>0</v>
          </cell>
          <cell r="FJ1143">
            <v>0</v>
          </cell>
        </row>
        <row r="1144">
          <cell r="FJ1144" t="str">
            <v>Palo &amp; Cob Elec</v>
          </cell>
        </row>
        <row r="1145">
          <cell r="FF1145" t="str">
            <v>OTE</v>
          </cell>
          <cell r="FJ1145" t="str">
            <v>Margin</v>
          </cell>
        </row>
        <row r="1146">
          <cell r="FF1146">
            <v>0</v>
          </cell>
          <cell r="FJ1146">
            <v>0</v>
          </cell>
        </row>
        <row r="1147">
          <cell r="FJ1147" t="str">
            <v>Japanese Yen (US $)</v>
          </cell>
        </row>
        <row r="1148">
          <cell r="FF1148" t="str">
            <v>OTE</v>
          </cell>
          <cell r="FJ1148" t="str">
            <v>Margin</v>
          </cell>
        </row>
        <row r="1149">
          <cell r="FF1149">
            <v>0</v>
          </cell>
          <cell r="FJ1149">
            <v>0</v>
          </cell>
        </row>
        <row r="1151">
          <cell r="FF1151" t="str">
            <v>Palo &amp; Cob Elec</v>
          </cell>
          <cell r="FJ1151" t="str">
            <v>1 Month Libor (EM)</v>
          </cell>
        </row>
        <row r="1152">
          <cell r="FF1152">
            <v>-9.9999999983992893E-3</v>
          </cell>
          <cell r="FJ1152">
            <v>-232096.3</v>
          </cell>
        </row>
        <row r="1154">
          <cell r="FF1154">
            <v>-9.9999999983992893E-3</v>
          </cell>
          <cell r="FJ1154">
            <v>-232096.3</v>
          </cell>
        </row>
        <row r="1181">
          <cell r="FF1181">
            <v>0</v>
          </cell>
          <cell r="FJ1181">
            <v>0</v>
          </cell>
        </row>
        <row r="1182">
          <cell r="A1182">
            <v>37254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37255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X5">
            <v>29266.320000004023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37227</v>
          </cell>
          <cell r="CX47">
            <v>29266.320000004023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37228</v>
          </cell>
          <cell r="CX89">
            <v>29855.820000004023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37229</v>
          </cell>
          <cell r="CX131">
            <v>29855.820000004023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37230</v>
          </cell>
          <cell r="CX173">
            <v>29855.820000004023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37231</v>
          </cell>
          <cell r="CX215">
            <v>29855.820000004023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37232</v>
          </cell>
          <cell r="CX257">
            <v>29855.820000004023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37233</v>
          </cell>
          <cell r="CX299">
            <v>29855.820000004023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37234</v>
          </cell>
          <cell r="CX341">
            <v>29855.820000004023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37235</v>
          </cell>
          <cell r="CX383">
            <v>29855.820000004023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37236</v>
          </cell>
          <cell r="CX425">
            <v>29855.820000004023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37237</v>
          </cell>
          <cell r="CX467">
            <v>29855.820000004023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37238</v>
          </cell>
          <cell r="CX509">
            <v>29855.820000004023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37239</v>
          </cell>
          <cell r="CX551">
            <v>29855.820000004023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37240</v>
          </cell>
          <cell r="CX593">
            <v>29855.820000004023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37241</v>
          </cell>
          <cell r="CX635">
            <v>29855.820000004023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37242</v>
          </cell>
          <cell r="CX677">
            <v>29855.820000004023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37243</v>
          </cell>
          <cell r="CX719">
            <v>29855.820000004023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37244</v>
          </cell>
          <cell r="CX761">
            <v>29855.820000004023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37245</v>
          </cell>
          <cell r="CX803">
            <v>29855.820000004023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37246</v>
          </cell>
          <cell r="CX845">
            <v>29855.820000004023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37247</v>
          </cell>
          <cell r="CX887">
            <v>29855.820000004023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37248</v>
          </cell>
          <cell r="CX929">
            <v>29855.820000004023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37249</v>
          </cell>
          <cell r="CX971">
            <v>29855.820000004023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37250</v>
          </cell>
          <cell r="CX1013">
            <v>29855.820000004023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37251</v>
          </cell>
          <cell r="CX1055">
            <v>29855.820000004023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37252</v>
          </cell>
          <cell r="CX1097">
            <v>29855.820000004023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37253</v>
          </cell>
          <cell r="CX1139">
            <v>29855.820000004023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37254</v>
          </cell>
          <cell r="CX1181">
            <v>29855.820000004023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37255</v>
          </cell>
          <cell r="CX1223">
            <v>29855.820000004023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37256</v>
          </cell>
          <cell r="CX1265">
            <v>29855.820000004023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CT5">
            <v>45466441.165999793</v>
          </cell>
          <cell r="CX5">
            <v>720451.17000000924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37227</v>
          </cell>
          <cell r="CT47">
            <v>45466441.165999793</v>
          </cell>
          <cell r="CX47">
            <v>720451.17000000924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37228</v>
          </cell>
          <cell r="CT89">
            <v>30909280.11599981</v>
          </cell>
          <cell r="CX89">
            <v>720451.17000000924</v>
          </cell>
          <cell r="DB89">
            <v>3617814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3838650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-22068750</v>
          </cell>
        </row>
        <row r="131">
          <cell r="A131">
            <v>37229</v>
          </cell>
          <cell r="CT131">
            <v>36955100.235999785</v>
          </cell>
          <cell r="CX131">
            <v>696262.79000000923</v>
          </cell>
          <cell r="DB131">
            <v>7552010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7727210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-28519380</v>
          </cell>
        </row>
        <row r="173">
          <cell r="A173">
            <v>37230</v>
          </cell>
          <cell r="CT173">
            <v>39278373.78599979</v>
          </cell>
          <cell r="CX173">
            <v>696262.79000000923</v>
          </cell>
          <cell r="DB173">
            <v>7021630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7021630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-30829260</v>
          </cell>
        </row>
        <row r="215">
          <cell r="A215">
            <v>37231</v>
          </cell>
          <cell r="CT215">
            <v>39005700.385999784</v>
          </cell>
          <cell r="CX215">
            <v>696262.79000000923</v>
          </cell>
          <cell r="DB215">
            <v>5847070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5847070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-30811120</v>
          </cell>
        </row>
        <row r="257">
          <cell r="A257">
            <v>37232</v>
          </cell>
          <cell r="CT257">
            <v>39691651.485999793</v>
          </cell>
          <cell r="CX257">
            <v>696262.79000000923</v>
          </cell>
          <cell r="DB257">
            <v>5635520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5635520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-31526730</v>
          </cell>
        </row>
        <row r="299">
          <cell r="A299">
            <v>37233</v>
          </cell>
          <cell r="CT299">
            <v>34056131.485999793</v>
          </cell>
          <cell r="CX299">
            <v>696262.79000000923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37234</v>
          </cell>
          <cell r="CT341">
            <v>34056131.485999793</v>
          </cell>
          <cell r="CX341">
            <v>696262.79000000923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37235</v>
          </cell>
          <cell r="CT383">
            <v>36917604.03599979</v>
          </cell>
          <cell r="CX383">
            <v>696262.79000000923</v>
          </cell>
          <cell r="DB383">
            <v>4464420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4464420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-29176050</v>
          </cell>
        </row>
        <row r="425">
          <cell r="A425">
            <v>37236</v>
          </cell>
          <cell r="CT425">
            <v>6868102.8859997811</v>
          </cell>
          <cell r="CX425">
            <v>696262.79000000923</v>
          </cell>
          <cell r="DB425">
            <v>428890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428890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760800</v>
          </cell>
        </row>
        <row r="467">
          <cell r="A467">
            <v>37237</v>
          </cell>
          <cell r="CT467">
            <v>6504888.285999787</v>
          </cell>
          <cell r="CX467">
            <v>696262.79000000923</v>
          </cell>
          <cell r="DB467">
            <v>-51980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-51980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1101450</v>
          </cell>
        </row>
        <row r="509">
          <cell r="A509">
            <v>37238</v>
          </cell>
          <cell r="CT509">
            <v>6227269.785999787</v>
          </cell>
          <cell r="CX509">
            <v>696262.79000000923</v>
          </cell>
          <cell r="DB509">
            <v>20760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20760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1291450</v>
          </cell>
        </row>
        <row r="551">
          <cell r="A551">
            <v>37239</v>
          </cell>
          <cell r="CT551">
            <v>8353765.4359997781</v>
          </cell>
          <cell r="CX551">
            <v>1.1700000092387199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37240</v>
          </cell>
          <cell r="CT593">
            <v>8353765.4359997781</v>
          </cell>
          <cell r="CX593">
            <v>1.1700000092387199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37241</v>
          </cell>
          <cell r="CT635">
            <v>8353765.4359997781</v>
          </cell>
          <cell r="CX635">
            <v>1.1700000092387199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37242</v>
          </cell>
          <cell r="CT677">
            <v>8353765.4359997781</v>
          </cell>
          <cell r="CX677">
            <v>1.1700000092387199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37243</v>
          </cell>
          <cell r="CT719">
            <v>8353765.4359997781</v>
          </cell>
          <cell r="CX719">
            <v>1.1700000092387199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37244</v>
          </cell>
          <cell r="CT761">
            <v>8353765.4359997781</v>
          </cell>
          <cell r="CX761">
            <v>1.1700000092387199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37245</v>
          </cell>
          <cell r="CT803">
            <v>8353765.4359997781</v>
          </cell>
          <cell r="CX803">
            <v>1.1700000092387199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37246</v>
          </cell>
          <cell r="CT845">
            <v>8353765.4359997781</v>
          </cell>
          <cell r="CX845">
            <v>1.1700000092387199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37247</v>
          </cell>
          <cell r="CT887">
            <v>8353765.4359997781</v>
          </cell>
          <cell r="CX887">
            <v>1.1700000092387199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37248</v>
          </cell>
          <cell r="CT929">
            <v>8353765.4359997781</v>
          </cell>
          <cell r="CX929">
            <v>1.1700000092387199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37249</v>
          </cell>
          <cell r="CT971">
            <v>8353765.4359997781</v>
          </cell>
          <cell r="CX971">
            <v>1.1700000092387199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37250</v>
          </cell>
          <cell r="CT1013">
            <v>8353765.4359997781</v>
          </cell>
          <cell r="CX1013">
            <v>1.1700000092387199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37251</v>
          </cell>
          <cell r="CT1055">
            <v>8353765.4359997781</v>
          </cell>
          <cell r="CX1055">
            <v>1.1700000092387199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37252</v>
          </cell>
          <cell r="CT1097">
            <v>8353765.4359997781</v>
          </cell>
          <cell r="CX1097">
            <v>1.1700000092387199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37253</v>
          </cell>
          <cell r="CT1139">
            <v>8353765.4359997781</v>
          </cell>
          <cell r="CX1139">
            <v>1.1700000092387199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37254</v>
          </cell>
          <cell r="CT1181">
            <v>8353765.4359997781</v>
          </cell>
          <cell r="CX1181">
            <v>1.1700000092387199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37255</v>
          </cell>
          <cell r="CT1223">
            <v>8353765.4359997781</v>
          </cell>
          <cell r="CX1223">
            <v>1.1700000092387199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37256</v>
          </cell>
          <cell r="CT1265">
            <v>8353765.4359997781</v>
          </cell>
          <cell r="CX1265">
            <v>1.1700000092387199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37226</v>
          </cell>
          <cell r="BB5">
            <v>2257974.65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37227</v>
          </cell>
          <cell r="BB47">
            <v>2257974.65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37228</v>
          </cell>
          <cell r="BB89">
            <v>2257974.65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37229</v>
          </cell>
          <cell r="BB131">
            <v>2257974.65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37230</v>
          </cell>
          <cell r="BB173">
            <v>2257974.65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37231</v>
          </cell>
          <cell r="BB215">
            <v>2257974.65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37232</v>
          </cell>
          <cell r="BB257">
            <v>2257974.65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37233</v>
          </cell>
          <cell r="BB299">
            <v>2257974.65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37234</v>
          </cell>
          <cell r="BB341">
            <v>2257974.65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37235</v>
          </cell>
          <cell r="BB383">
            <v>2273856.6699999995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37236</v>
          </cell>
          <cell r="BB425">
            <v>2273856.6699999995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37237</v>
          </cell>
          <cell r="BB467">
            <v>2273856.6699999995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37238</v>
          </cell>
          <cell r="BB509">
            <v>2273856.6699999995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37239</v>
          </cell>
          <cell r="BB551">
            <v>2273856.6699999995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37240</v>
          </cell>
          <cell r="BB593">
            <v>2273856.6699999995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37241</v>
          </cell>
          <cell r="BB635">
            <v>2273856.6699999995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37242</v>
          </cell>
          <cell r="BB677">
            <v>2273856.6699999995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37243</v>
          </cell>
          <cell r="BB719">
            <v>2273856.6699999995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37244</v>
          </cell>
          <cell r="BB761">
            <v>2273856.6699999995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37245</v>
          </cell>
          <cell r="BB803">
            <v>2273856.6699999995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37246</v>
          </cell>
          <cell r="BB845">
            <v>2273856.6699999995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37247</v>
          </cell>
          <cell r="BB887">
            <v>2273856.6699999995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37248</v>
          </cell>
          <cell r="BB929">
            <v>2273856.6699999995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37249</v>
          </cell>
          <cell r="BB971">
            <v>2273856.6699999995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37250</v>
          </cell>
          <cell r="BB1013">
            <v>2273856.6699999995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37251</v>
          </cell>
          <cell r="BB1055">
            <v>2273856.6699999995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37252</v>
          </cell>
          <cell r="BB1097">
            <v>2273856.6699999995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37253</v>
          </cell>
          <cell r="BB1139">
            <v>2273856.6699999995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37254</v>
          </cell>
          <cell r="BB1181">
            <v>2273856.6699999995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37255</v>
          </cell>
          <cell r="BB1223">
            <v>2273856.6699999995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37256</v>
          </cell>
          <cell r="BB1265">
            <v>2273856.6699999995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37226</v>
          </cell>
          <cell r="BX5">
            <v>37226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372261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37227</v>
          </cell>
          <cell r="BX47">
            <v>37227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372271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37228</v>
          </cell>
          <cell r="BX89">
            <v>37228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372281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37229</v>
          </cell>
          <cell r="BX131">
            <v>37229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372291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37230</v>
          </cell>
          <cell r="BX173">
            <v>37230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372301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37231</v>
          </cell>
          <cell r="BX215">
            <v>37231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372311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37232</v>
          </cell>
          <cell r="BX257">
            <v>37232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372321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37233</v>
          </cell>
          <cell r="BX299">
            <v>37233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372331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37234</v>
          </cell>
          <cell r="BX341">
            <v>37234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372341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37235</v>
          </cell>
          <cell r="BX383">
            <v>37235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372351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37236</v>
          </cell>
          <cell r="BX425">
            <v>37236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372361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37237</v>
          </cell>
          <cell r="BX467">
            <v>37237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372371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37238</v>
          </cell>
          <cell r="BX509">
            <v>37238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372381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37239</v>
          </cell>
          <cell r="BX551">
            <v>37239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372391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37240</v>
          </cell>
          <cell r="BX593">
            <v>37240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372401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37241</v>
          </cell>
          <cell r="BX635">
            <v>37241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372411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37242</v>
          </cell>
          <cell r="BX677">
            <v>37242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372421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37243</v>
          </cell>
          <cell r="BX719">
            <v>37243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372431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37244</v>
          </cell>
          <cell r="BX761">
            <v>37244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372441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37245</v>
          </cell>
          <cell r="BX803">
            <v>37245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372451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37246</v>
          </cell>
          <cell r="BX845">
            <v>37246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372461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37247</v>
          </cell>
          <cell r="BX887">
            <v>37247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372471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37248</v>
          </cell>
          <cell r="BX929">
            <v>37248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372481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37249</v>
          </cell>
          <cell r="BX971">
            <v>37249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372491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37250</v>
          </cell>
          <cell r="BX1013">
            <v>37250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372501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37251</v>
          </cell>
          <cell r="BX1055">
            <v>37251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372511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37252</v>
          </cell>
          <cell r="BX1097">
            <v>37252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372521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37253</v>
          </cell>
          <cell r="BX1139">
            <v>37253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372531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37254</v>
          </cell>
          <cell r="BX1181">
            <v>37254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372541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37255</v>
          </cell>
          <cell r="BX1223">
            <v>37255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372551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37256</v>
          </cell>
          <cell r="BX1265">
            <v>37256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372561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37256</v>
      </c>
      <c r="M2" s="3"/>
    </row>
    <row r="3" spans="1:17" ht="18" x14ac:dyDescent="0.25">
      <c r="A3" s="5">
        <v>37253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f>SUMIF([2]Statements!$A$5:$A$1305,$A$3,[2]Statements!$BN$5:$BN$1305)-3</f>
        <v>194899.53600002639</v>
      </c>
      <c r="C8" s="42"/>
      <c r="D8" s="42">
        <f t="shared" ref="D8:D26" si="0">B8-C8</f>
        <v>194899.53600002639</v>
      </c>
      <c r="E8" s="42">
        <v>0</v>
      </c>
      <c r="F8" s="42">
        <f>'[1]ABN-AMRO'!$K$12</f>
        <v>0</v>
      </c>
      <c r="G8" s="43"/>
      <c r="H8" s="42">
        <f t="shared" ref="H8:H26" si="1">F8-G8</f>
        <v>0</v>
      </c>
      <c r="I8" s="42"/>
      <c r="J8" s="42"/>
      <c r="K8" s="42"/>
      <c r="L8" s="42">
        <f t="shared" ref="L8:L13" si="2">B8+E8-F8+J8</f>
        <v>194899.53600002639</v>
      </c>
      <c r="M8" s="12"/>
      <c r="N8" s="34"/>
      <c r="O8" s="34"/>
      <c r="P8" s="42">
        <f>SUMIF([2]Statements!$A$5:$A$1305,$A$3,[2]Statements!$BW$5:$BW$1305)</f>
        <v>0</v>
      </c>
      <c r="Q8" s="34"/>
    </row>
    <row r="9" spans="1:17" x14ac:dyDescent="0.2">
      <c r="A9" t="s">
        <v>6</v>
      </c>
      <c r="B9" s="42">
        <f>SUMIF([3]Statements!$A$5:$A$1305,$A$3,[3]Statements!$DB$5:$DB$1305)-0.5</f>
        <v>0.19900000531924888</v>
      </c>
      <c r="C9" s="44"/>
      <c r="D9" s="42">
        <f t="shared" si="0"/>
        <v>0.19900000531924888</v>
      </c>
      <c r="E9" s="44">
        <v>0</v>
      </c>
      <c r="F9" s="44">
        <f>'[1]ADM Investors'!$I$13</f>
        <v>0</v>
      </c>
      <c r="G9" s="44"/>
      <c r="H9" s="44">
        <f t="shared" si="1"/>
        <v>0</v>
      </c>
      <c r="I9" s="44"/>
      <c r="J9" s="44"/>
      <c r="K9" s="44"/>
      <c r="L9" s="42">
        <f t="shared" si="2"/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f>SUMIF([4]Statements!$A$5:$A$1305,$A$3,[4]Statements!$DB$5:$DB$1305)+1461</f>
        <v>0.22000002861022949</v>
      </c>
      <c r="C10" s="44"/>
      <c r="D10" s="42">
        <f t="shared" si="0"/>
        <v>0.22000002861022949</v>
      </c>
      <c r="E10" s="44">
        <v>0</v>
      </c>
      <c r="F10" s="44">
        <f>'[1]Bank One'!$K$11</f>
        <v>0</v>
      </c>
      <c r="G10" s="44"/>
      <c r="H10" s="44">
        <f t="shared" si="1"/>
        <v>0</v>
      </c>
      <c r="I10" s="44"/>
      <c r="J10" s="44"/>
      <c r="K10" s="44"/>
      <c r="L10" s="42">
        <f t="shared" si="2"/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f>'[1]CARR FUTURES (NG)'!$I$11</f>
        <v>0</v>
      </c>
      <c r="C11" s="42"/>
      <c r="D11" s="42">
        <f t="shared" si="0"/>
        <v>0</v>
      </c>
      <c r="E11" s="42">
        <v>0</v>
      </c>
      <c r="F11" s="42">
        <f>'[1]CARR FUTURES (NG)'!$I$12</f>
        <v>0</v>
      </c>
      <c r="G11" s="42"/>
      <c r="H11" s="42">
        <f t="shared" si="1"/>
        <v>0</v>
      </c>
      <c r="I11" s="42"/>
      <c r="J11" s="42"/>
      <c r="K11" s="42"/>
      <c r="L11" s="42">
        <f t="shared" si="2"/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f>SUMIF([5]Statements!$A$5:$A$1305,$A$3,[5]Statements!$FF$5:$FF$1305)+11897-610.89</f>
        <v>4253800.6610154193</v>
      </c>
      <c r="C12" s="42"/>
      <c r="D12" s="42">
        <f t="shared" si="0"/>
        <v>4253800.6610154193</v>
      </c>
      <c r="E12" s="42">
        <v>0</v>
      </c>
      <c r="F12" s="42">
        <f>'[1]CARR FUTURES'!$I$12</f>
        <v>684102.75</v>
      </c>
      <c r="G12" s="42"/>
      <c r="H12" s="42">
        <f t="shared" si="1"/>
        <v>684102.75</v>
      </c>
      <c r="I12" s="42"/>
      <c r="J12" s="42"/>
      <c r="K12" s="42"/>
      <c r="L12" s="42">
        <f t="shared" si="2"/>
        <v>3569697.9110154193</v>
      </c>
      <c r="M12" s="12"/>
      <c r="N12" s="34"/>
      <c r="O12" s="34"/>
      <c r="P12" s="42">
        <f>SUMIF([5]Statements!$A$5:$A$1305,$A$3,[5]Statements!$FJ$5:$FJ$1305)</f>
        <v>-16845.437500000007</v>
      </c>
    </row>
    <row r="13" spans="1:17" x14ac:dyDescent="0.2">
      <c r="A13" t="s">
        <v>20</v>
      </c>
      <c r="B13" s="42">
        <f>SUMIF([6]Statements!$A$5:$A$1305,$A$3,[6]Statements!$CX$5:$CX$1305)-8</f>
        <v>29847.820000004023</v>
      </c>
      <c r="C13" s="42"/>
      <c r="D13" s="42">
        <f t="shared" si="0"/>
        <v>29847.820000004023</v>
      </c>
      <c r="E13" s="42">
        <v>0</v>
      </c>
      <c r="F13" s="42">
        <f>'[1]CREDIT SUISSE FIRST BOSTON'!$I$12</f>
        <v>0</v>
      </c>
      <c r="G13" s="42"/>
      <c r="H13" s="42">
        <f t="shared" si="1"/>
        <v>0</v>
      </c>
      <c r="I13" s="42"/>
      <c r="J13" s="42"/>
      <c r="K13" s="42"/>
      <c r="L13" s="42">
        <f t="shared" si="2"/>
        <v>29847.820000004023</v>
      </c>
      <c r="M13" s="12"/>
      <c r="N13" s="34"/>
      <c r="O13" s="34"/>
      <c r="P13" s="42">
        <f>SUMIF([6]Statements!$A$5:$A$1305,$A$3,[6]Statements!$DF$5:$DF$1305)</f>
        <v>0</v>
      </c>
    </row>
    <row r="14" spans="1:17" x14ac:dyDescent="0.2">
      <c r="A14" t="s">
        <v>44</v>
      </c>
      <c r="B14" s="42">
        <f>SUMIF([7]Statements!$A$5:$A$1305,$A$3,[7]Statements!$CT$5:$CT$1305)-SUMIF([7]Statements!$A$5:$A$1305,$A$3,[7]Statements!$CX$5:$CX$1305)-5</f>
        <v>8353759.2659997689</v>
      </c>
      <c r="C14" s="42"/>
      <c r="D14" s="42">
        <f t="shared" si="0"/>
        <v>8353759.2659997689</v>
      </c>
      <c r="E14" s="42">
        <f>+'[1]EDF MANN'!$J$20</f>
        <v>0</v>
      </c>
      <c r="F14" s="42">
        <f>'[1]EDF MANN'!$J$22</f>
        <v>0</v>
      </c>
      <c r="G14" s="43"/>
      <c r="H14" s="42">
        <f t="shared" si="1"/>
        <v>0</v>
      </c>
      <c r="I14" s="43"/>
      <c r="J14" s="43"/>
      <c r="K14" s="43"/>
      <c r="L14" s="42">
        <f t="shared" ref="L14:L20" si="3">B14+E14-F14+J14</f>
        <v>8353759.2659997689</v>
      </c>
      <c r="M14" s="12"/>
      <c r="N14" s="34"/>
      <c r="O14" s="34"/>
      <c r="P14" s="42">
        <f>SUMIF([7]Statements!$A$5:$A$1305,$A$3,[7]Statements!$DB$5:$DB$1305)</f>
        <v>0</v>
      </c>
    </row>
    <row r="15" spans="1:17" x14ac:dyDescent="0.2">
      <c r="A15" t="s">
        <v>43</v>
      </c>
      <c r="B15" s="44">
        <f>SUMIF([8]Statements!$A$5:$A$1305,$A$3,[8]Statements!$BB$5:$BB$1305)-3</f>
        <v>2273853.6699999995</v>
      </c>
      <c r="C15" s="44"/>
      <c r="D15" s="42">
        <f t="shared" si="0"/>
        <v>2273853.6699999995</v>
      </c>
      <c r="E15" s="44">
        <v>0</v>
      </c>
      <c r="F15" s="44">
        <f>[1]Fimat!$K$12</f>
        <v>0</v>
      </c>
      <c r="G15" s="40"/>
      <c r="H15" s="40">
        <f t="shared" si="1"/>
        <v>0</v>
      </c>
      <c r="I15" s="40"/>
      <c r="J15" s="43">
        <f>SUMIF('[1]WIRE WORKSHEET'!$B$4:$B$36,A2,'[1]WIRE WORKSHEET'!$BB$4:$BB$36)</f>
        <v>0</v>
      </c>
      <c r="K15" s="40"/>
      <c r="L15" s="42">
        <f t="shared" si="3"/>
        <v>2273853.6699999995</v>
      </c>
      <c r="M15" s="12"/>
      <c r="N15" s="35"/>
      <c r="O15" s="35"/>
      <c r="P15" s="44">
        <f>SUMIF([8]Statements!$A$5:$A$1305,$A$3,[8]Statements!$BI$5:$BI$1305)</f>
        <v>0</v>
      </c>
      <c r="Q15" s="35"/>
    </row>
    <row r="16" spans="1:17" x14ac:dyDescent="0.2">
      <c r="A16" t="s">
        <v>9</v>
      </c>
      <c r="B16" s="44">
        <f>SUMIF([9]Statements!$A$5:$A$1305,$A$3,[9]Statements!$CA$5:$CA$1305)-851</f>
        <v>-2131.6814089999825</v>
      </c>
      <c r="C16" s="42"/>
      <c r="D16" s="42">
        <f t="shared" si="0"/>
        <v>-2131.6814089999825</v>
      </c>
      <c r="E16" s="42">
        <v>0</v>
      </c>
      <c r="F16" s="42">
        <f>'[1]HSBC-US$'!$J$17</f>
        <v>0</v>
      </c>
      <c r="G16" s="42"/>
      <c r="H16" s="42">
        <f t="shared" si="1"/>
        <v>0</v>
      </c>
      <c r="I16" s="42"/>
      <c r="J16" s="42"/>
      <c r="K16" s="42"/>
      <c r="L16" s="42">
        <f t="shared" si="3"/>
        <v>-2131.6814089999825</v>
      </c>
      <c r="M16" s="12"/>
      <c r="N16" s="34"/>
      <c r="O16" s="34"/>
      <c r="P16" s="44">
        <f>SUMIF([9]Statements!$A$5:$A$1305,$A$3,[9]Statements!$BZ$5:$BZ$1305)</f>
        <v>0</v>
      </c>
    </row>
    <row r="17" spans="1:16" x14ac:dyDescent="0.2">
      <c r="A17" t="s">
        <v>10</v>
      </c>
      <c r="B17" s="42">
        <v>0</v>
      </c>
      <c r="C17" s="42"/>
      <c r="D17" s="42">
        <f t="shared" si="0"/>
        <v>0</v>
      </c>
      <c r="E17" s="42">
        <v>0</v>
      </c>
      <c r="F17" s="42"/>
      <c r="G17" s="42"/>
      <c r="H17" s="42">
        <f t="shared" si="1"/>
        <v>0</v>
      </c>
      <c r="I17" s="42"/>
      <c r="J17" s="42"/>
      <c r="K17" s="42"/>
      <c r="L17" s="42">
        <f t="shared" si="3"/>
        <v>0</v>
      </c>
      <c r="M17" s="12"/>
      <c r="N17" s="42">
        <f>SUMIF([9]Statements!$BX$5:$BX$1305,$A$3,[9]Statements!$CG$5:$CG$1305)</f>
        <v>64204.5</v>
      </c>
      <c r="O17" s="42">
        <f>SUMIF([9]Statements!$BX$5:$BX$1305,$A$3,[9]Statements!$CH$5:$CH$1305)</f>
        <v>0</v>
      </c>
      <c r="P17" s="42">
        <v>0</v>
      </c>
    </row>
    <row r="18" spans="1:16" x14ac:dyDescent="0.2">
      <c r="A18" t="s">
        <v>26</v>
      </c>
      <c r="B18" s="42">
        <f>SUMIF([10]Statements!$A$5:$A$1305,$A$3,[10]Statements!$BB$5:$BB$1305)-5</f>
        <v>-0.15000000037252903</v>
      </c>
      <c r="C18" s="42"/>
      <c r="D18" s="42">
        <f t="shared" si="0"/>
        <v>-0.15000000037252903</v>
      </c>
      <c r="E18" s="42">
        <v>0</v>
      </c>
      <c r="F18" s="42">
        <f>'[1]JP Morgan'!$I$13</f>
        <v>0</v>
      </c>
      <c r="G18" s="42"/>
      <c r="H18" s="42">
        <f t="shared" si="1"/>
        <v>0</v>
      </c>
      <c r="I18" s="42"/>
      <c r="J18" s="42"/>
      <c r="K18" s="42"/>
      <c r="L18" s="42">
        <f t="shared" si="3"/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f>SUMIF([11]Statements!$A$5:$A$1305,$A$3,[11]Statements!$BB$5:$BB$1305)</f>
        <v>0</v>
      </c>
      <c r="C19" s="42"/>
      <c r="D19" s="42">
        <f t="shared" si="0"/>
        <v>0</v>
      </c>
      <c r="E19" s="42">
        <v>0</v>
      </c>
      <c r="F19" s="42">
        <f>'[1]Man Financial'!$I$13</f>
        <v>0</v>
      </c>
      <c r="G19" s="42"/>
      <c r="H19" s="42">
        <f t="shared" si="1"/>
        <v>0</v>
      </c>
      <c r="I19" s="42"/>
      <c r="J19" s="42"/>
      <c r="K19" s="42"/>
      <c r="L19" s="42">
        <f t="shared" si="3"/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f>SUMIF([12]Statements!$A$5:$A$1305,$A$3,[12]Statements!$DB$5:$DB$1305)-67725</f>
        <v>80381792.160000056</v>
      </c>
      <c r="C20" s="43"/>
      <c r="D20" s="42">
        <f t="shared" si="0"/>
        <v>80381792.160000056</v>
      </c>
      <c r="E20" s="43">
        <v>0</v>
      </c>
      <c r="F20" s="43">
        <f>[1]PARIBAS!$J$19</f>
        <v>0</v>
      </c>
      <c r="G20" s="43"/>
      <c r="H20" s="42">
        <f t="shared" si="1"/>
        <v>0</v>
      </c>
      <c r="I20" s="43"/>
      <c r="J20" s="43"/>
      <c r="K20" s="43"/>
      <c r="L20" s="42">
        <f t="shared" si="3"/>
        <v>80381792.160000056</v>
      </c>
      <c r="M20" s="12"/>
      <c r="N20" s="34"/>
      <c r="O20" s="34"/>
      <c r="P20" s="43">
        <f>SUMIF([12]Statements!$A$5:$A$1305,$A$3,[12]Statements!$DJ$5:$DJ$1305)</f>
        <v>0</v>
      </c>
    </row>
    <row r="21" spans="1:16" x14ac:dyDescent="0.2">
      <c r="A21" t="s">
        <v>13</v>
      </c>
      <c r="B21" s="42">
        <f>SUMIF([13]Statements!$A$5:$A$1305,$A$3,[13]Statements!$EQ$5:$EQ$1305)+1132267-19725.5</f>
        <v>1.1421211063861847E-2</v>
      </c>
      <c r="C21" s="42"/>
      <c r="D21" s="42">
        <f t="shared" si="0"/>
        <v>1.1421211063861847E-2</v>
      </c>
      <c r="E21" s="42">
        <v>0</v>
      </c>
      <c r="F21" s="42">
        <f>'[1]PRUDENTIAL '!$I$11</f>
        <v>0</v>
      </c>
      <c r="G21" s="42"/>
      <c r="H21" s="42">
        <f t="shared" si="1"/>
        <v>0</v>
      </c>
      <c r="I21" s="42"/>
      <c r="J21" s="42"/>
      <c r="K21" s="42"/>
      <c r="L21" s="42">
        <f t="shared" ref="L21:L26" si="4">B21+E21-F21+J21</f>
        <v>1.1421211063861847E-2</v>
      </c>
      <c r="M21" s="12"/>
      <c r="N21" s="34"/>
      <c r="O21" s="34"/>
      <c r="P21" s="42">
        <f>SUMIF([13]Statements!$A$5:$A$1305,$A$3,[13]Statements!$EC$5:$EC$1305)</f>
        <v>0</v>
      </c>
    </row>
    <row r="22" spans="1:16" x14ac:dyDescent="0.2">
      <c r="A22" t="s">
        <v>14</v>
      </c>
      <c r="B22" s="42">
        <f>SUMIF([14]Statements!$A$5:$A$1305,$A$3,[14]Statements!$BC$5:$BC$1305)-835.5</f>
        <v>0.25900000694036862</v>
      </c>
      <c r="C22" s="42"/>
      <c r="D22" s="42">
        <f t="shared" si="0"/>
        <v>0.25900000694036862</v>
      </c>
      <c r="E22" s="42">
        <v>0</v>
      </c>
      <c r="F22" s="42">
        <f>[1]REFCO!$K$12</f>
        <v>0</v>
      </c>
      <c r="G22" s="42"/>
      <c r="H22" s="42">
        <f t="shared" si="1"/>
        <v>0</v>
      </c>
      <c r="I22" s="42"/>
      <c r="J22" s="42"/>
      <c r="K22" s="42"/>
      <c r="L22" s="42">
        <f t="shared" si="4"/>
        <v>0.25900000694036862</v>
      </c>
      <c r="M22" s="12"/>
      <c r="N22" s="34"/>
      <c r="O22" s="34"/>
      <c r="P22" s="42">
        <f>SUMIF([14]Statements!$A$5:$A$1305,$A$3,[14]Statements!$BB$5:$BB$1305)</f>
        <v>0</v>
      </c>
    </row>
    <row r="23" spans="1:16" x14ac:dyDescent="0.2">
      <c r="A23" t="s">
        <v>18</v>
      </c>
      <c r="B23" s="42">
        <f>SUMIF([15]Statements!$A$5:$A$1305,$A$3,[15]Statements!$BN$5:$BN$1305)+1.5</f>
        <v>0.17999999999301508</v>
      </c>
      <c r="C23" s="42"/>
      <c r="D23" s="42">
        <f t="shared" si="0"/>
        <v>0.17999999999301508</v>
      </c>
      <c r="E23" s="42">
        <v>0</v>
      </c>
      <c r="F23" s="42">
        <f>'[1]R J O''Brien'!$K$17</f>
        <v>0</v>
      </c>
      <c r="G23" s="42"/>
      <c r="H23" s="42">
        <f t="shared" si="1"/>
        <v>0</v>
      </c>
      <c r="I23" s="42"/>
      <c r="J23" s="42"/>
      <c r="K23" s="42"/>
      <c r="L23" s="42">
        <f t="shared" si="4"/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f>SUMIF([16]Statements!$A$5:$A$1305,$A$3,[16]Statements!$CK$5:$CK$1305)-39516</f>
        <v>0.18000000000029104</v>
      </c>
      <c r="C24" s="42"/>
      <c r="D24" s="42">
        <f t="shared" si="0"/>
        <v>0.18000000000029104</v>
      </c>
      <c r="E24" s="42">
        <v>0</v>
      </c>
      <c r="F24" s="42">
        <f>[1]SAUL!$I$13</f>
        <v>0</v>
      </c>
      <c r="G24" s="42"/>
      <c r="H24" s="42">
        <f t="shared" si="1"/>
        <v>0</v>
      </c>
      <c r="I24" s="42"/>
      <c r="J24" s="42"/>
      <c r="K24" s="42"/>
      <c r="L24" s="42">
        <f t="shared" si="4"/>
        <v>0.18000000000029104</v>
      </c>
      <c r="M24" s="12"/>
      <c r="N24" s="34"/>
      <c r="O24" s="34"/>
      <c r="P24" s="42">
        <f>SUMIF([16]Statements!$A$5:$A$1305,$A$3,[16]Statements!$CD$5:$CD$1305)</f>
        <v>0</v>
      </c>
    </row>
    <row r="25" spans="1:16" ht="12" customHeight="1" x14ac:dyDescent="0.2">
      <c r="A25" s="18" t="s">
        <v>41</v>
      </c>
      <c r="B25" s="42">
        <f>SUMIF([17]Statements!$A$5:$A$1305,$A$3,[17]Statements!$CP$5:$CP$1305)</f>
        <v>53592.459999991581</v>
      </c>
      <c r="C25" s="42"/>
      <c r="D25" s="42">
        <f t="shared" si="0"/>
        <v>53592.459999991581</v>
      </c>
      <c r="E25" s="43">
        <v>0</v>
      </c>
      <c r="F25" s="43">
        <f>'[1]Smith Barney'!ReqTotal</f>
        <v>0</v>
      </c>
      <c r="G25" s="43">
        <f>IF('[1]Smith Barney'!CurrentLoanValue&lt;50000000,IF('[1]Smith Barney'!CurrentLoanValue&gt;'[1]Smith Barney'!K16,'[1]Smith Barney'!K16,'[1]Smith Barney'!CurrentLoanValue),50000000)</f>
        <v>0</v>
      </c>
      <c r="H25" s="43">
        <f t="shared" si="1"/>
        <v>0</v>
      </c>
      <c r="I25" s="43"/>
      <c r="J25" s="43">
        <f>SUMIF('[1]WIRE WORKSHEET'!$B$4:$B$36,A2,'[1]WIRE WORKSHEET'!$BF$4:$BF$36)</f>
        <v>0</v>
      </c>
      <c r="K25" s="43"/>
      <c r="L25" s="42">
        <f t="shared" si="4"/>
        <v>53592.459999991581</v>
      </c>
      <c r="M25" s="12"/>
      <c r="N25" s="34"/>
      <c r="O25" s="34"/>
      <c r="P25" s="42">
        <f>SUMIF([17]Statements!$A$5:$A$1305,$A$3,[17]Statements!$CX$5:$CX$1305)</f>
        <v>0</v>
      </c>
    </row>
    <row r="26" spans="1:16" ht="12" customHeight="1" x14ac:dyDescent="0.2">
      <c r="A26" s="18" t="s">
        <v>42</v>
      </c>
      <c r="B26" s="42">
        <f>SUMIF([18]Statements!$A$5:$A$1305,$A$3,[18]Statements!$CP$5:$CP$1305)-113</f>
        <v>-0.40999999999999659</v>
      </c>
      <c r="C26" s="42"/>
      <c r="D26" s="42">
        <f t="shared" si="0"/>
        <v>-0.40999999999999659</v>
      </c>
      <c r="E26" s="43">
        <v>0</v>
      </c>
      <c r="F26" s="43">
        <f>'[1]Smith Barney-Fin'!$K$16</f>
        <v>0</v>
      </c>
      <c r="G26" s="43"/>
      <c r="H26" s="43">
        <f t="shared" si="1"/>
        <v>0</v>
      </c>
      <c r="I26" s="43"/>
      <c r="J26" s="43"/>
      <c r="K26" s="43"/>
      <c r="L26" s="42">
        <f t="shared" si="4"/>
        <v>-0.40999999999999659</v>
      </c>
      <c r="M26" s="12"/>
      <c r="N26" s="34"/>
      <c r="O26" s="34"/>
      <c r="P26" s="42">
        <f>SUMIF([18]Statements!$A$5:$A$1305,$A$3,[18]Statements!$CX$5:$CX$1305)</f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f>SUM(B7:B26)</f>
        <v>95539414.381027535</v>
      </c>
      <c r="C28" s="46">
        <f>SUM(C7:C26)</f>
        <v>0</v>
      </c>
      <c r="D28" s="46">
        <f>SUM(D7:D26)</f>
        <v>95539414.381027535</v>
      </c>
      <c r="E28" s="46">
        <f t="shared" ref="E28:L28" si="5">SUM(E7:E26)</f>
        <v>0</v>
      </c>
      <c r="F28" s="46">
        <f t="shared" si="5"/>
        <v>684102.75</v>
      </c>
      <c r="G28" s="46">
        <f t="shared" si="5"/>
        <v>0</v>
      </c>
      <c r="H28" s="46">
        <f t="shared" si="5"/>
        <v>684102.75</v>
      </c>
      <c r="I28" s="46"/>
      <c r="J28" s="46">
        <f t="shared" si="5"/>
        <v>0</v>
      </c>
      <c r="K28" s="46"/>
      <c r="L28" s="46">
        <f t="shared" si="5"/>
        <v>94855311.631027535</v>
      </c>
      <c r="M28" s="28"/>
      <c r="N28" s="46">
        <f>SUM(N7:N27)</f>
        <v>64204.5</v>
      </c>
      <c r="O28" s="46">
        <f>SUM(O7:O27)</f>
        <v>0</v>
      </c>
      <c r="P28" s="46">
        <f>SUM(P7:P27)</f>
        <v>-16845.437500000007</v>
      </c>
    </row>
    <row r="29" spans="1:16" s="17" customFormat="1" hidden="1" x14ac:dyDescent="0.2">
      <c r="A29" s="22" t="s">
        <v>25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f>+B28+SUM(B30:B31)</f>
        <v>95539414.381027535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f>B28+E28-F28+J28</f>
        <v>94855311.631027535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f>G25</f>
        <v>0</v>
      </c>
      <c r="E36" s="55">
        <f>C36+D36</f>
        <v>0</v>
      </c>
      <c r="F36" s="56">
        <f>+B36-E36</f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hidden="1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E50" sqref="E5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37239</v>
      </c>
      <c r="M2" s="3"/>
    </row>
    <row r="3" spans="1:17" ht="18" x14ac:dyDescent="0.25">
      <c r="A3" s="5">
        <v>37238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4047031.0241923211</v>
      </c>
      <c r="C12" s="42"/>
      <c r="D12" s="42">
        <v>4047031.0241923211</v>
      </c>
      <c r="E12" s="42">
        <v>0</v>
      </c>
      <c r="F12" s="42">
        <v>2110975.29</v>
      </c>
      <c r="G12" s="42"/>
      <c r="H12" s="42">
        <v>2110975.29</v>
      </c>
      <c r="I12" s="42"/>
      <c r="J12" s="42"/>
      <c r="K12" s="42"/>
      <c r="L12" s="42">
        <v>1936055.7341923211</v>
      </c>
      <c r="M12" s="12"/>
      <c r="N12" s="34"/>
      <c r="O12" s="34"/>
      <c r="P12" s="42">
        <v>-1586372.48875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5531001.9959997777</v>
      </c>
      <c r="C14" s="42"/>
      <c r="D14" s="42">
        <v>5531001.9959997777</v>
      </c>
      <c r="E14" s="42">
        <v>1291450</v>
      </c>
      <c r="F14" s="42">
        <v>294306</v>
      </c>
      <c r="G14" s="43"/>
      <c r="H14" s="42">
        <v>294306</v>
      </c>
      <c r="I14" s="43"/>
      <c r="J14" s="43"/>
      <c r="K14" s="43"/>
      <c r="L14" s="42">
        <v>6528145.9959997777</v>
      </c>
      <c r="M14" s="12"/>
      <c r="N14" s="34"/>
      <c r="O14" s="34"/>
      <c r="P14" s="42">
        <v>20760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93245124.164204434</v>
      </c>
      <c r="C28" s="46">
        <v>0</v>
      </c>
      <c r="D28" s="46">
        <v>93245124.164204434</v>
      </c>
      <c r="E28" s="46">
        <v>1291450</v>
      </c>
      <c r="F28" s="46">
        <v>2405281.29</v>
      </c>
      <c r="G28" s="46">
        <v>0</v>
      </c>
      <c r="H28" s="46">
        <v>2405281.29</v>
      </c>
      <c r="I28" s="46"/>
      <c r="J28" s="46">
        <v>0</v>
      </c>
      <c r="K28" s="46"/>
      <c r="L28" s="46">
        <v>92131292.874204442</v>
      </c>
      <c r="M28" s="28"/>
      <c r="N28" s="46">
        <v>64204.5</v>
      </c>
      <c r="O28" s="46">
        <v>0</v>
      </c>
      <c r="P28" s="46">
        <v>-1565612.48875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93245124.164204434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92131292.874204427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J46" sqref="J4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37242</v>
      </c>
      <c r="M2" s="3"/>
    </row>
    <row r="3" spans="1:17" ht="18" x14ac:dyDescent="0.25">
      <c r="A3" s="5">
        <v>37239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4184360.1125932513</v>
      </c>
      <c r="C12" s="42"/>
      <c r="D12" s="42">
        <v>4184360.1125932513</v>
      </c>
      <c r="E12" s="42">
        <v>0</v>
      </c>
      <c r="F12" s="42">
        <v>2129840.71</v>
      </c>
      <c r="G12" s="42"/>
      <c r="H12" s="42">
        <v>2129840.71</v>
      </c>
      <c r="I12" s="42"/>
      <c r="J12" s="42"/>
      <c r="K12" s="42"/>
      <c r="L12" s="42">
        <v>2054519.4025932513</v>
      </c>
      <c r="M12" s="12"/>
      <c r="N12" s="34"/>
      <c r="O12" s="34"/>
      <c r="P12" s="42">
        <v>-1446533.0724999998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95469975.522605374</v>
      </c>
      <c r="C28" s="46">
        <v>0</v>
      </c>
      <c r="D28" s="46">
        <v>95469975.522605374</v>
      </c>
      <c r="E28" s="46">
        <v>0</v>
      </c>
      <c r="F28" s="46">
        <v>2129840.71</v>
      </c>
      <c r="G28" s="46">
        <v>0</v>
      </c>
      <c r="H28" s="46">
        <v>2129840.71</v>
      </c>
      <c r="I28" s="46"/>
      <c r="J28" s="46">
        <v>0</v>
      </c>
      <c r="K28" s="46"/>
      <c r="L28" s="46">
        <v>93340134.812605366</v>
      </c>
      <c r="M28" s="28"/>
      <c r="N28" s="46">
        <v>64204.5</v>
      </c>
      <c r="O28" s="46">
        <v>0</v>
      </c>
      <c r="P28" s="46">
        <v>-1446533.0724999998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95469975.522605374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93340134.812605381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37243</v>
      </c>
      <c r="M2" s="3"/>
    </row>
    <row r="3" spans="1:17" ht="18" x14ac:dyDescent="0.25">
      <c r="A3" s="5">
        <v>37242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4191614.5092362962</v>
      </c>
      <c r="C12" s="42"/>
      <c r="D12" s="42">
        <v>4191614.5092362962</v>
      </c>
      <c r="E12" s="42">
        <v>0</v>
      </c>
      <c r="F12" s="42">
        <v>2136902.84</v>
      </c>
      <c r="G12" s="42"/>
      <c r="H12" s="42">
        <v>2136902.84</v>
      </c>
      <c r="I12" s="42"/>
      <c r="J12" s="42"/>
      <c r="K12" s="42"/>
      <c r="L12" s="42">
        <v>2054711.6692362963</v>
      </c>
      <c r="M12" s="12"/>
      <c r="N12" s="34"/>
      <c r="O12" s="34"/>
      <c r="P12" s="42">
        <v>-1439590.96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95477229.919248417</v>
      </c>
      <c r="C28" s="46">
        <v>0</v>
      </c>
      <c r="D28" s="46">
        <v>95477229.919248417</v>
      </c>
      <c r="E28" s="46">
        <v>0</v>
      </c>
      <c r="F28" s="46">
        <v>2136902.84</v>
      </c>
      <c r="G28" s="46">
        <v>0</v>
      </c>
      <c r="H28" s="46">
        <v>2136902.84</v>
      </c>
      <c r="I28" s="46"/>
      <c r="J28" s="46">
        <v>0</v>
      </c>
      <c r="K28" s="46"/>
      <c r="L28" s="46">
        <v>93340327.079248413</v>
      </c>
      <c r="M28" s="28"/>
      <c r="N28" s="46">
        <v>64204.5</v>
      </c>
      <c r="O28" s="46">
        <v>0</v>
      </c>
      <c r="P28" s="46">
        <v>-1439590.96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95477229.919248417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93340327.079248413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1" sqref="E11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37244</v>
      </c>
      <c r="M2" s="3"/>
    </row>
    <row r="3" spans="1:17" ht="18" x14ac:dyDescent="0.25">
      <c r="A3" s="5">
        <v>37243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4149304.7325349376</v>
      </c>
      <c r="C12" s="42"/>
      <c r="D12" s="42">
        <v>4149304.7325349376</v>
      </c>
      <c r="E12" s="42">
        <v>0</v>
      </c>
      <c r="F12" s="42">
        <v>2045576.79</v>
      </c>
      <c r="G12" s="42"/>
      <c r="H12" s="42">
        <v>2045576.79</v>
      </c>
      <c r="I12" s="42"/>
      <c r="J12" s="42"/>
      <c r="K12" s="42"/>
      <c r="L12" s="42">
        <v>2103727.9425349375</v>
      </c>
      <c r="M12" s="12"/>
      <c r="N12" s="34"/>
      <c r="O12" s="34"/>
      <c r="P12" s="42">
        <v>-1277979.4099999999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95434920.142547056</v>
      </c>
      <c r="C28" s="46">
        <v>0</v>
      </c>
      <c r="D28" s="46">
        <v>95434920.142547056</v>
      </c>
      <c r="E28" s="46">
        <v>0</v>
      </c>
      <c r="F28" s="46">
        <v>2045576.79</v>
      </c>
      <c r="G28" s="46">
        <v>0</v>
      </c>
      <c r="H28" s="46">
        <v>2045576.79</v>
      </c>
      <c r="I28" s="46"/>
      <c r="J28" s="46">
        <v>0</v>
      </c>
      <c r="K28" s="46"/>
      <c r="L28" s="46">
        <v>93389343.352547035</v>
      </c>
      <c r="M28" s="28"/>
      <c r="N28" s="46">
        <v>64204.5</v>
      </c>
      <c r="O28" s="46">
        <v>0</v>
      </c>
      <c r="P28" s="46">
        <v>-1277979.4099999999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95434920.142547056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93389343.35254705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55" sqref="A55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37245</v>
      </c>
      <c r="M2" s="3"/>
    </row>
    <row r="3" spans="1:17" ht="18" x14ac:dyDescent="0.25">
      <c r="A3" s="5">
        <v>37244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4168449.2565971687</v>
      </c>
      <c r="C12" s="42"/>
      <c r="D12" s="42">
        <v>4168449.2565971687</v>
      </c>
      <c r="E12" s="42">
        <v>0</v>
      </c>
      <c r="F12" s="42">
        <v>2036503.55</v>
      </c>
      <c r="G12" s="42"/>
      <c r="H12" s="42">
        <v>2036503.55</v>
      </c>
      <c r="I12" s="42"/>
      <c r="J12" s="42"/>
      <c r="K12" s="42"/>
      <c r="L12" s="42">
        <v>2131945.7065971689</v>
      </c>
      <c r="M12" s="12"/>
      <c r="N12" s="34"/>
      <c r="O12" s="34"/>
      <c r="P12" s="42">
        <v>-1258750.06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95454064.666609272</v>
      </c>
      <c r="C28" s="46">
        <v>0</v>
      </c>
      <c r="D28" s="46">
        <v>95454064.666609272</v>
      </c>
      <c r="E28" s="46">
        <v>0</v>
      </c>
      <c r="F28" s="46">
        <v>2036503.55</v>
      </c>
      <c r="G28" s="46">
        <v>0</v>
      </c>
      <c r="H28" s="46">
        <v>2036503.55</v>
      </c>
      <c r="I28" s="46"/>
      <c r="J28" s="46">
        <v>0</v>
      </c>
      <c r="K28" s="46"/>
      <c r="L28" s="46">
        <v>93417561.11660929</v>
      </c>
      <c r="M28" s="28"/>
      <c r="N28" s="46">
        <v>64204.5</v>
      </c>
      <c r="O28" s="46">
        <v>0</v>
      </c>
      <c r="P28" s="46">
        <v>-1258750.06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95454064.666609272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93417561.116609275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7" sqref="L47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37246</v>
      </c>
      <c r="M2" s="3"/>
    </row>
    <row r="3" spans="1:17" ht="18" x14ac:dyDescent="0.25">
      <c r="A3" s="5">
        <v>37245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4155838.5600595502</v>
      </c>
      <c r="C12" s="42"/>
      <c r="D12" s="42">
        <v>4155838.5600595502</v>
      </c>
      <c r="E12" s="42">
        <v>0</v>
      </c>
      <c r="F12" s="42">
        <v>685420.44</v>
      </c>
      <c r="G12" s="42"/>
      <c r="H12" s="42">
        <v>685420.44</v>
      </c>
      <c r="I12" s="42"/>
      <c r="J12" s="42"/>
      <c r="K12" s="42"/>
      <c r="L12" s="42">
        <v>3470418.1200595503</v>
      </c>
      <c r="M12" s="12"/>
      <c r="N12" s="34"/>
      <c r="O12" s="34"/>
      <c r="P12" s="42">
        <v>-103176.5625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95441453.970071658</v>
      </c>
      <c r="C28" s="46">
        <v>0</v>
      </c>
      <c r="D28" s="46">
        <v>95441453.970071658</v>
      </c>
      <c r="E28" s="46">
        <v>0</v>
      </c>
      <c r="F28" s="46">
        <v>685420.44</v>
      </c>
      <c r="G28" s="46">
        <v>0</v>
      </c>
      <c r="H28" s="46">
        <v>685420.44</v>
      </c>
      <c r="I28" s="46"/>
      <c r="J28" s="46">
        <v>0</v>
      </c>
      <c r="K28" s="46"/>
      <c r="L28" s="46">
        <v>94756033.530071661</v>
      </c>
      <c r="M28" s="28"/>
      <c r="N28" s="46">
        <v>64204.5</v>
      </c>
      <c r="O28" s="46">
        <v>0</v>
      </c>
      <c r="P28" s="46">
        <v>-103176.5625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95441453.970071658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94756033.530071661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>
    <oddFooter>&amp;L&amp;08O:\Erms\erms_adm\Nymex\2001\Dec\&amp;F {&amp;A}&amp;R&amp;08Page &amp;P of &amp;N
&amp;D  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37252</v>
      </c>
      <c r="M2" s="3"/>
    </row>
    <row r="3" spans="1:17" ht="18" x14ac:dyDescent="0.25">
      <c r="A3" s="5">
        <v>37251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4208744.4644018011</v>
      </c>
      <c r="C12" s="42"/>
      <c r="D12" s="42">
        <v>4208744.4644018011</v>
      </c>
      <c r="E12" s="42">
        <v>0</v>
      </c>
      <c r="F12" s="42">
        <v>684724.91</v>
      </c>
      <c r="G12" s="42"/>
      <c r="H12" s="42">
        <v>684724.91</v>
      </c>
      <c r="I12" s="42"/>
      <c r="J12" s="42"/>
      <c r="K12" s="42"/>
      <c r="L12" s="42">
        <v>3524019.554401801</v>
      </c>
      <c r="M12" s="12"/>
      <c r="N12" s="34"/>
      <c r="O12" s="34"/>
      <c r="P12" s="42">
        <v>-62053.14375000001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95494358.594413921</v>
      </c>
      <c r="C28" s="46">
        <v>0</v>
      </c>
      <c r="D28" s="46">
        <v>95494358.594413921</v>
      </c>
      <c r="E28" s="46">
        <v>0</v>
      </c>
      <c r="F28" s="46">
        <v>684724.91</v>
      </c>
      <c r="G28" s="46">
        <v>0</v>
      </c>
      <c r="H28" s="46">
        <v>684724.91</v>
      </c>
      <c r="I28" s="46"/>
      <c r="J28" s="46">
        <v>0</v>
      </c>
      <c r="K28" s="46"/>
      <c r="L28" s="46">
        <v>94809633.684413925</v>
      </c>
      <c r="M28" s="28"/>
      <c r="N28" s="46">
        <v>64204.5</v>
      </c>
      <c r="O28" s="46">
        <v>0</v>
      </c>
      <c r="P28" s="46">
        <v>-62053.14375000001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95494358.594413921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94809633.684413925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37256</v>
      </c>
      <c r="M2" s="3"/>
    </row>
    <row r="3" spans="1:17" ht="18" x14ac:dyDescent="0.25">
      <c r="A3" s="5">
        <v>37253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4253800.6610154193</v>
      </c>
      <c r="C12" s="42"/>
      <c r="D12" s="42">
        <v>4253800.6610154193</v>
      </c>
      <c r="E12" s="42">
        <v>0</v>
      </c>
      <c r="F12" s="42">
        <v>684102.75</v>
      </c>
      <c r="G12" s="42"/>
      <c r="H12" s="42">
        <v>684102.75</v>
      </c>
      <c r="I12" s="42"/>
      <c r="J12" s="42"/>
      <c r="K12" s="42"/>
      <c r="L12" s="42">
        <v>3569697.9110154193</v>
      </c>
      <c r="M12" s="12"/>
      <c r="N12" s="34"/>
      <c r="O12" s="34"/>
      <c r="P12" s="42">
        <v>-16845.437500000007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8353759.2659997689</v>
      </c>
      <c r="C14" s="42"/>
      <c r="D14" s="42">
        <v>8353759.2659997689</v>
      </c>
      <c r="E14" s="42">
        <v>0</v>
      </c>
      <c r="F14" s="42">
        <v>0</v>
      </c>
      <c r="G14" s="43"/>
      <c r="H14" s="42">
        <v>0</v>
      </c>
      <c r="I14" s="43"/>
      <c r="J14" s="43"/>
      <c r="K14" s="43"/>
      <c r="L14" s="42">
        <v>8353759.2659997689</v>
      </c>
      <c r="M14" s="12"/>
      <c r="N14" s="34"/>
      <c r="O14" s="34"/>
      <c r="P14" s="42">
        <v>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-0.15000000037252903</v>
      </c>
      <c r="C18" s="42"/>
      <c r="D18" s="42">
        <v>-0.15000000037252903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-0.15000000037252903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-0.40999999999999659</v>
      </c>
      <c r="C26" s="42"/>
      <c r="D26" s="42">
        <v>-0.40999999999999659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-0.40999999999999659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95539414.381027535</v>
      </c>
      <c r="C28" s="46">
        <v>0</v>
      </c>
      <c r="D28" s="46">
        <v>95539414.381027535</v>
      </c>
      <c r="E28" s="46">
        <v>0</v>
      </c>
      <c r="F28" s="46">
        <v>684102.75</v>
      </c>
      <c r="G28" s="46">
        <v>0</v>
      </c>
      <c r="H28" s="46">
        <v>684102.75</v>
      </c>
      <c r="I28" s="46"/>
      <c r="J28" s="46">
        <v>0</v>
      </c>
      <c r="K28" s="46"/>
      <c r="L28" s="46">
        <v>94855311.631027535</v>
      </c>
      <c r="M28" s="28"/>
      <c r="N28" s="46">
        <v>64204.5</v>
      </c>
      <c r="O28" s="46">
        <v>0</v>
      </c>
      <c r="P28" s="46">
        <v>-16845.437500000007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95539414.381027535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94855311.631027535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3" sqref="L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1.7109375" customWidth="1"/>
    <col min="15" max="15" width="10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37229</v>
      </c>
      <c r="M2" s="3"/>
    </row>
    <row r="3" spans="1:17" ht="18" x14ac:dyDescent="0.25">
      <c r="A3" s="5">
        <v>37228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3675968.0321894446</v>
      </c>
      <c r="C12" s="42"/>
      <c r="D12" s="42">
        <v>3675968.0321894446</v>
      </c>
      <c r="E12" s="42">
        <v>0</v>
      </c>
      <c r="F12" s="42">
        <v>2163136.5499999998</v>
      </c>
      <c r="G12" s="42"/>
      <c r="H12" s="42">
        <v>2163136.5499999998</v>
      </c>
      <c r="I12" s="42"/>
      <c r="J12" s="42"/>
      <c r="K12" s="42"/>
      <c r="L12" s="42">
        <v>1512831.4821894448</v>
      </c>
      <c r="M12" s="12"/>
      <c r="N12" s="34"/>
      <c r="O12" s="34"/>
      <c r="P12" s="42">
        <v>-1950107.1870000002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30188823.945999801</v>
      </c>
      <c r="C14" s="42"/>
      <c r="D14" s="42">
        <v>30188823.945999801</v>
      </c>
      <c r="E14" s="42">
        <v>-22068750</v>
      </c>
      <c r="F14" s="42">
        <v>2588994</v>
      </c>
      <c r="G14" s="43"/>
      <c r="H14" s="42">
        <v>2588994</v>
      </c>
      <c r="I14" s="43"/>
      <c r="J14" s="43"/>
      <c r="K14" s="43"/>
      <c r="L14" s="42">
        <v>5531079.9459998012</v>
      </c>
      <c r="M14" s="12"/>
      <c r="N14" s="34"/>
      <c r="O14" s="34"/>
      <c r="P14" s="42">
        <v>3617814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0</v>
      </c>
      <c r="O17" s="34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90196629.660000041</v>
      </c>
      <c r="C20" s="43"/>
      <c r="D20" s="42">
        <v>90196629.660000041</v>
      </c>
      <c r="E20" s="43">
        <v>0</v>
      </c>
      <c r="F20" s="43">
        <v>21436672</v>
      </c>
      <c r="G20" s="43"/>
      <c r="H20" s="42">
        <v>21436672</v>
      </c>
      <c r="I20" s="43"/>
      <c r="J20" s="43"/>
      <c r="K20" s="43"/>
      <c r="L20" s="42">
        <v>68759957.660000041</v>
      </c>
      <c r="M20" s="12"/>
      <c r="N20" s="34"/>
      <c r="O20" s="34"/>
      <c r="P20" s="43">
        <v>-3723290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127374735.32220156</v>
      </c>
      <c r="C28" s="46">
        <v>0</v>
      </c>
      <c r="D28" s="46">
        <v>127374735.32220156</v>
      </c>
      <c r="E28" s="46">
        <v>-22068750</v>
      </c>
      <c r="F28" s="46">
        <v>26188802.550000001</v>
      </c>
      <c r="G28" s="46">
        <v>0</v>
      </c>
      <c r="H28" s="46">
        <v>26188802.550000001</v>
      </c>
      <c r="I28" s="46"/>
      <c r="J28" s="46">
        <v>0</v>
      </c>
      <c r="K28" s="46"/>
      <c r="L28" s="46">
        <v>79117182.772201583</v>
      </c>
      <c r="M28" s="28"/>
      <c r="N28" s="27">
        <v>0</v>
      </c>
      <c r="O28" s="27">
        <v>0</v>
      </c>
      <c r="P28" s="46">
        <v>-2055583.1870000002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127374735.32220156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79117182.772201568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37230</v>
      </c>
      <c r="M2" s="3"/>
    </row>
    <row r="3" spans="1:17" ht="18" x14ac:dyDescent="0.25">
      <c r="A3" s="5">
        <v>37229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3695967.9232304092</v>
      </c>
      <c r="C12" s="42"/>
      <c r="D12" s="42">
        <v>3695967.9232304092</v>
      </c>
      <c r="E12" s="42">
        <v>0</v>
      </c>
      <c r="F12" s="42">
        <v>2158535.8199999998</v>
      </c>
      <c r="G12" s="42"/>
      <c r="H12" s="42">
        <v>2158535.8199999998</v>
      </c>
      <c r="I12" s="42"/>
      <c r="J12" s="42"/>
      <c r="K12" s="42"/>
      <c r="L12" s="42">
        <v>1537432.1032304093</v>
      </c>
      <c r="M12" s="12"/>
      <c r="N12" s="34"/>
      <c r="O12" s="34"/>
      <c r="P12" s="42">
        <v>-1932825.8549999997</v>
      </c>
    </row>
    <row r="13" spans="1:17" x14ac:dyDescent="0.2">
      <c r="A13" t="s">
        <v>20</v>
      </c>
      <c r="B13" s="42">
        <v>29258.320000004023</v>
      </c>
      <c r="C13" s="42"/>
      <c r="D13" s="42">
        <v>29258.320000004023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29258.320000004023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36258832.445999779</v>
      </c>
      <c r="C14" s="42"/>
      <c r="D14" s="42">
        <v>36258832.445999779</v>
      </c>
      <c r="E14" s="42">
        <v>-28519380</v>
      </c>
      <c r="F14" s="42">
        <v>895448</v>
      </c>
      <c r="G14" s="43"/>
      <c r="H14" s="42">
        <v>895448</v>
      </c>
      <c r="I14" s="43"/>
      <c r="J14" s="43"/>
      <c r="K14" s="43"/>
      <c r="L14" s="42">
        <v>6844004.4459997788</v>
      </c>
      <c r="M14" s="12"/>
      <c r="N14" s="34"/>
      <c r="O14" s="34"/>
      <c r="P14" s="42">
        <v>7552010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86335049.660000056</v>
      </c>
      <c r="C20" s="43"/>
      <c r="D20" s="42">
        <v>86335049.660000056</v>
      </c>
      <c r="E20" s="43">
        <v>0</v>
      </c>
      <c r="F20" s="43">
        <v>10764197</v>
      </c>
      <c r="G20" s="43"/>
      <c r="H20" s="42">
        <v>10764197</v>
      </c>
      <c r="I20" s="43"/>
      <c r="J20" s="43"/>
      <c r="K20" s="43"/>
      <c r="L20" s="42">
        <v>75570852.660000056</v>
      </c>
      <c r="M20" s="12"/>
      <c r="N20" s="34"/>
      <c r="O20" s="34"/>
      <c r="P20" s="43">
        <v>-47750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129603163.71324252</v>
      </c>
      <c r="C28" s="46">
        <v>0</v>
      </c>
      <c r="D28" s="46">
        <v>129603163.71324252</v>
      </c>
      <c r="E28" s="46">
        <v>-28519380</v>
      </c>
      <c r="F28" s="46">
        <v>13818180.82</v>
      </c>
      <c r="G28" s="46">
        <v>0</v>
      </c>
      <c r="H28" s="46">
        <v>13818180.82</v>
      </c>
      <c r="I28" s="46"/>
      <c r="J28" s="46">
        <v>0</v>
      </c>
      <c r="K28" s="46"/>
      <c r="L28" s="46">
        <v>87265602.893242523</v>
      </c>
      <c r="M28" s="28"/>
      <c r="N28" s="46">
        <v>64204.5</v>
      </c>
      <c r="O28" s="46">
        <v>0</v>
      </c>
      <c r="P28" s="46">
        <v>5571434.1450000005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129603163.71324252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87265602.893242508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A19" sqref="A19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37231</v>
      </c>
      <c r="M2" s="3"/>
    </row>
    <row r="3" spans="1:17" ht="18" x14ac:dyDescent="0.25">
      <c r="A3" s="5">
        <v>37230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239387.53600002639</v>
      </c>
      <c r="C8" s="42"/>
      <c r="D8" s="42">
        <v>239387.53600002639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239387.53600002639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4082982.2090916871</v>
      </c>
      <c r="C12" s="42"/>
      <c r="D12" s="42">
        <v>4082982.2090916871</v>
      </c>
      <c r="E12" s="42">
        <v>0</v>
      </c>
      <c r="F12" s="42">
        <v>2075741.95</v>
      </c>
      <c r="G12" s="42"/>
      <c r="H12" s="42">
        <v>2075741.95</v>
      </c>
      <c r="I12" s="42"/>
      <c r="J12" s="42"/>
      <c r="K12" s="42"/>
      <c r="L12" s="42">
        <v>2007240.2590916872</v>
      </c>
      <c r="M12" s="12"/>
      <c r="N12" s="34"/>
      <c r="O12" s="34"/>
      <c r="P12" s="42">
        <v>-1553591.2962500001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38582105.995999783</v>
      </c>
      <c r="C14" s="42"/>
      <c r="D14" s="42">
        <v>38582105.995999783</v>
      </c>
      <c r="E14" s="42">
        <v>-30829260</v>
      </c>
      <c r="F14" s="42">
        <v>530174</v>
      </c>
      <c r="G14" s="43"/>
      <c r="H14" s="42">
        <v>530174</v>
      </c>
      <c r="I14" s="43"/>
      <c r="J14" s="43"/>
      <c r="K14" s="43"/>
      <c r="L14" s="42">
        <v>7222671.9959997833</v>
      </c>
      <c r="M14" s="12"/>
      <c r="N14" s="34"/>
      <c r="O14" s="34"/>
      <c r="P14" s="42">
        <v>7021630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82035399.660000056</v>
      </c>
      <c r="C20" s="43"/>
      <c r="D20" s="42">
        <v>82035399.660000056</v>
      </c>
      <c r="E20" s="43">
        <v>0</v>
      </c>
      <c r="F20" s="43">
        <v>7856805</v>
      </c>
      <c r="G20" s="43"/>
      <c r="H20" s="42">
        <v>7856805</v>
      </c>
      <c r="I20" s="43"/>
      <c r="J20" s="43"/>
      <c r="K20" s="43"/>
      <c r="L20" s="42">
        <v>74178594.660000056</v>
      </c>
      <c r="M20" s="12"/>
      <c r="N20" s="34"/>
      <c r="O20" s="34"/>
      <c r="P20" s="43">
        <v>2535090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128014391.04910381</v>
      </c>
      <c r="C28" s="46">
        <v>0</v>
      </c>
      <c r="D28" s="46">
        <v>128014391.04910381</v>
      </c>
      <c r="E28" s="46">
        <v>-30829260</v>
      </c>
      <c r="F28" s="46">
        <v>10462720.949999999</v>
      </c>
      <c r="G28" s="46">
        <v>0</v>
      </c>
      <c r="H28" s="46">
        <v>10462720.949999999</v>
      </c>
      <c r="I28" s="46"/>
      <c r="J28" s="46">
        <v>0</v>
      </c>
      <c r="K28" s="46"/>
      <c r="L28" s="46">
        <v>86722410.099103823</v>
      </c>
      <c r="M28" s="28"/>
      <c r="N28" s="46">
        <v>64204.5</v>
      </c>
      <c r="O28" s="46">
        <v>0</v>
      </c>
      <c r="P28" s="46">
        <v>8003128.7037499994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128014391.04910381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86722410.099103808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opLeftCell="C1" zoomScale="70" workbookViewId="0">
      <selection activeCell="B20" sqref="B20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37232</v>
      </c>
      <c r="M2" s="3"/>
    </row>
    <row r="3" spans="1:17" ht="18" x14ac:dyDescent="0.25">
      <c r="A3" s="5">
        <v>37231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4155680.0449069059</v>
      </c>
      <c r="C12" s="42"/>
      <c r="D12" s="42">
        <v>4155680.0449069059</v>
      </c>
      <c r="E12" s="42">
        <v>0</v>
      </c>
      <c r="F12" s="42">
        <v>2094227.32</v>
      </c>
      <c r="G12" s="42"/>
      <c r="H12" s="42">
        <v>2094227.32</v>
      </c>
      <c r="I12" s="42"/>
      <c r="J12" s="42"/>
      <c r="K12" s="42"/>
      <c r="L12" s="42">
        <v>2061452.7249069058</v>
      </c>
      <c r="M12" s="12"/>
      <c r="N12" s="34"/>
      <c r="O12" s="34"/>
      <c r="P12" s="42">
        <v>-1469880.86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38309432.595999777</v>
      </c>
      <c r="C14" s="42"/>
      <c r="D14" s="42">
        <v>38309432.595999777</v>
      </c>
      <c r="E14" s="42">
        <v>-30811120</v>
      </c>
      <c r="F14" s="42">
        <v>882648</v>
      </c>
      <c r="G14" s="43"/>
      <c r="H14" s="42">
        <v>882648</v>
      </c>
      <c r="I14" s="43"/>
      <c r="J14" s="43"/>
      <c r="K14" s="43"/>
      <c r="L14" s="42">
        <v>6615664.5959997773</v>
      </c>
      <c r="M14" s="12"/>
      <c r="N14" s="34"/>
      <c r="O14" s="34"/>
      <c r="P14" s="42">
        <v>5847070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80981337.160000056</v>
      </c>
      <c r="C20" s="43"/>
      <c r="D20" s="42">
        <v>80981337.160000056</v>
      </c>
      <c r="E20" s="43">
        <v>0</v>
      </c>
      <c r="F20" s="43">
        <v>1629870</v>
      </c>
      <c r="G20" s="43"/>
      <c r="H20" s="42">
        <v>1629870</v>
      </c>
      <c r="I20" s="43"/>
      <c r="J20" s="43"/>
      <c r="K20" s="43"/>
      <c r="L20" s="42">
        <v>79351467.160000056</v>
      </c>
      <c r="M20" s="12"/>
      <c r="N20" s="34"/>
      <c r="O20" s="34"/>
      <c r="P20" s="43">
        <v>200590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126715866.26491903</v>
      </c>
      <c r="C28" s="46">
        <v>0</v>
      </c>
      <c r="D28" s="46">
        <v>126715866.26491903</v>
      </c>
      <c r="E28" s="46">
        <v>-30811120</v>
      </c>
      <c r="F28" s="46">
        <v>4606745.32</v>
      </c>
      <c r="G28" s="46">
        <v>0</v>
      </c>
      <c r="H28" s="46">
        <v>4606745.32</v>
      </c>
      <c r="I28" s="46"/>
      <c r="J28" s="46">
        <v>0</v>
      </c>
      <c r="K28" s="46"/>
      <c r="L28" s="46">
        <v>91298000.944919035</v>
      </c>
      <c r="M28" s="28"/>
      <c r="N28" s="46">
        <v>64204.5</v>
      </c>
      <c r="O28" s="46">
        <v>0</v>
      </c>
      <c r="P28" s="46">
        <v>4577779.1399999997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126715866.26491903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91298000.94491902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pageSetup scale="5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36" sqref="L3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37235</v>
      </c>
      <c r="M2" s="3"/>
    </row>
    <row r="3" spans="1:17" ht="18" x14ac:dyDescent="0.25">
      <c r="A3" s="5">
        <v>37232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4190483.7418139772</v>
      </c>
      <c r="C12" s="42"/>
      <c r="D12" s="42">
        <v>4190483.7418139772</v>
      </c>
      <c r="E12" s="42">
        <v>0</v>
      </c>
      <c r="F12" s="42">
        <v>2100395.52</v>
      </c>
      <c r="G12" s="42"/>
      <c r="H12" s="42">
        <v>2100395.52</v>
      </c>
      <c r="I12" s="42"/>
      <c r="J12" s="42"/>
      <c r="K12" s="42"/>
      <c r="L12" s="42">
        <v>2090088.2218139772</v>
      </c>
      <c r="M12" s="12"/>
      <c r="N12" s="34"/>
      <c r="O12" s="34"/>
      <c r="P12" s="42">
        <v>-1441565.4824999999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38995383.695999786</v>
      </c>
      <c r="C14" s="42"/>
      <c r="D14" s="42">
        <v>38995383.695999786</v>
      </c>
      <c r="E14" s="42">
        <v>-31526730</v>
      </c>
      <c r="F14" s="42">
        <v>1045902</v>
      </c>
      <c r="G14" s="43"/>
      <c r="H14" s="42">
        <v>1045902</v>
      </c>
      <c r="I14" s="43"/>
      <c r="J14" s="43"/>
      <c r="K14" s="43"/>
      <c r="L14" s="42">
        <v>6422751.6959997863</v>
      </c>
      <c r="M14" s="12"/>
      <c r="N14" s="34"/>
      <c r="O14" s="34"/>
      <c r="P14" s="42">
        <v>5635520</v>
      </c>
    </row>
    <row r="15" spans="1:17" x14ac:dyDescent="0.2">
      <c r="A15" t="s">
        <v>43</v>
      </c>
      <c r="B15" s="44">
        <v>2257971.65</v>
      </c>
      <c r="C15" s="44"/>
      <c r="D15" s="42">
        <v>2257971.65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2257971.65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80572087.160000056</v>
      </c>
      <c r="C20" s="43"/>
      <c r="D20" s="42">
        <v>80572087.160000056</v>
      </c>
      <c r="E20" s="43">
        <v>0</v>
      </c>
      <c r="F20" s="43">
        <v>914100</v>
      </c>
      <c r="G20" s="43"/>
      <c r="H20" s="42">
        <v>914100</v>
      </c>
      <c r="I20" s="43"/>
      <c r="J20" s="43"/>
      <c r="K20" s="43"/>
      <c r="L20" s="42">
        <v>79657987.160000056</v>
      </c>
      <c r="M20" s="12"/>
      <c r="N20" s="34"/>
      <c r="O20" s="34"/>
      <c r="P20" s="43">
        <v>55020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-0.32000000000698492</v>
      </c>
      <c r="C23" s="42"/>
      <c r="D23" s="42">
        <v>-0.32000000000698492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-0.32000000000698492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127027371.06182609</v>
      </c>
      <c r="C28" s="46">
        <v>0</v>
      </c>
      <c r="D28" s="46">
        <v>127027371.06182609</v>
      </c>
      <c r="E28" s="46">
        <v>-31526730</v>
      </c>
      <c r="F28" s="46">
        <v>4060397.52</v>
      </c>
      <c r="G28" s="46">
        <v>0</v>
      </c>
      <c r="H28" s="46">
        <v>4060397.52</v>
      </c>
      <c r="I28" s="46"/>
      <c r="J28" s="46">
        <v>0</v>
      </c>
      <c r="K28" s="46"/>
      <c r="L28" s="46">
        <v>91440243.541826114</v>
      </c>
      <c r="M28" s="28"/>
      <c r="N28" s="46">
        <v>64204.5</v>
      </c>
      <c r="O28" s="46">
        <v>0</v>
      </c>
      <c r="P28" s="46">
        <v>4248974.5175000001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127027371.06182609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91440243.541826099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A33" sqref="A33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37236</v>
      </c>
      <c r="M2" s="3"/>
    </row>
    <row r="3" spans="1:17" ht="18" x14ac:dyDescent="0.25">
      <c r="A3" s="5">
        <v>37235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1.28</v>
      </c>
      <c r="C11" s="42"/>
      <c r="D11" s="42">
        <v>1.28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1.28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4041639.5866221334</v>
      </c>
      <c r="C12" s="42"/>
      <c r="D12" s="42">
        <v>4041639.5866221334</v>
      </c>
      <c r="E12" s="42">
        <v>0</v>
      </c>
      <c r="F12" s="42">
        <v>2102656.7200000002</v>
      </c>
      <c r="G12" s="42"/>
      <c r="H12" s="42">
        <v>2102656.7200000002</v>
      </c>
      <c r="I12" s="42"/>
      <c r="J12" s="42"/>
      <c r="K12" s="42"/>
      <c r="L12" s="42">
        <v>1938982.8666221332</v>
      </c>
      <c r="M12" s="12"/>
      <c r="N12" s="34"/>
      <c r="O12" s="34"/>
      <c r="P12" s="42">
        <v>-1587787.4559000002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36221336.245999783</v>
      </c>
      <c r="C14" s="42"/>
      <c r="D14" s="42">
        <v>36221336.245999783</v>
      </c>
      <c r="E14" s="42">
        <v>-29176050</v>
      </c>
      <c r="F14" s="42">
        <v>3156254</v>
      </c>
      <c r="G14" s="43"/>
      <c r="H14" s="42">
        <v>3156254</v>
      </c>
      <c r="I14" s="43"/>
      <c r="J14" s="43"/>
      <c r="K14" s="43"/>
      <c r="L14" s="42">
        <v>3889032.2459997833</v>
      </c>
      <c r="M14" s="12"/>
      <c r="N14" s="34"/>
      <c r="O14" s="34"/>
      <c r="P14" s="42">
        <v>4464420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80443952.160000056</v>
      </c>
      <c r="C20" s="43"/>
      <c r="D20" s="42">
        <v>80443952.160000056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80443952.160000056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0.21142121125012636</v>
      </c>
      <c r="C21" s="42"/>
      <c r="D21" s="42">
        <v>0.21142121125012636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0.21142121125012636</v>
      </c>
      <c r="M21" s="12"/>
      <c r="N21" s="34"/>
      <c r="O21" s="34"/>
      <c r="P21" s="42">
        <v>-19725.3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123992227.17663425</v>
      </c>
      <c r="C28" s="46">
        <v>0</v>
      </c>
      <c r="D28" s="46">
        <v>123992227.17663425</v>
      </c>
      <c r="E28" s="46">
        <v>-29176050</v>
      </c>
      <c r="F28" s="46">
        <v>5258910.72</v>
      </c>
      <c r="G28" s="46">
        <v>0</v>
      </c>
      <c r="H28" s="46">
        <v>5258910.72</v>
      </c>
      <c r="I28" s="46"/>
      <c r="J28" s="46">
        <v>0</v>
      </c>
      <c r="K28" s="46"/>
      <c r="L28" s="46">
        <v>89557266.456634253</v>
      </c>
      <c r="M28" s="28"/>
      <c r="N28" s="46">
        <v>64204.5</v>
      </c>
      <c r="O28" s="46">
        <v>0</v>
      </c>
      <c r="P28" s="46">
        <v>2856907.2440999998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123992227.17663425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89557266.456634253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C1" zoomScale="70" workbookViewId="0">
      <selection activeCell="D16" sqref="D16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37237</v>
      </c>
      <c r="M2" s="3"/>
    </row>
    <row r="3" spans="1:17" ht="18" x14ac:dyDescent="0.25">
      <c r="A3" s="5">
        <v>37236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3934714.7280502785</v>
      </c>
      <c r="C12" s="42"/>
      <c r="D12" s="42">
        <v>3934714.7280502785</v>
      </c>
      <c r="E12" s="42">
        <v>0</v>
      </c>
      <c r="F12" s="42">
        <v>2108206.27</v>
      </c>
      <c r="G12" s="42"/>
      <c r="H12" s="42">
        <v>2108206.27</v>
      </c>
      <c r="I12" s="42"/>
      <c r="J12" s="42"/>
      <c r="K12" s="42"/>
      <c r="L12" s="42">
        <v>1826508.4580502785</v>
      </c>
      <c r="M12" s="12"/>
      <c r="N12" s="34"/>
      <c r="O12" s="34"/>
      <c r="P12" s="42">
        <v>-1696047.625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6171835.0959997717</v>
      </c>
      <c r="C14" s="42"/>
      <c r="D14" s="42">
        <v>6171835.0959997717</v>
      </c>
      <c r="E14" s="42">
        <v>760800</v>
      </c>
      <c r="F14" s="42">
        <v>1596172</v>
      </c>
      <c r="G14" s="43"/>
      <c r="H14" s="42">
        <v>1596172</v>
      </c>
      <c r="I14" s="43"/>
      <c r="J14" s="43"/>
      <c r="K14" s="43"/>
      <c r="L14" s="42">
        <v>5336463.0959997717</v>
      </c>
      <c r="M14" s="12"/>
      <c r="N14" s="34"/>
      <c r="O14" s="34"/>
      <c r="P14" s="42">
        <v>428890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>
        <v>1</v>
      </c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93773639.688062385</v>
      </c>
      <c r="C28" s="46">
        <v>0</v>
      </c>
      <c r="D28" s="46">
        <v>93773639.688062385</v>
      </c>
      <c r="E28" s="46">
        <v>760800</v>
      </c>
      <c r="F28" s="46">
        <v>3704378.27</v>
      </c>
      <c r="G28" s="46">
        <v>0</v>
      </c>
      <c r="H28" s="46">
        <v>3704378.27</v>
      </c>
      <c r="I28" s="46"/>
      <c r="J28" s="46">
        <v>0</v>
      </c>
      <c r="K28" s="46"/>
      <c r="L28" s="46">
        <v>90830061.418062404</v>
      </c>
      <c r="M28" s="28"/>
      <c r="N28" s="46">
        <v>64204.5</v>
      </c>
      <c r="O28" s="46">
        <v>0</v>
      </c>
      <c r="P28" s="46">
        <v>-1267157.625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93773639.688062385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90830061.418062389</v>
      </c>
    </row>
    <row r="34" spans="1:14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t="13.5" thickTop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x14ac:dyDescent="0.2">
      <c r="B38"/>
      <c r="C38"/>
      <c r="D38"/>
      <c r="E38"/>
      <c r="F38"/>
      <c r="G38"/>
      <c r="I38"/>
      <c r="J38"/>
      <c r="K38"/>
      <c r="L38"/>
    </row>
    <row r="39" spans="1:14" x14ac:dyDescent="0.2">
      <c r="B39"/>
      <c r="C39"/>
      <c r="D39"/>
      <c r="E39"/>
      <c r="F39"/>
      <c r="G39"/>
      <c r="I39"/>
      <c r="J39"/>
      <c r="K39"/>
      <c r="L39"/>
    </row>
    <row r="40" spans="1:14" x14ac:dyDescent="0.2">
      <c r="A40" s="18"/>
      <c r="M40" s="18"/>
    </row>
    <row r="41" spans="1:14" x14ac:dyDescent="0.2">
      <c r="A41" s="19"/>
      <c r="B41" s="41"/>
      <c r="C41" s="41"/>
      <c r="D41" s="41"/>
      <c r="E41" s="41"/>
    </row>
    <row r="42" spans="1:14" x14ac:dyDescent="0.2">
      <c r="A42" s="19"/>
      <c r="B42" s="41"/>
      <c r="C42" s="41"/>
      <c r="D42" s="41"/>
      <c r="E42" s="41"/>
    </row>
    <row r="43" spans="1:14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9" customWidth="1"/>
    <col min="3" max="3" width="15" style="39" customWidth="1"/>
    <col min="4" max="4" width="18.140625" style="39" customWidth="1"/>
    <col min="5" max="5" width="17.85546875" style="39" customWidth="1"/>
    <col min="6" max="6" width="20" style="38" customWidth="1"/>
    <col min="7" max="7" width="16.42578125" style="38" customWidth="1"/>
    <col min="8" max="8" width="16.42578125" customWidth="1"/>
    <col min="9" max="9" width="2.5703125" style="38" customWidth="1"/>
    <col min="10" max="10" width="15.5703125" style="38" customWidth="1"/>
    <col min="11" max="11" width="2.5703125" style="38" customWidth="1"/>
    <col min="12" max="12" width="17.7109375" style="38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37238</v>
      </c>
      <c r="M2" s="3"/>
    </row>
    <row r="3" spans="1:17" ht="18" x14ac:dyDescent="0.25">
      <c r="A3" s="5">
        <v>37237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2" t="s">
        <v>1</v>
      </c>
      <c r="C5" s="32"/>
      <c r="D5" s="32"/>
      <c r="E5" s="32"/>
      <c r="F5" s="21"/>
      <c r="G5" s="21"/>
      <c r="H5" s="21"/>
      <c r="I5" s="21"/>
      <c r="J5" s="21"/>
      <c r="K5" s="21"/>
      <c r="L5" s="21"/>
      <c r="M5" s="3"/>
      <c r="N5" s="32" t="s">
        <v>2</v>
      </c>
      <c r="O5" s="32"/>
      <c r="P5" s="32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7"/>
      <c r="J6" s="9" t="s">
        <v>39</v>
      </c>
      <c r="K6" s="37"/>
      <c r="L6" s="9" t="s">
        <v>40</v>
      </c>
      <c r="M6" s="10"/>
      <c r="N6" s="8" t="s">
        <v>36</v>
      </c>
      <c r="O6" s="8" t="s">
        <v>5</v>
      </c>
      <c r="P6" s="57" t="s">
        <v>4</v>
      </c>
    </row>
    <row r="7" spans="1:17" x14ac:dyDescent="0.2">
      <c r="M7" s="3"/>
    </row>
    <row r="8" spans="1:17" x14ac:dyDescent="0.2">
      <c r="A8" t="s">
        <v>16</v>
      </c>
      <c r="B8" s="42">
        <v>194899.53600002639</v>
      </c>
      <c r="C8" s="42"/>
      <c r="D8" s="42">
        <v>194899.53600002639</v>
      </c>
      <c r="E8" s="42">
        <v>0</v>
      </c>
      <c r="F8" s="42">
        <v>0</v>
      </c>
      <c r="G8" s="43"/>
      <c r="H8" s="42">
        <v>0</v>
      </c>
      <c r="I8" s="42"/>
      <c r="J8" s="42"/>
      <c r="K8" s="42"/>
      <c r="L8" s="42">
        <v>194899.53600002639</v>
      </c>
      <c r="M8" s="12"/>
      <c r="N8" s="34"/>
      <c r="O8" s="34"/>
      <c r="P8" s="42">
        <v>0</v>
      </c>
      <c r="Q8" s="34"/>
    </row>
    <row r="9" spans="1:17" x14ac:dyDescent="0.2">
      <c r="A9" t="s">
        <v>6</v>
      </c>
      <c r="B9" s="42">
        <v>0.19900000531924888</v>
      </c>
      <c r="C9" s="44"/>
      <c r="D9" s="42">
        <v>0.19900000531924888</v>
      </c>
      <c r="E9" s="44">
        <v>0</v>
      </c>
      <c r="F9" s="44">
        <v>0</v>
      </c>
      <c r="G9" s="44"/>
      <c r="H9" s="44">
        <v>0</v>
      </c>
      <c r="I9" s="44"/>
      <c r="J9" s="44"/>
      <c r="K9" s="44"/>
      <c r="L9" s="42">
        <v>0.19900000531924888</v>
      </c>
      <c r="M9" s="12"/>
      <c r="N9" s="35"/>
      <c r="O9" s="35"/>
      <c r="P9" s="42">
        <v>0</v>
      </c>
    </row>
    <row r="10" spans="1:17" x14ac:dyDescent="0.2">
      <c r="A10" t="s">
        <v>17</v>
      </c>
      <c r="B10" s="42">
        <v>0.22000002861022949</v>
      </c>
      <c r="C10" s="44"/>
      <c r="D10" s="42">
        <v>0.22000002861022949</v>
      </c>
      <c r="E10" s="44">
        <v>0</v>
      </c>
      <c r="F10" s="44">
        <v>0</v>
      </c>
      <c r="G10" s="44"/>
      <c r="H10" s="44">
        <v>0</v>
      </c>
      <c r="I10" s="44"/>
      <c r="J10" s="44"/>
      <c r="K10" s="44"/>
      <c r="L10" s="42">
        <v>0.22000002861022949</v>
      </c>
      <c r="M10" s="12"/>
      <c r="N10" s="35"/>
      <c r="O10" s="35"/>
      <c r="P10" s="42">
        <v>0</v>
      </c>
    </row>
    <row r="11" spans="1:17" x14ac:dyDescent="0.2">
      <c r="A11" t="s">
        <v>7</v>
      </c>
      <c r="B11" s="42">
        <v>0</v>
      </c>
      <c r="C11" s="42"/>
      <c r="D11" s="42">
        <v>0</v>
      </c>
      <c r="E11" s="42">
        <v>0</v>
      </c>
      <c r="F11" s="42">
        <v>0</v>
      </c>
      <c r="G11" s="42"/>
      <c r="H11" s="42">
        <v>0</v>
      </c>
      <c r="I11" s="42"/>
      <c r="J11" s="42"/>
      <c r="K11" s="42"/>
      <c r="L11" s="42">
        <v>0</v>
      </c>
      <c r="M11" s="12"/>
      <c r="N11" s="34"/>
      <c r="O11" s="34"/>
      <c r="P11" s="42">
        <v>0</v>
      </c>
    </row>
    <row r="12" spans="1:17" x14ac:dyDescent="0.2">
      <c r="A12" t="s">
        <v>8</v>
      </c>
      <c r="B12" s="42">
        <v>3849448.4251248208</v>
      </c>
      <c r="C12" s="42"/>
      <c r="D12" s="42">
        <v>3849448.4251248208</v>
      </c>
      <c r="E12" s="42">
        <v>0</v>
      </c>
      <c r="F12" s="42">
        <v>2118278.21</v>
      </c>
      <c r="G12" s="42"/>
      <c r="H12" s="42">
        <v>2118278.21</v>
      </c>
      <c r="I12" s="42"/>
      <c r="J12" s="42"/>
      <c r="K12" s="42"/>
      <c r="L12" s="42">
        <v>1731170.2151248208</v>
      </c>
      <c r="M12" s="12"/>
      <c r="N12" s="34"/>
      <c r="O12" s="34"/>
      <c r="P12" s="42">
        <v>-1781357.9775</v>
      </c>
    </row>
    <row r="13" spans="1:17" x14ac:dyDescent="0.2">
      <c r="A13" t="s">
        <v>20</v>
      </c>
      <c r="B13" s="42">
        <v>29847.820000004023</v>
      </c>
      <c r="C13" s="42"/>
      <c r="D13" s="42">
        <v>29847.820000004023</v>
      </c>
      <c r="E13" s="42">
        <v>0</v>
      </c>
      <c r="F13" s="42">
        <v>0</v>
      </c>
      <c r="G13" s="42"/>
      <c r="H13" s="42">
        <v>0</v>
      </c>
      <c r="I13" s="42"/>
      <c r="J13" s="42"/>
      <c r="K13" s="42"/>
      <c r="L13" s="42">
        <v>29847.820000004023</v>
      </c>
      <c r="M13" s="12"/>
      <c r="N13" s="34"/>
      <c r="O13" s="34"/>
      <c r="P13" s="42">
        <v>0</v>
      </c>
    </row>
    <row r="14" spans="1:17" x14ac:dyDescent="0.2">
      <c r="A14" t="s">
        <v>44</v>
      </c>
      <c r="B14" s="42">
        <v>5808620.4959997777</v>
      </c>
      <c r="C14" s="42"/>
      <c r="D14" s="42">
        <v>5808620.4959997777</v>
      </c>
      <c r="E14" s="42">
        <v>1101450</v>
      </c>
      <c r="F14" s="42">
        <v>1428496</v>
      </c>
      <c r="G14" s="43"/>
      <c r="H14" s="42">
        <v>1428496</v>
      </c>
      <c r="I14" s="43"/>
      <c r="J14" s="43"/>
      <c r="K14" s="43"/>
      <c r="L14" s="42">
        <v>5481574.4959997777</v>
      </c>
      <c r="M14" s="12"/>
      <c r="N14" s="34"/>
      <c r="O14" s="34"/>
      <c r="P14" s="42">
        <v>-51980</v>
      </c>
    </row>
    <row r="15" spans="1:17" x14ac:dyDescent="0.2">
      <c r="A15" t="s">
        <v>43</v>
      </c>
      <c r="B15" s="44">
        <v>2273853.67</v>
      </c>
      <c r="C15" s="44"/>
      <c r="D15" s="42">
        <v>2273853.67</v>
      </c>
      <c r="E15" s="44">
        <v>0</v>
      </c>
      <c r="F15" s="44">
        <v>0</v>
      </c>
      <c r="G15" s="40"/>
      <c r="H15" s="40">
        <v>0</v>
      </c>
      <c r="I15" s="40"/>
      <c r="J15" s="43">
        <v>0</v>
      </c>
      <c r="K15" s="40"/>
      <c r="L15" s="42">
        <v>2273853.67</v>
      </c>
      <c r="M15" s="12"/>
      <c r="N15" s="35"/>
      <c r="O15" s="35"/>
      <c r="P15" s="44">
        <v>0</v>
      </c>
      <c r="Q15" s="35"/>
    </row>
    <row r="16" spans="1:17" x14ac:dyDescent="0.2">
      <c r="A16" t="s">
        <v>9</v>
      </c>
      <c r="B16" s="44">
        <v>-2131.6814089999825</v>
      </c>
      <c r="C16" s="42"/>
      <c r="D16" s="42">
        <v>-2131.6814089999825</v>
      </c>
      <c r="E16" s="42">
        <v>0</v>
      </c>
      <c r="F16" s="42">
        <v>0</v>
      </c>
      <c r="G16" s="42"/>
      <c r="H16" s="42">
        <v>0</v>
      </c>
      <c r="I16" s="42"/>
      <c r="J16" s="42"/>
      <c r="K16" s="42"/>
      <c r="L16" s="42">
        <v>-2131.6814089999825</v>
      </c>
      <c r="M16" s="12"/>
      <c r="N16" s="34"/>
      <c r="O16" s="34"/>
      <c r="P16" s="44">
        <v>0</v>
      </c>
    </row>
    <row r="17" spans="1:16" x14ac:dyDescent="0.2">
      <c r="A17" t="s">
        <v>10</v>
      </c>
      <c r="B17" s="42">
        <v>0</v>
      </c>
      <c r="C17" s="42"/>
      <c r="D17" s="42">
        <v>0</v>
      </c>
      <c r="E17" s="42">
        <v>0</v>
      </c>
      <c r="F17" s="42"/>
      <c r="G17" s="42"/>
      <c r="H17" s="42">
        <v>0</v>
      </c>
      <c r="I17" s="42"/>
      <c r="J17" s="42"/>
      <c r="K17" s="42"/>
      <c r="L17" s="42">
        <v>0</v>
      </c>
      <c r="M17" s="12"/>
      <c r="N17" s="42">
        <v>64204.5</v>
      </c>
      <c r="O17" s="42">
        <v>0</v>
      </c>
      <c r="P17" s="42">
        <v>0</v>
      </c>
    </row>
    <row r="18" spans="1:16" x14ac:dyDescent="0.2">
      <c r="A18" t="s">
        <v>26</v>
      </c>
      <c r="B18" s="42">
        <v>735234.85</v>
      </c>
      <c r="C18" s="42"/>
      <c r="D18" s="42">
        <v>735234.85</v>
      </c>
      <c r="E18" s="42">
        <v>0</v>
      </c>
      <c r="F18" s="42">
        <v>0</v>
      </c>
      <c r="G18" s="42"/>
      <c r="H18" s="42">
        <v>0</v>
      </c>
      <c r="I18" s="42"/>
      <c r="J18" s="42"/>
      <c r="K18" s="42"/>
      <c r="L18" s="42">
        <v>735234.85</v>
      </c>
      <c r="M18" s="12"/>
      <c r="N18" s="34"/>
      <c r="O18" s="34"/>
      <c r="P18" s="42">
        <v>0</v>
      </c>
    </row>
    <row r="19" spans="1:16" x14ac:dyDescent="0.2">
      <c r="A19" t="s">
        <v>27</v>
      </c>
      <c r="B19" s="42">
        <v>0</v>
      </c>
      <c r="C19" s="42"/>
      <c r="D19" s="42">
        <v>0</v>
      </c>
      <c r="E19" s="42">
        <v>0</v>
      </c>
      <c r="F19" s="42">
        <v>0</v>
      </c>
      <c r="G19" s="42"/>
      <c r="H19" s="42">
        <v>0</v>
      </c>
      <c r="I19" s="42"/>
      <c r="J19" s="42"/>
      <c r="K19" s="42"/>
      <c r="L19" s="42">
        <v>0</v>
      </c>
      <c r="M19" s="12"/>
      <c r="N19" s="34"/>
      <c r="O19" s="34"/>
      <c r="P19" s="42">
        <v>0</v>
      </c>
    </row>
    <row r="20" spans="1:16" x14ac:dyDescent="0.2">
      <c r="A20" s="18" t="s">
        <v>12</v>
      </c>
      <c r="B20" s="42">
        <v>80381792.160000056</v>
      </c>
      <c r="C20" s="43"/>
      <c r="D20" s="42">
        <v>80381792.160000056</v>
      </c>
      <c r="E20" s="43">
        <v>0</v>
      </c>
      <c r="F20" s="43">
        <v>0</v>
      </c>
      <c r="G20" s="43"/>
      <c r="H20" s="42">
        <v>0</v>
      </c>
      <c r="I20" s="43"/>
      <c r="J20" s="43"/>
      <c r="K20" s="43"/>
      <c r="L20" s="42">
        <v>80381792.160000056</v>
      </c>
      <c r="M20" s="12"/>
      <c r="N20" s="34"/>
      <c r="O20" s="34"/>
      <c r="P20" s="43">
        <v>0</v>
      </c>
    </row>
    <row r="21" spans="1:16" x14ac:dyDescent="0.2">
      <c r="A21" t="s">
        <v>13</v>
      </c>
      <c r="B21" s="42">
        <v>1.1421211063861847E-2</v>
      </c>
      <c r="C21" s="42"/>
      <c r="D21" s="42">
        <v>1.1421211063861847E-2</v>
      </c>
      <c r="E21" s="42">
        <v>0</v>
      </c>
      <c r="F21" s="42">
        <v>0</v>
      </c>
      <c r="G21" s="42"/>
      <c r="H21" s="42">
        <v>0</v>
      </c>
      <c r="I21" s="42"/>
      <c r="J21" s="42"/>
      <c r="K21" s="42"/>
      <c r="L21" s="42">
        <v>1.1421211063861847E-2</v>
      </c>
      <c r="M21" s="12"/>
      <c r="N21" s="34"/>
      <c r="O21" s="34"/>
      <c r="P21" s="42">
        <v>0</v>
      </c>
    </row>
    <row r="22" spans="1:16" x14ac:dyDescent="0.2">
      <c r="A22" t="s">
        <v>14</v>
      </c>
      <c r="B22" s="42">
        <v>0.25900000694036862</v>
      </c>
      <c r="C22" s="42"/>
      <c r="D22" s="42">
        <v>0.25900000694036862</v>
      </c>
      <c r="E22" s="42">
        <v>0</v>
      </c>
      <c r="F22" s="42">
        <v>0</v>
      </c>
      <c r="G22" s="42"/>
      <c r="H22" s="42">
        <v>0</v>
      </c>
      <c r="I22" s="42"/>
      <c r="J22" s="42"/>
      <c r="K22" s="42"/>
      <c r="L22" s="42">
        <v>0.25900000694036862</v>
      </c>
      <c r="M22" s="12"/>
      <c r="N22" s="34"/>
      <c r="O22" s="34"/>
      <c r="P22" s="42">
        <v>0</v>
      </c>
    </row>
    <row r="23" spans="1:16" x14ac:dyDescent="0.2">
      <c r="A23" t="s">
        <v>18</v>
      </c>
      <c r="B23" s="42">
        <v>0.17999999999301508</v>
      </c>
      <c r="C23" s="42"/>
      <c r="D23" s="42">
        <v>0.17999999999301508</v>
      </c>
      <c r="E23" s="42">
        <v>0</v>
      </c>
      <c r="F23" s="42">
        <v>0</v>
      </c>
      <c r="G23" s="42"/>
      <c r="H23" s="42">
        <v>0</v>
      </c>
      <c r="I23" s="42"/>
      <c r="J23" s="42"/>
      <c r="K23" s="42"/>
      <c r="L23" s="42">
        <v>0.17999999999301508</v>
      </c>
      <c r="M23" s="12"/>
      <c r="N23" s="34"/>
      <c r="O23" s="34"/>
      <c r="P23" s="42">
        <v>0</v>
      </c>
    </row>
    <row r="24" spans="1:16" x14ac:dyDescent="0.2">
      <c r="A24" t="s">
        <v>11</v>
      </c>
      <c r="B24" s="42">
        <v>0.18000000000029104</v>
      </c>
      <c r="C24" s="42"/>
      <c r="D24" s="42">
        <v>0.18000000000029104</v>
      </c>
      <c r="E24" s="42">
        <v>0</v>
      </c>
      <c r="F24" s="42">
        <v>0</v>
      </c>
      <c r="G24" s="42"/>
      <c r="H24" s="42">
        <v>0</v>
      </c>
      <c r="I24" s="42"/>
      <c r="J24" s="42"/>
      <c r="K24" s="42"/>
      <c r="L24" s="42">
        <v>0.18000000000029104</v>
      </c>
      <c r="M24" s="12"/>
      <c r="N24" s="34"/>
      <c r="O24" s="34"/>
      <c r="P24" s="42">
        <v>0</v>
      </c>
    </row>
    <row r="25" spans="1:16" ht="12" customHeight="1" x14ac:dyDescent="0.2">
      <c r="A25" s="18" t="s">
        <v>41</v>
      </c>
      <c r="B25" s="42">
        <v>53592.459999991581</v>
      </c>
      <c r="C25" s="42"/>
      <c r="D25" s="42">
        <v>53592.459999991581</v>
      </c>
      <c r="E25" s="43">
        <v>0</v>
      </c>
      <c r="F25" s="43">
        <v>0</v>
      </c>
      <c r="G25" s="43">
        <v>0</v>
      </c>
      <c r="H25" s="43">
        <v>0</v>
      </c>
      <c r="I25" s="43"/>
      <c r="J25" s="43">
        <v>0</v>
      </c>
      <c r="K25" s="43"/>
      <c r="L25" s="42">
        <v>53592.459999991581</v>
      </c>
      <c r="M25" s="12"/>
      <c r="N25" s="34"/>
      <c r="O25" s="34"/>
      <c r="P25" s="42">
        <v>0</v>
      </c>
    </row>
    <row r="26" spans="1:16" ht="12" customHeight="1" x14ac:dyDescent="0.2">
      <c r="A26" s="18" t="s">
        <v>42</v>
      </c>
      <c r="B26" s="42">
        <v>0</v>
      </c>
      <c r="C26" s="42"/>
      <c r="D26" s="42">
        <v>0</v>
      </c>
      <c r="E26" s="43">
        <v>0</v>
      </c>
      <c r="F26" s="43">
        <v>0</v>
      </c>
      <c r="G26" s="43"/>
      <c r="H26" s="43">
        <v>0</v>
      </c>
      <c r="I26" s="43"/>
      <c r="J26" s="43"/>
      <c r="K26" s="43"/>
      <c r="L26" s="42">
        <v>0</v>
      </c>
      <c r="M26" s="12"/>
      <c r="N26" s="34"/>
      <c r="O26" s="34"/>
      <c r="P26" s="42">
        <v>0</v>
      </c>
    </row>
    <row r="27" spans="1:16" x14ac:dyDescent="0.2">
      <c r="B27" s="42"/>
      <c r="C27" s="42"/>
      <c r="D27" s="42"/>
      <c r="E27" s="42"/>
      <c r="F27" s="44"/>
      <c r="G27" s="44"/>
      <c r="H27" s="45"/>
      <c r="I27" s="44"/>
      <c r="J27" s="44"/>
      <c r="K27" s="44"/>
      <c r="L27" s="44"/>
      <c r="M27" s="12"/>
      <c r="N27" s="13"/>
      <c r="O27" s="13"/>
    </row>
    <row r="28" spans="1:16" s="17" customFormat="1" x14ac:dyDescent="0.2">
      <c r="A28" s="26" t="s">
        <v>23</v>
      </c>
      <c r="B28" s="46">
        <v>93325158.785136953</v>
      </c>
      <c r="C28" s="46">
        <v>0</v>
      </c>
      <c r="D28" s="46">
        <v>93325158.785136953</v>
      </c>
      <c r="E28" s="46">
        <v>1101450</v>
      </c>
      <c r="F28" s="46">
        <v>3546774.21</v>
      </c>
      <c r="G28" s="46">
        <v>0</v>
      </c>
      <c r="H28" s="46">
        <v>3546774.21</v>
      </c>
      <c r="I28" s="46"/>
      <c r="J28" s="46">
        <v>0</v>
      </c>
      <c r="K28" s="46"/>
      <c r="L28" s="46">
        <v>90879834.575136945</v>
      </c>
      <c r="M28" s="28"/>
      <c r="N28" s="46">
        <v>64204.5</v>
      </c>
      <c r="O28" s="46">
        <v>0</v>
      </c>
      <c r="P28" s="46">
        <v>-1833337.9775</v>
      </c>
    </row>
    <row r="29" spans="1:16" s="17" customFormat="1" hidden="1" x14ac:dyDescent="0.2">
      <c r="A29" s="22" t="s">
        <v>45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24"/>
      <c r="N29" s="23"/>
      <c r="O29" s="23"/>
    </row>
    <row r="30" spans="1:16" s="17" customFormat="1" hidden="1" x14ac:dyDescent="0.2">
      <c r="A30" s="25" t="s">
        <v>22</v>
      </c>
      <c r="B30" s="48">
        <v>0</v>
      </c>
      <c r="C30" s="48"/>
      <c r="D30" s="48"/>
      <c r="E30" s="48"/>
      <c r="F30" s="49"/>
      <c r="G30" s="47"/>
      <c r="H30" s="48"/>
      <c r="I30" s="47"/>
      <c r="J30" s="47"/>
      <c r="K30" s="47"/>
      <c r="L30" s="47"/>
      <c r="M30" s="24"/>
      <c r="N30" s="23"/>
      <c r="O30" s="23"/>
    </row>
    <row r="31" spans="1:16" s="17" customFormat="1" hidden="1" x14ac:dyDescent="0.2">
      <c r="A31" s="29"/>
      <c r="B31" s="50"/>
      <c r="C31" s="50"/>
      <c r="D31" s="50"/>
      <c r="E31" s="50"/>
      <c r="F31" s="51"/>
      <c r="G31" s="50"/>
      <c r="H31" s="50"/>
      <c r="I31" s="50"/>
      <c r="J31" s="50"/>
      <c r="K31" s="50"/>
      <c r="L31" s="50"/>
      <c r="M31" s="31"/>
      <c r="N31" s="30"/>
      <c r="O31" s="30"/>
    </row>
    <row r="32" spans="1:16" s="17" customFormat="1" ht="13.5" hidden="1" thickBot="1" x14ac:dyDescent="0.25">
      <c r="A32" s="14" t="s">
        <v>24</v>
      </c>
      <c r="B32" s="52">
        <v>93325158.785136953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16"/>
      <c r="N32" s="15"/>
      <c r="O32" s="15"/>
    </row>
    <row r="33" spans="1:14" x14ac:dyDescent="0.2">
      <c r="B33" s="42"/>
      <c r="C33" s="42"/>
      <c r="D33" s="42"/>
      <c r="E33" s="42"/>
      <c r="F33" s="44"/>
      <c r="G33" s="44"/>
      <c r="H33" s="45"/>
      <c r="I33" s="44"/>
      <c r="J33" s="44"/>
      <c r="K33" s="44"/>
      <c r="L33" s="44"/>
      <c r="M33" s="18"/>
      <c r="N33" s="45">
        <v>90879834.57513696</v>
      </c>
    </row>
    <row r="34" spans="1:14" hidden="1" x14ac:dyDescent="0.2">
      <c r="A34" s="18"/>
      <c r="B34" s="42"/>
      <c r="C34" s="58" t="s">
        <v>31</v>
      </c>
      <c r="D34" s="58"/>
      <c r="E34" s="42"/>
      <c r="F34" s="44"/>
      <c r="G34" s="44"/>
      <c r="H34" s="45"/>
      <c r="I34" s="44"/>
      <c r="J34" s="44"/>
      <c r="K34" s="44"/>
      <c r="L34" s="44"/>
      <c r="M34" s="18"/>
      <c r="N34" s="44"/>
    </row>
    <row r="35" spans="1:14" hidden="1" x14ac:dyDescent="0.2">
      <c r="A35" s="36" t="s">
        <v>29</v>
      </c>
      <c r="B35" s="53" t="s">
        <v>30</v>
      </c>
      <c r="C35" s="53" t="s">
        <v>4</v>
      </c>
      <c r="D35" s="54" t="s">
        <v>5</v>
      </c>
      <c r="E35" s="54" t="s">
        <v>34</v>
      </c>
      <c r="F35" s="54" t="s">
        <v>35</v>
      </c>
      <c r="G35" s="44"/>
      <c r="H35" s="45"/>
      <c r="I35" s="44"/>
      <c r="J35" s="44"/>
      <c r="K35" s="44"/>
      <c r="L35" s="44"/>
      <c r="M35" s="18"/>
      <c r="N35" s="44"/>
    </row>
    <row r="36" spans="1:14" ht="13.5" hidden="1" thickBot="1" x14ac:dyDescent="0.25">
      <c r="A36" s="18" t="s">
        <v>32</v>
      </c>
      <c r="B36" s="55">
        <v>50000000</v>
      </c>
      <c r="C36" s="55">
        <v>0</v>
      </c>
      <c r="D36" s="55">
        <v>0</v>
      </c>
      <c r="E36" s="55">
        <v>0</v>
      </c>
      <c r="F36" s="56">
        <v>50000000</v>
      </c>
      <c r="G36" s="44"/>
      <c r="H36" s="45"/>
      <c r="I36" s="44"/>
      <c r="J36" s="44"/>
      <c r="K36" s="44"/>
      <c r="L36" s="44"/>
      <c r="M36" s="18"/>
      <c r="N36" s="44"/>
    </row>
    <row r="37" spans="1:14" hidden="1" x14ac:dyDescent="0.2">
      <c r="A37" s="18"/>
      <c r="B37" s="42"/>
      <c r="C37" s="42"/>
      <c r="D37" s="42"/>
      <c r="E37" s="42"/>
      <c r="F37" s="44"/>
      <c r="G37" s="44"/>
      <c r="H37" s="45"/>
      <c r="I37" s="44"/>
      <c r="J37" s="44"/>
      <c r="K37" s="44"/>
      <c r="L37" s="44"/>
      <c r="M37" s="18"/>
      <c r="N37" s="45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1"/>
      <c r="C41" s="41"/>
      <c r="D41" s="41"/>
      <c r="E41" s="41"/>
    </row>
    <row r="42" spans="1:14" hidden="1" x14ac:dyDescent="0.2">
      <c r="A42" s="19"/>
      <c r="B42" s="41"/>
      <c r="C42" s="41"/>
      <c r="D42" s="41"/>
      <c r="E42" s="41"/>
    </row>
    <row r="43" spans="1:14" hidden="1" x14ac:dyDescent="0.2">
      <c r="A43" s="33" t="s">
        <v>33</v>
      </c>
      <c r="B43" s="41"/>
      <c r="C43" s="41"/>
      <c r="D43" s="41"/>
      <c r="E43" s="41"/>
    </row>
    <row r="44" spans="1:14" x14ac:dyDescent="0.2">
      <c r="A44" s="19" t="s">
        <v>28</v>
      </c>
      <c r="B44" s="41"/>
      <c r="C44" s="41"/>
      <c r="D44" s="41"/>
      <c r="E44" s="41"/>
    </row>
    <row r="45" spans="1:14" x14ac:dyDescent="0.2">
      <c r="A45" s="19"/>
      <c r="B45" s="41"/>
      <c r="C45" s="41"/>
      <c r="D45" s="41"/>
      <c r="E45" s="41"/>
    </row>
    <row r="46" spans="1:14" x14ac:dyDescent="0.2">
      <c r="A46" s="19"/>
      <c r="B46" s="41"/>
      <c r="C46" s="41"/>
      <c r="D46" s="41"/>
      <c r="E46" s="41"/>
    </row>
    <row r="47" spans="1:14" x14ac:dyDescent="0.2">
      <c r="A47" s="19"/>
      <c r="B47" s="41"/>
      <c r="C47" s="41"/>
      <c r="D47" s="41"/>
      <c r="E47" s="41"/>
    </row>
    <row r="48" spans="1:14" x14ac:dyDescent="0.2">
      <c r="A48" s="19"/>
      <c r="B48" s="41"/>
      <c r="C48" s="41"/>
      <c r="D48" s="41"/>
      <c r="E48" s="41"/>
    </row>
    <row r="49" spans="1:5" x14ac:dyDescent="0.2">
      <c r="A49" s="19"/>
      <c r="B49" s="41"/>
      <c r="C49" s="41"/>
      <c r="D49" s="41"/>
      <c r="E49" s="41"/>
    </row>
    <row r="50" spans="1:5" x14ac:dyDescent="0.2">
      <c r="A50" s="19"/>
      <c r="B50" s="41"/>
      <c r="C50" s="41"/>
      <c r="D50" s="41"/>
      <c r="E50" s="41"/>
    </row>
    <row r="51" spans="1:5" x14ac:dyDescent="0.2">
      <c r="A51" s="19"/>
      <c r="B51" s="41"/>
      <c r="C51" s="41"/>
      <c r="D51" s="41"/>
      <c r="E51" s="41"/>
    </row>
    <row r="52" spans="1:5" x14ac:dyDescent="0.2">
      <c r="A52" s="19"/>
      <c r="B52" s="41"/>
      <c r="C52" s="41"/>
      <c r="D52" s="41"/>
      <c r="E52" s="41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Template</vt:lpstr>
      <vt:lpstr>1203</vt:lpstr>
      <vt:lpstr>1204</vt:lpstr>
      <vt:lpstr>1205</vt:lpstr>
      <vt:lpstr>1206</vt:lpstr>
      <vt:lpstr>1207</vt:lpstr>
      <vt:lpstr>1210</vt:lpstr>
      <vt:lpstr>1211</vt:lpstr>
      <vt:lpstr>1212</vt:lpstr>
      <vt:lpstr>1213</vt:lpstr>
      <vt:lpstr>1214</vt:lpstr>
      <vt:lpstr>1217</vt:lpstr>
      <vt:lpstr>1218</vt:lpstr>
      <vt:lpstr>1219</vt:lpstr>
      <vt:lpstr>1220</vt:lpstr>
      <vt:lpstr>1226</vt:lpstr>
      <vt:lpstr>1228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2001-12-27T15:07:31Z</cp:lastPrinted>
  <dcterms:created xsi:type="dcterms:W3CDTF">2000-04-03T19:03:47Z</dcterms:created>
  <dcterms:modified xsi:type="dcterms:W3CDTF">2023-09-16T23:05:21Z</dcterms:modified>
</cp:coreProperties>
</file>