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FEF688-48C7-48EF-B57F-AB032D49940A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Assumptions" sheetId="1" r:id="rId1"/>
    <sheet name="01 vs 02" sheetId="2" r:id="rId2"/>
    <sheet name="Plan Summary" sheetId="3" r:id="rId3"/>
    <sheet name="Data" sheetId="4" r:id="rId4"/>
    <sheet name="Allocations" sheetId="5" r:id="rId5"/>
    <sheet name="2001 HC" sheetId="6" r:id="rId6"/>
    <sheet name="2002 HC" sheetId="7" r:id="rId7"/>
    <sheet name="Headcount" sheetId="8" r:id="rId8"/>
    <sheet name="Upload" sheetId="9" r:id="rId9"/>
  </sheets>
  <externalReferences>
    <externalReference r:id="rId10"/>
  </externalReferences>
  <definedNames>
    <definedName name="coa">#REF!</definedName>
    <definedName name="_xlnm.Print_Area" localSheetId="3">Data!$A$1:$P$91</definedName>
    <definedName name="_xlnm.Print_Titles" localSheetId="3">Data!$1:$8</definedName>
    <definedName name="SAPFuncF4Help">Main.SAPF4Help()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F11" i="2"/>
  <c r="F12" i="2"/>
  <c r="F13" i="2"/>
  <c r="F14" i="2"/>
  <c r="F15" i="2"/>
  <c r="F16" i="2"/>
  <c r="F17" i="2"/>
  <c r="F18" i="2"/>
  <c r="C19" i="2"/>
  <c r="F19" i="2"/>
  <c r="F20" i="2"/>
  <c r="F21" i="2"/>
  <c r="C22" i="2"/>
  <c r="D22" i="2"/>
  <c r="E22" i="2"/>
  <c r="F22" i="2"/>
  <c r="F23" i="2"/>
  <c r="F24" i="2"/>
  <c r="C25" i="2"/>
  <c r="D25" i="2"/>
  <c r="E25" i="2"/>
  <c r="F25" i="2"/>
  <c r="D27" i="2"/>
  <c r="E29" i="2"/>
  <c r="F29" i="2"/>
  <c r="E30" i="2"/>
  <c r="F30" i="2"/>
  <c r="D31" i="2"/>
  <c r="E31" i="2"/>
  <c r="F31" i="2"/>
  <c r="E32" i="2"/>
  <c r="F32" i="2"/>
  <c r="E33" i="2"/>
  <c r="F33" i="2"/>
  <c r="D34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D43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D50" i="2"/>
  <c r="E50" i="2"/>
  <c r="F50" i="2"/>
  <c r="E51" i="2"/>
  <c r="F51" i="2"/>
  <c r="E52" i="2"/>
  <c r="F52" i="2"/>
  <c r="D53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D62" i="2"/>
  <c r="E62" i="2"/>
  <c r="F62" i="2"/>
  <c r="E63" i="2"/>
  <c r="F63" i="2"/>
  <c r="E64" i="2"/>
  <c r="F64" i="2"/>
  <c r="E65" i="2"/>
  <c r="F65" i="2"/>
  <c r="D66" i="2"/>
  <c r="E66" i="2"/>
  <c r="F66" i="2"/>
  <c r="E67" i="2"/>
  <c r="F67" i="2"/>
  <c r="E68" i="2"/>
  <c r="F68" i="2"/>
  <c r="D69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D82" i="2"/>
  <c r="E82" i="2"/>
  <c r="F82" i="2"/>
  <c r="D83" i="2"/>
  <c r="E83" i="2"/>
  <c r="F83" i="2"/>
  <c r="E84" i="2"/>
  <c r="F84" i="2"/>
  <c r="D85" i="2"/>
  <c r="E85" i="2"/>
  <c r="F85" i="2"/>
  <c r="E86" i="2"/>
  <c r="F86" i="2"/>
  <c r="E87" i="2"/>
  <c r="F87" i="2"/>
  <c r="D88" i="2"/>
  <c r="E88" i="2"/>
  <c r="F88" i="2"/>
  <c r="E89" i="2"/>
  <c r="F89" i="2"/>
  <c r="D90" i="2"/>
  <c r="E90" i="2"/>
  <c r="F90" i="2"/>
  <c r="A92" i="2"/>
  <c r="E9" i="6"/>
  <c r="I9" i="6"/>
  <c r="M9" i="6"/>
  <c r="Q9" i="6"/>
  <c r="R9" i="6"/>
  <c r="E10" i="6"/>
  <c r="I10" i="6"/>
  <c r="M10" i="6"/>
  <c r="Q10" i="6"/>
  <c r="R10" i="6"/>
  <c r="E11" i="6"/>
  <c r="I11" i="6"/>
  <c r="M11" i="6"/>
  <c r="Q11" i="6"/>
  <c r="R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J13" i="6"/>
  <c r="E14" i="6"/>
  <c r="I14" i="6"/>
  <c r="M14" i="6"/>
  <c r="Q14" i="6"/>
  <c r="R14" i="6"/>
  <c r="E15" i="6"/>
  <c r="I15" i="6"/>
  <c r="M15" i="6"/>
  <c r="Q15" i="6"/>
  <c r="R15" i="6"/>
  <c r="E16" i="6"/>
  <c r="I16" i="6"/>
  <c r="M16" i="6"/>
  <c r="Q16" i="6"/>
  <c r="R16" i="6"/>
  <c r="E17" i="6"/>
  <c r="I17" i="6"/>
  <c r="M17" i="6"/>
  <c r="Q17" i="6"/>
  <c r="R17" i="6"/>
  <c r="E18" i="6"/>
  <c r="I18" i="6"/>
  <c r="M18" i="6"/>
  <c r="Q18" i="6"/>
  <c r="R18" i="6"/>
  <c r="E19" i="6"/>
  <c r="I19" i="6"/>
  <c r="M19" i="6"/>
  <c r="Q19" i="6"/>
  <c r="R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J22" i="6"/>
  <c r="E9" i="7"/>
  <c r="I9" i="7"/>
  <c r="M9" i="7"/>
  <c r="Q9" i="7"/>
  <c r="R9" i="7"/>
  <c r="E10" i="7"/>
  <c r="I10" i="7"/>
  <c r="M10" i="7"/>
  <c r="Q10" i="7"/>
  <c r="R10" i="7"/>
  <c r="E11" i="7"/>
  <c r="I11" i="7"/>
  <c r="M11" i="7"/>
  <c r="Q11" i="7"/>
  <c r="R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C3" i="5"/>
  <c r="D3" i="5"/>
  <c r="E3" i="5"/>
  <c r="F3" i="5"/>
  <c r="G3" i="5"/>
  <c r="H3" i="5"/>
  <c r="I3" i="5"/>
  <c r="J3" i="5"/>
  <c r="K3" i="5"/>
  <c r="L3" i="5"/>
  <c r="M3" i="5"/>
  <c r="N3" i="5"/>
  <c r="O3" i="5"/>
  <c r="C4" i="5"/>
  <c r="D4" i="5"/>
  <c r="E4" i="5"/>
  <c r="F4" i="5"/>
  <c r="G4" i="5"/>
  <c r="H4" i="5"/>
  <c r="I4" i="5"/>
  <c r="J4" i="5"/>
  <c r="K4" i="5"/>
  <c r="L4" i="5"/>
  <c r="M4" i="5"/>
  <c r="N4" i="5"/>
  <c r="O4" i="5"/>
  <c r="C5" i="5"/>
  <c r="D5" i="5"/>
  <c r="E5" i="5"/>
  <c r="F5" i="5"/>
  <c r="G5" i="5"/>
  <c r="H5" i="5"/>
  <c r="I5" i="5"/>
  <c r="J5" i="5"/>
  <c r="K5" i="5"/>
  <c r="L5" i="5"/>
  <c r="M5" i="5"/>
  <c r="N5" i="5"/>
  <c r="O5" i="5"/>
  <c r="C6" i="5"/>
  <c r="D6" i="5"/>
  <c r="E6" i="5"/>
  <c r="F6" i="5"/>
  <c r="G6" i="5"/>
  <c r="H6" i="5"/>
  <c r="I6" i="5"/>
  <c r="J6" i="5"/>
  <c r="K6" i="5"/>
  <c r="L6" i="5"/>
  <c r="M6" i="5"/>
  <c r="N6" i="5"/>
  <c r="O6" i="5"/>
  <c r="C7" i="5"/>
  <c r="D7" i="5"/>
  <c r="E7" i="5"/>
  <c r="F7" i="5"/>
  <c r="G7" i="5"/>
  <c r="H7" i="5"/>
  <c r="I7" i="5"/>
  <c r="J7" i="5"/>
  <c r="K7" i="5"/>
  <c r="L7" i="5"/>
  <c r="M7" i="5"/>
  <c r="N7" i="5"/>
  <c r="O7" i="5"/>
  <c r="O8" i="5"/>
  <c r="D10" i="5"/>
  <c r="D11" i="5"/>
  <c r="D12" i="5"/>
  <c r="B8" i="1"/>
  <c r="P11" i="4"/>
  <c r="P12" i="4"/>
  <c r="P13" i="4"/>
  <c r="P14" i="4"/>
  <c r="P15" i="4"/>
  <c r="P16" i="4"/>
  <c r="P17" i="4"/>
  <c r="P18" i="4"/>
  <c r="P19" i="4"/>
  <c r="P20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P23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P29" i="4"/>
  <c r="P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P35" i="4"/>
  <c r="P36" i="4"/>
  <c r="P37" i="4"/>
  <c r="P38" i="4"/>
  <c r="P39" i="4"/>
  <c r="P40" i="4"/>
  <c r="P41" i="4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P44" i="4"/>
  <c r="P45" i="4"/>
  <c r="P46" i="4"/>
  <c r="P47" i="4"/>
  <c r="P48" i="4"/>
  <c r="P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P51" i="4"/>
  <c r="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P54" i="4"/>
  <c r="P55" i="4"/>
  <c r="P56" i="4"/>
  <c r="P57" i="4"/>
  <c r="P58" i="4"/>
  <c r="P59" i="4"/>
  <c r="P60" i="4"/>
  <c r="P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P63" i="4"/>
  <c r="P64" i="4"/>
  <c r="P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P67" i="4"/>
  <c r="P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P83" i="4"/>
  <c r="P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P86" i="4"/>
  <c r="P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P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I11" i="3"/>
  <c r="M11" i="3"/>
  <c r="N11" i="3"/>
  <c r="E12" i="3"/>
  <c r="G12" i="3"/>
  <c r="I12" i="3"/>
  <c r="K12" i="3"/>
  <c r="M12" i="3"/>
  <c r="N12" i="3"/>
  <c r="I13" i="3"/>
  <c r="M13" i="3"/>
  <c r="N13" i="3"/>
  <c r="I14" i="3"/>
  <c r="M14" i="3"/>
  <c r="N14" i="3"/>
  <c r="I15" i="3"/>
  <c r="M15" i="3"/>
  <c r="N15" i="3"/>
  <c r="I16" i="3"/>
  <c r="M16" i="3"/>
  <c r="N16" i="3"/>
  <c r="I17" i="3"/>
  <c r="M17" i="3"/>
  <c r="N17" i="3"/>
  <c r="G18" i="3"/>
  <c r="I18" i="3"/>
  <c r="M18" i="3"/>
  <c r="N18" i="3"/>
  <c r="I19" i="3"/>
  <c r="M19" i="3"/>
  <c r="N19" i="3"/>
  <c r="I20" i="3"/>
  <c r="M20" i="3"/>
  <c r="N20" i="3"/>
  <c r="I21" i="3"/>
  <c r="M21" i="3"/>
  <c r="N21" i="3"/>
  <c r="E22" i="3"/>
  <c r="G22" i="3"/>
  <c r="I22" i="3"/>
  <c r="K22" i="3"/>
  <c r="M22" i="3"/>
  <c r="N22" i="3"/>
  <c r="I23" i="3"/>
  <c r="M23" i="3"/>
  <c r="N23" i="3"/>
  <c r="I24" i="3"/>
  <c r="M24" i="3"/>
  <c r="N24" i="3"/>
  <c r="I25" i="3"/>
  <c r="M25" i="3"/>
  <c r="N25" i="3"/>
  <c r="I26" i="3"/>
  <c r="M26" i="3"/>
  <c r="N26" i="3"/>
  <c r="I27" i="3"/>
  <c r="M27" i="3"/>
  <c r="N27" i="3"/>
  <c r="I28" i="3"/>
  <c r="M28" i="3"/>
  <c r="N28" i="3"/>
  <c r="E29" i="3"/>
  <c r="G29" i="3"/>
  <c r="I29" i="3"/>
  <c r="K29" i="3"/>
  <c r="M29" i="3"/>
  <c r="N29" i="3"/>
  <c r="I30" i="3"/>
  <c r="M30" i="3"/>
  <c r="N30" i="3"/>
  <c r="I31" i="3"/>
  <c r="M31" i="3"/>
  <c r="N31" i="3"/>
  <c r="E32" i="3"/>
  <c r="G32" i="3"/>
  <c r="I32" i="3"/>
  <c r="K32" i="3"/>
  <c r="M32" i="3"/>
  <c r="N32" i="3"/>
  <c r="I33" i="3"/>
  <c r="M33" i="3"/>
  <c r="N33" i="3"/>
  <c r="I34" i="3"/>
  <c r="M34" i="3"/>
  <c r="N34" i="3"/>
  <c r="I35" i="3"/>
  <c r="M35" i="3"/>
  <c r="N35" i="3"/>
  <c r="I36" i="3"/>
  <c r="M36" i="3"/>
  <c r="N36" i="3"/>
  <c r="I37" i="3"/>
  <c r="M37" i="3"/>
  <c r="N37" i="3"/>
  <c r="I38" i="3"/>
  <c r="M38" i="3"/>
  <c r="N38" i="3"/>
  <c r="I39" i="3"/>
  <c r="M39" i="3"/>
  <c r="N39" i="3"/>
  <c r="I40" i="3"/>
  <c r="M40" i="3"/>
  <c r="N40" i="3"/>
  <c r="I41" i="3"/>
  <c r="M41" i="3"/>
  <c r="N41" i="3"/>
  <c r="I42" i="3"/>
  <c r="M42" i="3"/>
  <c r="N42" i="3"/>
  <c r="E43" i="3"/>
  <c r="G43" i="3"/>
  <c r="I43" i="3"/>
  <c r="K43" i="3"/>
  <c r="M43" i="3"/>
  <c r="N43" i="3"/>
  <c r="I44" i="3"/>
  <c r="M44" i="3"/>
  <c r="N44" i="3"/>
  <c r="I45" i="3"/>
  <c r="M45" i="3"/>
  <c r="N45" i="3"/>
  <c r="I46" i="3"/>
  <c r="M46" i="3"/>
  <c r="N46" i="3"/>
  <c r="I47" i="3"/>
  <c r="M47" i="3"/>
  <c r="N47" i="3"/>
  <c r="I48" i="3"/>
  <c r="M48" i="3"/>
  <c r="N48" i="3"/>
  <c r="I49" i="3"/>
  <c r="M49" i="3"/>
  <c r="N49" i="3"/>
  <c r="I50" i="3"/>
  <c r="M50" i="3"/>
  <c r="N50" i="3"/>
  <c r="E52" i="3"/>
  <c r="G52" i="3"/>
  <c r="I52" i="3"/>
  <c r="K52" i="3"/>
  <c r="M52" i="3"/>
  <c r="N52" i="3"/>
  <c r="I54" i="3"/>
  <c r="K54" i="3"/>
  <c r="M54" i="3"/>
  <c r="N54" i="3"/>
  <c r="I55" i="3"/>
  <c r="M55" i="3"/>
  <c r="N55" i="3"/>
  <c r="E57" i="3"/>
  <c r="G57" i="3"/>
  <c r="I57" i="3"/>
  <c r="K57" i="3"/>
  <c r="M57" i="3"/>
  <c r="N57" i="3"/>
  <c r="I59" i="3"/>
  <c r="M59" i="3"/>
  <c r="N59" i="3"/>
  <c r="C1" i="9"/>
  <c r="C2" i="9"/>
  <c r="C3" i="9"/>
  <c r="A7" i="9"/>
  <c r="C7" i="9"/>
  <c r="D7" i="9"/>
  <c r="E7" i="9"/>
  <c r="F7" i="9"/>
  <c r="G7" i="9"/>
  <c r="H7" i="9"/>
  <c r="I7" i="9"/>
  <c r="J7" i="9"/>
  <c r="K7" i="9"/>
  <c r="L7" i="9"/>
  <c r="M7" i="9"/>
  <c r="N7" i="9"/>
  <c r="O7" i="9"/>
  <c r="A8" i="9"/>
  <c r="C8" i="9"/>
  <c r="D8" i="9"/>
  <c r="E8" i="9"/>
  <c r="F8" i="9"/>
  <c r="G8" i="9"/>
  <c r="H8" i="9"/>
  <c r="I8" i="9"/>
  <c r="J8" i="9"/>
  <c r="K8" i="9"/>
  <c r="L8" i="9"/>
  <c r="M8" i="9"/>
  <c r="N8" i="9"/>
  <c r="O8" i="9"/>
  <c r="A9" i="9"/>
  <c r="C9" i="9"/>
  <c r="D9" i="9"/>
  <c r="E9" i="9"/>
  <c r="F9" i="9"/>
  <c r="G9" i="9"/>
  <c r="H9" i="9"/>
  <c r="I9" i="9"/>
  <c r="J9" i="9"/>
  <c r="K9" i="9"/>
  <c r="L9" i="9"/>
  <c r="M9" i="9"/>
  <c r="N9" i="9"/>
  <c r="O9" i="9"/>
  <c r="A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A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A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A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A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A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A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A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A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A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A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A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A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A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A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A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A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A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A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A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A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A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A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A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A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A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A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A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A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A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A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A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A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A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A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A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A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A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A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A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A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A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A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A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A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O57" i="9"/>
</calcChain>
</file>

<file path=xl/comments1.xml><?xml version="1.0" encoding="utf-8"?>
<comments xmlns="http://schemas.openxmlformats.org/spreadsheetml/2006/main">
  <authors>
    <author>lguillia</author>
  </authors>
  <commentList>
    <comment ref="F7" authorId="0" shapeId="0">
      <text>
        <r>
          <rPr>
            <b/>
            <sz val="8"/>
            <color indexed="81"/>
            <rFont val="Tahoma"/>
          </rPr>
          <t>Hide columns D through G for presentation purposes</t>
        </r>
      </text>
    </comment>
  </commentList>
</comments>
</file>

<file path=xl/comments2.xml><?xml version="1.0" encoding="utf-8"?>
<comments xmlns="http://schemas.openxmlformats.org/spreadsheetml/2006/main">
  <authors>
    <author>dfellers</author>
  </authors>
  <commentList>
    <comment ref="L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+$150K for employee appreciation</t>
        </r>
      </text>
    </comment>
    <comment ref="M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$100K for holiday party</t>
        </r>
      </text>
    </comment>
    <comment ref="N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+$100K for holiday party</t>
        </r>
      </text>
    </comment>
    <comment ref="O38" authorId="0" shapeId="0">
      <text>
        <r>
          <rPr>
            <b/>
            <sz val="8"/>
            <color indexed="81"/>
            <rFont val="Tahoma"/>
          </rPr>
          <t>dfellers:</t>
        </r>
        <r>
          <rPr>
            <sz val="8"/>
            <color indexed="81"/>
            <rFont val="Tahoma"/>
          </rPr>
          <t xml:space="preserve">
+$100K for holiday party</t>
        </r>
      </text>
    </comment>
  </commentList>
</comments>
</file>

<file path=xl/sharedStrings.xml><?xml version="1.0" encoding="utf-8"?>
<sst xmlns="http://schemas.openxmlformats.org/spreadsheetml/2006/main" count="559" uniqueCount="307">
  <si>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</si>
  <si>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</si>
  <si>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</si>
  <si>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</si>
  <si>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</si>
  <si>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</si>
  <si>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</si>
  <si>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</si>
  <si>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</si>
  <si>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</si>
  <si>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Tuition Reimbursement</t>
  </si>
  <si>
    <t xml:space="preserve">  Other Employee Expenses</t>
  </si>
  <si>
    <t>Subtotal Employee Expenses</t>
  </si>
  <si>
    <t xml:space="preserve">  Relocation Expenses</t>
  </si>
  <si>
    <t>Subtotal Outside Services</t>
  </si>
  <si>
    <t xml:space="preserve">  Customer Meetings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</si>
  <si>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</si>
  <si>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</si>
  <si>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</si>
  <si>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</si>
  <si>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</si>
  <si>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</si>
  <si>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TOTAL DIRECT EXPENSES</t>
  </si>
  <si>
    <t>Corporate Rent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</si>
  <si>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</si>
  <si>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</si>
  <si>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</si>
  <si>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</si>
  <si>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</si>
  <si>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</si>
  <si>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</si>
  <si>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</si>
  <si>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</si>
  <si>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</si>
  <si>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</si>
  <si>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</si>
  <si>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</si>
  <si>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</si>
  <si>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</si>
  <si>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</si>
  <si>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</si>
  <si>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</si>
  <si>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</si>
  <si>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</si>
  <si>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</si>
  <si>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</si>
  <si>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</si>
  <si>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</si>
  <si>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</si>
  <si>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</si>
  <si>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</si>
  <si>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</si>
  <si>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</si>
  <si>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</si>
  <si>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</si>
  <si>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</si>
  <si>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</si>
  <si>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</si>
  <si>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</si>
  <si>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</si>
  <si>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</si>
  <si>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</si>
  <si>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</si>
  <si>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</si>
  <si>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t>SAP COST CENTER:</t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</si>
  <si>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</si>
  <si>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</si>
  <si>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>STAFFING SUMMARY</t>
  </si>
  <si>
    <t>Director</t>
  </si>
  <si>
    <t>Manager</t>
  </si>
  <si>
    <t>Associates</t>
  </si>
  <si>
    <t>Analysts</t>
  </si>
  <si>
    <t>Administrative Assistants</t>
  </si>
  <si>
    <t>TOTAL HEADCOUNT</t>
  </si>
  <si>
    <t>BENEFITS</t>
  </si>
  <si>
    <t>PAYROLL TAXES</t>
  </si>
  <si>
    <t>Annual FICA base earnings level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</si>
  <si>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</si>
  <si>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</si>
  <si>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</si>
  <si>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</si>
  <si>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</si>
  <si>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</si>
  <si>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Tax rate for budgeted base salaries less than annual FICA base earnings level</t>
  </si>
  <si>
    <t>Headcount</t>
  </si>
  <si>
    <t>System Development</t>
  </si>
  <si>
    <t>E-mail to Cassie Mayeux (5-4439)</t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</si>
  <si>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</si>
  <si>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 xml:space="preserve">Tax rate for Medicare </t>
  </si>
  <si>
    <t>Analyst &amp; Associate - Billed at a flat rate.</t>
  </si>
  <si>
    <t>Merit increase rate</t>
  </si>
  <si>
    <t>52502600</t>
  </si>
  <si>
    <t xml:space="preserve">  Communications Expense</t>
  </si>
  <si>
    <t xml:space="preserve">  Employee Entertainment</t>
  </si>
  <si>
    <t xml:space="preserve">  Travel - Air</t>
  </si>
  <si>
    <t xml:space="preserve">  Travel - Lodging</t>
  </si>
  <si>
    <t xml:space="preserve">  Travel - Meals</t>
  </si>
  <si>
    <t xml:space="preserve">  Travel - Other</t>
  </si>
  <si>
    <t xml:space="preserve">  Client Entertainment </t>
  </si>
  <si>
    <t>Subtotal Travel &amp; Entertainment</t>
  </si>
  <si>
    <t>Outside Legal</t>
  </si>
  <si>
    <t>Outside Tax</t>
  </si>
  <si>
    <t xml:space="preserve">  Recruiting</t>
  </si>
  <si>
    <t>Subtotal Recruiting &amp; Relocations</t>
  </si>
  <si>
    <t>52507000</t>
  </si>
  <si>
    <t>52507100</t>
  </si>
  <si>
    <t>52507300</t>
  </si>
  <si>
    <t>52507400</t>
  </si>
  <si>
    <t>52507600</t>
  </si>
  <si>
    <t>52507700</t>
  </si>
  <si>
    <t>Advertising &amp; Promotions</t>
  </si>
  <si>
    <t xml:space="preserve">  Depreciation</t>
  </si>
  <si>
    <t xml:space="preserve">  Amortization</t>
  </si>
  <si>
    <t>Insurance</t>
  </si>
  <si>
    <t xml:space="preserve">  Other Expenses</t>
  </si>
  <si>
    <t xml:space="preserve">  Company Membership &amp; Dues</t>
  </si>
  <si>
    <t xml:space="preserve">  Outside Services - Legal</t>
  </si>
  <si>
    <t xml:space="preserve">  Outside Services - Audit</t>
  </si>
  <si>
    <t xml:space="preserve">  Outside Services - Tax</t>
  </si>
  <si>
    <t xml:space="preserve">  Outside Services - IT</t>
  </si>
  <si>
    <t xml:space="preserve">  Outside Services - Professional</t>
  </si>
  <si>
    <t xml:space="preserve">  Outside Services - Engineering</t>
  </si>
  <si>
    <t xml:space="preserve">  Outside Services - Accounting</t>
  </si>
  <si>
    <t xml:space="preserve">  Outside Services - Other</t>
  </si>
  <si>
    <t xml:space="preserve">  Subscriptions &amp; Periodicals</t>
  </si>
  <si>
    <t xml:space="preserve">  Postage &amp; Freight Expense</t>
  </si>
  <si>
    <t xml:space="preserve">  Office Supplies</t>
  </si>
  <si>
    <t>President/CEO</t>
  </si>
  <si>
    <t>Managing Director</t>
  </si>
  <si>
    <t>Vice President</t>
  </si>
  <si>
    <t>Sr. Specialist</t>
  </si>
  <si>
    <t>Specialist</t>
  </si>
  <si>
    <t>Real Time Traders</t>
  </si>
  <si>
    <t>Technical</t>
  </si>
  <si>
    <t xml:space="preserve">Other </t>
  </si>
  <si>
    <t>COMPENSATION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</si>
  <si>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O R T H  A M E R I C A</t>
    </r>
  </si>
  <si>
    <t>80020367</t>
  </si>
  <si>
    <t>80020366</t>
  </si>
  <si>
    <t>80020402</t>
  </si>
  <si>
    <t>80020361</t>
  </si>
  <si>
    <t>80020360</t>
  </si>
  <si>
    <t xml:space="preserve">  Controllable Infrastructure</t>
  </si>
  <si>
    <t>Subtotal Controllable Infrastructure</t>
  </si>
  <si>
    <t>52003100</t>
  </si>
  <si>
    <t>52003200</t>
  </si>
  <si>
    <t>52004600</t>
  </si>
  <si>
    <t>52004700</t>
  </si>
  <si>
    <t>52004800</t>
  </si>
  <si>
    <t>52003600</t>
  </si>
  <si>
    <t>52004100</t>
  </si>
  <si>
    <t>52004400</t>
  </si>
  <si>
    <t>Third Year Analyst cost per month.(per headcount)</t>
  </si>
  <si>
    <t>Summer Associate cost per month.(per headcount)</t>
  </si>
  <si>
    <t>Associate cost per month.(per headcount)</t>
  </si>
  <si>
    <t>Tax Analyst cost per month.(per headcount)</t>
  </si>
  <si>
    <t>Summer Analyst cost per month.(per headcount)</t>
  </si>
  <si>
    <t>Analyst cost per month.(per headcount)</t>
  </si>
  <si>
    <t>Subtotal</t>
  </si>
  <si>
    <t>52001500</t>
  </si>
  <si>
    <t xml:space="preserve">  Club Dues</t>
  </si>
  <si>
    <t>Subtotal Office Supplies</t>
  </si>
  <si>
    <t>Analysts and Associates</t>
  </si>
  <si>
    <t xml:space="preserve">  Corporate IT</t>
  </si>
  <si>
    <t>Subtotal Other</t>
  </si>
  <si>
    <t>12425</t>
  </si>
  <si>
    <t>Eric Thode</t>
  </si>
  <si>
    <t>105573</t>
  </si>
  <si>
    <r>
      <t>2 0 0 2   P</t>
    </r>
    <r>
      <rPr>
        <b/>
        <sz val="18"/>
        <color indexed="8"/>
        <rFont val="Arial"/>
        <family val="2"/>
      </rPr>
      <t xml:space="preserve"> L A N vs </t>
    </r>
    <r>
      <rPr>
        <b/>
        <sz val="20"/>
        <color indexed="8"/>
        <rFont val="Arial"/>
        <family val="2"/>
      </rPr>
      <t xml:space="preserve">2 0 0 1 </t>
    </r>
    <r>
      <rPr>
        <b/>
        <sz val="22"/>
        <color indexed="8"/>
        <rFont val="Arial"/>
        <family val="2"/>
      </rPr>
      <t>P</t>
    </r>
    <r>
      <rPr>
        <b/>
        <sz val="18"/>
        <color indexed="8"/>
        <rFont val="Arial"/>
        <family val="2"/>
      </rPr>
      <t xml:space="preserve"> L A N</t>
    </r>
  </si>
  <si>
    <t>DEPARTMENT:</t>
  </si>
  <si>
    <t>HEADCOUNT SUMMARY</t>
  </si>
  <si>
    <t>July hdct</t>
  </si>
  <si>
    <t>02 Budget</t>
  </si>
  <si>
    <t>Subtotal Headcount</t>
  </si>
  <si>
    <t>01 Budget</t>
  </si>
  <si>
    <t>Enron North America</t>
  </si>
  <si>
    <t>Monthly  Headcount</t>
  </si>
  <si>
    <t>As of July 31, 2000</t>
  </si>
  <si>
    <t>Jan</t>
  </si>
  <si>
    <t>Feb</t>
  </si>
  <si>
    <t>Mar</t>
  </si>
  <si>
    <t>1st QTR</t>
  </si>
  <si>
    <t>Apr</t>
  </si>
  <si>
    <t>May</t>
  </si>
  <si>
    <t>Jun</t>
  </si>
  <si>
    <t>2nd QTR</t>
  </si>
  <si>
    <t>Jul</t>
  </si>
  <si>
    <t>Aug</t>
  </si>
  <si>
    <t>Sep</t>
  </si>
  <si>
    <t>3rd QTR</t>
  </si>
  <si>
    <t>Oct</t>
  </si>
  <si>
    <t>Nov</t>
  </si>
  <si>
    <t>Dec</t>
  </si>
  <si>
    <t>4th QTR</t>
  </si>
  <si>
    <t>2001 YTD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</si>
  <si>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</si>
  <si>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</si>
  <si>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</si>
  <si>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</si>
  <si>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</si>
  <si>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</si>
  <si>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</si>
  <si>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</si>
  <si>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Total Commercial</t>
  </si>
  <si>
    <t xml:space="preserve">   YTD Comm. average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</si>
  <si>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</si>
  <si>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</si>
  <si>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</si>
  <si>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</si>
  <si>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</si>
  <si>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</si>
  <si>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 xml:space="preserve">   Total Non-Comm</t>
  </si>
  <si>
    <t>Total employees</t>
  </si>
  <si>
    <t>YTD total average</t>
  </si>
  <si>
    <t>Plan 2002</t>
  </si>
  <si>
    <t>2002 YTD</t>
  </si>
  <si>
    <t>Team: Public Relations</t>
  </si>
  <si>
    <t>Cost Center: 105573 Public Relations</t>
  </si>
  <si>
    <t>%</t>
  </si>
  <si>
    <t>Total</t>
  </si>
  <si>
    <t>EGM</t>
  </si>
  <si>
    <t>EIM</t>
  </si>
  <si>
    <t>ENW</t>
  </si>
  <si>
    <t>Total budget</t>
  </si>
  <si>
    <t>I/C billings</t>
  </si>
  <si>
    <t>Net PR budget</t>
  </si>
  <si>
    <t>EEOS</t>
  </si>
  <si>
    <t>2002 Plan Summary - Public Relations</t>
  </si>
  <si>
    <t>'01 Fcst vs '02 Plan</t>
  </si>
  <si>
    <t>Actuals</t>
  </si>
  <si>
    <t>Forecast</t>
  </si>
  <si>
    <t>Fav/(Unfav)</t>
  </si>
  <si>
    <t>Jan-July</t>
  </si>
  <si>
    <t>Aug-Dec</t>
  </si>
  <si>
    <t xml:space="preserve">  Direct Expenses (000s)</t>
  </si>
  <si>
    <t>Compensation/Taxes and Benefits</t>
  </si>
  <si>
    <t>a)</t>
  </si>
  <si>
    <t>Employee Expenses</t>
  </si>
  <si>
    <t xml:space="preserve">     Recruiting and Relocations</t>
  </si>
  <si>
    <t xml:space="preserve">     Communications (Cell Phones, Pagers, etc.)</t>
  </si>
  <si>
    <t>b)</t>
  </si>
  <si>
    <t xml:space="preserve">     Conferences and Training</t>
  </si>
  <si>
    <t xml:space="preserve">     Club Dues</t>
  </si>
  <si>
    <t xml:space="preserve">     Employee Memberships &amp; Dues</t>
  </si>
  <si>
    <t xml:space="preserve">     Tuition Reimbursement</t>
  </si>
  <si>
    <t xml:space="preserve">     Employee Entertainment</t>
  </si>
  <si>
    <t>c)</t>
  </si>
  <si>
    <t xml:space="preserve">     Overtime/Working Meals</t>
  </si>
  <si>
    <t xml:space="preserve">     Other Employee Expenses</t>
  </si>
  <si>
    <t>Travel/Entertainment</t>
  </si>
  <si>
    <t xml:space="preserve">     Travel - Air</t>
  </si>
  <si>
    <t xml:space="preserve">     Travel - Lodging</t>
  </si>
  <si>
    <t xml:space="preserve">     Travel - Meals</t>
  </si>
  <si>
    <t xml:space="preserve">     Travel - Other</t>
  </si>
  <si>
    <t xml:space="preserve">     Client Entertainment</t>
  </si>
  <si>
    <t>d)</t>
  </si>
  <si>
    <t xml:space="preserve">     Customer Meetings</t>
  </si>
  <si>
    <t>Consulting</t>
  </si>
  <si>
    <t xml:space="preserve">     Advertising &amp; Promotions</t>
  </si>
  <si>
    <t xml:space="preserve">     Outside Services Excluding Legal and Tax</t>
  </si>
  <si>
    <t>e)</t>
  </si>
  <si>
    <t>Office</t>
  </si>
  <si>
    <t xml:space="preserve">     3rd Party Rent</t>
  </si>
  <si>
    <t xml:space="preserve">     Supplies</t>
  </si>
  <si>
    <t xml:space="preserve">     Subscriptions and Periodicals</t>
  </si>
  <si>
    <t xml:space="preserve">     Postage and Freight</t>
  </si>
  <si>
    <t xml:space="preserve">     Corporate Rent</t>
  </si>
  <si>
    <t xml:space="preserve">     Technology</t>
  </si>
  <si>
    <t>Controllable Infrastructure</t>
  </si>
  <si>
    <r>
      <t>Analyst Associates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(Includes Comp, Taxes and Benefits and allocation)</t>
    </r>
  </si>
  <si>
    <t>Other Expense</t>
  </si>
  <si>
    <t xml:space="preserve">     Taxes Other than Income</t>
  </si>
  <si>
    <t xml:space="preserve">     Charitable Contributions</t>
  </si>
  <si>
    <t>f)</t>
  </si>
  <si>
    <t xml:space="preserve">     Company Membership &amp; Dues</t>
  </si>
  <si>
    <t xml:space="preserve">     Other Expenses (Transportation, Fees &amp; Permits, etc.)</t>
  </si>
  <si>
    <t>g)</t>
  </si>
  <si>
    <t>Depreciation and Amortization</t>
  </si>
  <si>
    <t>Total Direct Expenses</t>
  </si>
  <si>
    <t>Amounts Billed to Other Business Units</t>
  </si>
  <si>
    <t>h)</t>
  </si>
  <si>
    <t>Amounts Directed to ENA Commercial Teams</t>
  </si>
  <si>
    <t>Expenses Net of Intercompany Billings</t>
  </si>
  <si>
    <t xml:space="preserve">  Headcount</t>
  </si>
  <si>
    <t>a) Variance is due to merit increases ($33K), promotions ($36K) and because some positions were vacant for a portion of 2001 ($14K).</t>
  </si>
  <si>
    <t>b) Variance is due to the addition of two managers in exchange for two staff positions.  Charges include calling cards.</t>
  </si>
  <si>
    <t>c) Employee Entertainment includes the fall appreciation event and the holiday party.</t>
  </si>
  <si>
    <t>d) Variance is due to a refund in 2001 for an overpayment made in 2000.</t>
  </si>
  <si>
    <t>e) Outside Services consists of outside public relations and graphics services.</t>
  </si>
  <si>
    <t>f) Charitable contributions that were planned in 2001 were not made but are planned again for 2002.</t>
  </si>
  <si>
    <t>g) Variance is due to a refund in 2001 for an overpayment made in 2000.</t>
  </si>
  <si>
    <t>Employee</t>
  </si>
  <si>
    <t>Job Title</t>
  </si>
  <si>
    <t>Eric W. Thode</t>
  </si>
  <si>
    <t>Doris M. Hitchcock</t>
  </si>
  <si>
    <t>Julianne M. Salvagio</t>
  </si>
  <si>
    <t>Jennifer Walker</t>
  </si>
  <si>
    <t>Lea Sooter</t>
  </si>
  <si>
    <t>Kathie Grabstald</t>
  </si>
  <si>
    <t>Tina M. Clements</t>
  </si>
  <si>
    <t>Jr. Specialist</t>
  </si>
  <si>
    <t>Laura R. Pena</t>
  </si>
  <si>
    <t>Monica Brown</t>
  </si>
  <si>
    <t>Sr. Admin</t>
  </si>
  <si>
    <t>Steven A. Brown</t>
  </si>
  <si>
    <t>Clerk</t>
  </si>
  <si>
    <t>h) Allocations to ENW have increased 15% due to increased support and allocations will be made to EEOS and EBS in 2002 that were not made in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</si>
</sst>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1" formatCode="#,##0.0_);\(#,##0.0\)"/>
    <numFmt numFmtId="172" formatCode="m/d/yy\ h:mm\ AM/PM"/>
    <numFmt numFmtId="173" formatCode="_(* #,##0.0_);_(* \(#,##0.0\);_(* &quot;-&quot;??_);_(@_)"/>
    <numFmt numFmtId="176" formatCode="_(&quot;$&quot;* #,##0_);_(&quot;$&quot;* \(#,##0\);_(&quot;$&quot;* &quot;-&quot;??_);_(@_)"/>
  </numFmts>
  <fonts count="53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name val="Arial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color indexed="12"/>
      <name val="Arial"/>
      <family val="2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56"/>
      <name val="Arial Narrow"/>
      <family val="2"/>
    </font>
    <font>
      <sz val="10"/>
      <color indexed="56"/>
      <name val="Arial Narrow"/>
      <family val="2"/>
    </font>
    <font>
      <i/>
      <sz val="10"/>
      <name val="Arial Narrow"/>
      <family val="2"/>
    </font>
    <font>
      <b/>
      <sz val="12"/>
      <color indexed="8"/>
      <name val="Arial Narrow"/>
      <family val="2"/>
    </font>
    <font>
      <b/>
      <sz val="20"/>
      <color indexed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7"/>
      <name val="Arial Narrow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8"/>
      <name val="Arial"/>
      <family val="2"/>
    </font>
    <font>
      <b/>
      <sz val="10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2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">
    <xf numFmtId="0" fontId="0" fillId="0" borderId="0"/>
    <xf numFmtId="166" fontId="6" fillId="2" borderId="1">
      <alignment horizontal="center" vertical="center"/>
    </xf>
    <xf numFmtId="168" fontId="6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167" fontId="6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69" fontId="6" fillId="0" borderId="0">
      <protection locked="0"/>
    </xf>
    <xf numFmtId="169" fontId="6" fillId="0" borderId="0">
      <protection locked="0"/>
    </xf>
    <xf numFmtId="0" fontId="12" fillId="0" borderId="4" applyNumberFormat="0" applyFill="0" applyAlignment="0" applyProtection="0"/>
    <xf numFmtId="10" fontId="9" fillId="4" borderId="5" applyNumberFormat="0" applyBorder="0" applyAlignment="0" applyProtection="0"/>
    <xf numFmtId="37" fontId="13" fillId="0" borderId="0"/>
    <xf numFmtId="165" fontId="14" fillId="0" borderId="0"/>
    <xf numFmtId="0" fontId="16" fillId="0" borderId="0"/>
    <xf numFmtId="9" fontId="1" fillId="0" borderId="0" applyFont="0" applyFill="0" applyBorder="0" applyAlignment="0" applyProtection="0"/>
    <xf numFmtId="10" fontId="6" fillId="0" borderId="0" applyFont="0" applyFill="0" applyBorder="0" applyAlignment="0" applyProtection="0"/>
    <xf numFmtId="169" fontId="6" fillId="0" borderId="6">
      <protection locked="0"/>
    </xf>
    <xf numFmtId="37" fontId="9" fillId="5" borderId="0" applyNumberFormat="0" applyBorder="0" applyAlignment="0" applyProtection="0"/>
    <xf numFmtId="37" fontId="8" fillId="0" borderId="0"/>
    <xf numFmtId="37" fontId="8" fillId="3" borderId="0" applyNumberFormat="0" applyBorder="0" applyAlignment="0" applyProtection="0"/>
    <xf numFmtId="3" fontId="15" fillId="0" borderId="4" applyProtection="0"/>
  </cellStyleXfs>
  <cellXfs count="33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Fill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0" fontId="5" fillId="0" borderId="0" xfId="0" applyFont="1"/>
    <xf numFmtId="49" fontId="2" fillId="0" borderId="0" xfId="17" applyNumberFormat="1" applyFont="1" applyAlignment="1">
      <alignment horizontal="left" vertical="top"/>
    </xf>
    <xf numFmtId="49" fontId="2" fillId="0" borderId="0" xfId="17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6" borderId="0" xfId="0" applyNumberFormat="1" applyFont="1" applyFill="1"/>
    <xf numFmtId="0" fontId="2" fillId="0" borderId="0" xfId="0" applyNumberFormat="1" applyFont="1" applyAlignment="1">
      <alignment horizontal="right"/>
    </xf>
    <xf numFmtId="0" fontId="5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right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0" fontId="2" fillId="3" borderId="7" xfId="0" applyFont="1" applyFill="1" applyBorder="1"/>
    <xf numFmtId="49" fontId="2" fillId="0" borderId="8" xfId="0" applyNumberFormat="1" applyFont="1" applyBorder="1"/>
    <xf numFmtId="0" fontId="2" fillId="0" borderId="0" xfId="0" applyNumberFormat="1" applyFont="1" applyAlignment="1">
      <alignment horizontal="left"/>
    </xf>
    <xf numFmtId="0" fontId="3" fillId="0" borderId="0" xfId="0" applyFont="1" applyFill="1" applyBorder="1" applyAlignment="1"/>
    <xf numFmtId="0" fontId="3" fillId="0" borderId="9" xfId="0" applyFont="1" applyFill="1" applyBorder="1" applyAlignment="1"/>
    <xf numFmtId="0" fontId="3" fillId="3" borderId="9" xfId="0" applyFont="1" applyFill="1" applyBorder="1" applyAlignment="1"/>
    <xf numFmtId="37" fontId="2" fillId="0" borderId="0" xfId="0" applyNumberFormat="1" applyFont="1"/>
    <xf numFmtId="0" fontId="22" fillId="3" borderId="10" xfId="0" applyNumberFormat="1" applyFont="1" applyFill="1" applyBorder="1"/>
    <xf numFmtId="0" fontId="22" fillId="3" borderId="11" xfId="0" applyNumberFormat="1" applyFont="1" applyFill="1" applyBorder="1" applyAlignment="1">
      <alignment horizontal="right"/>
    </xf>
    <xf numFmtId="0" fontId="23" fillId="3" borderId="12" xfId="17" applyFont="1" applyFill="1" applyBorder="1" applyAlignment="1">
      <alignment horizontal="right"/>
    </xf>
    <xf numFmtId="0" fontId="22" fillId="0" borderId="0" xfId="0" applyNumberFormat="1" applyFont="1"/>
    <xf numFmtId="0" fontId="23" fillId="3" borderId="7" xfId="0" applyFont="1" applyFill="1" applyBorder="1"/>
    <xf numFmtId="17" fontId="23" fillId="3" borderId="9" xfId="0" applyNumberFormat="1" applyFont="1" applyFill="1" applyBorder="1" applyAlignment="1">
      <alignment horizontal="right"/>
    </xf>
    <xf numFmtId="0" fontId="23" fillId="3" borderId="13" xfId="17" applyFont="1" applyFill="1" applyBorder="1" applyAlignment="1">
      <alignment horizontal="right"/>
    </xf>
    <xf numFmtId="0" fontId="22" fillId="0" borderId="14" xfId="0" applyFont="1" applyFill="1" applyBorder="1"/>
    <xf numFmtId="164" fontId="22" fillId="0" borderId="0" xfId="3" applyNumberFormat="1" applyFont="1" applyFill="1" applyBorder="1"/>
    <xf numFmtId="37" fontId="22" fillId="0" borderId="0" xfId="3" applyNumberFormat="1" applyFont="1" applyFill="1" applyBorder="1"/>
    <xf numFmtId="0" fontId="22" fillId="0" borderId="0" xfId="0" applyFont="1"/>
    <xf numFmtId="164" fontId="23" fillId="0" borderId="0" xfId="3" applyNumberFormat="1" applyFont="1" applyFill="1" applyBorder="1"/>
    <xf numFmtId="0" fontId="23" fillId="3" borderId="15" xfId="0" applyFont="1" applyFill="1" applyBorder="1" applyAlignment="1"/>
    <xf numFmtId="164" fontId="23" fillId="3" borderId="3" xfId="3" applyNumberFormat="1" applyFont="1" applyFill="1" applyBorder="1"/>
    <xf numFmtId="37" fontId="23" fillId="3" borderId="3" xfId="3" applyNumberFormat="1" applyFont="1" applyFill="1" applyBorder="1"/>
    <xf numFmtId="37" fontId="23" fillId="3" borderId="16" xfId="3" applyNumberFormat="1" applyFont="1" applyFill="1" applyBorder="1"/>
    <xf numFmtId="0" fontId="22" fillId="3" borderId="11" xfId="0" applyNumberFormat="1" applyFont="1" applyFill="1" applyBorder="1"/>
    <xf numFmtId="0" fontId="23" fillId="3" borderId="9" xfId="0" applyFont="1" applyFill="1" applyBorder="1"/>
    <xf numFmtId="0" fontId="22" fillId="0" borderId="0" xfId="0" applyFont="1" applyFill="1" applyBorder="1"/>
    <xf numFmtId="0" fontId="23" fillId="0" borderId="0" xfId="0" applyFont="1" applyFill="1" applyBorder="1" applyAlignment="1"/>
    <xf numFmtId="0" fontId="23" fillId="3" borderId="3" xfId="0" applyFont="1" applyFill="1" applyBorder="1" applyAlignment="1"/>
    <xf numFmtId="37" fontId="23" fillId="0" borderId="0" xfId="3" applyNumberFormat="1" applyFont="1" applyFill="1" applyBorder="1"/>
    <xf numFmtId="0" fontId="23" fillId="3" borderId="10" xfId="0" applyNumberFormat="1" applyFont="1" applyFill="1" applyBorder="1"/>
    <xf numFmtId="0" fontId="23" fillId="3" borderId="11" xfId="0" applyNumberFormat="1" applyFont="1" applyFill="1" applyBorder="1"/>
    <xf numFmtId="0" fontId="23" fillId="3" borderId="11" xfId="0" applyNumberFormat="1" applyFont="1" applyFill="1" applyBorder="1" applyAlignment="1">
      <alignment horizontal="right"/>
    </xf>
    <xf numFmtId="0" fontId="23" fillId="0" borderId="0" xfId="0" applyNumberFormat="1" applyFont="1"/>
    <xf numFmtId="3" fontId="3" fillId="0" borderId="17" xfId="0" applyNumberFormat="1" applyFont="1" applyBorder="1" applyAlignment="1">
      <alignment horizontal="center" vertical="center"/>
    </xf>
    <xf numFmtId="10" fontId="3" fillId="0" borderId="18" xfId="18" applyNumberFormat="1" applyFont="1" applyBorder="1" applyAlignment="1">
      <alignment horizontal="center" vertical="center"/>
    </xf>
    <xf numFmtId="10" fontId="3" fillId="0" borderId="19" xfId="18" applyNumberFormat="1" applyFont="1" applyBorder="1" applyAlignment="1">
      <alignment horizontal="center" vertical="center"/>
    </xf>
    <xf numFmtId="10" fontId="3" fillId="0" borderId="20" xfId="18" applyNumberFormat="1" applyFont="1" applyBorder="1" applyAlignment="1">
      <alignment horizontal="center" vertical="center"/>
    </xf>
    <xf numFmtId="10" fontId="3" fillId="0" borderId="17" xfId="18" applyNumberFormat="1" applyFont="1" applyBorder="1" applyAlignment="1">
      <alignment horizontal="center" vertical="center"/>
    </xf>
    <xf numFmtId="37" fontId="23" fillId="7" borderId="12" xfId="3" applyNumberFormat="1" applyFont="1" applyFill="1" applyBorder="1"/>
    <xf numFmtId="37" fontId="23" fillId="7" borderId="21" xfId="3" applyNumberFormat="1" applyFont="1" applyFill="1" applyBorder="1"/>
    <xf numFmtId="0" fontId="22" fillId="0" borderId="10" xfId="0" applyFont="1" applyFill="1" applyBorder="1"/>
    <xf numFmtId="0" fontId="22" fillId="0" borderId="11" xfId="0" applyFont="1" applyFill="1" applyBorder="1"/>
    <xf numFmtId="164" fontId="22" fillId="0" borderId="11" xfId="3" applyNumberFormat="1" applyFont="1" applyFill="1" applyBorder="1"/>
    <xf numFmtId="37" fontId="22" fillId="0" borderId="11" xfId="3" applyNumberFormat="1" applyFont="1" applyFill="1" applyBorder="1"/>
    <xf numFmtId="37" fontId="2" fillId="0" borderId="0" xfId="3" applyNumberFormat="1" applyFont="1" applyFill="1" applyBorder="1"/>
    <xf numFmtId="37" fontId="3" fillId="7" borderId="21" xfId="3" applyNumberFormat="1" applyFont="1" applyFill="1" applyBorder="1"/>
    <xf numFmtId="49" fontId="2" fillId="7" borderId="14" xfId="17" applyNumberFormat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/>
    </xf>
    <xf numFmtId="0" fontId="2" fillId="7" borderId="0" xfId="0" applyFont="1" applyFill="1" applyBorder="1"/>
    <xf numFmtId="37" fontId="3" fillId="7" borderId="11" xfId="3" applyNumberFormat="1" applyFont="1" applyFill="1" applyBorder="1"/>
    <xf numFmtId="37" fontId="3" fillId="7" borderId="12" xfId="3" applyNumberFormat="1" applyFont="1" applyFill="1" applyBorder="1"/>
    <xf numFmtId="0" fontId="2" fillId="7" borderId="0" xfId="0" applyFont="1" applyFill="1" applyBorder="1" applyAlignment="1"/>
    <xf numFmtId="37" fontId="2" fillId="7" borderId="0" xfId="3" applyNumberFormat="1" applyFont="1" applyFill="1" applyBorder="1"/>
    <xf numFmtId="0" fontId="3" fillId="7" borderId="0" xfId="0" applyFont="1" applyFill="1" applyBorder="1" applyAlignment="1"/>
    <xf numFmtId="37" fontId="3" fillId="3" borderId="3" xfId="3" applyNumberFormat="1" applyFont="1" applyFill="1" applyBorder="1"/>
    <xf numFmtId="37" fontId="3" fillId="3" borderId="16" xfId="3" applyNumberFormat="1" applyFont="1" applyFill="1" applyBorder="1"/>
    <xf numFmtId="0" fontId="24" fillId="0" borderId="0" xfId="0" applyFont="1"/>
    <xf numFmtId="164" fontId="2" fillId="0" borderId="0" xfId="3" applyNumberFormat="1" applyFont="1"/>
    <xf numFmtId="164" fontId="3" fillId="0" borderId="17" xfId="3" applyNumberFormat="1" applyFont="1" applyBorder="1"/>
    <xf numFmtId="0" fontId="25" fillId="0" borderId="0" xfId="0" applyFont="1"/>
    <xf numFmtId="0" fontId="26" fillId="3" borderId="10" xfId="17" applyFont="1" applyFill="1" applyBorder="1"/>
    <xf numFmtId="0" fontId="26" fillId="3" borderId="11" xfId="17" applyFont="1" applyFill="1" applyBorder="1"/>
    <xf numFmtId="0" fontId="27" fillId="3" borderId="11" xfId="0" applyNumberFormat="1" applyFont="1" applyFill="1" applyBorder="1" applyAlignment="1">
      <alignment horizontal="right"/>
    </xf>
    <xf numFmtId="0" fontId="26" fillId="3" borderId="12" xfId="17" applyFont="1" applyFill="1" applyBorder="1" applyAlignment="1">
      <alignment horizontal="right"/>
    </xf>
    <xf numFmtId="0" fontId="26" fillId="3" borderId="7" xfId="17" applyFont="1" applyFill="1" applyBorder="1"/>
    <xf numFmtId="0" fontId="26" fillId="3" borderId="9" xfId="17" applyFont="1" applyFill="1" applyBorder="1"/>
    <xf numFmtId="17" fontId="26" fillId="3" borderId="9" xfId="0" applyNumberFormat="1" applyFont="1" applyFill="1" applyBorder="1" applyAlignment="1">
      <alignment horizontal="right"/>
    </xf>
    <xf numFmtId="0" fontId="26" fillId="3" borderId="13" xfId="17" applyFont="1" applyFill="1" applyBorder="1" applyAlignment="1">
      <alignment horizontal="right"/>
    </xf>
    <xf numFmtId="0" fontId="2" fillId="0" borderId="0" xfId="17" applyNumberFormat="1" applyFont="1" applyAlignment="1">
      <alignment horizontal="left" vertical="top"/>
    </xf>
    <xf numFmtId="49" fontId="2" fillId="0" borderId="14" xfId="17" applyNumberFormat="1" applyFont="1" applyFill="1" applyBorder="1" applyAlignment="1">
      <alignment horizontal="left" vertical="top"/>
    </xf>
    <xf numFmtId="49" fontId="2" fillId="0" borderId="14" xfId="17" applyNumberFormat="1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49" fontId="2" fillId="0" borderId="7" xfId="17" applyNumberFormat="1" applyFont="1" applyFill="1" applyBorder="1" applyAlignment="1">
      <alignment horizontal="left" vertical="top"/>
    </xf>
    <xf numFmtId="14" fontId="28" fillId="0" borderId="8" xfId="0" applyNumberFormat="1" applyFont="1" applyBorder="1"/>
    <xf numFmtId="0" fontId="2" fillId="0" borderId="0" xfId="0" applyFont="1" applyFill="1" applyBorder="1" applyAlignment="1">
      <alignment horizontal="left"/>
    </xf>
    <xf numFmtId="0" fontId="3" fillId="3" borderId="3" xfId="0" applyFont="1" applyFill="1" applyBorder="1" applyAlignment="1"/>
    <xf numFmtId="0" fontId="29" fillId="0" borderId="0" xfId="0" applyFont="1" applyFill="1" applyAlignment="1">
      <alignment horizontal="left" vertical="center"/>
    </xf>
    <xf numFmtId="49" fontId="2" fillId="0" borderId="0" xfId="0" applyNumberFormat="1" applyFont="1" applyBorder="1"/>
    <xf numFmtId="0" fontId="31" fillId="3" borderId="10" xfId="0" applyNumberFormat="1" applyFont="1" applyFill="1" applyBorder="1"/>
    <xf numFmtId="0" fontId="31" fillId="3" borderId="22" xfId="0" applyNumberFormat="1" applyFont="1" applyFill="1" applyBorder="1"/>
    <xf numFmtId="0" fontId="31" fillId="3" borderId="23" xfId="0" applyNumberFormat="1" applyFont="1" applyFill="1" applyBorder="1" applyAlignment="1">
      <alignment horizontal="right"/>
    </xf>
    <xf numFmtId="0" fontId="31" fillId="0" borderId="0" xfId="0" applyNumberFormat="1" applyFont="1"/>
    <xf numFmtId="0" fontId="32" fillId="3" borderId="7" xfId="0" applyFont="1" applyFill="1" applyBorder="1"/>
    <xf numFmtId="0" fontId="32" fillId="3" borderId="24" xfId="0" applyFont="1" applyFill="1" applyBorder="1"/>
    <xf numFmtId="17" fontId="32" fillId="3" borderId="25" xfId="0" applyNumberFormat="1" applyFont="1" applyFill="1" applyBorder="1" applyAlignment="1">
      <alignment horizontal="right"/>
    </xf>
    <xf numFmtId="17" fontId="32" fillId="3" borderId="24" xfId="0" applyNumberFormat="1" applyFont="1" applyFill="1" applyBorder="1" applyAlignment="1">
      <alignment horizontal="center"/>
    </xf>
    <xf numFmtId="17" fontId="32" fillId="3" borderId="9" xfId="0" applyNumberFormat="1" applyFont="1" applyFill="1" applyBorder="1" applyAlignment="1">
      <alignment horizontal="center"/>
    </xf>
    <xf numFmtId="17" fontId="32" fillId="3" borderId="25" xfId="0" applyNumberFormat="1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0" xfId="0" applyFont="1"/>
    <xf numFmtId="0" fontId="31" fillId="0" borderId="14" xfId="0" applyFont="1" applyFill="1" applyBorder="1"/>
    <xf numFmtId="0" fontId="31" fillId="0" borderId="26" xfId="0" applyFont="1" applyFill="1" applyBorder="1"/>
    <xf numFmtId="164" fontId="31" fillId="0" borderId="27" xfId="3" applyNumberFormat="1" applyFont="1" applyFill="1" applyBorder="1"/>
    <xf numFmtId="37" fontId="31" fillId="0" borderId="26" xfId="3" applyNumberFormat="1" applyFont="1" applyFill="1" applyBorder="1"/>
    <xf numFmtId="37" fontId="31" fillId="0" borderId="28" xfId="3" applyNumberFormat="1" applyFont="1" applyFill="1" applyBorder="1"/>
    <xf numFmtId="37" fontId="31" fillId="0" borderId="27" xfId="3" applyNumberFormat="1" applyFont="1" applyFill="1" applyBorder="1"/>
    <xf numFmtId="164" fontId="32" fillId="0" borderId="27" xfId="3" applyNumberFormat="1" applyFont="1" applyFill="1" applyBorder="1"/>
    <xf numFmtId="0" fontId="32" fillId="7" borderId="14" xfId="0" applyFont="1" applyFill="1" applyBorder="1" applyAlignment="1"/>
    <xf numFmtId="0" fontId="32" fillId="7" borderId="26" xfId="0" applyFont="1" applyFill="1" applyBorder="1" applyAlignment="1"/>
    <xf numFmtId="164" fontId="32" fillId="7" borderId="27" xfId="3" applyNumberFormat="1" applyFont="1" applyFill="1" applyBorder="1"/>
    <xf numFmtId="171" fontId="32" fillId="7" borderId="29" xfId="3" applyNumberFormat="1" applyFont="1" applyFill="1" applyBorder="1"/>
    <xf numFmtId="171" fontId="32" fillId="7" borderId="30" xfId="3" applyNumberFormat="1" applyFont="1" applyFill="1" applyBorder="1"/>
    <xf numFmtId="171" fontId="32" fillId="7" borderId="31" xfId="3" applyNumberFormat="1" applyFont="1" applyFill="1" applyBorder="1"/>
    <xf numFmtId="171" fontId="31" fillId="0" borderId="0" xfId="0" applyNumberFormat="1" applyFont="1"/>
    <xf numFmtId="171" fontId="32" fillId="3" borderId="15" xfId="0" applyNumberFormat="1" applyFont="1" applyFill="1" applyBorder="1" applyAlignment="1"/>
    <xf numFmtId="171" fontId="32" fillId="3" borderId="32" xfId="0" applyNumberFormat="1" applyFont="1" applyFill="1" applyBorder="1" applyAlignment="1"/>
    <xf numFmtId="171" fontId="32" fillId="3" borderId="33" xfId="3" applyNumberFormat="1" applyFont="1" applyFill="1" applyBorder="1"/>
    <xf numFmtId="171" fontId="32" fillId="3" borderId="32" xfId="3" applyNumberFormat="1" applyFont="1" applyFill="1" applyBorder="1"/>
    <xf numFmtId="0" fontId="32" fillId="0" borderId="0" xfId="0" applyFont="1" applyFill="1" applyBorder="1" applyAlignment="1"/>
    <xf numFmtId="164" fontId="32" fillId="0" borderId="0" xfId="3" applyNumberFormat="1" applyFont="1" applyFill="1" applyBorder="1"/>
    <xf numFmtId="37" fontId="32" fillId="0" borderId="0" xfId="3" applyNumberFormat="1" applyFont="1" applyFill="1" applyBorder="1"/>
    <xf numFmtId="0" fontId="31" fillId="0" borderId="0" xfId="0" applyFont="1" applyFill="1" applyBorder="1"/>
    <xf numFmtId="0" fontId="32" fillId="3" borderId="10" xfId="0" applyNumberFormat="1" applyFont="1" applyFill="1" applyBorder="1"/>
    <xf numFmtId="0" fontId="32" fillId="3" borderId="22" xfId="0" applyNumberFormat="1" applyFont="1" applyFill="1" applyBorder="1"/>
    <xf numFmtId="0" fontId="32" fillId="3" borderId="23" xfId="0" applyNumberFormat="1" applyFont="1" applyFill="1" applyBorder="1" applyAlignment="1">
      <alignment horizontal="right"/>
    </xf>
    <xf numFmtId="0" fontId="32" fillId="0" borderId="0" xfId="0" applyNumberFormat="1" applyFont="1"/>
    <xf numFmtId="0" fontId="32" fillId="3" borderId="34" xfId="0" applyFont="1" applyFill="1" applyBorder="1"/>
    <xf numFmtId="17" fontId="32" fillId="3" borderId="35" xfId="0" applyNumberFormat="1" applyFont="1" applyFill="1" applyBorder="1" applyAlignment="1">
      <alignment horizontal="right"/>
    </xf>
    <xf numFmtId="17" fontId="32" fillId="3" borderId="34" xfId="0" applyNumberFormat="1" applyFont="1" applyFill="1" applyBorder="1" applyAlignment="1">
      <alignment horizontal="center"/>
    </xf>
    <xf numFmtId="17" fontId="32" fillId="3" borderId="8" xfId="0" applyNumberFormat="1" applyFont="1" applyFill="1" applyBorder="1" applyAlignment="1">
      <alignment horizontal="center"/>
    </xf>
    <xf numFmtId="17" fontId="32" fillId="3" borderId="35" xfId="0" applyNumberFormat="1" applyFont="1" applyFill="1" applyBorder="1" applyAlignment="1">
      <alignment horizontal="center"/>
    </xf>
    <xf numFmtId="49" fontId="2" fillId="0" borderId="14" xfId="17" applyNumberFormat="1" applyFont="1" applyBorder="1" applyAlignment="1">
      <alignment horizontal="left" vertical="top"/>
    </xf>
    <xf numFmtId="0" fontId="2" fillId="0" borderId="26" xfId="0" applyFont="1" applyBorder="1"/>
    <xf numFmtId="0" fontId="2" fillId="0" borderId="27" xfId="0" applyFont="1" applyBorder="1"/>
    <xf numFmtId="37" fontId="2" fillId="0" borderId="26" xfId="3" applyNumberFormat="1" applyFont="1" applyFill="1" applyBorder="1"/>
    <xf numFmtId="37" fontId="2" fillId="0" borderId="28" xfId="3" applyNumberFormat="1" applyFont="1" applyFill="1" applyBorder="1"/>
    <xf numFmtId="37" fontId="2" fillId="0" borderId="27" xfId="3" applyNumberFormat="1" applyFont="1" applyFill="1" applyBorder="1"/>
    <xf numFmtId="0" fontId="3" fillId="7" borderId="26" xfId="0" applyFont="1" applyFill="1" applyBorder="1" applyAlignment="1">
      <alignment horizontal="left"/>
    </xf>
    <xf numFmtId="0" fontId="2" fillId="7" borderId="27" xfId="0" applyFont="1" applyFill="1" applyBorder="1"/>
    <xf numFmtId="37" fontId="3" fillId="7" borderId="30" xfId="3" applyNumberFormat="1" applyFont="1" applyFill="1" applyBorder="1"/>
    <xf numFmtId="37" fontId="3" fillId="7" borderId="31" xfId="3" applyNumberFormat="1" applyFont="1" applyFill="1" applyBorder="1"/>
    <xf numFmtId="0" fontId="2" fillId="7" borderId="26" xfId="0" applyFont="1" applyFill="1" applyBorder="1" applyAlignment="1"/>
    <xf numFmtId="37" fontId="2" fillId="7" borderId="26" xfId="3" applyNumberFormat="1" applyFont="1" applyFill="1" applyBorder="1"/>
    <xf numFmtId="37" fontId="2" fillId="7" borderId="28" xfId="3" applyNumberFormat="1" applyFont="1" applyFill="1" applyBorder="1"/>
    <xf numFmtId="37" fontId="2" fillId="7" borderId="27" xfId="3" applyNumberFormat="1" applyFont="1" applyFill="1" applyBorder="1"/>
    <xf numFmtId="0" fontId="2" fillId="7" borderId="26" xfId="0" applyFont="1" applyFill="1" applyBorder="1"/>
    <xf numFmtId="0" fontId="3" fillId="7" borderId="26" xfId="0" applyFont="1" applyFill="1" applyBorder="1" applyAlignment="1"/>
    <xf numFmtId="37" fontId="3" fillId="7" borderId="29" xfId="3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49" fontId="2" fillId="0" borderId="14" xfId="17" applyNumberFormat="1" applyFont="1" applyBorder="1" applyAlignment="1">
      <alignment horizontal="left"/>
    </xf>
    <xf numFmtId="37" fontId="3" fillId="7" borderId="28" xfId="3" applyNumberFormat="1" applyFont="1" applyFill="1" applyBorder="1"/>
    <xf numFmtId="37" fontId="3" fillId="7" borderId="36" xfId="3" applyNumberFormat="1" applyFont="1" applyFill="1" applyBorder="1"/>
    <xf numFmtId="0" fontId="3" fillId="0" borderId="26" xfId="0" applyFont="1" applyFill="1" applyBorder="1"/>
    <xf numFmtId="0" fontId="2" fillId="7" borderId="14" xfId="17" applyFont="1" applyFill="1" applyBorder="1"/>
    <xf numFmtId="49" fontId="2" fillId="0" borderId="7" xfId="17" applyNumberFormat="1" applyFont="1" applyBorder="1" applyAlignment="1">
      <alignment horizontal="left" vertical="top"/>
    </xf>
    <xf numFmtId="0" fontId="3" fillId="0" borderId="24" xfId="0" applyFont="1" applyFill="1" applyBorder="1" applyAlignment="1"/>
    <xf numFmtId="0" fontId="2" fillId="0" borderId="25" xfId="0" applyFont="1" applyBorder="1"/>
    <xf numFmtId="0" fontId="3" fillId="3" borderId="34" xfId="0" applyFont="1" applyFill="1" applyBorder="1" applyAlignment="1"/>
    <xf numFmtId="0" fontId="2" fillId="3" borderId="35" xfId="0" applyFont="1" applyFill="1" applyBorder="1"/>
    <xf numFmtId="37" fontId="3" fillId="3" borderId="37" xfId="3" applyNumberFormat="1" applyFont="1" applyFill="1" applyBorder="1"/>
    <xf numFmtId="0" fontId="33" fillId="0" borderId="0" xfId="0" applyFont="1"/>
    <xf numFmtId="0" fontId="32" fillId="3" borderId="14" xfId="0" applyFont="1" applyFill="1" applyBorder="1"/>
    <xf numFmtId="37" fontId="3" fillId="0" borderId="26" xfId="3" applyNumberFormat="1" applyFont="1" applyFill="1" applyBorder="1"/>
    <xf numFmtId="37" fontId="3" fillId="0" borderId="28" xfId="3" applyNumberFormat="1" applyFont="1" applyFill="1" applyBorder="1"/>
    <xf numFmtId="37" fontId="3" fillId="0" borderId="27" xfId="3" applyNumberFormat="1" applyFont="1" applyFill="1" applyBorder="1"/>
    <xf numFmtId="0" fontId="34" fillId="0" borderId="0" xfId="0" applyFont="1" applyAlignment="1">
      <alignment horizontal="center"/>
    </xf>
    <xf numFmtId="0" fontId="34" fillId="3" borderId="0" xfId="0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3" borderId="8" xfId="0" applyFont="1" applyFill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0" borderId="0" xfId="0" applyFont="1" applyAlignment="1">
      <alignment horizontal="left"/>
    </xf>
    <xf numFmtId="41" fontId="34" fillId="0" borderId="0" xfId="0" applyNumberFormat="1" applyFont="1" applyBorder="1"/>
    <xf numFmtId="41" fontId="34" fillId="0" borderId="0" xfId="0" applyNumberFormat="1" applyFont="1" applyFill="1" applyBorder="1"/>
    <xf numFmtId="0" fontId="34" fillId="0" borderId="0" xfId="0" applyFont="1"/>
    <xf numFmtId="41" fontId="37" fillId="0" borderId="5" xfId="0" applyNumberFormat="1" applyFont="1" applyBorder="1"/>
    <xf numFmtId="41" fontId="12" fillId="0" borderId="5" xfId="0" applyNumberFormat="1" applyFont="1" applyBorder="1"/>
    <xf numFmtId="41" fontId="34" fillId="0" borderId="5" xfId="0" applyNumberFormat="1" applyFont="1" applyBorder="1"/>
    <xf numFmtId="41" fontId="34" fillId="3" borderId="5" xfId="0" applyNumberFormat="1" applyFont="1" applyFill="1" applyBorder="1" applyProtection="1"/>
    <xf numFmtId="41" fontId="34" fillId="0" borderId="5" xfId="0" applyNumberFormat="1" applyFont="1" applyBorder="1" applyProtection="1"/>
    <xf numFmtId="173" fontId="34" fillId="8" borderId="5" xfId="0" applyNumberFormat="1" applyFont="1" applyFill="1" applyBorder="1"/>
    <xf numFmtId="173" fontId="34" fillId="9" borderId="5" xfId="0" applyNumberFormat="1" applyFont="1" applyFill="1" applyBorder="1"/>
    <xf numFmtId="0" fontId="37" fillId="0" borderId="0" xfId="0" applyFont="1" applyAlignment="1">
      <alignment horizontal="left"/>
    </xf>
    <xf numFmtId="41" fontId="34" fillId="0" borderId="30" xfId="0" applyNumberFormat="1" applyFont="1" applyBorder="1"/>
    <xf numFmtId="41" fontId="34" fillId="0" borderId="38" xfId="0" applyNumberFormat="1" applyFont="1" applyBorder="1"/>
    <xf numFmtId="41" fontId="34" fillId="3" borderId="38" xfId="0" applyNumberFormat="1" applyFont="1" applyFill="1" applyBorder="1" applyProtection="1"/>
    <xf numFmtId="41" fontId="34" fillId="0" borderId="38" xfId="0" applyNumberFormat="1" applyFont="1" applyBorder="1" applyProtection="1"/>
    <xf numFmtId="0" fontId="35" fillId="3" borderId="8" xfId="0" applyFont="1" applyFill="1" applyBorder="1" applyAlignment="1">
      <alignment horizontal="center"/>
    </xf>
    <xf numFmtId="41" fontId="38" fillId="0" borderId="5" xfId="0" applyNumberFormat="1" applyFont="1" applyBorder="1"/>
    <xf numFmtId="41" fontId="34" fillId="3" borderId="5" xfId="0" applyNumberFormat="1" applyFont="1" applyFill="1" applyBorder="1"/>
    <xf numFmtId="41" fontId="34" fillId="3" borderId="30" xfId="0" applyNumberFormat="1" applyFont="1" applyFill="1" applyBorder="1"/>
    <xf numFmtId="41" fontId="34" fillId="3" borderId="38" xfId="0" applyNumberFormat="1" applyFont="1" applyFill="1" applyBorder="1"/>
    <xf numFmtId="17" fontId="0" fillId="0" borderId="0" xfId="0" applyNumberFormat="1"/>
    <xf numFmtId="9" fontId="0" fillId="0" borderId="0" xfId="18" applyFont="1"/>
    <xf numFmtId="164" fontId="0" fillId="0" borderId="0" xfId="3" applyNumberFormat="1" applyFont="1"/>
    <xf numFmtId="37" fontId="0" fillId="0" borderId="0" xfId="0" applyNumberFormat="1"/>
    <xf numFmtId="0" fontId="0" fillId="0" borderId="0" xfId="0" applyProtection="1"/>
    <xf numFmtId="0" fontId="0" fillId="0" borderId="0" xfId="0" applyBorder="1" applyProtection="1"/>
    <xf numFmtId="10" fontId="0" fillId="0" borderId="0" xfId="18" applyNumberFormat="1" applyFont="1" applyProtection="1"/>
    <xf numFmtId="10" fontId="37" fillId="0" borderId="0" xfId="18" applyNumberFormat="1" applyFont="1" applyProtection="1"/>
    <xf numFmtId="0" fontId="0" fillId="3" borderId="22" xfId="0" applyFill="1" applyBorder="1" applyProtection="1"/>
    <xf numFmtId="0" fontId="0" fillId="3" borderId="39" xfId="0" applyFill="1" applyBorder="1" applyProtection="1"/>
    <xf numFmtId="0" fontId="0" fillId="3" borderId="23" xfId="0" applyFill="1" applyBorder="1" applyProtection="1"/>
    <xf numFmtId="0" fontId="0" fillId="3" borderId="34" xfId="0" applyFill="1" applyBorder="1"/>
    <xf numFmtId="0" fontId="0" fillId="3" borderId="8" xfId="0" applyFill="1" applyBorder="1"/>
    <xf numFmtId="0" fontId="0" fillId="3" borderId="35" xfId="0" applyFill="1" applyBorder="1"/>
    <xf numFmtId="0" fontId="42" fillId="0" borderId="0" xfId="0" applyFont="1" applyBorder="1" applyAlignment="1">
      <alignment horizontal="center"/>
    </xf>
    <xf numFmtId="0" fontId="43" fillId="7" borderId="22" xfId="0" applyFont="1" applyFill="1" applyBorder="1" applyProtection="1"/>
    <xf numFmtId="0" fontId="43" fillId="7" borderId="23" xfId="0" applyFont="1" applyFill="1" applyBorder="1" applyProtection="1"/>
    <xf numFmtId="0" fontId="42" fillId="7" borderId="39" xfId="0" applyFont="1" applyFill="1" applyBorder="1" applyAlignment="1" applyProtection="1">
      <alignment horizontal="center"/>
    </xf>
    <xf numFmtId="0" fontId="43" fillId="7" borderId="39" xfId="0" applyFont="1" applyFill="1" applyBorder="1" applyProtection="1"/>
    <xf numFmtId="0" fontId="42" fillId="7" borderId="23" xfId="0" quotePrefix="1" applyFont="1" applyFill="1" applyBorder="1" applyAlignment="1" applyProtection="1">
      <alignment horizontal="center"/>
    </xf>
    <xf numFmtId="0" fontId="43" fillId="7" borderId="34" xfId="0" applyFont="1" applyFill="1" applyBorder="1" applyProtection="1"/>
    <xf numFmtId="0" fontId="43" fillId="7" borderId="35" xfId="0" applyFont="1" applyFill="1" applyBorder="1" applyProtection="1"/>
    <xf numFmtId="0" fontId="42" fillId="7" borderId="8" xfId="0" applyFont="1" applyFill="1" applyBorder="1" applyAlignment="1" applyProtection="1">
      <alignment horizontal="center"/>
    </xf>
    <xf numFmtId="0" fontId="43" fillId="7" borderId="8" xfId="0" applyFont="1" applyFill="1" applyBorder="1" applyProtection="1"/>
    <xf numFmtId="0" fontId="42" fillId="7" borderId="35" xfId="0" applyFont="1" applyFill="1" applyBorder="1" applyAlignment="1" applyProtection="1">
      <alignment horizontal="center"/>
    </xf>
    <xf numFmtId="0" fontId="43" fillId="0" borderId="26" xfId="0" applyFont="1" applyBorder="1" applyProtection="1"/>
    <xf numFmtId="0" fontId="44" fillId="0" borderId="27" xfId="0" applyFont="1" applyBorder="1" applyAlignment="1" applyProtection="1">
      <alignment horizontal="center"/>
    </xf>
    <xf numFmtId="0" fontId="43" fillId="0" borderId="22" xfId="0" applyFont="1" applyBorder="1" applyProtection="1"/>
    <xf numFmtId="176" fontId="44" fillId="0" borderId="39" xfId="4" applyNumberFormat="1" applyFont="1" applyBorder="1" applyAlignment="1" applyProtection="1">
      <alignment horizontal="center"/>
    </xf>
    <xf numFmtId="0" fontId="0" fillId="0" borderId="39" xfId="0" applyBorder="1" applyProtection="1"/>
    <xf numFmtId="176" fontId="44" fillId="0" borderId="23" xfId="4" applyNumberFormat="1" applyFont="1" applyBorder="1" applyAlignment="1" applyProtection="1">
      <alignment horizontal="center"/>
    </xf>
    <xf numFmtId="0" fontId="45" fillId="0" borderId="39" xfId="0" applyFont="1" applyBorder="1" applyAlignment="1" applyProtection="1">
      <alignment horizontal="center"/>
    </xf>
    <xf numFmtId="0" fontId="43" fillId="0" borderId="39" xfId="0" applyFont="1" applyBorder="1" applyProtection="1"/>
    <xf numFmtId="176" fontId="44" fillId="0" borderId="39" xfId="4" applyNumberFormat="1" applyFont="1" applyBorder="1" applyProtection="1"/>
    <xf numFmtId="0" fontId="43" fillId="0" borderId="23" xfId="0" applyFont="1" applyBorder="1" applyProtection="1"/>
    <xf numFmtId="176" fontId="44" fillId="0" borderId="18" xfId="4" applyNumberFormat="1" applyFont="1" applyBorder="1" applyProtection="1"/>
    <xf numFmtId="0" fontId="46" fillId="0" borderId="0" xfId="0" applyFont="1" applyProtection="1"/>
    <xf numFmtId="0" fontId="47" fillId="7" borderId="40" xfId="0" applyFont="1" applyFill="1" applyBorder="1" applyProtection="1"/>
    <xf numFmtId="0" fontId="47" fillId="7" borderId="41" xfId="0" applyFont="1" applyFill="1" applyBorder="1" applyAlignment="1" applyProtection="1">
      <alignment horizontal="center"/>
    </xf>
    <xf numFmtId="0" fontId="46" fillId="0" borderId="26" xfId="0" applyFont="1" applyBorder="1" applyProtection="1"/>
    <xf numFmtId="38" fontId="46" fillId="0" borderId="0" xfId="3" applyNumberFormat="1" applyFont="1" applyBorder="1" applyAlignment="1" applyProtection="1"/>
    <xf numFmtId="0" fontId="46" fillId="0" borderId="0" xfId="0" applyFont="1" applyBorder="1" applyProtection="1"/>
    <xf numFmtId="176" fontId="47" fillId="0" borderId="27" xfId="4" applyNumberFormat="1" applyFont="1" applyBorder="1" applyAlignment="1" applyProtection="1">
      <alignment horizontal="center"/>
    </xf>
    <xf numFmtId="0" fontId="47" fillId="0" borderId="0" xfId="0" applyFont="1" applyBorder="1" applyAlignment="1" applyProtection="1">
      <alignment horizontal="center"/>
    </xf>
    <xf numFmtId="0" fontId="46" fillId="0" borderId="27" xfId="0" applyFont="1" applyBorder="1" applyProtection="1"/>
    <xf numFmtId="176" fontId="47" fillId="0" borderId="19" xfId="4" applyNumberFormat="1" applyFont="1" applyBorder="1" applyProtection="1"/>
    <xf numFmtId="37" fontId="46" fillId="0" borderId="26" xfId="0" applyNumberFormat="1" applyFont="1" applyBorder="1" applyProtection="1"/>
    <xf numFmtId="37" fontId="46" fillId="0" borderId="27" xfId="0" applyNumberFormat="1" applyFont="1" applyBorder="1" applyProtection="1"/>
    <xf numFmtId="37" fontId="46" fillId="0" borderId="0" xfId="3" applyNumberFormat="1" applyFont="1" applyBorder="1" applyAlignment="1" applyProtection="1"/>
    <xf numFmtId="37" fontId="46" fillId="0" borderId="0" xfId="0" applyNumberFormat="1" applyFont="1" applyBorder="1" applyProtection="1"/>
    <xf numFmtId="37" fontId="46" fillId="0" borderId="27" xfId="3" applyNumberFormat="1" applyFont="1" applyBorder="1" applyProtection="1"/>
    <xf numFmtId="37" fontId="46" fillId="0" borderId="0" xfId="3" applyNumberFormat="1" applyFont="1" applyBorder="1" applyProtection="1"/>
    <xf numFmtId="37" fontId="46" fillId="0" borderId="19" xfId="0" applyNumberFormat="1" applyFont="1" applyBorder="1" applyProtection="1"/>
    <xf numFmtId="0" fontId="47" fillId="0" borderId="0" xfId="0" applyFont="1" applyProtection="1"/>
    <xf numFmtId="37" fontId="47" fillId="0" borderId="26" xfId="0" applyNumberFormat="1" applyFont="1" applyBorder="1" applyProtection="1"/>
    <xf numFmtId="37" fontId="47" fillId="0" borderId="27" xfId="0" applyNumberFormat="1" applyFont="1" applyBorder="1" applyProtection="1"/>
    <xf numFmtId="37" fontId="48" fillId="0" borderId="0" xfId="3" applyNumberFormat="1" applyFont="1" applyBorder="1" applyAlignment="1" applyProtection="1"/>
    <xf numFmtId="37" fontId="47" fillId="0" borderId="0" xfId="3" applyNumberFormat="1" applyFont="1" applyBorder="1" applyAlignment="1" applyProtection="1"/>
    <xf numFmtId="37" fontId="47" fillId="0" borderId="26" xfId="3" applyNumberFormat="1" applyFont="1" applyBorder="1" applyAlignment="1" applyProtection="1"/>
    <xf numFmtId="37" fontId="47" fillId="0" borderId="19" xfId="3" applyNumberFormat="1" applyFont="1" applyBorder="1" applyAlignment="1" applyProtection="1"/>
    <xf numFmtId="0" fontId="49" fillId="0" borderId="0" xfId="0" applyFont="1" applyProtection="1"/>
    <xf numFmtId="37" fontId="49" fillId="0" borderId="27" xfId="0" applyNumberFormat="1" applyFont="1" applyBorder="1" applyProtection="1"/>
    <xf numFmtId="37" fontId="49" fillId="0" borderId="26" xfId="0" applyNumberFormat="1" applyFont="1" applyBorder="1" applyProtection="1"/>
    <xf numFmtId="37" fontId="50" fillId="0" borderId="0" xfId="3" applyNumberFormat="1" applyFont="1" applyBorder="1" applyAlignment="1" applyProtection="1"/>
    <xf numFmtId="37" fontId="49" fillId="0" borderId="0" xfId="3" applyNumberFormat="1" applyFont="1" applyBorder="1" applyAlignment="1" applyProtection="1"/>
    <xf numFmtId="37" fontId="49" fillId="0" borderId="26" xfId="3" applyNumberFormat="1" applyFont="1" applyBorder="1" applyAlignment="1" applyProtection="1"/>
    <xf numFmtId="37" fontId="49" fillId="0" borderId="19" xfId="3" applyNumberFormat="1" applyFont="1" applyBorder="1" applyAlignment="1" applyProtection="1"/>
    <xf numFmtId="37" fontId="49" fillId="0" borderId="0" xfId="0" applyNumberFormat="1" applyFont="1" applyBorder="1" applyProtection="1"/>
    <xf numFmtId="37" fontId="47" fillId="0" borderId="0" xfId="0" applyNumberFormat="1" applyFont="1" applyBorder="1" applyProtection="1"/>
    <xf numFmtId="0" fontId="37" fillId="0" borderId="0" xfId="0" applyFont="1" applyProtection="1"/>
    <xf numFmtId="37" fontId="46" fillId="0" borderId="34" xfId="0" applyNumberFormat="1" applyFont="1" applyBorder="1" applyProtection="1"/>
    <xf numFmtId="37" fontId="46" fillId="0" borderId="8" xfId="3" applyNumberFormat="1" applyFont="1" applyBorder="1" applyAlignment="1" applyProtection="1"/>
    <xf numFmtId="37" fontId="46" fillId="0" borderId="8" xfId="0" applyNumberFormat="1" applyFont="1" applyBorder="1" applyProtection="1"/>
    <xf numFmtId="37" fontId="46" fillId="0" borderId="35" xfId="3" applyNumberFormat="1" applyFont="1" applyBorder="1" applyAlignment="1" applyProtection="1"/>
    <xf numFmtId="37" fontId="46" fillId="0" borderId="20" xfId="0" applyNumberFormat="1" applyFont="1" applyBorder="1" applyProtection="1"/>
    <xf numFmtId="37" fontId="46" fillId="0" borderId="40" xfId="0" applyNumberFormat="1" applyFont="1" applyFill="1" applyBorder="1" applyProtection="1"/>
    <xf numFmtId="37" fontId="47" fillId="0" borderId="2" xfId="0" applyNumberFormat="1" applyFont="1" applyFill="1" applyBorder="1" applyAlignment="1" applyProtection="1">
      <alignment horizontal="left"/>
    </xf>
    <xf numFmtId="37" fontId="47" fillId="0" borderId="40" xfId="0" applyNumberFormat="1" applyFont="1" applyFill="1" applyBorder="1" applyProtection="1"/>
    <xf numFmtId="37" fontId="47" fillId="0" borderId="2" xfId="4" applyNumberFormat="1" applyFont="1" applyFill="1" applyBorder="1" applyAlignment="1" applyProtection="1"/>
    <xf numFmtId="37" fontId="47" fillId="0" borderId="2" xfId="0" applyNumberFormat="1" applyFont="1" applyFill="1" applyBorder="1" applyProtection="1"/>
    <xf numFmtId="37" fontId="47" fillId="0" borderId="2" xfId="4" applyNumberFormat="1" applyFont="1" applyBorder="1" applyAlignment="1" applyProtection="1"/>
    <xf numFmtId="37" fontId="47" fillId="0" borderId="41" xfId="0" applyNumberFormat="1" applyFont="1" applyFill="1" applyBorder="1" applyProtection="1"/>
    <xf numFmtId="37" fontId="47" fillId="0" borderId="17" xfId="4" applyNumberFormat="1" applyFont="1" applyFill="1" applyBorder="1" applyAlignment="1" applyProtection="1"/>
    <xf numFmtId="37" fontId="46" fillId="0" borderId="26" xfId="0" applyNumberFormat="1" applyFont="1" applyFill="1" applyBorder="1" applyProtection="1"/>
    <xf numFmtId="37" fontId="47" fillId="0" borderId="0" xfId="0" applyNumberFormat="1" applyFont="1" applyFill="1" applyBorder="1" applyAlignment="1" applyProtection="1">
      <alignment horizontal="left"/>
    </xf>
    <xf numFmtId="37" fontId="47" fillId="0" borderId="0" xfId="0" applyNumberFormat="1" applyFont="1" applyFill="1" applyBorder="1" applyProtection="1"/>
    <xf numFmtId="37" fontId="47" fillId="0" borderId="0" xfId="4" applyNumberFormat="1" applyFont="1" applyFill="1" applyBorder="1" applyAlignment="1" applyProtection="1"/>
    <xf numFmtId="37" fontId="47" fillId="0" borderId="27" xfId="4" applyNumberFormat="1" applyFont="1" applyFill="1" applyBorder="1" applyAlignment="1" applyProtection="1"/>
    <xf numFmtId="37" fontId="47" fillId="0" borderId="26" xfId="0" applyNumberFormat="1" applyFont="1" applyFill="1" applyBorder="1" applyProtection="1"/>
    <xf numFmtId="37" fontId="47" fillId="0" borderId="0" xfId="3" applyNumberFormat="1" applyFont="1" applyFill="1" applyBorder="1" applyProtection="1"/>
    <xf numFmtId="37" fontId="51" fillId="0" borderId="27" xfId="0" applyNumberFormat="1" applyFont="1" applyBorder="1" applyProtection="1"/>
    <xf numFmtId="10" fontId="34" fillId="0" borderId="0" xfId="18" applyNumberFormat="1" applyFont="1" applyProtection="1"/>
    <xf numFmtId="0" fontId="34" fillId="0" borderId="0" xfId="0" applyFont="1" applyProtection="1"/>
    <xf numFmtId="37" fontId="47" fillId="0" borderId="34" xfId="0" applyNumberFormat="1" applyFont="1" applyFill="1" applyBorder="1" applyProtection="1"/>
    <xf numFmtId="37" fontId="47" fillId="0" borderId="8" xfId="0" applyNumberFormat="1" applyFont="1" applyFill="1" applyBorder="1" applyAlignment="1" applyProtection="1">
      <alignment horizontal="center"/>
    </xf>
    <xf numFmtId="37" fontId="47" fillId="0" borderId="8" xfId="0" applyNumberFormat="1" applyFont="1" applyFill="1" applyBorder="1" applyProtection="1"/>
    <xf numFmtId="37" fontId="47" fillId="0" borderId="8" xfId="4" applyNumberFormat="1" applyFont="1" applyFill="1" applyBorder="1" applyAlignment="1" applyProtection="1"/>
    <xf numFmtId="37" fontId="47" fillId="0" borderId="35" xfId="4" applyNumberFormat="1" applyFont="1" applyFill="1" applyBorder="1" applyAlignment="1" applyProtection="1"/>
    <xf numFmtId="37" fontId="47" fillId="0" borderId="8" xfId="0" applyNumberFormat="1" applyFont="1" applyFill="1" applyBorder="1" applyAlignment="1" applyProtection="1">
      <alignment horizontal="left"/>
    </xf>
    <xf numFmtId="37" fontId="47" fillId="0" borderId="41" xfId="4" applyNumberFormat="1" applyFont="1" applyFill="1" applyBorder="1" applyAlignment="1" applyProtection="1"/>
    <xf numFmtId="37" fontId="47" fillId="7" borderId="40" xfId="0" applyNumberFormat="1" applyFont="1" applyFill="1" applyBorder="1" applyProtection="1"/>
    <xf numFmtId="37" fontId="47" fillId="7" borderId="17" xfId="0" applyNumberFormat="1" applyFont="1" applyFill="1" applyBorder="1" applyAlignment="1" applyProtection="1">
      <alignment horizontal="center"/>
    </xf>
    <xf numFmtId="37" fontId="47" fillId="0" borderId="40" xfId="0" applyNumberFormat="1" applyFont="1" applyBorder="1" applyProtection="1"/>
    <xf numFmtId="37" fontId="48" fillId="0" borderId="2" xfId="0" applyNumberFormat="1" applyFont="1" applyBorder="1" applyProtection="1"/>
    <xf numFmtId="37" fontId="47" fillId="0" borderId="2" xfId="0" applyNumberFormat="1" applyFont="1" applyBorder="1" applyProtection="1"/>
    <xf numFmtId="37" fontId="48" fillId="0" borderId="41" xfId="0" applyNumberFormat="1" applyFont="1" applyBorder="1" applyProtection="1"/>
    <xf numFmtId="37" fontId="48" fillId="0" borderId="2" xfId="3" applyNumberFormat="1" applyFont="1" applyBorder="1" applyAlignment="1" applyProtection="1"/>
    <xf numFmtId="37" fontId="47" fillId="0" borderId="41" xfId="0" applyNumberFormat="1" applyFont="1" applyBorder="1" applyProtection="1"/>
    <xf numFmtId="37" fontId="47" fillId="0" borderId="17" xfId="3" applyNumberFormat="1" applyFont="1" applyBorder="1" applyAlignment="1" applyProtection="1"/>
    <xf numFmtId="0" fontId="0" fillId="0" borderId="0" xfId="0" applyFill="1" applyBorder="1" applyProtection="1"/>
    <xf numFmtId="0" fontId="37" fillId="0" borderId="9" xfId="0" applyFont="1" applyBorder="1" applyAlignment="1">
      <alignment horizontal="center"/>
    </xf>
    <xf numFmtId="0" fontId="37" fillId="0" borderId="0" xfId="0" applyFont="1"/>
    <xf numFmtId="6" fontId="52" fillId="10" borderId="0" xfId="0" applyNumberFormat="1" applyFont="1" applyFill="1" applyBorder="1" applyAlignment="1" applyProtection="1">
      <alignment horizontal="centerContinuous"/>
    </xf>
    <xf numFmtId="0" fontId="37" fillId="10" borderId="0" xfId="0" applyFont="1" applyFill="1" applyBorder="1" applyAlignment="1" applyProtection="1">
      <alignment horizontal="centerContinuous"/>
    </xf>
    <xf numFmtId="6" fontId="37" fillId="10" borderId="0" xfId="0" applyNumberFormat="1" applyFont="1" applyFill="1" applyBorder="1" applyAlignment="1" applyProtection="1">
      <alignment horizontal="centerContinuous"/>
    </xf>
    <xf numFmtId="172" fontId="52" fillId="10" borderId="0" xfId="0" applyNumberFormat="1" applyFont="1" applyFill="1" applyBorder="1" applyAlignment="1" applyProtection="1">
      <alignment horizontal="centerContinuous"/>
    </xf>
    <xf numFmtId="0" fontId="37" fillId="0" borderId="0" xfId="0" applyFont="1" applyBorder="1"/>
    <xf numFmtId="41" fontId="37" fillId="0" borderId="0" xfId="0" applyNumberFormat="1" applyFont="1"/>
    <xf numFmtId="41" fontId="37" fillId="0" borderId="0" xfId="0" applyNumberFormat="1" applyFont="1" applyFill="1"/>
    <xf numFmtId="41" fontId="37" fillId="3" borderId="5" xfId="0" applyNumberFormat="1" applyFont="1" applyFill="1" applyBorder="1" applyProtection="1"/>
    <xf numFmtId="41" fontId="37" fillId="0" borderId="5" xfId="0" applyNumberFormat="1" applyFont="1" applyBorder="1" applyProtection="1"/>
    <xf numFmtId="0" fontId="31" fillId="3" borderId="22" xfId="0" applyNumberFormat="1" applyFont="1" applyFill="1" applyBorder="1" applyAlignment="1">
      <alignment horizontal="center"/>
    </xf>
    <xf numFmtId="0" fontId="31" fillId="3" borderId="39" xfId="0" applyNumberFormat="1" applyFont="1" applyFill="1" applyBorder="1" applyAlignment="1">
      <alignment horizontal="center"/>
    </xf>
    <xf numFmtId="0" fontId="31" fillId="3" borderId="23" xfId="0" applyNumberFormat="1" applyFont="1" applyFill="1" applyBorder="1" applyAlignment="1">
      <alignment horizontal="center"/>
    </xf>
    <xf numFmtId="0" fontId="41" fillId="0" borderId="4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Hyp-SAP COA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2088" name="Line 40">
          <a:extLst>
            <a:ext uri="{FF2B5EF4-FFF2-40B4-BE49-F238E27FC236}">
              <a16:creationId xmlns:a16="http://schemas.microsoft.com/office/drawing/2014/main" id="{72A5093A-E7A3-9225-9555-E56DFCAF0FC2}"/>
            </a:ext>
          </a:extLst>
        </xdr:cNvPr>
        <xdr:cNvSpPr>
          <a:spLocks noChangeShapeType="1"/>
        </xdr:cNvSpPr>
      </xdr:nvSpPr>
      <xdr:spPr bwMode="auto">
        <a:xfrm flipH="1" flipV="1">
          <a:off x="0" y="47625"/>
          <a:ext cx="7610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2090" name="Line 42">
          <a:extLst>
            <a:ext uri="{FF2B5EF4-FFF2-40B4-BE49-F238E27FC236}">
              <a16:creationId xmlns:a16="http://schemas.microsoft.com/office/drawing/2014/main" id="{C40B149E-7868-8CFF-40DD-1D94E46AE752}"/>
            </a:ext>
          </a:extLst>
        </xdr:cNvPr>
        <xdr:cNvSpPr>
          <a:spLocks noChangeShapeType="1"/>
        </xdr:cNvSpPr>
      </xdr:nvSpPr>
      <xdr:spPr bwMode="auto">
        <a:xfrm flipH="1">
          <a:off x="5467350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5121" name="Picture 4">
          <a:extLst>
            <a:ext uri="{FF2B5EF4-FFF2-40B4-BE49-F238E27FC236}">
              <a16:creationId xmlns:a16="http://schemas.microsoft.com/office/drawing/2014/main" id="{EE4A8AAF-8F1B-BBE5-A4FA-9D6445B77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2E2A6A41-308D-56F6-92A6-D7F9451D7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6145" name="Picture 4">
          <a:extLst>
            <a:ext uri="{FF2B5EF4-FFF2-40B4-BE49-F238E27FC236}">
              <a16:creationId xmlns:a16="http://schemas.microsoft.com/office/drawing/2014/main" id="{3910F8AC-8D92-4A89-266A-0815483B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9672D7B0-8EBF-AED3-B9DB-9CA5C2A96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1/2001%20Plan/O&amp;M%20Reporting/Budget/PR/PRBudget2001%20as%20of%20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rp Billing"/>
      <sheetName val="Graphs"/>
      <sheetName val="Forecast vs 00 budget"/>
      <sheetName val="Budget vs budget"/>
      <sheetName val="Forecast vs 01 budget"/>
      <sheetName val="2000 Budget"/>
      <sheetName val="2000 Forecast"/>
      <sheetName val="Allocation"/>
      <sheetName val="PR"/>
      <sheetName val="Upload"/>
    </sheetNames>
    <sheetDataSet>
      <sheetData sheetId="0" refreshError="1"/>
      <sheetData sheetId="1" refreshError="1"/>
      <sheetData sheetId="2" refreshError="1"/>
      <sheetData sheetId="3">
        <row r="9">
          <cell r="D9" t="str">
            <v>Public Relations</v>
          </cell>
        </row>
        <row r="31">
          <cell r="D31" t="str">
            <v>Public Relations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/>
  </sheetViews>
  <sheetFormatPr defaultRowHeight="12.75"/>
  <cols>
    <col min="1" max="1" width="18" style="1" customWidth="1"/>
    <col min="2" max="2" width="13.83203125" style="1" customWidth="1"/>
    <col min="3" max="3" width="1.1640625" style="1" customWidth="1"/>
    <col min="4" max="4" width="72.83203125" style="1" customWidth="1"/>
    <col min="5" max="8" width="9.33203125" style="1"/>
    <col min="9" max="9" width="13.33203125" style="1" customWidth="1"/>
    <col min="10" max="16384" width="9.33203125" style="1"/>
  </cols>
  <sheetData>
    <row r="1" spans="1:4" ht="13.5" thickBot="1">
      <c r="A1" s="81" t="s">
        <v>74</v>
      </c>
    </row>
    <row r="2" spans="1:4" ht="18" customHeight="1" thickBot="1">
      <c r="B2" s="58">
        <v>4800</v>
      </c>
      <c r="D2" s="1" t="s">
        <v>77</v>
      </c>
    </row>
    <row r="3" spans="1:4" ht="13.5" thickBot="1"/>
    <row r="4" spans="1:4" ht="18" customHeight="1">
      <c r="B4" s="59">
        <v>3.7499999999999999E-2</v>
      </c>
      <c r="D4" s="1" t="s">
        <v>78</v>
      </c>
    </row>
    <row r="5" spans="1:4" ht="18" customHeight="1">
      <c r="B5" s="60">
        <v>1.2500000000000001E-2</v>
      </c>
      <c r="D5" s="1" t="s">
        <v>79</v>
      </c>
    </row>
    <row r="6" spans="1:4" ht="18" customHeight="1">
      <c r="B6" s="60">
        <v>0.03</v>
      </c>
      <c r="D6" s="1" t="s">
        <v>80</v>
      </c>
    </row>
    <row r="7" spans="1:4" ht="18" customHeight="1" thickBot="1">
      <c r="B7" s="61">
        <v>1.0999999999999999E-2</v>
      </c>
      <c r="D7" s="1" t="s">
        <v>81</v>
      </c>
    </row>
    <row r="8" spans="1:4" ht="18" customHeight="1" thickBot="1">
      <c r="B8" s="62">
        <f>SUM(B4:B7)</f>
        <v>9.0999999999999998E-2</v>
      </c>
      <c r="D8" s="1" t="s">
        <v>82</v>
      </c>
    </row>
    <row r="11" spans="1:4" ht="13.5" thickBot="1">
      <c r="A11" s="81" t="s">
        <v>75</v>
      </c>
    </row>
    <row r="12" spans="1:4" ht="18" customHeight="1" thickBot="1">
      <c r="B12" s="58">
        <v>84500</v>
      </c>
      <c r="D12" s="1" t="s">
        <v>76</v>
      </c>
    </row>
    <row r="13" spans="1:4" ht="13.5" thickBot="1"/>
    <row r="14" spans="1:4" ht="18" customHeight="1" thickBot="1">
      <c r="B14" s="62">
        <v>6.2E-2</v>
      </c>
      <c r="D14" s="1" t="s">
        <v>83</v>
      </c>
    </row>
    <row r="15" spans="1:4" ht="13.5" thickBot="1"/>
    <row r="16" spans="1:4" ht="18" customHeight="1" thickBot="1">
      <c r="B16" s="62">
        <v>1.4500000000000001E-2</v>
      </c>
      <c r="D16" s="1" t="s">
        <v>88</v>
      </c>
    </row>
    <row r="20" spans="1:4" ht="13.5" thickBot="1">
      <c r="A20" s="81" t="s">
        <v>89</v>
      </c>
    </row>
    <row r="21" spans="1:4" ht="13.5" thickBot="1">
      <c r="B21" s="83">
        <v>8700</v>
      </c>
      <c r="D21" s="1" t="s">
        <v>152</v>
      </c>
    </row>
    <row r="22" spans="1:4" ht="13.5" thickBot="1"/>
    <row r="23" spans="1:4" ht="13.5" thickBot="1">
      <c r="B23" s="83">
        <v>7800</v>
      </c>
      <c r="D23" s="1" t="s">
        <v>157</v>
      </c>
    </row>
    <row r="24" spans="1:4" ht="13.5" thickBot="1">
      <c r="B24" s="82"/>
    </row>
    <row r="25" spans="1:4" ht="13.5" thickBot="1">
      <c r="B25" s="83">
        <v>3900</v>
      </c>
      <c r="D25" s="1" t="s">
        <v>156</v>
      </c>
    </row>
    <row r="26" spans="1:4" ht="13.5" thickBot="1">
      <c r="B26" s="82"/>
    </row>
    <row r="27" spans="1:4" ht="13.5" thickBot="1">
      <c r="B27" s="83">
        <v>2400</v>
      </c>
      <c r="D27" s="1" t="s">
        <v>155</v>
      </c>
    </row>
    <row r="28" spans="1:4" ht="13.5" thickBot="1">
      <c r="B28" s="82"/>
    </row>
    <row r="29" spans="1:4" ht="13.5" thickBot="1">
      <c r="B29" s="83">
        <v>12000</v>
      </c>
      <c r="D29" s="1" t="s">
        <v>154</v>
      </c>
    </row>
    <row r="30" spans="1:4" ht="13.5" thickBot="1">
      <c r="B30" s="82"/>
    </row>
    <row r="31" spans="1:4" ht="13.5" thickBot="1">
      <c r="B31" s="83">
        <v>6900</v>
      </c>
      <c r="D31" s="1" t="s">
        <v>153</v>
      </c>
    </row>
    <row r="33" spans="1:4">
      <c r="D33" s="84"/>
    </row>
    <row r="34" spans="1:4" ht="13.5" thickBot="1">
      <c r="A34" s="81" t="s">
        <v>135</v>
      </c>
    </row>
    <row r="35" spans="1:4" ht="18" customHeight="1" thickBot="1">
      <c r="B35" s="62">
        <v>4.2500000000000003E-2</v>
      </c>
      <c r="D35" s="1" t="s">
        <v>90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9"/>
  <sheetViews>
    <sheetView topLeftCell="B1" workbookViewId="0">
      <selection activeCell="B1" sqref="B1"/>
    </sheetView>
  </sheetViews>
  <sheetFormatPr defaultRowHeight="12.75"/>
  <cols>
    <col min="1" max="1" width="12" style="1" hidden="1" customWidth="1"/>
    <col min="2" max="2" width="33.5" style="1" customWidth="1"/>
    <col min="3" max="3" width="1.5" style="1" customWidth="1"/>
    <col min="4" max="6" width="18.6640625" style="1" customWidth="1"/>
    <col min="7" max="16384" width="9.33203125" style="1"/>
  </cols>
  <sheetData>
    <row r="1" spans="1:6" s="10" customFormat="1" ht="9.75" customHeight="1">
      <c r="A1" s="17"/>
      <c r="B1" s="18"/>
      <c r="C1" s="18"/>
      <c r="D1" s="18"/>
    </row>
    <row r="2" spans="1:6" s="22" customFormat="1" ht="27" customHeight="1">
      <c r="B2" s="19" t="s">
        <v>136</v>
      </c>
      <c r="C2" s="19"/>
      <c r="D2" s="19"/>
      <c r="E2" s="102"/>
      <c r="F2" s="102"/>
    </row>
    <row r="3" spans="1:6" s="22" customFormat="1" ht="27" customHeight="1">
      <c r="B3" s="19" t="s">
        <v>168</v>
      </c>
      <c r="C3" s="19"/>
      <c r="D3" s="19"/>
      <c r="E3" s="102"/>
      <c r="F3" s="102"/>
    </row>
    <row r="4" spans="1:6" s="4" customFormat="1" ht="13.5" customHeight="1">
      <c r="C4" s="5"/>
      <c r="D4" s="2"/>
    </row>
    <row r="5" spans="1:6" s="4" customFormat="1" ht="13.5" hidden="1" customHeight="1">
      <c r="B5" s="5" t="s">
        <v>55</v>
      </c>
      <c r="D5" s="103"/>
    </row>
    <row r="6" spans="1:6" s="4" customFormat="1" ht="14.25" hidden="1" customHeight="1">
      <c r="B6" s="5" t="s">
        <v>57</v>
      </c>
      <c r="D6" s="103"/>
    </row>
    <row r="7" spans="1:6" s="4" customFormat="1" ht="14.25" hidden="1" customHeight="1">
      <c r="B7" s="5" t="s">
        <v>169</v>
      </c>
      <c r="D7" s="103"/>
    </row>
    <row r="8" spans="1:6" s="4" customFormat="1" ht="13.5" thickBot="1">
      <c r="C8" s="5"/>
      <c r="D8" s="2"/>
    </row>
    <row r="9" spans="1:6" s="107" customFormat="1" ht="15.75">
      <c r="A9" s="104"/>
      <c r="B9" s="105"/>
      <c r="C9" s="106"/>
      <c r="D9" s="332" t="str">
        <f>'[1]Forecast vs 00 budget'!D9:F9</f>
        <v>Public Relations</v>
      </c>
      <c r="E9" s="333"/>
      <c r="F9" s="334"/>
    </row>
    <row r="10" spans="1:6" s="107" customFormat="1" ht="15.75">
      <c r="A10" s="108"/>
      <c r="B10" s="109" t="s">
        <v>170</v>
      </c>
      <c r="C10" s="110">
        <v>36892</v>
      </c>
      <c r="D10" s="111" t="s">
        <v>171</v>
      </c>
      <c r="E10" s="112" t="s">
        <v>172</v>
      </c>
      <c r="F10" s="113" t="s">
        <v>59</v>
      </c>
    </row>
    <row r="11" spans="1:6" s="107" customFormat="1" ht="15.75">
      <c r="A11" s="178"/>
      <c r="B11" s="117" t="s">
        <v>127</v>
      </c>
      <c r="C11" s="118"/>
      <c r="D11" s="119">
        <v>0</v>
      </c>
      <c r="E11" s="120">
        <v>0</v>
      </c>
      <c r="F11" s="121">
        <f>+D11-E11</f>
        <v>0</v>
      </c>
    </row>
    <row r="12" spans="1:6" s="115" customFormat="1" ht="15.75">
      <c r="A12" s="114"/>
      <c r="B12" s="117" t="s">
        <v>128</v>
      </c>
      <c r="C12" s="118">
        <v>1</v>
      </c>
      <c r="D12" s="119">
        <v>0</v>
      </c>
      <c r="E12" s="120">
        <v>0</v>
      </c>
      <c r="F12" s="121">
        <f>+D12-E12</f>
        <v>0</v>
      </c>
    </row>
    <row r="13" spans="1:6" s="115" customFormat="1" ht="15.75">
      <c r="A13" s="116"/>
      <c r="B13" s="117" t="s">
        <v>129</v>
      </c>
      <c r="C13" s="118">
        <v>1</v>
      </c>
      <c r="D13" s="119">
        <v>0</v>
      </c>
      <c r="E13" s="120">
        <v>0</v>
      </c>
      <c r="F13" s="121">
        <f>+D13-E13</f>
        <v>0</v>
      </c>
    </row>
    <row r="14" spans="1:6" s="115" customFormat="1" ht="15.75">
      <c r="A14" s="116"/>
      <c r="B14" s="117" t="s">
        <v>68</v>
      </c>
      <c r="C14" s="118">
        <v>1</v>
      </c>
      <c r="D14" s="119">
        <v>1</v>
      </c>
      <c r="E14" s="120">
        <v>1</v>
      </c>
      <c r="F14" s="121">
        <f>+D14-E14</f>
        <v>0</v>
      </c>
    </row>
    <row r="15" spans="1:6" s="115" customFormat="1" ht="15.75">
      <c r="A15" s="116"/>
      <c r="B15" s="117" t="s">
        <v>69</v>
      </c>
      <c r="C15" s="118">
        <v>1</v>
      </c>
      <c r="D15" s="119">
        <v>2</v>
      </c>
      <c r="E15" s="120">
        <v>3</v>
      </c>
      <c r="F15" s="121">
        <f>+D15-E15</f>
        <v>-1</v>
      </c>
    </row>
    <row r="16" spans="1:6" s="115" customFormat="1" ht="15.75">
      <c r="A16" s="116"/>
      <c r="B16" s="117" t="s">
        <v>130</v>
      </c>
      <c r="C16" s="118">
        <v>1</v>
      </c>
      <c r="D16" s="119">
        <v>2</v>
      </c>
      <c r="E16" s="120">
        <v>1</v>
      </c>
      <c r="F16" s="121">
        <f t="shared" ref="F16:F24" si="0">+D16-E16</f>
        <v>1</v>
      </c>
    </row>
    <row r="17" spans="1:6" s="115" customFormat="1" ht="15.75">
      <c r="A17" s="116"/>
      <c r="B17" s="117" t="s">
        <v>131</v>
      </c>
      <c r="C17" s="118">
        <v>1</v>
      </c>
      <c r="D17" s="119">
        <v>3</v>
      </c>
      <c r="E17" s="120">
        <v>3</v>
      </c>
      <c r="F17" s="121">
        <f t="shared" si="0"/>
        <v>0</v>
      </c>
    </row>
    <row r="18" spans="1:6" s="115" customFormat="1" ht="15.75">
      <c r="A18" s="116"/>
      <c r="B18" s="117" t="s">
        <v>132</v>
      </c>
      <c r="C18" s="118">
        <v>1</v>
      </c>
      <c r="D18" s="119">
        <v>0</v>
      </c>
      <c r="E18" s="120">
        <v>0</v>
      </c>
      <c r="F18" s="121">
        <f t="shared" si="0"/>
        <v>0</v>
      </c>
    </row>
    <row r="19" spans="1:6" s="115" customFormat="1" ht="15.75">
      <c r="A19" s="116"/>
      <c r="B19" s="117" t="s">
        <v>72</v>
      </c>
      <c r="C19" s="122" t="e">
        <f>#REF!+#REF!+#REF!+#REF!+#REF!+#REF!+#REF!+C12+#REF!+SUM(C14:C18)</f>
        <v>#REF!</v>
      </c>
      <c r="D19" s="119">
        <v>2</v>
      </c>
      <c r="E19" s="120">
        <v>2</v>
      </c>
      <c r="F19" s="121">
        <f t="shared" si="0"/>
        <v>0</v>
      </c>
    </row>
    <row r="20" spans="1:6" s="115" customFormat="1" ht="15.75">
      <c r="A20" s="116"/>
      <c r="B20" s="117" t="s">
        <v>133</v>
      </c>
      <c r="C20" s="122"/>
      <c r="D20" s="119">
        <v>0</v>
      </c>
      <c r="E20" s="120">
        <v>0</v>
      </c>
      <c r="F20" s="121">
        <f t="shared" si="0"/>
        <v>0</v>
      </c>
    </row>
    <row r="21" spans="1:6" s="115" customFormat="1" ht="15.75">
      <c r="A21" s="116"/>
      <c r="B21" s="117" t="s">
        <v>81</v>
      </c>
      <c r="C21" s="122"/>
      <c r="D21" s="119">
        <v>0</v>
      </c>
      <c r="E21" s="120">
        <v>0</v>
      </c>
      <c r="F21" s="121">
        <f t="shared" si="0"/>
        <v>0</v>
      </c>
    </row>
    <row r="22" spans="1:6" s="115" customFormat="1" ht="15.75">
      <c r="A22" s="123"/>
      <c r="B22" s="124" t="s">
        <v>173</v>
      </c>
      <c r="C22" s="125" t="e">
        <f>SUM(#REF!)</f>
        <v>#REF!</v>
      </c>
      <c r="D22" s="126">
        <f>SUM(D12:D21)</f>
        <v>10</v>
      </c>
      <c r="E22" s="127">
        <f>SUM(E12:E21)</f>
        <v>10</v>
      </c>
      <c r="F22" s="128">
        <f>SUM(F12:F21)</f>
        <v>0</v>
      </c>
    </row>
    <row r="23" spans="1:6" s="115" customFormat="1" ht="15.75">
      <c r="A23" s="116"/>
      <c r="B23" s="117" t="s">
        <v>70</v>
      </c>
      <c r="C23" s="118"/>
      <c r="D23" s="119">
        <v>0</v>
      </c>
      <c r="E23" s="120">
        <v>0</v>
      </c>
      <c r="F23" s="121">
        <f t="shared" si="0"/>
        <v>0</v>
      </c>
    </row>
    <row r="24" spans="1:6" s="115" customFormat="1" ht="15.75">
      <c r="A24" s="116"/>
      <c r="B24" s="117" t="s">
        <v>71</v>
      </c>
      <c r="C24" s="118"/>
      <c r="D24" s="119">
        <v>0</v>
      </c>
      <c r="E24" s="120">
        <v>0</v>
      </c>
      <c r="F24" s="121">
        <f t="shared" si="0"/>
        <v>0</v>
      </c>
    </row>
    <row r="25" spans="1:6" s="129" customFormat="1" ht="16.5" thickBot="1">
      <c r="A25" s="130"/>
      <c r="B25" s="131" t="s">
        <v>73</v>
      </c>
      <c r="C25" s="132" t="e">
        <f>C22+C19+#REF!</f>
        <v>#REF!</v>
      </c>
      <c r="D25" s="133">
        <f>+D22-D23-D24</f>
        <v>10</v>
      </c>
      <c r="E25" s="133">
        <f>+E22-E23-E24</f>
        <v>10</v>
      </c>
      <c r="F25" s="133">
        <f>+F22-F23-F24</f>
        <v>0</v>
      </c>
    </row>
    <row r="26" spans="1:6" s="137" customFormat="1" ht="16.5" thickBot="1">
      <c r="A26" s="134"/>
      <c r="B26" s="134"/>
      <c r="C26" s="135"/>
      <c r="D26" s="136"/>
      <c r="E26" s="136"/>
      <c r="F26" s="136"/>
    </row>
    <row r="27" spans="1:6" s="141" customFormat="1" ht="15.75">
      <c r="A27" s="138" t="s">
        <v>60</v>
      </c>
      <c r="B27" s="139"/>
      <c r="C27" s="140"/>
      <c r="D27" s="332" t="str">
        <f>'[1]Forecast vs 00 budget'!D31:F31</f>
        <v>Public Relations</v>
      </c>
      <c r="E27" s="333"/>
      <c r="F27" s="334"/>
    </row>
    <row r="28" spans="1:6" s="141" customFormat="1" ht="16.5" thickBot="1">
      <c r="A28" s="108" t="s">
        <v>61</v>
      </c>
      <c r="B28" s="142" t="s">
        <v>0</v>
      </c>
      <c r="C28" s="143"/>
      <c r="D28" s="144" t="s">
        <v>174</v>
      </c>
      <c r="E28" s="145" t="s">
        <v>172</v>
      </c>
      <c r="F28" s="146" t="s">
        <v>59</v>
      </c>
    </row>
    <row r="29" spans="1:6">
      <c r="A29" s="147" t="s">
        <v>25</v>
      </c>
      <c r="B29" s="148" t="s">
        <v>1</v>
      </c>
      <c r="C29" s="149"/>
      <c r="D29" s="150">
        <v>600000</v>
      </c>
      <c r="E29" s="151">
        <f>Data!P29</f>
        <v>568000</v>
      </c>
      <c r="F29" s="152">
        <f>+D29-E29</f>
        <v>32000</v>
      </c>
    </row>
    <row r="30" spans="1:6">
      <c r="A30" s="147" t="s">
        <v>25</v>
      </c>
      <c r="B30" s="148" t="s">
        <v>2</v>
      </c>
      <c r="C30" s="149"/>
      <c r="D30" s="150">
        <v>0</v>
      </c>
      <c r="E30" s="151">
        <f>Data!P30</f>
        <v>0</v>
      </c>
      <c r="F30" s="152">
        <f>+D30-E30</f>
        <v>0</v>
      </c>
    </row>
    <row r="31" spans="1:6">
      <c r="A31" s="71"/>
      <c r="B31" s="153" t="s">
        <v>3</v>
      </c>
      <c r="C31" s="154"/>
      <c r="D31" s="155">
        <f>SUM(D29:D30)</f>
        <v>600000</v>
      </c>
      <c r="E31" s="155">
        <f>SUM(E29:E30)</f>
        <v>568000</v>
      </c>
      <c r="F31" s="156">
        <f>SUM(F29:F30)</f>
        <v>32000</v>
      </c>
    </row>
    <row r="32" spans="1:6">
      <c r="A32" s="71" t="s">
        <v>26</v>
      </c>
      <c r="B32" s="157" t="s">
        <v>4</v>
      </c>
      <c r="C32" s="154"/>
      <c r="D32" s="158">
        <v>98700</v>
      </c>
      <c r="E32" s="159">
        <f>Data!P32</f>
        <v>99688</v>
      </c>
      <c r="F32" s="160">
        <f>+D32-E32</f>
        <v>-988</v>
      </c>
    </row>
    <row r="33" spans="1:6">
      <c r="A33" s="71" t="s">
        <v>27</v>
      </c>
      <c r="B33" s="161" t="s">
        <v>5</v>
      </c>
      <c r="C33" s="154"/>
      <c r="D33" s="158">
        <v>54000</v>
      </c>
      <c r="E33" s="159">
        <f>Data!P33</f>
        <v>35216</v>
      </c>
      <c r="F33" s="160">
        <f>+D33-E33</f>
        <v>18784</v>
      </c>
    </row>
    <row r="34" spans="1:6">
      <c r="A34" s="71"/>
      <c r="B34" s="162" t="s">
        <v>6</v>
      </c>
      <c r="C34" s="154"/>
      <c r="D34" s="163">
        <f>SUM(D32:D33)</f>
        <v>152700</v>
      </c>
      <c r="E34" s="155">
        <f>SUM(E32:E33)</f>
        <v>134904</v>
      </c>
      <c r="F34" s="156">
        <f>SUM(F32:F33)</f>
        <v>17796</v>
      </c>
    </row>
    <row r="35" spans="1:6">
      <c r="A35" s="147" t="s">
        <v>28</v>
      </c>
      <c r="B35" s="164" t="s">
        <v>7</v>
      </c>
      <c r="C35" s="165"/>
      <c r="D35" s="150">
        <v>0</v>
      </c>
      <c r="E35" s="151">
        <f>Data!P35</f>
        <v>0</v>
      </c>
      <c r="F35" s="152">
        <f t="shared" ref="F35:F49" si="1">+D35-E35</f>
        <v>0</v>
      </c>
    </row>
    <row r="36" spans="1:6">
      <c r="A36" s="147"/>
      <c r="B36" s="164" t="s">
        <v>160</v>
      </c>
      <c r="C36" s="165"/>
      <c r="D36" s="150">
        <v>0</v>
      </c>
      <c r="E36" s="151">
        <f>Data!P36</f>
        <v>0</v>
      </c>
      <c r="F36" s="152">
        <f t="shared" si="1"/>
        <v>0</v>
      </c>
    </row>
    <row r="37" spans="1:6">
      <c r="A37" s="147" t="s">
        <v>29</v>
      </c>
      <c r="B37" s="164" t="s">
        <v>8</v>
      </c>
      <c r="C37" s="165"/>
      <c r="D37" s="150">
        <v>600</v>
      </c>
      <c r="E37" s="151">
        <f>Data!P37</f>
        <v>0</v>
      </c>
      <c r="F37" s="152">
        <f t="shared" si="1"/>
        <v>600</v>
      </c>
    </row>
    <row r="38" spans="1:6">
      <c r="A38" s="147" t="s">
        <v>28</v>
      </c>
      <c r="B38" s="164" t="s">
        <v>9</v>
      </c>
      <c r="C38" s="165"/>
      <c r="D38" s="150">
        <v>525000</v>
      </c>
      <c r="E38" s="151">
        <f>Data!P38</f>
        <v>600000</v>
      </c>
      <c r="F38" s="152">
        <f t="shared" si="1"/>
        <v>-75000</v>
      </c>
    </row>
    <row r="39" spans="1:6">
      <c r="A39" s="147" t="s">
        <v>30</v>
      </c>
      <c r="B39" s="164" t="s">
        <v>92</v>
      </c>
      <c r="C39" s="165"/>
      <c r="D39" s="150">
        <v>12000</v>
      </c>
      <c r="E39" s="151">
        <f>Data!P39</f>
        <v>17004</v>
      </c>
      <c r="F39" s="152">
        <f t="shared" si="1"/>
        <v>-5004</v>
      </c>
    </row>
    <row r="40" spans="1:6">
      <c r="A40" s="147" t="s">
        <v>31</v>
      </c>
      <c r="B40" s="164" t="s">
        <v>10</v>
      </c>
      <c r="C40" s="165"/>
      <c r="D40" s="150">
        <v>0</v>
      </c>
      <c r="E40" s="151">
        <f>Data!P40</f>
        <v>8000</v>
      </c>
      <c r="F40" s="152">
        <f t="shared" si="1"/>
        <v>-8000</v>
      </c>
    </row>
    <row r="41" spans="1:6">
      <c r="A41" s="166" t="s">
        <v>32</v>
      </c>
      <c r="B41" s="164" t="s">
        <v>93</v>
      </c>
      <c r="C41" s="165"/>
      <c r="D41" s="150">
        <v>0</v>
      </c>
      <c r="E41" s="151">
        <f>Data!P41</f>
        <v>0</v>
      </c>
      <c r="F41" s="152">
        <f t="shared" si="1"/>
        <v>0</v>
      </c>
    </row>
    <row r="42" spans="1:6">
      <c r="A42" s="147" t="s">
        <v>33</v>
      </c>
      <c r="B42" s="164" t="s">
        <v>11</v>
      </c>
      <c r="C42" s="165"/>
      <c r="D42" s="150">
        <v>124000</v>
      </c>
      <c r="E42" s="151">
        <f>Data!P42</f>
        <v>576</v>
      </c>
      <c r="F42" s="152">
        <f t="shared" si="1"/>
        <v>123424</v>
      </c>
    </row>
    <row r="43" spans="1:6">
      <c r="A43" s="71"/>
      <c r="B43" s="162" t="s">
        <v>12</v>
      </c>
      <c r="C43" s="154"/>
      <c r="D43" s="163">
        <f>SUM(D35:D42)</f>
        <v>661600</v>
      </c>
      <c r="E43" s="155">
        <f>SUM(E35:E42)</f>
        <v>625580</v>
      </c>
      <c r="F43" s="156">
        <f>SUM(F35:F42)</f>
        <v>36020</v>
      </c>
    </row>
    <row r="44" spans="1:6">
      <c r="A44" s="71"/>
      <c r="B44" s="164" t="s">
        <v>94</v>
      </c>
      <c r="C44" s="154"/>
      <c r="D44" s="151">
        <v>0</v>
      </c>
      <c r="E44" s="151">
        <f>Data!P44</f>
        <v>18396</v>
      </c>
      <c r="F44" s="152">
        <f t="shared" si="1"/>
        <v>-18396</v>
      </c>
    </row>
    <row r="45" spans="1:6">
      <c r="A45" s="71"/>
      <c r="B45" s="164" t="s">
        <v>95</v>
      </c>
      <c r="C45" s="154"/>
      <c r="D45" s="151">
        <v>0</v>
      </c>
      <c r="E45" s="151">
        <f>Data!P45</f>
        <v>2820</v>
      </c>
      <c r="F45" s="152">
        <f t="shared" si="1"/>
        <v>-2820</v>
      </c>
    </row>
    <row r="46" spans="1:6">
      <c r="A46" s="71"/>
      <c r="B46" s="164" t="s">
        <v>96</v>
      </c>
      <c r="C46" s="154"/>
      <c r="D46" s="151">
        <v>0</v>
      </c>
      <c r="E46" s="151">
        <f>Data!P46</f>
        <v>2280</v>
      </c>
      <c r="F46" s="152">
        <f t="shared" si="1"/>
        <v>-2280</v>
      </c>
    </row>
    <row r="47" spans="1:6">
      <c r="A47" s="71"/>
      <c r="B47" s="164" t="s">
        <v>97</v>
      </c>
      <c r="C47" s="154"/>
      <c r="D47" s="151">
        <v>54000</v>
      </c>
      <c r="E47" s="151">
        <f>Data!P47</f>
        <v>10836</v>
      </c>
      <c r="F47" s="152">
        <f t="shared" si="1"/>
        <v>43164</v>
      </c>
    </row>
    <row r="48" spans="1:6">
      <c r="A48" s="71"/>
      <c r="B48" s="164" t="s">
        <v>98</v>
      </c>
      <c r="C48" s="154"/>
      <c r="D48" s="151">
        <v>0</v>
      </c>
      <c r="E48" s="151">
        <f>Data!P48</f>
        <v>200000</v>
      </c>
      <c r="F48" s="152">
        <f t="shared" si="1"/>
        <v>-200000</v>
      </c>
    </row>
    <row r="49" spans="1:6">
      <c r="A49" s="71"/>
      <c r="B49" s="164" t="s">
        <v>15</v>
      </c>
      <c r="C49" s="154"/>
      <c r="D49" s="151">
        <v>0</v>
      </c>
      <c r="E49" s="151">
        <f>Data!P49</f>
        <v>0</v>
      </c>
      <c r="F49" s="152">
        <f t="shared" si="1"/>
        <v>0</v>
      </c>
    </row>
    <row r="50" spans="1:6">
      <c r="A50" s="71"/>
      <c r="B50" s="162" t="s">
        <v>99</v>
      </c>
      <c r="C50" s="154"/>
      <c r="D50" s="167">
        <f>SUM(D44:D49)</f>
        <v>54000</v>
      </c>
      <c r="E50" s="167">
        <f>SUM(E44:E49)</f>
        <v>234332</v>
      </c>
      <c r="F50" s="168">
        <f>SUM(F44:F49)</f>
        <v>-180332</v>
      </c>
    </row>
    <row r="51" spans="1:6">
      <c r="A51" s="147" t="s">
        <v>34</v>
      </c>
      <c r="B51" s="164" t="s">
        <v>102</v>
      </c>
      <c r="C51" s="165"/>
      <c r="D51" s="150">
        <v>0</v>
      </c>
      <c r="E51" s="151">
        <f>Data!P51</f>
        <v>0</v>
      </c>
      <c r="F51" s="152">
        <f>+D51-E51</f>
        <v>0</v>
      </c>
    </row>
    <row r="52" spans="1:6">
      <c r="A52" s="147"/>
      <c r="B52" s="164" t="s">
        <v>13</v>
      </c>
      <c r="C52" s="165"/>
      <c r="D52" s="150">
        <v>0</v>
      </c>
      <c r="E52" s="151">
        <f>Data!P52</f>
        <v>0</v>
      </c>
      <c r="F52" s="152">
        <f>+D52-E52</f>
        <v>0</v>
      </c>
    </row>
    <row r="53" spans="1:6">
      <c r="A53" s="71"/>
      <c r="B53" s="162" t="s">
        <v>103</v>
      </c>
      <c r="C53" s="154"/>
      <c r="D53" s="155">
        <f>SUM(D51:D52)</f>
        <v>0</v>
      </c>
      <c r="E53" s="155">
        <f>SUM(E51:E52)</f>
        <v>0</v>
      </c>
      <c r="F53" s="156">
        <f>SUM(F51:F52)</f>
        <v>0</v>
      </c>
    </row>
    <row r="54" spans="1:6">
      <c r="A54" s="147" t="s">
        <v>35</v>
      </c>
      <c r="B54" s="164" t="s">
        <v>116</v>
      </c>
      <c r="C54" s="165"/>
      <c r="D54" s="150">
        <v>0</v>
      </c>
      <c r="E54" s="151">
        <f>Data!P54</f>
        <v>0</v>
      </c>
      <c r="F54" s="152">
        <f t="shared" ref="F54:F61" si="2">+D54-E54</f>
        <v>0</v>
      </c>
    </row>
    <row r="55" spans="1:6">
      <c r="A55" s="147" t="s">
        <v>36</v>
      </c>
      <c r="B55" s="164" t="s">
        <v>117</v>
      </c>
      <c r="C55" s="165"/>
      <c r="D55" s="150">
        <v>0</v>
      </c>
      <c r="E55" s="151">
        <f>Data!P55</f>
        <v>0</v>
      </c>
      <c r="F55" s="152">
        <f t="shared" si="2"/>
        <v>0</v>
      </c>
    </row>
    <row r="56" spans="1:6">
      <c r="A56" s="147" t="s">
        <v>35</v>
      </c>
      <c r="B56" s="164" t="s">
        <v>118</v>
      </c>
      <c r="C56" s="165"/>
      <c r="D56" s="150">
        <v>0</v>
      </c>
      <c r="E56" s="151">
        <f>Data!P56</f>
        <v>0</v>
      </c>
      <c r="F56" s="152">
        <f t="shared" si="2"/>
        <v>0</v>
      </c>
    </row>
    <row r="57" spans="1:6">
      <c r="A57" s="147"/>
      <c r="B57" s="164" t="s">
        <v>119</v>
      </c>
      <c r="C57" s="165"/>
      <c r="D57" s="150">
        <v>0</v>
      </c>
      <c r="E57" s="151">
        <f>Data!P57</f>
        <v>0</v>
      </c>
      <c r="F57" s="152">
        <f t="shared" si="2"/>
        <v>0</v>
      </c>
    </row>
    <row r="58" spans="1:6">
      <c r="A58" s="147"/>
      <c r="B58" s="164" t="s">
        <v>120</v>
      </c>
      <c r="C58" s="165"/>
      <c r="D58" s="150">
        <v>169000</v>
      </c>
      <c r="E58" s="151">
        <f>Data!P58</f>
        <v>12000</v>
      </c>
      <c r="F58" s="152">
        <f t="shared" si="2"/>
        <v>157000</v>
      </c>
    </row>
    <row r="59" spans="1:6">
      <c r="A59" s="147"/>
      <c r="B59" s="164" t="s">
        <v>121</v>
      </c>
      <c r="C59" s="165"/>
      <c r="D59" s="150">
        <v>0</v>
      </c>
      <c r="E59" s="151">
        <f>Data!P59</f>
        <v>0</v>
      </c>
      <c r="F59" s="152">
        <f t="shared" si="2"/>
        <v>0</v>
      </c>
    </row>
    <row r="60" spans="1:6">
      <c r="A60" s="147"/>
      <c r="B60" s="164" t="s">
        <v>122</v>
      </c>
      <c r="C60" s="165"/>
      <c r="D60" s="150">
        <v>0</v>
      </c>
      <c r="E60" s="151">
        <f>Data!P60</f>
        <v>0</v>
      </c>
      <c r="F60" s="152">
        <f t="shared" si="2"/>
        <v>0</v>
      </c>
    </row>
    <row r="61" spans="1:6">
      <c r="A61" s="147"/>
      <c r="B61" s="164" t="s">
        <v>123</v>
      </c>
      <c r="C61" s="165"/>
      <c r="D61" s="150">
        <v>0</v>
      </c>
      <c r="E61" s="151">
        <f>Data!P61</f>
        <v>0</v>
      </c>
      <c r="F61" s="152">
        <f t="shared" si="2"/>
        <v>0</v>
      </c>
    </row>
    <row r="62" spans="1:6">
      <c r="A62" s="71"/>
      <c r="B62" s="162" t="s">
        <v>14</v>
      </c>
      <c r="C62" s="154"/>
      <c r="D62" s="155">
        <f>SUM(D54:D61)</f>
        <v>169000</v>
      </c>
      <c r="E62" s="155">
        <f>SUM(E54:E61)</f>
        <v>12000</v>
      </c>
      <c r="F62" s="156">
        <f>SUM(F54:F61)</f>
        <v>157000</v>
      </c>
    </row>
    <row r="63" spans="1:6">
      <c r="A63" s="147" t="s">
        <v>38</v>
      </c>
      <c r="B63" s="164" t="s">
        <v>124</v>
      </c>
      <c r="C63" s="165"/>
      <c r="D63" s="150">
        <v>7200</v>
      </c>
      <c r="E63" s="151">
        <f>Data!P63</f>
        <v>720</v>
      </c>
      <c r="F63" s="152">
        <f>+D63-E63</f>
        <v>6480</v>
      </c>
    </row>
    <row r="64" spans="1:6">
      <c r="A64" s="147" t="s">
        <v>40</v>
      </c>
      <c r="B64" s="164" t="s">
        <v>125</v>
      </c>
      <c r="C64" s="165"/>
      <c r="D64" s="150">
        <v>3000</v>
      </c>
      <c r="E64" s="151">
        <f>Data!P64</f>
        <v>960</v>
      </c>
      <c r="F64" s="152">
        <f>+D64-E64</f>
        <v>2040</v>
      </c>
    </row>
    <row r="65" spans="1:6">
      <c r="A65" s="147" t="s">
        <v>39</v>
      </c>
      <c r="B65" s="164" t="s">
        <v>126</v>
      </c>
      <c r="C65" s="165"/>
      <c r="D65" s="150">
        <v>29100</v>
      </c>
      <c r="E65" s="151">
        <f>Data!P65</f>
        <v>13092</v>
      </c>
      <c r="F65" s="152">
        <f>+D65-E65</f>
        <v>16008</v>
      </c>
    </row>
    <row r="66" spans="1:6">
      <c r="A66" s="71"/>
      <c r="B66" s="162" t="s">
        <v>161</v>
      </c>
      <c r="C66" s="154"/>
      <c r="D66" s="155">
        <f>SUM(D63:D65)</f>
        <v>39300</v>
      </c>
      <c r="E66" s="155">
        <f>SUM(E63:E65)</f>
        <v>14772</v>
      </c>
      <c r="F66" s="156">
        <f>SUM(F63:F65)</f>
        <v>24528</v>
      </c>
    </row>
    <row r="67" spans="1:6">
      <c r="A67" s="147" t="s">
        <v>44</v>
      </c>
      <c r="B67" s="164" t="s">
        <v>17</v>
      </c>
      <c r="C67" s="165"/>
      <c r="D67" s="150">
        <v>0</v>
      </c>
      <c r="E67" s="151">
        <f>Data!P67</f>
        <v>0</v>
      </c>
      <c r="F67" s="152">
        <f>+D67-E67</f>
        <v>0</v>
      </c>
    </row>
    <row r="68" spans="1:6">
      <c r="A68" s="147" t="s">
        <v>45</v>
      </c>
      <c r="B68" s="164" t="s">
        <v>18</v>
      </c>
      <c r="C68" s="165"/>
      <c r="D68" s="150">
        <v>1800</v>
      </c>
      <c r="E68" s="151">
        <f>Data!P68</f>
        <v>0</v>
      </c>
      <c r="F68" s="152">
        <f>+D68-E68</f>
        <v>1800</v>
      </c>
    </row>
    <row r="69" spans="1:6">
      <c r="A69" s="71"/>
      <c r="B69" s="162" t="s">
        <v>19</v>
      </c>
      <c r="C69" s="154"/>
      <c r="D69" s="155">
        <f>SUM(D67:D68)</f>
        <v>1800</v>
      </c>
      <c r="E69" s="155">
        <f>SUM(E67:E68)</f>
        <v>0</v>
      </c>
      <c r="F69" s="155">
        <f>SUM(F67:F68)</f>
        <v>1800</v>
      </c>
    </row>
    <row r="70" spans="1:6">
      <c r="A70" s="147" t="s">
        <v>41</v>
      </c>
      <c r="B70" s="169" t="s">
        <v>110</v>
      </c>
      <c r="C70" s="165"/>
      <c r="D70" s="179">
        <v>435000</v>
      </c>
      <c r="E70" s="180">
        <f>Data!P70</f>
        <v>450000</v>
      </c>
      <c r="F70" s="181">
        <f t="shared" ref="F70:F81" si="3">+D70-E70</f>
        <v>-15000</v>
      </c>
    </row>
    <row r="71" spans="1:6">
      <c r="A71" s="147" t="s">
        <v>42</v>
      </c>
      <c r="B71" s="169" t="s">
        <v>16</v>
      </c>
      <c r="C71" s="165"/>
      <c r="D71" s="179">
        <v>24000</v>
      </c>
      <c r="E71" s="180">
        <f>Data!P71</f>
        <v>24000</v>
      </c>
      <c r="F71" s="181">
        <f t="shared" si="3"/>
        <v>0</v>
      </c>
    </row>
    <row r="72" spans="1:6">
      <c r="A72" s="147" t="s">
        <v>47</v>
      </c>
      <c r="B72" s="169" t="s">
        <v>21</v>
      </c>
      <c r="C72" s="149"/>
      <c r="D72" s="179">
        <v>0</v>
      </c>
      <c r="E72" s="180">
        <f>Data!P72</f>
        <v>0</v>
      </c>
      <c r="F72" s="181">
        <f t="shared" si="3"/>
        <v>0</v>
      </c>
    </row>
    <row r="73" spans="1:6">
      <c r="A73" s="147" t="s">
        <v>49</v>
      </c>
      <c r="B73" s="169" t="s">
        <v>23</v>
      </c>
      <c r="C73" s="149"/>
      <c r="D73" s="179">
        <v>325000</v>
      </c>
      <c r="E73" s="180">
        <f>Data!P73</f>
        <v>233268</v>
      </c>
      <c r="F73" s="181">
        <f t="shared" si="3"/>
        <v>91732</v>
      </c>
    </row>
    <row r="74" spans="1:6">
      <c r="A74" s="147" t="s">
        <v>34</v>
      </c>
      <c r="B74" s="169" t="s">
        <v>162</v>
      </c>
      <c r="C74" s="149"/>
      <c r="D74" s="179">
        <v>0</v>
      </c>
      <c r="E74" s="180">
        <f>Data!P74</f>
        <v>0</v>
      </c>
      <c r="F74" s="181">
        <f t="shared" si="3"/>
        <v>0</v>
      </c>
    </row>
    <row r="75" spans="1:6">
      <c r="A75" s="147" t="s">
        <v>34</v>
      </c>
      <c r="B75" s="169" t="s">
        <v>100</v>
      </c>
      <c r="C75" s="165"/>
      <c r="D75" s="179">
        <v>0</v>
      </c>
      <c r="E75" s="180">
        <f>Data!P75</f>
        <v>0</v>
      </c>
      <c r="F75" s="181">
        <f t="shared" si="3"/>
        <v>0</v>
      </c>
    </row>
    <row r="76" spans="1:6">
      <c r="A76" s="147" t="s">
        <v>34</v>
      </c>
      <c r="B76" s="169" t="s">
        <v>101</v>
      </c>
      <c r="C76" s="165"/>
      <c r="D76" s="179">
        <v>0</v>
      </c>
      <c r="E76" s="180">
        <f>Data!P76</f>
        <v>0</v>
      </c>
      <c r="F76" s="181">
        <f t="shared" si="3"/>
        <v>0</v>
      </c>
    </row>
    <row r="77" spans="1:6">
      <c r="A77" s="147" t="s">
        <v>31</v>
      </c>
      <c r="B77" s="169" t="s">
        <v>113</v>
      </c>
      <c r="C77" s="165"/>
      <c r="D77" s="179">
        <v>0</v>
      </c>
      <c r="E77" s="180">
        <f>Data!P77</f>
        <v>0</v>
      </c>
      <c r="F77" s="181">
        <f t="shared" si="3"/>
        <v>0</v>
      </c>
    </row>
    <row r="78" spans="1:6">
      <c r="A78" s="147" t="s">
        <v>46</v>
      </c>
      <c r="B78" s="169" t="s">
        <v>20</v>
      </c>
      <c r="C78" s="149"/>
      <c r="D78" s="179">
        <v>12000</v>
      </c>
      <c r="E78" s="180">
        <f>Data!P78</f>
        <v>1488</v>
      </c>
      <c r="F78" s="181">
        <f t="shared" si="3"/>
        <v>10512</v>
      </c>
    </row>
    <row r="79" spans="1:6">
      <c r="A79" s="147" t="s">
        <v>34</v>
      </c>
      <c r="B79" s="169" t="s">
        <v>85</v>
      </c>
      <c r="C79" s="165"/>
      <c r="D79" s="179">
        <v>0</v>
      </c>
      <c r="E79" s="180">
        <f>Data!P79</f>
        <v>0</v>
      </c>
      <c r="F79" s="181">
        <f t="shared" si="3"/>
        <v>0</v>
      </c>
    </row>
    <row r="80" spans="1:6">
      <c r="A80" s="147" t="s">
        <v>48</v>
      </c>
      <c r="B80" s="164" t="s">
        <v>163</v>
      </c>
      <c r="C80" s="149"/>
      <c r="D80" s="150">
        <v>0</v>
      </c>
      <c r="E80" s="151">
        <f>Data!P80</f>
        <v>5400</v>
      </c>
      <c r="F80" s="152">
        <f t="shared" si="3"/>
        <v>-5400</v>
      </c>
    </row>
    <row r="81" spans="1:6">
      <c r="A81" s="147" t="s">
        <v>31</v>
      </c>
      <c r="B81" s="164" t="s">
        <v>142</v>
      </c>
      <c r="C81" s="165"/>
      <c r="D81" s="150">
        <v>12000</v>
      </c>
      <c r="E81" s="151">
        <f>Data!P81</f>
        <v>0</v>
      </c>
      <c r="F81" s="152">
        <f t="shared" si="3"/>
        <v>12000</v>
      </c>
    </row>
    <row r="82" spans="1:6">
      <c r="A82" s="147"/>
      <c r="B82" s="169" t="s">
        <v>143</v>
      </c>
      <c r="C82" s="165"/>
      <c r="D82" s="179">
        <f>SUM(D80:D81)</f>
        <v>12000</v>
      </c>
      <c r="E82" s="180">
        <f>SUM(E80:E81)</f>
        <v>5400</v>
      </c>
      <c r="F82" s="181">
        <f>SUM(F80:F81)</f>
        <v>6600</v>
      </c>
    </row>
    <row r="83" spans="1:6">
      <c r="A83" s="147" t="s">
        <v>34</v>
      </c>
      <c r="B83" s="164" t="s">
        <v>114</v>
      </c>
      <c r="C83" s="149"/>
      <c r="D83" s="150">
        <f>-268956+270996</f>
        <v>2040</v>
      </c>
      <c r="E83" s="151">
        <f>Data!P83</f>
        <v>0</v>
      </c>
      <c r="F83" s="152">
        <f>+D83-E83</f>
        <v>2040</v>
      </c>
    </row>
    <row r="84" spans="1:6">
      <c r="A84" s="147"/>
      <c r="B84" s="164" t="s">
        <v>115</v>
      </c>
      <c r="C84" s="149"/>
      <c r="D84" s="150">
        <v>0</v>
      </c>
      <c r="E84" s="151">
        <f>Data!P84</f>
        <v>0</v>
      </c>
      <c r="F84" s="152">
        <f>+D84-E84</f>
        <v>0</v>
      </c>
    </row>
    <row r="85" spans="1:6">
      <c r="A85" s="71"/>
      <c r="B85" s="162" t="s">
        <v>164</v>
      </c>
      <c r="C85" s="154"/>
      <c r="D85" s="155">
        <f>SUM(D83:D84)</f>
        <v>2040</v>
      </c>
      <c r="E85" s="155">
        <f>SUM(E83:E84)</f>
        <v>0</v>
      </c>
      <c r="F85" s="156">
        <f>SUM(F83:F84)</f>
        <v>2040</v>
      </c>
    </row>
    <row r="86" spans="1:6">
      <c r="A86" s="147" t="s">
        <v>50</v>
      </c>
      <c r="B86" s="164" t="s">
        <v>111</v>
      </c>
      <c r="C86" s="149"/>
      <c r="D86" s="150">
        <v>0</v>
      </c>
      <c r="E86" s="151">
        <f>Data!P86</f>
        <v>0</v>
      </c>
      <c r="F86" s="152">
        <f>+D86-E86</f>
        <v>0</v>
      </c>
    </row>
    <row r="87" spans="1:6">
      <c r="A87" s="147" t="s">
        <v>51</v>
      </c>
      <c r="B87" s="164" t="s">
        <v>112</v>
      </c>
      <c r="C87" s="149"/>
      <c r="D87" s="150">
        <v>0</v>
      </c>
      <c r="E87" s="151">
        <f>Data!P87</f>
        <v>0</v>
      </c>
      <c r="F87" s="152">
        <f>+D87-E87</f>
        <v>0</v>
      </c>
    </row>
    <row r="88" spans="1:6">
      <c r="A88" s="170"/>
      <c r="B88" s="162" t="s">
        <v>66</v>
      </c>
      <c r="C88" s="154"/>
      <c r="D88" s="163">
        <f>SUM(D86:D87)</f>
        <v>0</v>
      </c>
      <c r="E88" s="155">
        <f>SUM(E86:E87)</f>
        <v>0</v>
      </c>
      <c r="F88" s="156">
        <f>SUM(F86:F87)</f>
        <v>0</v>
      </c>
    </row>
    <row r="89" spans="1:6">
      <c r="A89" s="171" t="s">
        <v>52</v>
      </c>
      <c r="B89" s="172" t="s">
        <v>24</v>
      </c>
      <c r="C89" s="173"/>
      <c r="D89" s="150">
        <v>0</v>
      </c>
      <c r="E89" s="151">
        <f>Data!P89</f>
        <v>0</v>
      </c>
      <c r="F89" s="152">
        <f>+D89-E89</f>
        <v>0</v>
      </c>
    </row>
    <row r="90" spans="1:6" ht="13.5" thickBot="1">
      <c r="A90" s="25"/>
      <c r="B90" s="174" t="s">
        <v>22</v>
      </c>
      <c r="C90" s="175"/>
      <c r="D90" s="176">
        <f>D31+D34+D43+D50+D53+D62+D66+D69+SUM(D70:D79)+D82+D85+D88+D89</f>
        <v>2488440</v>
      </c>
      <c r="E90" s="176">
        <f>E31+E34+E43+E50+E53+E62+E66+E69+SUM(E70:E79)+E82+E85+E88+E89</f>
        <v>2303744</v>
      </c>
      <c r="F90" s="176">
        <f>F31+F34+F43+F50+F53+F62+F66+F69+SUM(F70:F79)+F82+F85+F88+F89</f>
        <v>184696</v>
      </c>
    </row>
    <row r="91" spans="1:6">
      <c r="D91" s="31"/>
    </row>
    <row r="92" spans="1:6">
      <c r="A92" s="177" t="str">
        <f ca="1">CELL("FILENAME")</f>
        <v>O:\Fin_Ops\Finrpt\2002\2002 Plan\Public Relations\[PR 2002 Plan 091301.xls]Data</v>
      </c>
      <c r="D92" s="31"/>
    </row>
    <row r="93" spans="1:6">
      <c r="D93" s="31"/>
    </row>
    <row r="94" spans="1:6">
      <c r="D94" s="31"/>
    </row>
    <row r="95" spans="1:6">
      <c r="D95" s="31"/>
    </row>
    <row r="96" spans="1:6">
      <c r="D96" s="31"/>
    </row>
    <row r="97" spans="4:4">
      <c r="D97" s="31"/>
    </row>
    <row r="98" spans="4:4">
      <c r="D98" s="31"/>
    </row>
    <row r="99" spans="4:4">
      <c r="D99" s="31"/>
    </row>
    <row r="100" spans="4:4">
      <c r="D100" s="31"/>
    </row>
    <row r="101" spans="4:4">
      <c r="D101" s="31"/>
    </row>
    <row r="102" spans="4:4">
      <c r="D102" s="31"/>
    </row>
    <row r="103" spans="4:4">
      <c r="D103" s="31"/>
    </row>
    <row r="104" spans="4:4">
      <c r="D104" s="31"/>
    </row>
    <row r="105" spans="4:4">
      <c r="D105" s="31"/>
    </row>
    <row r="106" spans="4:4">
      <c r="D106" s="31"/>
    </row>
    <row r="107" spans="4:4">
      <c r="D107" s="31"/>
    </row>
    <row r="108" spans="4:4">
      <c r="D108" s="31"/>
    </row>
    <row r="109" spans="4:4">
      <c r="D109" s="31"/>
    </row>
    <row r="110" spans="4:4">
      <c r="D110" s="31"/>
    </row>
    <row r="111" spans="4:4">
      <c r="D111" s="31"/>
    </row>
    <row r="112" spans="4:4">
      <c r="D112" s="31"/>
    </row>
    <row r="113" spans="4:4">
      <c r="D113" s="31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19" spans="4:4">
      <c r="D119" s="31"/>
    </row>
    <row r="120" spans="4:4">
      <c r="D120" s="31"/>
    </row>
    <row r="121" spans="4:4">
      <c r="D121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</sheetData>
  <mergeCells count="2">
    <mergeCell ref="D9:F9"/>
    <mergeCell ref="D27:F27"/>
  </mergeCells>
  <phoneticPr fontId="0" type="noConversion"/>
  <pageMargins left="0.75" right="0.75" top="0.71" bottom="0.63" header="0.5" footer="0.5"/>
  <pageSetup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69"/>
  <sheetViews>
    <sheetView tabSelected="1" zoomScale="75" workbookViewId="0"/>
  </sheetViews>
  <sheetFormatPr defaultColWidth="10.6640625" defaultRowHeight="12.75" outlineLevelRow="1"/>
  <cols>
    <col min="1" max="1" width="4.33203125" style="215" customWidth="1"/>
    <col min="2" max="2" width="3" style="215" customWidth="1"/>
    <col min="3" max="3" width="75.6640625" style="215" customWidth="1"/>
    <col min="4" max="4" width="3" style="215" hidden="1" customWidth="1"/>
    <col min="5" max="5" width="18.83203125" style="215" hidden="1" customWidth="1"/>
    <col min="6" max="6" width="3" style="215" hidden="1" customWidth="1"/>
    <col min="7" max="7" width="18.83203125" style="215" hidden="1" customWidth="1"/>
    <col min="8" max="8" width="3" style="215" customWidth="1"/>
    <col min="9" max="9" width="21.6640625" style="215" customWidth="1"/>
    <col min="10" max="10" width="3" style="215" customWidth="1"/>
    <col min="11" max="11" width="21.6640625" style="215" customWidth="1"/>
    <col min="12" max="12" width="3" style="215" customWidth="1"/>
    <col min="13" max="13" width="24.33203125" style="215" bestFit="1" customWidth="1"/>
    <col min="14" max="14" width="12.6640625" style="217" hidden="1" customWidth="1"/>
    <col min="15" max="15" width="3.33203125" style="218" bestFit="1" customWidth="1"/>
    <col min="16" max="16384" width="10.6640625" style="215"/>
  </cols>
  <sheetData>
    <row r="1" spans="2:15" ht="9.75" customHeight="1" thickBot="1">
      <c r="M1" s="216"/>
    </row>
    <row r="2" spans="2:15" ht="9" customHeight="1" thickBot="1">
      <c r="B2" s="219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1"/>
    </row>
    <row r="3" spans="2:15" customFormat="1" ht="28.5" customHeight="1" thickBot="1">
      <c r="B3" s="335" t="s">
        <v>227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7"/>
      <c r="N3" s="217"/>
      <c r="O3" s="218"/>
    </row>
    <row r="4" spans="2:15" customFormat="1" ht="9" customHeight="1" thickBot="1">
      <c r="B4" s="222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4"/>
      <c r="N4" s="217"/>
      <c r="O4" s="218"/>
    </row>
    <row r="5" spans="2:15" customFormat="1" ht="15" customHeight="1" thickBot="1"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17"/>
      <c r="O5" s="218"/>
    </row>
    <row r="6" spans="2:15">
      <c r="B6" s="226"/>
      <c r="C6" s="227"/>
      <c r="D6" s="226"/>
      <c r="E6" s="228">
        <v>2001</v>
      </c>
      <c r="F6" s="229"/>
      <c r="G6" s="228">
        <v>2001</v>
      </c>
      <c r="H6" s="226"/>
      <c r="I6" s="228">
        <v>2001</v>
      </c>
      <c r="J6" s="229"/>
      <c r="K6" s="228">
        <v>2002</v>
      </c>
      <c r="L6" s="227"/>
      <c r="M6" s="230" t="s">
        <v>228</v>
      </c>
    </row>
    <row r="7" spans="2:15" ht="13.5" thickBot="1">
      <c r="B7" s="231"/>
      <c r="C7" s="232"/>
      <c r="D7" s="231"/>
      <c r="E7" s="233" t="s">
        <v>229</v>
      </c>
      <c r="F7" s="234"/>
      <c r="G7" s="233" t="s">
        <v>230</v>
      </c>
      <c r="H7" s="231"/>
      <c r="I7" s="233" t="s">
        <v>230</v>
      </c>
      <c r="J7" s="234"/>
      <c r="K7" s="233" t="s">
        <v>198</v>
      </c>
      <c r="L7" s="232"/>
      <c r="M7" s="235" t="s">
        <v>231</v>
      </c>
    </row>
    <row r="8" spans="2:15" ht="16.5" customHeight="1" thickBot="1">
      <c r="B8" s="236"/>
      <c r="C8" s="237"/>
      <c r="D8" s="238"/>
      <c r="E8" s="239" t="s">
        <v>232</v>
      </c>
      <c r="F8" s="240"/>
      <c r="G8" s="241" t="s">
        <v>233</v>
      </c>
      <c r="H8" s="238"/>
      <c r="I8" s="242"/>
      <c r="J8" s="243"/>
      <c r="K8" s="244"/>
      <c r="L8" s="245"/>
      <c r="M8" s="246"/>
    </row>
    <row r="9" spans="2:15" s="247" customFormat="1" ht="15.75" customHeight="1" thickBot="1">
      <c r="B9" s="248" t="s">
        <v>234</v>
      </c>
      <c r="C9" s="249"/>
      <c r="D9" s="250"/>
      <c r="E9" s="251"/>
      <c r="F9" s="252"/>
      <c r="G9" s="253"/>
      <c r="H9" s="250"/>
      <c r="I9" s="254"/>
      <c r="J9" s="252"/>
      <c r="K9" s="251"/>
      <c r="L9" s="255"/>
      <c r="M9" s="256"/>
      <c r="N9" s="217"/>
      <c r="O9" s="218"/>
    </row>
    <row r="10" spans="2:15" ht="14.25">
      <c r="B10" s="257"/>
      <c r="C10" s="258"/>
      <c r="D10" s="257"/>
      <c r="E10" s="259"/>
      <c r="F10" s="260"/>
      <c r="G10" s="261"/>
      <c r="H10" s="257"/>
      <c r="I10" s="262"/>
      <c r="J10" s="260"/>
      <c r="K10" s="262"/>
      <c r="L10" s="258"/>
      <c r="M10" s="263"/>
    </row>
    <row r="11" spans="2:15" s="264" customFormat="1" ht="15">
      <c r="B11" s="265"/>
      <c r="C11" s="266" t="s">
        <v>235</v>
      </c>
      <c r="D11" s="265"/>
      <c r="E11" s="267">
        <v>345724.42</v>
      </c>
      <c r="F11" s="268"/>
      <c r="G11" s="267">
        <v>273625</v>
      </c>
      <c r="H11" s="269"/>
      <c r="I11" s="268">
        <f>+E11+G11</f>
        <v>619349.41999999993</v>
      </c>
      <c r="J11" s="268"/>
      <c r="K11" s="267">
        <v>702904</v>
      </c>
      <c r="L11" s="266"/>
      <c r="M11" s="270">
        <f>(-K11+I11)</f>
        <v>-83554.580000000075</v>
      </c>
      <c r="N11" s="217">
        <f>IF(M11=0,0,M11/I11)</f>
        <v>-0.13490701258749879</v>
      </c>
      <c r="O11" s="218" t="s">
        <v>236</v>
      </c>
    </row>
    <row r="12" spans="2:15" s="264" customFormat="1" ht="15">
      <c r="B12" s="265"/>
      <c r="C12" s="266" t="s">
        <v>237</v>
      </c>
      <c r="D12" s="265"/>
      <c r="E12" s="268">
        <f>SUM(E13:E21)</f>
        <v>82918.69</v>
      </c>
      <c r="F12" s="268"/>
      <c r="G12" s="268">
        <f>SUM(G13:G21)</f>
        <v>603164.44285714289</v>
      </c>
      <c r="H12" s="269"/>
      <c r="I12" s="268">
        <f>+E12+G12</f>
        <v>686083.13285714295</v>
      </c>
      <c r="J12" s="268"/>
      <c r="K12" s="268">
        <f>SUM(K13:K21)</f>
        <v>625580</v>
      </c>
      <c r="L12" s="266"/>
      <c r="M12" s="270">
        <f t="shared" ref="M12:M50" si="0">(-K12+I12)</f>
        <v>60503.132857142948</v>
      </c>
      <c r="N12" s="217">
        <f t="shared" ref="N12:N59" si="1">IF(M12=0,0,M12/I12)</f>
        <v>8.8186299822270928E-2</v>
      </c>
      <c r="O12" s="218"/>
    </row>
    <row r="13" spans="2:15" s="271" customFormat="1" ht="14.25" outlineLevel="1">
      <c r="B13" s="257"/>
      <c r="C13" s="272" t="s">
        <v>238</v>
      </c>
      <c r="D13" s="273"/>
      <c r="E13" s="274">
        <v>0</v>
      </c>
      <c r="F13" s="275"/>
      <c r="G13" s="274">
        <v>0</v>
      </c>
      <c r="H13" s="276"/>
      <c r="I13" s="275">
        <f>+E13+G13</f>
        <v>0</v>
      </c>
      <c r="J13" s="275"/>
      <c r="K13" s="274">
        <v>0</v>
      </c>
      <c r="L13" s="272"/>
      <c r="M13" s="277">
        <f t="shared" si="0"/>
        <v>0</v>
      </c>
      <c r="N13" s="217">
        <f t="shared" si="1"/>
        <v>0</v>
      </c>
      <c r="O13" s="218"/>
    </row>
    <row r="14" spans="2:15" s="271" customFormat="1" ht="14.25" outlineLevel="1">
      <c r="B14" s="257"/>
      <c r="C14" s="272" t="s">
        <v>239</v>
      </c>
      <c r="D14" s="273"/>
      <c r="E14" s="274">
        <v>5312.78</v>
      </c>
      <c r="F14" s="278"/>
      <c r="G14" s="274">
        <v>5000</v>
      </c>
      <c r="H14" s="273"/>
      <c r="I14" s="275">
        <f t="shared" ref="I14:I21" si="2">+E14+G14</f>
        <v>10312.779999999999</v>
      </c>
      <c r="J14" s="278"/>
      <c r="K14" s="274">
        <v>17004</v>
      </c>
      <c r="L14" s="272"/>
      <c r="M14" s="277">
        <f t="shared" si="0"/>
        <v>-6691.2200000000012</v>
      </c>
      <c r="N14" s="217">
        <f t="shared" si="1"/>
        <v>-0.6488279590954138</v>
      </c>
      <c r="O14" s="218" t="s">
        <v>240</v>
      </c>
    </row>
    <row r="15" spans="2:15" s="271" customFormat="1" ht="14.25" outlineLevel="1">
      <c r="B15" s="257"/>
      <c r="C15" s="272" t="s">
        <v>241</v>
      </c>
      <c r="D15" s="273"/>
      <c r="E15" s="274">
        <v>0</v>
      </c>
      <c r="F15" s="278"/>
      <c r="G15" s="274">
        <v>0</v>
      </c>
      <c r="H15" s="273"/>
      <c r="I15" s="275">
        <f t="shared" si="2"/>
        <v>0</v>
      </c>
      <c r="J15" s="278"/>
      <c r="K15" s="274">
        <v>0</v>
      </c>
      <c r="L15" s="272"/>
      <c r="M15" s="277">
        <f t="shared" si="0"/>
        <v>0</v>
      </c>
      <c r="N15" s="217">
        <f t="shared" si="1"/>
        <v>0</v>
      </c>
      <c r="O15" s="218"/>
    </row>
    <row r="16" spans="2:15" s="271" customFormat="1" ht="14.25" outlineLevel="1">
      <c r="B16" s="257"/>
      <c r="C16" s="272" t="s">
        <v>242</v>
      </c>
      <c r="D16" s="273"/>
      <c r="E16" s="274">
        <v>0</v>
      </c>
      <c r="F16" s="278"/>
      <c r="G16" s="274">
        <v>0</v>
      </c>
      <c r="H16" s="273"/>
      <c r="I16" s="275">
        <f t="shared" si="2"/>
        <v>0</v>
      </c>
      <c r="J16" s="278"/>
      <c r="K16" s="274">
        <v>0</v>
      </c>
      <c r="L16" s="272"/>
      <c r="M16" s="277">
        <f t="shared" si="0"/>
        <v>0</v>
      </c>
      <c r="N16" s="217">
        <f t="shared" si="1"/>
        <v>0</v>
      </c>
      <c r="O16" s="218"/>
    </row>
    <row r="17" spans="2:15" s="271" customFormat="1" ht="14.25" outlineLevel="1">
      <c r="B17" s="257"/>
      <c r="C17" s="272" t="s">
        <v>243</v>
      </c>
      <c r="D17" s="273"/>
      <c r="E17" s="274">
        <v>0</v>
      </c>
      <c r="F17" s="275"/>
      <c r="G17" s="274">
        <v>250</v>
      </c>
      <c r="H17" s="276"/>
      <c r="I17" s="275">
        <f t="shared" si="2"/>
        <v>250</v>
      </c>
      <c r="J17" s="275"/>
      <c r="K17" s="274">
        <v>0</v>
      </c>
      <c r="L17" s="272"/>
      <c r="M17" s="277">
        <f t="shared" si="0"/>
        <v>250</v>
      </c>
      <c r="N17" s="217">
        <f t="shared" si="1"/>
        <v>1</v>
      </c>
      <c r="O17" s="218"/>
    </row>
    <row r="18" spans="2:15" s="271" customFormat="1" ht="14.25" outlineLevel="1">
      <c r="B18" s="257"/>
      <c r="C18" s="272" t="s">
        <v>244</v>
      </c>
      <c r="D18" s="273"/>
      <c r="E18" s="274">
        <v>4080.22</v>
      </c>
      <c r="F18" s="275"/>
      <c r="G18" s="274">
        <f>E18/7*5</f>
        <v>2914.4428571428571</v>
      </c>
      <c r="H18" s="276"/>
      <c r="I18" s="275">
        <f t="shared" si="2"/>
        <v>6994.6628571428573</v>
      </c>
      <c r="J18" s="275"/>
      <c r="K18" s="274">
        <v>8000</v>
      </c>
      <c r="L18" s="272"/>
      <c r="M18" s="277">
        <f t="shared" si="0"/>
        <v>-1005.3371428571427</v>
      </c>
      <c r="N18" s="217">
        <f t="shared" si="1"/>
        <v>-0.14372917800183974</v>
      </c>
      <c r="O18" s="218"/>
    </row>
    <row r="19" spans="2:15" s="271" customFormat="1" ht="14.25" outlineLevel="1">
      <c r="B19" s="257"/>
      <c r="C19" s="272" t="s">
        <v>245</v>
      </c>
      <c r="D19" s="273"/>
      <c r="E19" s="274">
        <v>73343.83</v>
      </c>
      <c r="F19" s="275"/>
      <c r="G19" s="274">
        <v>590000</v>
      </c>
      <c r="H19" s="276"/>
      <c r="I19" s="275">
        <f t="shared" si="2"/>
        <v>663343.82999999996</v>
      </c>
      <c r="J19" s="275"/>
      <c r="K19" s="274">
        <v>600000</v>
      </c>
      <c r="L19" s="272"/>
      <c r="M19" s="277">
        <f t="shared" si="0"/>
        <v>63343.829999999958</v>
      </c>
      <c r="N19" s="217">
        <f t="shared" si="1"/>
        <v>9.5491699983099199E-2</v>
      </c>
      <c r="O19" s="218" t="s">
        <v>246</v>
      </c>
    </row>
    <row r="20" spans="2:15" s="271" customFormat="1" ht="14.25" outlineLevel="1">
      <c r="B20" s="257"/>
      <c r="C20" s="272" t="s">
        <v>247</v>
      </c>
      <c r="D20" s="273"/>
      <c r="E20" s="274">
        <v>0</v>
      </c>
      <c r="F20" s="275"/>
      <c r="G20" s="274">
        <v>0</v>
      </c>
      <c r="H20" s="276"/>
      <c r="I20" s="275">
        <f t="shared" si="2"/>
        <v>0</v>
      </c>
      <c r="J20" s="275"/>
      <c r="K20" s="274">
        <v>0</v>
      </c>
      <c r="L20" s="272"/>
      <c r="M20" s="277">
        <f t="shared" si="0"/>
        <v>0</v>
      </c>
      <c r="N20" s="217">
        <f t="shared" si="1"/>
        <v>0</v>
      </c>
      <c r="O20" s="218"/>
    </row>
    <row r="21" spans="2:15" s="271" customFormat="1" ht="14.25" outlineLevel="1">
      <c r="B21" s="257"/>
      <c r="C21" s="272" t="s">
        <v>248</v>
      </c>
      <c r="D21" s="273"/>
      <c r="E21" s="274">
        <v>181.86</v>
      </c>
      <c r="F21" s="275"/>
      <c r="G21" s="274">
        <v>5000</v>
      </c>
      <c r="H21" s="276"/>
      <c r="I21" s="275">
        <f t="shared" si="2"/>
        <v>5181.8599999999997</v>
      </c>
      <c r="J21" s="275"/>
      <c r="K21" s="274">
        <v>576</v>
      </c>
      <c r="L21" s="272"/>
      <c r="M21" s="277">
        <f t="shared" si="0"/>
        <v>4605.8599999999997</v>
      </c>
      <c r="N21" s="217">
        <f t="shared" si="1"/>
        <v>0.88884300231963043</v>
      </c>
      <c r="O21" s="218"/>
    </row>
    <row r="22" spans="2:15" s="264" customFormat="1" ht="15">
      <c r="B22" s="265"/>
      <c r="C22" s="266" t="s">
        <v>249</v>
      </c>
      <c r="D22" s="265"/>
      <c r="E22" s="268">
        <f>SUM(E23:E28)</f>
        <v>116508.76999999999</v>
      </c>
      <c r="F22" s="268"/>
      <c r="G22" s="268">
        <f>SUM(G23:G28)</f>
        <v>96464</v>
      </c>
      <c r="H22" s="265"/>
      <c r="I22" s="268">
        <f>+E22+G22</f>
        <v>212972.77</v>
      </c>
      <c r="J22" s="279"/>
      <c r="K22" s="268">
        <f>SUM(K23:K28)</f>
        <v>234332</v>
      </c>
      <c r="L22" s="266"/>
      <c r="M22" s="270">
        <f t="shared" si="0"/>
        <v>-21359.23000000001</v>
      </c>
      <c r="N22" s="217">
        <f t="shared" si="1"/>
        <v>-0.10029089634322741</v>
      </c>
      <c r="O22" s="218"/>
    </row>
    <row r="23" spans="2:15" s="271" customFormat="1" ht="14.25" outlineLevel="1">
      <c r="B23" s="257"/>
      <c r="C23" s="272" t="s">
        <v>250</v>
      </c>
      <c r="D23" s="273"/>
      <c r="E23" s="274">
        <v>0</v>
      </c>
      <c r="F23" s="275"/>
      <c r="G23" s="274">
        <v>0</v>
      </c>
      <c r="H23" s="276"/>
      <c r="I23" s="275">
        <f t="shared" ref="I23:I28" si="3">+E23+G23</f>
        <v>0</v>
      </c>
      <c r="J23" s="275"/>
      <c r="K23" s="274">
        <v>18396</v>
      </c>
      <c r="L23" s="272"/>
      <c r="M23" s="277">
        <f t="shared" si="0"/>
        <v>-18396</v>
      </c>
      <c r="N23" s="217" t="e">
        <f t="shared" si="1"/>
        <v>#DIV/0!</v>
      </c>
      <c r="O23" s="218"/>
    </row>
    <row r="24" spans="2:15" s="271" customFormat="1" ht="14.25" outlineLevel="1">
      <c r="B24" s="257"/>
      <c r="C24" s="272" t="s">
        <v>251</v>
      </c>
      <c r="D24" s="273"/>
      <c r="E24" s="274">
        <v>0</v>
      </c>
      <c r="F24" s="275"/>
      <c r="G24" s="274">
        <v>0</v>
      </c>
      <c r="H24" s="276"/>
      <c r="I24" s="275">
        <f t="shared" si="3"/>
        <v>0</v>
      </c>
      <c r="J24" s="275"/>
      <c r="K24" s="274">
        <v>2820</v>
      </c>
      <c r="L24" s="272"/>
      <c r="M24" s="277">
        <f t="shared" si="0"/>
        <v>-2820</v>
      </c>
      <c r="N24" s="217" t="e">
        <f t="shared" si="1"/>
        <v>#DIV/0!</v>
      </c>
      <c r="O24" s="218"/>
    </row>
    <row r="25" spans="2:15" s="271" customFormat="1" ht="14.25" outlineLevel="1">
      <c r="B25" s="257"/>
      <c r="C25" s="272" t="s">
        <v>252</v>
      </c>
      <c r="D25" s="273"/>
      <c r="E25" s="274">
        <v>0</v>
      </c>
      <c r="F25" s="275"/>
      <c r="G25" s="274">
        <v>0</v>
      </c>
      <c r="H25" s="276"/>
      <c r="I25" s="275">
        <f t="shared" si="3"/>
        <v>0</v>
      </c>
      <c r="J25" s="275"/>
      <c r="K25" s="274">
        <v>2280</v>
      </c>
      <c r="L25" s="272"/>
      <c r="M25" s="277">
        <f t="shared" si="0"/>
        <v>-2280</v>
      </c>
      <c r="N25" s="217" t="e">
        <f t="shared" si="1"/>
        <v>#DIV/0!</v>
      </c>
      <c r="O25" s="218"/>
    </row>
    <row r="26" spans="2:15" s="271" customFormat="1" ht="14.25" outlineLevel="1">
      <c r="B26" s="257"/>
      <c r="C26" s="272" t="s">
        <v>253</v>
      </c>
      <c r="D26" s="273"/>
      <c r="E26" s="274">
        <v>12959.96</v>
      </c>
      <c r="F26" s="278"/>
      <c r="G26" s="274">
        <v>22500</v>
      </c>
      <c r="H26" s="273"/>
      <c r="I26" s="275">
        <f t="shared" si="3"/>
        <v>35459.96</v>
      </c>
      <c r="J26" s="278"/>
      <c r="K26" s="274">
        <v>10836</v>
      </c>
      <c r="L26" s="272"/>
      <c r="M26" s="277">
        <f t="shared" si="0"/>
        <v>24623.96</v>
      </c>
      <c r="N26" s="217">
        <f t="shared" si="1"/>
        <v>0.69441589894630451</v>
      </c>
      <c r="O26" s="218"/>
    </row>
    <row r="27" spans="2:15" s="271" customFormat="1" ht="14.25" outlineLevel="1">
      <c r="B27" s="257"/>
      <c r="C27" s="272" t="s">
        <v>254</v>
      </c>
      <c r="D27" s="273"/>
      <c r="E27" s="274">
        <v>103548.81</v>
      </c>
      <c r="F27" s="278"/>
      <c r="G27" s="274">
        <v>73964</v>
      </c>
      <c r="H27" s="273"/>
      <c r="I27" s="275">
        <f t="shared" si="3"/>
        <v>177512.81</v>
      </c>
      <c r="J27" s="278"/>
      <c r="K27" s="274">
        <v>200000</v>
      </c>
      <c r="L27" s="272"/>
      <c r="M27" s="277">
        <f t="shared" si="0"/>
        <v>-22487.190000000002</v>
      </c>
      <c r="N27" s="217">
        <f t="shared" si="1"/>
        <v>-0.12667925204947184</v>
      </c>
      <c r="O27" s="218" t="s">
        <v>255</v>
      </c>
    </row>
    <row r="28" spans="2:15" s="271" customFormat="1" ht="14.25" outlineLevel="1">
      <c r="B28" s="257"/>
      <c r="C28" s="272" t="s">
        <v>256</v>
      </c>
      <c r="D28" s="273"/>
      <c r="E28" s="274">
        <v>0</v>
      </c>
      <c r="F28" s="275"/>
      <c r="G28" s="274">
        <v>0</v>
      </c>
      <c r="H28" s="276"/>
      <c r="I28" s="275">
        <f t="shared" si="3"/>
        <v>0</v>
      </c>
      <c r="J28" s="275"/>
      <c r="K28" s="274">
        <v>0</v>
      </c>
      <c r="L28" s="272"/>
      <c r="M28" s="277">
        <f t="shared" si="0"/>
        <v>0</v>
      </c>
      <c r="N28" s="217">
        <f t="shared" si="1"/>
        <v>0</v>
      </c>
      <c r="O28" s="218"/>
    </row>
    <row r="29" spans="2:15" s="264" customFormat="1" ht="15">
      <c r="B29" s="265"/>
      <c r="C29" s="266" t="s">
        <v>257</v>
      </c>
      <c r="D29" s="265"/>
      <c r="E29" s="268">
        <f>SUM(E30:E31)</f>
        <v>193333.16</v>
      </c>
      <c r="F29" s="279"/>
      <c r="G29" s="268">
        <f>SUM(G30:G31)</f>
        <v>251665</v>
      </c>
      <c r="H29" s="265"/>
      <c r="I29" s="268">
        <f>+E29+G29</f>
        <v>444998.16000000003</v>
      </c>
      <c r="J29" s="279"/>
      <c r="K29" s="268">
        <f>SUM(K30:K31)</f>
        <v>462000</v>
      </c>
      <c r="L29" s="266"/>
      <c r="M29" s="270">
        <f t="shared" si="0"/>
        <v>-17001.839999999967</v>
      </c>
      <c r="N29" s="217">
        <f t="shared" si="1"/>
        <v>-3.820654000007543E-2</v>
      </c>
      <c r="O29" s="218"/>
    </row>
    <row r="30" spans="2:15" s="271" customFormat="1" ht="14.25" outlineLevel="1">
      <c r="B30" s="257"/>
      <c r="C30" s="272" t="s">
        <v>258</v>
      </c>
      <c r="D30" s="273"/>
      <c r="E30" s="274">
        <v>190734.09</v>
      </c>
      <c r="F30" s="278"/>
      <c r="G30" s="274">
        <v>251665</v>
      </c>
      <c r="H30" s="273"/>
      <c r="I30" s="275">
        <f>+E30+G30</f>
        <v>442399.08999999997</v>
      </c>
      <c r="J30" s="278"/>
      <c r="K30" s="274">
        <v>450000</v>
      </c>
      <c r="L30" s="272"/>
      <c r="M30" s="277">
        <f t="shared" si="0"/>
        <v>-7600.9100000000326</v>
      </c>
      <c r="N30" s="217">
        <f t="shared" si="1"/>
        <v>-1.71811158110656E-2</v>
      </c>
      <c r="O30" s="218"/>
    </row>
    <row r="31" spans="2:15" s="271" customFormat="1" ht="14.25" outlineLevel="1">
      <c r="B31" s="257"/>
      <c r="C31" s="272" t="s">
        <v>259</v>
      </c>
      <c r="D31" s="273"/>
      <c r="E31" s="274">
        <v>2599.0700000000002</v>
      </c>
      <c r="F31" s="275"/>
      <c r="G31" s="274">
        <v>0</v>
      </c>
      <c r="H31" s="276"/>
      <c r="I31" s="275">
        <f>+E31+G31</f>
        <v>2599.0700000000002</v>
      </c>
      <c r="J31" s="275"/>
      <c r="K31" s="274">
        <v>12000</v>
      </c>
      <c r="L31" s="272"/>
      <c r="M31" s="277">
        <f t="shared" si="0"/>
        <v>-9400.93</v>
      </c>
      <c r="N31" s="217">
        <f t="shared" si="1"/>
        <v>-3.6170360936796624</v>
      </c>
      <c r="O31" s="218" t="s">
        <v>260</v>
      </c>
    </row>
    <row r="32" spans="2:15" s="264" customFormat="1" ht="15">
      <c r="B32" s="265"/>
      <c r="C32" s="266" t="s">
        <v>261</v>
      </c>
      <c r="D32" s="265"/>
      <c r="E32" s="268">
        <f>SUM(E33:E38)</f>
        <v>139317.59000000003</v>
      </c>
      <c r="F32" s="279"/>
      <c r="G32" s="268">
        <f>SUM(G33:G38)</f>
        <v>127125</v>
      </c>
      <c r="H32" s="265"/>
      <c r="I32" s="268">
        <f>+E32+G32</f>
        <v>266442.59000000003</v>
      </c>
      <c r="J32" s="279"/>
      <c r="K32" s="268">
        <f>SUM(K33:K38)</f>
        <v>249528</v>
      </c>
      <c r="L32" s="266"/>
      <c r="M32" s="270">
        <f t="shared" si="0"/>
        <v>16914.590000000026</v>
      </c>
      <c r="N32" s="217">
        <f t="shared" si="1"/>
        <v>6.3483056518854677E-2</v>
      </c>
      <c r="O32" s="218"/>
    </row>
    <row r="33" spans="2:15" s="271" customFormat="1" ht="14.25" outlineLevel="1">
      <c r="B33" s="257"/>
      <c r="C33" s="272" t="s">
        <v>262</v>
      </c>
      <c r="D33" s="273"/>
      <c r="E33" s="274">
        <v>0</v>
      </c>
      <c r="F33" s="278"/>
      <c r="G33" s="274">
        <v>750</v>
      </c>
      <c r="H33" s="273"/>
      <c r="I33" s="275">
        <f t="shared" ref="I33:I50" si="4">+E33+G33</f>
        <v>750</v>
      </c>
      <c r="J33" s="278"/>
      <c r="K33" s="274">
        <v>0</v>
      </c>
      <c r="L33" s="272"/>
      <c r="M33" s="277">
        <f t="shared" si="0"/>
        <v>750</v>
      </c>
      <c r="N33" s="217">
        <f t="shared" si="1"/>
        <v>1</v>
      </c>
      <c r="O33" s="218"/>
    </row>
    <row r="34" spans="2:15" s="271" customFormat="1" ht="14.25" outlineLevel="1">
      <c r="B34" s="257"/>
      <c r="C34" s="272" t="s">
        <v>263</v>
      </c>
      <c r="D34" s="273"/>
      <c r="E34" s="274">
        <v>7307.78</v>
      </c>
      <c r="F34" s="278"/>
      <c r="G34" s="274">
        <v>12125</v>
      </c>
      <c r="H34" s="273"/>
      <c r="I34" s="275">
        <f t="shared" si="4"/>
        <v>19432.78</v>
      </c>
      <c r="J34" s="278"/>
      <c r="K34" s="274">
        <v>13092</v>
      </c>
      <c r="L34" s="272"/>
      <c r="M34" s="277">
        <f t="shared" si="0"/>
        <v>6340.7799999999988</v>
      </c>
      <c r="N34" s="217">
        <f t="shared" si="1"/>
        <v>0.32629299564961878</v>
      </c>
      <c r="O34" s="218"/>
    </row>
    <row r="35" spans="2:15" s="271" customFormat="1" ht="14.25" outlineLevel="1">
      <c r="B35" s="257"/>
      <c r="C35" s="272" t="s">
        <v>264</v>
      </c>
      <c r="D35" s="273"/>
      <c r="E35" s="274">
        <v>399.76</v>
      </c>
      <c r="F35" s="278"/>
      <c r="G35" s="274">
        <v>3000</v>
      </c>
      <c r="H35" s="273"/>
      <c r="I35" s="275">
        <f>+E35+G35</f>
        <v>3399.76</v>
      </c>
      <c r="J35" s="278"/>
      <c r="K35" s="274">
        <v>720</v>
      </c>
      <c r="L35" s="272"/>
      <c r="M35" s="277">
        <f>(-K35+I35)</f>
        <v>2679.76</v>
      </c>
      <c r="N35" s="217">
        <f t="shared" si="1"/>
        <v>0.78822034496552695</v>
      </c>
      <c r="O35" s="218"/>
    </row>
    <row r="36" spans="2:15" s="271" customFormat="1" ht="14.25" outlineLevel="1">
      <c r="B36" s="257"/>
      <c r="C36" s="272" t="s">
        <v>265</v>
      </c>
      <c r="D36" s="273"/>
      <c r="E36" s="274">
        <v>533.61</v>
      </c>
      <c r="F36" s="278"/>
      <c r="G36" s="274">
        <v>1250</v>
      </c>
      <c r="H36" s="273"/>
      <c r="I36" s="275">
        <f>+E36+G36</f>
        <v>1783.6100000000001</v>
      </c>
      <c r="J36" s="278"/>
      <c r="K36" s="274">
        <v>960</v>
      </c>
      <c r="L36" s="272"/>
      <c r="M36" s="277">
        <f>(-K36+I36)</f>
        <v>823.61000000000013</v>
      </c>
      <c r="N36" s="217">
        <f t="shared" si="1"/>
        <v>0.4617657447536177</v>
      </c>
      <c r="O36" s="218"/>
    </row>
    <row r="37" spans="2:15" s="271" customFormat="1" ht="14.25" outlineLevel="1">
      <c r="B37" s="257"/>
      <c r="C37" s="272" t="s">
        <v>266</v>
      </c>
      <c r="D37" s="273"/>
      <c r="E37" s="274">
        <v>130242.52</v>
      </c>
      <c r="F37" s="278"/>
      <c r="G37" s="274">
        <v>105000</v>
      </c>
      <c r="H37" s="273"/>
      <c r="I37" s="275">
        <f t="shared" si="4"/>
        <v>235242.52000000002</v>
      </c>
      <c r="J37" s="278"/>
      <c r="K37" s="274">
        <v>233268</v>
      </c>
      <c r="L37" s="272"/>
      <c r="M37" s="277">
        <f t="shared" si="0"/>
        <v>1974.5200000000186</v>
      </c>
      <c r="N37" s="217">
        <f t="shared" si="1"/>
        <v>8.3935506217159145E-3</v>
      </c>
      <c r="O37" s="218"/>
    </row>
    <row r="38" spans="2:15" s="271" customFormat="1" ht="14.25" outlineLevel="1">
      <c r="B38" s="257"/>
      <c r="C38" s="272" t="s">
        <v>267</v>
      </c>
      <c r="D38" s="273"/>
      <c r="E38" s="274">
        <v>833.92</v>
      </c>
      <c r="F38" s="278"/>
      <c r="G38" s="274">
        <v>5000</v>
      </c>
      <c r="H38" s="273"/>
      <c r="I38" s="275">
        <f t="shared" si="4"/>
        <v>5833.92</v>
      </c>
      <c r="J38" s="278"/>
      <c r="K38" s="274">
        <v>1488</v>
      </c>
      <c r="L38" s="272"/>
      <c r="M38" s="277">
        <f t="shared" si="0"/>
        <v>4345.92</v>
      </c>
      <c r="N38" s="217">
        <f t="shared" si="1"/>
        <v>0.744939937469146</v>
      </c>
      <c r="O38" s="218"/>
    </row>
    <row r="39" spans="2:15" s="264" customFormat="1" ht="15">
      <c r="B39" s="265"/>
      <c r="C39" s="266" t="s">
        <v>268</v>
      </c>
      <c r="D39" s="265"/>
      <c r="E39" s="267">
        <v>3015.75</v>
      </c>
      <c r="F39" s="279"/>
      <c r="G39" s="267">
        <v>2200</v>
      </c>
      <c r="H39" s="265"/>
      <c r="I39" s="268">
        <f t="shared" si="4"/>
        <v>5215.75</v>
      </c>
      <c r="J39" s="279"/>
      <c r="K39" s="267">
        <v>5400</v>
      </c>
      <c r="L39" s="266"/>
      <c r="M39" s="270">
        <f t="shared" si="0"/>
        <v>-184.25</v>
      </c>
      <c r="N39" s="217">
        <f t="shared" si="1"/>
        <v>-3.5325696208598954E-2</v>
      </c>
      <c r="O39" s="218"/>
    </row>
    <row r="40" spans="2:15" s="264" customFormat="1" ht="15">
      <c r="B40" s="265"/>
      <c r="C40" s="266" t="s">
        <v>85</v>
      </c>
      <c r="D40" s="265"/>
      <c r="E40" s="267">
        <v>0</v>
      </c>
      <c r="F40" s="279"/>
      <c r="G40" s="267">
        <v>0</v>
      </c>
      <c r="H40" s="265"/>
      <c r="I40" s="268">
        <f t="shared" si="4"/>
        <v>0</v>
      </c>
      <c r="J40" s="279"/>
      <c r="K40" s="267">
        <v>0</v>
      </c>
      <c r="L40" s="266"/>
      <c r="M40" s="270">
        <f t="shared" si="0"/>
        <v>0</v>
      </c>
      <c r="N40" s="217">
        <f t="shared" si="1"/>
        <v>0</v>
      </c>
      <c r="O40" s="218"/>
    </row>
    <row r="41" spans="2:15" s="264" customFormat="1" ht="15">
      <c r="B41" s="265"/>
      <c r="C41" s="266" t="s">
        <v>113</v>
      </c>
      <c r="D41" s="265"/>
      <c r="E41" s="267">
        <v>0</v>
      </c>
      <c r="F41" s="279"/>
      <c r="G41" s="267">
        <v>0</v>
      </c>
      <c r="H41" s="265"/>
      <c r="I41" s="268">
        <f t="shared" si="4"/>
        <v>0</v>
      </c>
      <c r="J41" s="279"/>
      <c r="K41" s="267">
        <v>0</v>
      </c>
      <c r="L41" s="266"/>
      <c r="M41" s="270">
        <f t="shared" si="0"/>
        <v>0</v>
      </c>
      <c r="N41" s="217">
        <f t="shared" si="1"/>
        <v>0</v>
      </c>
      <c r="O41" s="218"/>
    </row>
    <row r="42" spans="2:15" s="264" customFormat="1" ht="15">
      <c r="B42" s="265"/>
      <c r="C42" s="266" t="s">
        <v>269</v>
      </c>
      <c r="D42" s="265"/>
      <c r="E42" s="267">
        <v>0</v>
      </c>
      <c r="F42" s="279"/>
      <c r="G42" s="267">
        <v>0</v>
      </c>
      <c r="H42" s="265"/>
      <c r="I42" s="268">
        <f t="shared" si="4"/>
        <v>0</v>
      </c>
      <c r="J42" s="279"/>
      <c r="K42" s="267">
        <v>0</v>
      </c>
      <c r="L42" s="266"/>
      <c r="M42" s="270">
        <f t="shared" si="0"/>
        <v>0</v>
      </c>
      <c r="N42" s="217">
        <f t="shared" si="1"/>
        <v>0</v>
      </c>
      <c r="O42" s="218"/>
    </row>
    <row r="43" spans="2:15" s="264" customFormat="1" ht="15">
      <c r="B43" s="265"/>
      <c r="C43" s="266" t="s">
        <v>270</v>
      </c>
      <c r="D43" s="265"/>
      <c r="E43" s="268">
        <f>SUM(E44:E47)</f>
        <v>-10791.359999999999</v>
      </c>
      <c r="F43" s="279"/>
      <c r="G43" s="268">
        <f>SUM(G44:G47)</f>
        <v>10850</v>
      </c>
      <c r="H43" s="265"/>
      <c r="I43" s="268">
        <f t="shared" si="4"/>
        <v>58.640000000001237</v>
      </c>
      <c r="J43" s="279"/>
      <c r="K43" s="268">
        <f>SUM(K44:K47)</f>
        <v>24000</v>
      </c>
      <c r="L43" s="266"/>
      <c r="M43" s="270">
        <f t="shared" si="0"/>
        <v>-23941.360000000001</v>
      </c>
      <c r="N43" s="217">
        <f t="shared" si="1"/>
        <v>-408.27694406547573</v>
      </c>
      <c r="O43" s="218"/>
    </row>
    <row r="44" spans="2:15" s="271" customFormat="1" ht="14.25" outlineLevel="1">
      <c r="B44" s="257"/>
      <c r="C44" s="272" t="s">
        <v>271</v>
      </c>
      <c r="D44" s="273"/>
      <c r="E44" s="274">
        <v>101.36</v>
      </c>
      <c r="F44" s="278"/>
      <c r="G44" s="274">
        <v>0</v>
      </c>
      <c r="H44" s="273"/>
      <c r="I44" s="275">
        <f t="shared" si="4"/>
        <v>101.36</v>
      </c>
      <c r="J44" s="278"/>
      <c r="K44" s="274">
        <v>0</v>
      </c>
      <c r="L44" s="272"/>
      <c r="M44" s="277">
        <f t="shared" si="0"/>
        <v>101.36</v>
      </c>
      <c r="N44" s="217">
        <f t="shared" si="1"/>
        <v>1</v>
      </c>
      <c r="O44" s="218"/>
    </row>
    <row r="45" spans="2:15" s="271" customFormat="1" ht="14.25" outlineLevel="1">
      <c r="B45" s="257"/>
      <c r="C45" s="272" t="s">
        <v>272</v>
      </c>
      <c r="D45" s="273"/>
      <c r="E45" s="274">
        <v>0</v>
      </c>
      <c r="F45" s="278"/>
      <c r="G45" s="274">
        <v>10000</v>
      </c>
      <c r="H45" s="273"/>
      <c r="I45" s="275">
        <f t="shared" si="4"/>
        <v>10000</v>
      </c>
      <c r="J45" s="278"/>
      <c r="K45" s="274">
        <v>24000</v>
      </c>
      <c r="L45" s="272"/>
      <c r="M45" s="277">
        <f t="shared" si="0"/>
        <v>-14000</v>
      </c>
      <c r="N45" s="217">
        <f t="shared" si="1"/>
        <v>-1.4</v>
      </c>
      <c r="O45" s="218" t="s">
        <v>273</v>
      </c>
    </row>
    <row r="46" spans="2:15" s="271" customFormat="1" ht="14.25" outlineLevel="1">
      <c r="B46" s="257"/>
      <c r="C46" s="272" t="s">
        <v>274</v>
      </c>
      <c r="D46" s="273"/>
      <c r="E46" s="274">
        <v>0</v>
      </c>
      <c r="F46" s="278"/>
      <c r="G46" s="274">
        <v>0</v>
      </c>
      <c r="H46" s="273"/>
      <c r="I46" s="275">
        <f t="shared" si="4"/>
        <v>0</v>
      </c>
      <c r="J46" s="278"/>
      <c r="K46" s="274">
        <v>0</v>
      </c>
      <c r="L46" s="272"/>
      <c r="M46" s="277">
        <f t="shared" si="0"/>
        <v>0</v>
      </c>
      <c r="N46" s="217">
        <f t="shared" si="1"/>
        <v>0</v>
      </c>
      <c r="O46" s="218"/>
    </row>
    <row r="47" spans="2:15" s="271" customFormat="1" ht="14.25" outlineLevel="1">
      <c r="B47" s="257"/>
      <c r="C47" s="272" t="s">
        <v>275</v>
      </c>
      <c r="D47" s="273"/>
      <c r="E47" s="274">
        <v>-10892.72</v>
      </c>
      <c r="F47" s="278"/>
      <c r="G47" s="274">
        <v>850</v>
      </c>
      <c r="H47" s="273"/>
      <c r="I47" s="275">
        <f t="shared" si="4"/>
        <v>-10042.719999999999</v>
      </c>
      <c r="J47" s="278"/>
      <c r="K47" s="274">
        <v>0</v>
      </c>
      <c r="L47" s="272"/>
      <c r="M47" s="277">
        <f t="shared" si="0"/>
        <v>-10042.719999999999</v>
      </c>
      <c r="N47" s="217">
        <f t="shared" si="1"/>
        <v>1</v>
      </c>
      <c r="O47" s="218" t="s">
        <v>276</v>
      </c>
    </row>
    <row r="48" spans="2:15" s="264" customFormat="1" ht="15">
      <c r="B48" s="265"/>
      <c r="C48" s="266" t="s">
        <v>100</v>
      </c>
      <c r="D48" s="265"/>
      <c r="E48" s="267">
        <v>0</v>
      </c>
      <c r="F48" s="279"/>
      <c r="G48" s="267">
        <v>0</v>
      </c>
      <c r="H48" s="265"/>
      <c r="I48" s="268">
        <f t="shared" si="4"/>
        <v>0</v>
      </c>
      <c r="J48" s="279"/>
      <c r="K48" s="267">
        <v>0</v>
      </c>
      <c r="L48" s="266"/>
      <c r="M48" s="270">
        <f t="shared" si="0"/>
        <v>0</v>
      </c>
      <c r="N48" s="217">
        <f t="shared" si="1"/>
        <v>0</v>
      </c>
      <c r="O48" s="218"/>
    </row>
    <row r="49" spans="2:15" s="264" customFormat="1" ht="15">
      <c r="B49" s="265"/>
      <c r="C49" s="266" t="s">
        <v>101</v>
      </c>
      <c r="D49" s="265"/>
      <c r="E49" s="267">
        <v>0</v>
      </c>
      <c r="F49" s="279"/>
      <c r="G49" s="267">
        <v>0</v>
      </c>
      <c r="H49" s="265"/>
      <c r="I49" s="268">
        <f t="shared" si="4"/>
        <v>0</v>
      </c>
      <c r="J49" s="279"/>
      <c r="K49" s="267">
        <v>0</v>
      </c>
      <c r="L49" s="266"/>
      <c r="M49" s="270">
        <f t="shared" si="0"/>
        <v>0</v>
      </c>
      <c r="N49" s="217">
        <f t="shared" si="1"/>
        <v>0</v>
      </c>
      <c r="O49" s="218"/>
    </row>
    <row r="50" spans="2:15" s="264" customFormat="1" ht="15">
      <c r="B50" s="265"/>
      <c r="C50" s="266" t="s">
        <v>277</v>
      </c>
      <c r="D50" s="265"/>
      <c r="E50" s="267">
        <v>0</v>
      </c>
      <c r="F50" s="279"/>
      <c r="G50" s="267">
        <v>0</v>
      </c>
      <c r="H50" s="265"/>
      <c r="I50" s="268">
        <f t="shared" si="4"/>
        <v>0</v>
      </c>
      <c r="J50" s="279"/>
      <c r="K50" s="267">
        <v>0</v>
      </c>
      <c r="L50" s="266"/>
      <c r="M50" s="270">
        <f t="shared" si="0"/>
        <v>0</v>
      </c>
      <c r="N50" s="217">
        <f t="shared" si="1"/>
        <v>0</v>
      </c>
      <c r="O50" s="218"/>
    </row>
    <row r="51" spans="2:15" s="280" customFormat="1" ht="15" thickBot="1">
      <c r="B51" s="257"/>
      <c r="C51" s="258"/>
      <c r="D51" s="281"/>
      <c r="E51" s="282"/>
      <c r="F51" s="283"/>
      <c r="G51" s="284"/>
      <c r="H51" s="257"/>
      <c r="I51" s="259"/>
      <c r="J51" s="260"/>
      <c r="K51" s="259"/>
      <c r="L51" s="258"/>
      <c r="M51" s="285"/>
      <c r="N51" s="217"/>
      <c r="O51" s="218"/>
    </row>
    <row r="52" spans="2:15" ht="15.75" thickBot="1">
      <c r="B52" s="286"/>
      <c r="C52" s="287" t="s">
        <v>278</v>
      </c>
      <c r="D52" s="288"/>
      <c r="E52" s="289">
        <f>+E11+E12+E22+E29+E32+E39+E40+E41+E42+E43+E48+E49+E50</f>
        <v>870027.02000000014</v>
      </c>
      <c r="F52" s="290"/>
      <c r="G52" s="289">
        <f>+G11+G12+G22+G29+G32+G39+G40+G41+G42+G43+G48+G49+G50</f>
        <v>1365093.442857143</v>
      </c>
      <c r="H52" s="288"/>
      <c r="I52" s="291">
        <f>+E52+G52</f>
        <v>2235120.462857143</v>
      </c>
      <c r="J52" s="290"/>
      <c r="K52" s="289">
        <f>+K11+K12+K22+K29+K32+K39+K40+K41+K42+K43+K48+K49+K50</f>
        <v>2303744</v>
      </c>
      <c r="L52" s="292"/>
      <c r="M52" s="293">
        <f>+M11+M12+M22+M29+M32+M39+M40+M41+M42+M43+M48+M49+M50</f>
        <v>-68623.53714285708</v>
      </c>
      <c r="N52" s="217">
        <f t="shared" si="1"/>
        <v>-3.0702388655659284E-2</v>
      </c>
    </row>
    <row r="53" spans="2:15" ht="15">
      <c r="B53" s="294"/>
      <c r="C53" s="295"/>
      <c r="D53" s="296"/>
      <c r="E53" s="297"/>
      <c r="F53" s="296"/>
      <c r="G53" s="297"/>
      <c r="H53" s="296"/>
      <c r="I53" s="297"/>
      <c r="J53" s="296"/>
      <c r="K53" s="297"/>
      <c r="L53" s="296"/>
      <c r="M53" s="298"/>
    </row>
    <row r="54" spans="2:15" s="264" customFormat="1" ht="15">
      <c r="B54" s="299"/>
      <c r="C54" s="295" t="s">
        <v>279</v>
      </c>
      <c r="D54" s="296"/>
      <c r="E54" s="267">
        <v>-114776</v>
      </c>
      <c r="F54" s="300"/>
      <c r="G54" s="267">
        <v>-591757</v>
      </c>
      <c r="H54" s="300"/>
      <c r="I54" s="268">
        <f>+E54+G54</f>
        <v>-706533</v>
      </c>
      <c r="J54" s="300"/>
      <c r="K54" s="267">
        <f>-1612621</f>
        <v>-1612621</v>
      </c>
      <c r="L54" s="300"/>
      <c r="M54" s="301">
        <f>-K54+I54</f>
        <v>906088</v>
      </c>
      <c r="N54" s="302">
        <f t="shared" si="1"/>
        <v>-1.2824425752229549</v>
      </c>
      <c r="O54" s="218" t="s">
        <v>280</v>
      </c>
    </row>
    <row r="55" spans="2:15" s="264" customFormat="1" ht="15">
      <c r="B55" s="299"/>
      <c r="C55" s="295" t="s">
        <v>281</v>
      </c>
      <c r="D55" s="296"/>
      <c r="E55" s="267">
        <v>0</v>
      </c>
      <c r="F55" s="300"/>
      <c r="G55" s="267">
        <v>0</v>
      </c>
      <c r="H55" s="300"/>
      <c r="I55" s="268">
        <f>+E55+G55</f>
        <v>0</v>
      </c>
      <c r="J55" s="300"/>
      <c r="K55" s="267">
        <v>0</v>
      </c>
      <c r="L55" s="300"/>
      <c r="M55" s="301">
        <f>-K55+I55</f>
        <v>0</v>
      </c>
      <c r="N55" s="302">
        <f t="shared" si="1"/>
        <v>0</v>
      </c>
      <c r="O55" s="218"/>
    </row>
    <row r="56" spans="2:15" s="303" customFormat="1" ht="15.75" thickBot="1">
      <c r="B56" s="304"/>
      <c r="C56" s="305"/>
      <c r="D56" s="306"/>
      <c r="E56" s="307"/>
      <c r="F56" s="306"/>
      <c r="G56" s="307"/>
      <c r="H56" s="296"/>
      <c r="I56" s="297"/>
      <c r="J56" s="296"/>
      <c r="K56" s="297"/>
      <c r="L56" s="296"/>
      <c r="M56" s="308"/>
      <c r="N56" s="302"/>
      <c r="O56" s="218"/>
    </row>
    <row r="57" spans="2:15" s="303" customFormat="1" ht="15.75" thickBot="1">
      <c r="B57" s="304"/>
      <c r="C57" s="309" t="s">
        <v>282</v>
      </c>
      <c r="D57" s="288"/>
      <c r="E57" s="289">
        <f>+E52+E54+E55</f>
        <v>755251.02000000014</v>
      </c>
      <c r="F57" s="290"/>
      <c r="G57" s="310">
        <f>+G52+G54+G55</f>
        <v>773336.442857143</v>
      </c>
      <c r="H57" s="288"/>
      <c r="I57" s="291">
        <f>+E57+G57</f>
        <v>1528587.462857143</v>
      </c>
      <c r="J57" s="290"/>
      <c r="K57" s="289">
        <f>+K52+K54+K55</f>
        <v>691123</v>
      </c>
      <c r="L57" s="292"/>
      <c r="M57" s="293">
        <f>-K57+I57</f>
        <v>837464.46285714302</v>
      </c>
      <c r="N57" s="302">
        <f t="shared" si="1"/>
        <v>0.54786820067973419</v>
      </c>
      <c r="O57" s="218"/>
    </row>
    <row r="58" spans="2:15" s="303" customFormat="1" ht="15.75" thickBot="1"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302"/>
      <c r="O58" s="218"/>
    </row>
    <row r="59" spans="2:15" s="264" customFormat="1" ht="15.75" thickBot="1">
      <c r="B59" s="311" t="s">
        <v>283</v>
      </c>
      <c r="C59" s="312"/>
      <c r="D59" s="313"/>
      <c r="E59" s="314">
        <v>0</v>
      </c>
      <c r="F59" s="315"/>
      <c r="G59" s="316">
        <v>10</v>
      </c>
      <c r="H59" s="313"/>
      <c r="I59" s="317">
        <f>+E59+G59</f>
        <v>10</v>
      </c>
      <c r="J59" s="315"/>
      <c r="K59" s="314">
        <v>10</v>
      </c>
      <c r="L59" s="318"/>
      <c r="M59" s="319">
        <f>(-K59+I59)</f>
        <v>0</v>
      </c>
      <c r="N59" s="302">
        <f t="shared" si="1"/>
        <v>0</v>
      </c>
      <c r="O59" s="218"/>
    </row>
    <row r="60" spans="2:15"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</row>
    <row r="61" spans="2:15"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</row>
    <row r="62" spans="2:15">
      <c r="B62" s="216" t="s">
        <v>284</v>
      </c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</row>
    <row r="63" spans="2:15">
      <c r="B63" s="215" t="s">
        <v>285</v>
      </c>
    </row>
    <row r="64" spans="2:15">
      <c r="B64" s="320" t="s">
        <v>286</v>
      </c>
    </row>
    <row r="65" spans="2:2">
      <c r="B65" s="215" t="s">
        <v>287</v>
      </c>
    </row>
    <row r="66" spans="2:2">
      <c r="B66" s="215" t="s">
        <v>288</v>
      </c>
    </row>
    <row r="67" spans="2:2">
      <c r="B67" s="320" t="s">
        <v>289</v>
      </c>
    </row>
    <row r="68" spans="2:2">
      <c r="B68" s="215" t="s">
        <v>290</v>
      </c>
    </row>
    <row r="69" spans="2:2">
      <c r="B69" s="320" t="s">
        <v>306</v>
      </c>
    </row>
  </sheetData>
  <mergeCells count="1">
    <mergeCell ref="B3:M3"/>
  </mergeCells>
  <phoneticPr fontId="0" type="noConversion"/>
  <pageMargins left="0.75" right="0.75" top="1" bottom="1" header="0.5" footer="0.5"/>
  <pageSetup scale="61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Q93"/>
  <sheetViews>
    <sheetView zoomScale="80" zoomScaleNormal="80" workbookViewId="0">
      <pane xSplit="3" ySplit="10" topLeftCell="D11" activePane="bottomRight" state="frozen"/>
      <selection pane="topRight"/>
      <selection pane="bottomLeft"/>
      <selection pane="bottomRight"/>
    </sheetView>
  </sheetViews>
  <sheetFormatPr defaultRowHeight="12.75"/>
  <cols>
    <col min="1" max="1" width="15" style="1" customWidth="1"/>
    <col min="2" max="2" width="42.33203125" style="1" customWidth="1"/>
    <col min="3" max="3" width="1.5" style="1" customWidth="1"/>
    <col min="4" max="15" width="11.83203125" style="1" customWidth="1"/>
    <col min="16" max="16" width="13.5" style="1" customWidth="1"/>
    <col min="17" max="17" width="9.5" style="1" bestFit="1" customWidth="1"/>
    <col min="18" max="16384" width="9.33203125" style="1"/>
  </cols>
  <sheetData>
    <row r="1" spans="1:16" s="10" customFormat="1" ht="9.75" customHeight="1">
      <c r="A1" s="17"/>
      <c r="B1" s="18"/>
      <c r="C1" s="18"/>
      <c r="D1" s="18"/>
    </row>
    <row r="2" spans="1:16" s="22" customFormat="1" ht="27" customHeight="1">
      <c r="A2" s="19" t="s">
        <v>136</v>
      </c>
      <c r="B2" s="19"/>
      <c r="C2" s="19"/>
      <c r="D2" s="19"/>
      <c r="E2" s="20"/>
      <c r="F2" s="20"/>
      <c r="G2" s="20"/>
      <c r="H2" s="21"/>
    </row>
    <row r="3" spans="1:16" s="22" customFormat="1" ht="27" customHeight="1">
      <c r="A3" s="19" t="s">
        <v>87</v>
      </c>
      <c r="B3" s="19"/>
      <c r="C3" s="19"/>
      <c r="D3" s="19"/>
      <c r="E3" s="20"/>
      <c r="F3" s="20"/>
      <c r="G3" s="20"/>
      <c r="H3" s="21"/>
      <c r="P3" s="23" t="s">
        <v>65</v>
      </c>
    </row>
    <row r="4" spans="1:16" s="4" customFormat="1" ht="13.5" customHeight="1">
      <c r="C4" s="5"/>
      <c r="D4" s="2"/>
      <c r="G4" s="6"/>
      <c r="H4" s="6"/>
      <c r="I4" s="9"/>
    </row>
    <row r="5" spans="1:16" s="4" customFormat="1" ht="14.25" customHeight="1" thickBot="1">
      <c r="B5" s="5" t="s">
        <v>55</v>
      </c>
      <c r="D5" s="26" t="s">
        <v>165</v>
      </c>
    </row>
    <row r="6" spans="1:16" s="4" customFormat="1" ht="14.25" customHeight="1" thickBot="1">
      <c r="B6" s="5" t="s">
        <v>57</v>
      </c>
      <c r="D6" s="26" t="s">
        <v>166</v>
      </c>
    </row>
    <row r="7" spans="1:16" s="4" customFormat="1" ht="14.25" customHeight="1" thickBot="1">
      <c r="B7" s="5" t="s">
        <v>64</v>
      </c>
      <c r="D7" s="26" t="s">
        <v>167</v>
      </c>
      <c r="H7" s="6"/>
      <c r="N7" s="24" t="s">
        <v>62</v>
      </c>
      <c r="O7" s="99">
        <v>37134</v>
      </c>
    </row>
    <row r="8" spans="1:16" s="4" customFormat="1">
      <c r="C8" s="5"/>
      <c r="D8" s="2"/>
      <c r="H8" s="6"/>
      <c r="N8" s="27" t="s">
        <v>86</v>
      </c>
    </row>
    <row r="9" spans="1:16" s="35" customFormat="1">
      <c r="A9" s="32"/>
      <c r="B9" s="48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 t="s">
        <v>53</v>
      </c>
    </row>
    <row r="10" spans="1:16" s="35" customFormat="1">
      <c r="A10" s="36" t="s">
        <v>67</v>
      </c>
      <c r="B10" s="49"/>
      <c r="C10" s="37">
        <v>36892</v>
      </c>
      <c r="D10" s="37">
        <v>37257</v>
      </c>
      <c r="E10" s="37">
        <v>37288</v>
      </c>
      <c r="F10" s="37">
        <v>37316</v>
      </c>
      <c r="G10" s="37">
        <v>37347</v>
      </c>
      <c r="H10" s="37">
        <v>37377</v>
      </c>
      <c r="I10" s="37">
        <v>37408</v>
      </c>
      <c r="J10" s="37">
        <v>37438</v>
      </c>
      <c r="K10" s="37">
        <v>37469</v>
      </c>
      <c r="L10" s="37">
        <v>37500</v>
      </c>
      <c r="M10" s="37">
        <v>37530</v>
      </c>
      <c r="N10" s="37">
        <v>37561</v>
      </c>
      <c r="O10" s="37">
        <v>37591</v>
      </c>
      <c r="P10" s="38" t="s">
        <v>84</v>
      </c>
    </row>
    <row r="11" spans="1:16" s="42" customFormat="1">
      <c r="A11" s="65" t="s">
        <v>127</v>
      </c>
      <c r="B11" s="66"/>
      <c r="C11" s="67"/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3">
        <f t="shared" ref="P11:P19" si="0">SUM(D11:O11)</f>
        <v>0</v>
      </c>
    </row>
    <row r="12" spans="1:16" s="42" customFormat="1">
      <c r="A12" s="39" t="s">
        <v>128</v>
      </c>
      <c r="B12" s="50"/>
      <c r="C12" s="40"/>
      <c r="D12" s="41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64">
        <f t="shared" si="0"/>
        <v>0</v>
      </c>
    </row>
    <row r="13" spans="1:16" s="42" customFormat="1">
      <c r="A13" s="39" t="s">
        <v>129</v>
      </c>
      <c r="B13" s="50"/>
      <c r="C13" s="40"/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64">
        <f>SUM(D13:O13)</f>
        <v>0</v>
      </c>
    </row>
    <row r="14" spans="1:16" s="42" customFormat="1">
      <c r="A14" s="39" t="s">
        <v>68</v>
      </c>
      <c r="B14" s="50"/>
      <c r="C14" s="40"/>
      <c r="D14" s="41">
        <v>1</v>
      </c>
      <c r="E14" s="41">
        <v>1</v>
      </c>
      <c r="F14" s="41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1</v>
      </c>
      <c r="P14" s="64">
        <f>SUM(D14:O14)</f>
        <v>12</v>
      </c>
    </row>
    <row r="15" spans="1:16" s="42" customFormat="1">
      <c r="A15" s="39" t="s">
        <v>69</v>
      </c>
      <c r="B15" s="50"/>
      <c r="C15" s="40"/>
      <c r="D15" s="41">
        <v>3</v>
      </c>
      <c r="E15" s="41">
        <v>3</v>
      </c>
      <c r="F15" s="41">
        <v>3</v>
      </c>
      <c r="G15" s="41">
        <v>3</v>
      </c>
      <c r="H15" s="41">
        <v>3</v>
      </c>
      <c r="I15" s="41">
        <v>3</v>
      </c>
      <c r="J15" s="41">
        <v>3</v>
      </c>
      <c r="K15" s="41">
        <v>3</v>
      </c>
      <c r="L15" s="41">
        <v>3</v>
      </c>
      <c r="M15" s="41">
        <v>3</v>
      </c>
      <c r="N15" s="41">
        <v>3</v>
      </c>
      <c r="O15" s="41">
        <v>3</v>
      </c>
      <c r="P15" s="64">
        <f>SUM(D15:O15)</f>
        <v>36</v>
      </c>
    </row>
    <row r="16" spans="1:16" s="42" customFormat="1">
      <c r="A16" s="39" t="s">
        <v>130</v>
      </c>
      <c r="B16" s="50"/>
      <c r="C16" s="40"/>
      <c r="D16" s="41">
        <v>1</v>
      </c>
      <c r="E16" s="41">
        <v>1</v>
      </c>
      <c r="F16" s="41">
        <v>1</v>
      </c>
      <c r="G16" s="41">
        <v>1</v>
      </c>
      <c r="H16" s="41">
        <v>1</v>
      </c>
      <c r="I16" s="41">
        <v>1</v>
      </c>
      <c r="J16" s="41">
        <v>1</v>
      </c>
      <c r="K16" s="41">
        <v>1</v>
      </c>
      <c r="L16" s="41">
        <v>1</v>
      </c>
      <c r="M16" s="41">
        <v>1</v>
      </c>
      <c r="N16" s="41">
        <v>1</v>
      </c>
      <c r="O16" s="41">
        <v>1</v>
      </c>
      <c r="P16" s="64">
        <f t="shared" si="0"/>
        <v>12</v>
      </c>
    </row>
    <row r="17" spans="1:16" s="42" customFormat="1">
      <c r="A17" s="39" t="s">
        <v>131</v>
      </c>
      <c r="B17" s="50"/>
      <c r="C17" s="40"/>
      <c r="D17" s="41">
        <v>3</v>
      </c>
      <c r="E17" s="41">
        <v>3</v>
      </c>
      <c r="F17" s="41">
        <v>3</v>
      </c>
      <c r="G17" s="41">
        <v>3</v>
      </c>
      <c r="H17" s="41">
        <v>3</v>
      </c>
      <c r="I17" s="41">
        <v>3</v>
      </c>
      <c r="J17" s="41">
        <v>3</v>
      </c>
      <c r="K17" s="41">
        <v>3</v>
      </c>
      <c r="L17" s="41">
        <v>3</v>
      </c>
      <c r="M17" s="41">
        <v>3</v>
      </c>
      <c r="N17" s="41">
        <v>3</v>
      </c>
      <c r="O17" s="41">
        <v>3</v>
      </c>
      <c r="P17" s="64">
        <f>SUM(D17:O17)</f>
        <v>36</v>
      </c>
    </row>
    <row r="18" spans="1:16" s="42" customFormat="1">
      <c r="A18" s="39" t="s">
        <v>132</v>
      </c>
      <c r="B18" s="50"/>
      <c r="C18" s="40"/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64">
        <f>SUM(D18:O18)</f>
        <v>0</v>
      </c>
    </row>
    <row r="19" spans="1:16" s="42" customFormat="1">
      <c r="A19" s="39" t="s">
        <v>72</v>
      </c>
      <c r="B19" s="50"/>
      <c r="C19" s="43"/>
      <c r="D19" s="41">
        <v>2</v>
      </c>
      <c r="E19" s="41">
        <v>2</v>
      </c>
      <c r="F19" s="41">
        <v>2</v>
      </c>
      <c r="G19" s="41">
        <v>2</v>
      </c>
      <c r="H19" s="41">
        <v>2</v>
      </c>
      <c r="I19" s="41">
        <v>2</v>
      </c>
      <c r="J19" s="41">
        <v>2</v>
      </c>
      <c r="K19" s="41">
        <v>2</v>
      </c>
      <c r="L19" s="41">
        <v>2</v>
      </c>
      <c r="M19" s="41">
        <v>2</v>
      </c>
      <c r="N19" s="41">
        <v>2</v>
      </c>
      <c r="O19" s="41">
        <v>2</v>
      </c>
      <c r="P19" s="64">
        <f t="shared" si="0"/>
        <v>24</v>
      </c>
    </row>
    <row r="20" spans="1:16" s="42" customFormat="1">
      <c r="A20" s="39" t="s">
        <v>133</v>
      </c>
      <c r="B20" s="50"/>
      <c r="C20" s="40">
        <v>1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64">
        <f t="shared" ref="P20:P25" si="1">SUM(D20:O20)</f>
        <v>0</v>
      </c>
    </row>
    <row r="21" spans="1:16" s="42" customFormat="1">
      <c r="A21" s="39" t="s">
        <v>134</v>
      </c>
      <c r="B21" s="50"/>
      <c r="C21" s="40"/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64">
        <f t="shared" si="1"/>
        <v>0</v>
      </c>
    </row>
    <row r="22" spans="1:16" s="42" customFormat="1">
      <c r="A22" s="44" t="s">
        <v>158</v>
      </c>
      <c r="B22" s="52"/>
      <c r="C22" s="45"/>
      <c r="D22" s="46">
        <f>SUM(D11:D21)</f>
        <v>10</v>
      </c>
      <c r="E22" s="46">
        <f t="shared" ref="E22:O22" si="2">SUM(E11:E21)</f>
        <v>10</v>
      </c>
      <c r="F22" s="46">
        <f t="shared" si="2"/>
        <v>10</v>
      </c>
      <c r="G22" s="46">
        <f t="shared" si="2"/>
        <v>10</v>
      </c>
      <c r="H22" s="46">
        <f t="shared" si="2"/>
        <v>10</v>
      </c>
      <c r="I22" s="46">
        <f t="shared" si="2"/>
        <v>10</v>
      </c>
      <c r="J22" s="46">
        <f t="shared" si="2"/>
        <v>10</v>
      </c>
      <c r="K22" s="46">
        <f t="shared" si="2"/>
        <v>10</v>
      </c>
      <c r="L22" s="46">
        <f t="shared" si="2"/>
        <v>10</v>
      </c>
      <c r="M22" s="46">
        <f t="shared" si="2"/>
        <v>10</v>
      </c>
      <c r="N22" s="46">
        <f t="shared" si="2"/>
        <v>10</v>
      </c>
      <c r="O22" s="46">
        <f t="shared" si="2"/>
        <v>10</v>
      </c>
      <c r="P22" s="47">
        <f t="shared" si="1"/>
        <v>120</v>
      </c>
    </row>
    <row r="23" spans="1:16" s="42" customFormat="1">
      <c r="A23" s="39" t="s">
        <v>70</v>
      </c>
      <c r="B23" s="50"/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64">
        <f t="shared" si="1"/>
        <v>0</v>
      </c>
    </row>
    <row r="24" spans="1:16" s="42" customFormat="1">
      <c r="A24" s="39" t="s">
        <v>71</v>
      </c>
      <c r="B24" s="50"/>
      <c r="C24" s="40"/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64">
        <f t="shared" si="1"/>
        <v>0</v>
      </c>
    </row>
    <row r="25" spans="1:16" s="42" customFormat="1">
      <c r="A25" s="44" t="s">
        <v>73</v>
      </c>
      <c r="B25" s="52"/>
      <c r="C25" s="45" t="e">
        <f>#REF!+C19+C20</f>
        <v>#REF!</v>
      </c>
      <c r="D25" s="46">
        <f>D22+SUM(D23:D24)</f>
        <v>10</v>
      </c>
      <c r="E25" s="46">
        <f t="shared" ref="E25:O25" si="3">E22+SUM(E23:E24)</f>
        <v>10</v>
      </c>
      <c r="F25" s="46">
        <f t="shared" si="3"/>
        <v>10</v>
      </c>
      <c r="G25" s="46">
        <f t="shared" si="3"/>
        <v>10</v>
      </c>
      <c r="H25" s="46">
        <f t="shared" si="3"/>
        <v>10</v>
      </c>
      <c r="I25" s="46">
        <f t="shared" si="3"/>
        <v>10</v>
      </c>
      <c r="J25" s="46">
        <f t="shared" si="3"/>
        <v>10</v>
      </c>
      <c r="K25" s="46">
        <f t="shared" si="3"/>
        <v>10</v>
      </c>
      <c r="L25" s="46">
        <f t="shared" si="3"/>
        <v>10</v>
      </c>
      <c r="M25" s="46">
        <f t="shared" si="3"/>
        <v>10</v>
      </c>
      <c r="N25" s="46">
        <f t="shared" si="3"/>
        <v>10</v>
      </c>
      <c r="O25" s="46">
        <f t="shared" si="3"/>
        <v>10</v>
      </c>
      <c r="P25" s="47">
        <f t="shared" si="1"/>
        <v>120</v>
      </c>
    </row>
    <row r="26" spans="1:16" s="50" customFormat="1">
      <c r="A26" s="51"/>
      <c r="B26" s="51"/>
      <c r="C26" s="4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s="57" customFormat="1">
      <c r="A27" s="54" t="s">
        <v>60</v>
      </c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34" t="s">
        <v>53</v>
      </c>
    </row>
    <row r="28" spans="1:16" s="57" customFormat="1">
      <c r="A28" s="36" t="s">
        <v>61</v>
      </c>
      <c r="B28" s="49" t="s">
        <v>0</v>
      </c>
      <c r="C28" s="37"/>
      <c r="D28" s="37">
        <v>37257</v>
      </c>
      <c r="E28" s="37">
        <v>37288</v>
      </c>
      <c r="F28" s="37">
        <v>37316</v>
      </c>
      <c r="G28" s="37">
        <v>37347</v>
      </c>
      <c r="H28" s="37">
        <v>37377</v>
      </c>
      <c r="I28" s="37">
        <v>37408</v>
      </c>
      <c r="J28" s="37">
        <v>37438</v>
      </c>
      <c r="K28" s="37">
        <v>37469</v>
      </c>
      <c r="L28" s="37">
        <v>37500</v>
      </c>
      <c r="M28" s="37">
        <v>37530</v>
      </c>
      <c r="N28" s="37">
        <v>37561</v>
      </c>
      <c r="O28" s="37">
        <v>37591</v>
      </c>
      <c r="P28" s="38" t="s">
        <v>54</v>
      </c>
    </row>
    <row r="29" spans="1:16">
      <c r="A29" s="94" t="s">
        <v>25</v>
      </c>
      <c r="B29" s="8" t="s">
        <v>1</v>
      </c>
      <c r="C29" s="7"/>
      <c r="D29" s="69">
        <v>45500</v>
      </c>
      <c r="E29" s="69">
        <v>47500</v>
      </c>
      <c r="F29" s="69">
        <v>47500</v>
      </c>
      <c r="G29" s="69">
        <v>47500</v>
      </c>
      <c r="H29" s="69">
        <v>47500</v>
      </c>
      <c r="I29" s="69">
        <v>47500</v>
      </c>
      <c r="J29" s="69">
        <v>47500</v>
      </c>
      <c r="K29" s="69">
        <v>47500</v>
      </c>
      <c r="L29" s="69">
        <v>47500</v>
      </c>
      <c r="M29" s="69">
        <v>47500</v>
      </c>
      <c r="N29" s="69">
        <v>47500</v>
      </c>
      <c r="O29" s="69">
        <v>47500</v>
      </c>
      <c r="P29" s="70">
        <f t="shared" ref="P29:P34" si="4">SUM(D29:O29)</f>
        <v>568000</v>
      </c>
    </row>
    <row r="30" spans="1:16">
      <c r="A30" s="94" t="s">
        <v>25</v>
      </c>
      <c r="B30" s="8" t="s">
        <v>2</v>
      </c>
      <c r="C30" s="7"/>
      <c r="D30" s="69">
        <v>0</v>
      </c>
      <c r="E30" s="69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70">
        <f t="shared" si="4"/>
        <v>0</v>
      </c>
    </row>
    <row r="31" spans="1:16">
      <c r="A31" s="71"/>
      <c r="B31" s="72" t="s">
        <v>3</v>
      </c>
      <c r="C31" s="73"/>
      <c r="D31" s="74">
        <f>SUM(D29:D30)</f>
        <v>45500</v>
      </c>
      <c r="E31" s="74">
        <f t="shared" ref="E31:O31" si="5">SUM(E29:E30)</f>
        <v>47500</v>
      </c>
      <c r="F31" s="74">
        <f t="shared" si="5"/>
        <v>47500</v>
      </c>
      <c r="G31" s="74">
        <f t="shared" si="5"/>
        <v>47500</v>
      </c>
      <c r="H31" s="74">
        <f t="shared" si="5"/>
        <v>47500</v>
      </c>
      <c r="I31" s="74">
        <f t="shared" si="5"/>
        <v>47500</v>
      </c>
      <c r="J31" s="74">
        <f t="shared" si="5"/>
        <v>47500</v>
      </c>
      <c r="K31" s="74">
        <f t="shared" si="5"/>
        <v>47500</v>
      </c>
      <c r="L31" s="74">
        <f t="shared" si="5"/>
        <v>47500</v>
      </c>
      <c r="M31" s="74">
        <f t="shared" si="5"/>
        <v>47500</v>
      </c>
      <c r="N31" s="74">
        <f t="shared" si="5"/>
        <v>47500</v>
      </c>
      <c r="O31" s="74">
        <f t="shared" si="5"/>
        <v>47500</v>
      </c>
      <c r="P31" s="75">
        <f t="shared" si="4"/>
        <v>568000</v>
      </c>
    </row>
    <row r="32" spans="1:16">
      <c r="A32" s="71" t="s">
        <v>26</v>
      </c>
      <c r="B32" s="76" t="s">
        <v>4</v>
      </c>
      <c r="C32" s="73"/>
      <c r="D32" s="77">
        <f>(D22)*(Assumptions!B2/12)+D31*(Assumptions!B8)</f>
        <v>8140.5</v>
      </c>
      <c r="E32" s="77">
        <f>(D22)*(4800/12)+E31*(0.091)</f>
        <v>8322.5</v>
      </c>
      <c r="F32" s="77">
        <f t="shared" ref="F32:O32" si="6">(E22)*(4800/12)+F31*(0.091)</f>
        <v>8322.5</v>
      </c>
      <c r="G32" s="77">
        <f t="shared" si="6"/>
        <v>8322.5</v>
      </c>
      <c r="H32" s="77">
        <f t="shared" si="6"/>
        <v>8322.5</v>
      </c>
      <c r="I32" s="77">
        <f t="shared" si="6"/>
        <v>8322.5</v>
      </c>
      <c r="J32" s="77">
        <f t="shared" si="6"/>
        <v>8322.5</v>
      </c>
      <c r="K32" s="77">
        <f t="shared" si="6"/>
        <v>8322.5</v>
      </c>
      <c r="L32" s="77">
        <f t="shared" si="6"/>
        <v>8322.5</v>
      </c>
      <c r="M32" s="77">
        <f t="shared" si="6"/>
        <v>8322.5</v>
      </c>
      <c r="N32" s="77">
        <f t="shared" si="6"/>
        <v>8322.5</v>
      </c>
      <c r="O32" s="77">
        <f t="shared" si="6"/>
        <v>8322.5</v>
      </c>
      <c r="P32" s="70">
        <f t="shared" si="4"/>
        <v>99688</v>
      </c>
    </row>
    <row r="33" spans="1:17">
      <c r="A33" s="71" t="s">
        <v>27</v>
      </c>
      <c r="B33" s="73" t="s">
        <v>5</v>
      </c>
      <c r="C33" s="73"/>
      <c r="D33" s="77">
        <f>IF(D22=0,,IF(D31/D22&lt;=Assumptions!$B$12/12,D31*Assumptions!$B$14,(D31/D22-Assumptions!$B$12/12)*Assumptions!$B$16*D22+Assumptions!$B$12/12*Assumptions!$B$14*D22))</f>
        <v>2821</v>
      </c>
      <c r="E33" s="77">
        <f>IF(E22=0,,IF(E31/E22&lt;=Assumptions!$B$12/12,E31*Assumptions!$B$14,(E31/E22-Assumptions!$B$12/12)*Assumptions!$B$16*E22+Assumptions!$B$12/12*Assumptions!$B$14*E22))</f>
        <v>2945</v>
      </c>
      <c r="F33" s="77">
        <f>IF(F22=0,,IF(F31/F22&lt;=Assumptions!$B$12/12,F31*Assumptions!$B$14,(F31/F22-Assumptions!$B$12/12)*Assumptions!$B$16*F22+Assumptions!$B$12/12*Assumptions!$B$14*F22))</f>
        <v>2945</v>
      </c>
      <c r="G33" s="77">
        <f>IF(G22=0,,IF(G31/G22&lt;=Assumptions!$B$12/12,G31*Assumptions!$B$14,(G31/G22-Assumptions!$B$12/12)*Assumptions!$B$16*G22+Assumptions!$B$12/12*Assumptions!$B$14*G22))</f>
        <v>2945</v>
      </c>
      <c r="H33" s="77">
        <f>IF(H22=0,,IF(H31/H22&lt;=Assumptions!$B$12/12,H31*Assumptions!$B$14,(H31/H22-Assumptions!$B$12/12)*Assumptions!$B$16*H22+Assumptions!$B$12/12*Assumptions!$B$14*H22))</f>
        <v>2945</v>
      </c>
      <c r="I33" s="77">
        <f>IF(I22=0,,IF(I31/I22&lt;=Assumptions!$B$12/12,I31*Assumptions!$B$14,(I31/I22-Assumptions!$B$12/12)*Assumptions!$B$16*I22+Assumptions!$B$12/12*Assumptions!$B$14*I22))</f>
        <v>2945</v>
      </c>
      <c r="J33" s="77">
        <f>IF(J22=0,,IF(J31/J22&lt;=Assumptions!$B$12/12,J31*Assumptions!$B$14,(J31/J22-Assumptions!$B$12/12)*Assumptions!$B$16*J22+Assumptions!$B$12/12*Assumptions!$B$14*J22))</f>
        <v>2945</v>
      </c>
      <c r="K33" s="77">
        <f>IF(K22=0,,IF(K31/K22&lt;=Assumptions!$B$12/12,K31*Assumptions!$B$14,(K31/K22-Assumptions!$B$12/12)*Assumptions!$B$16*K22+Assumptions!$B$12/12*Assumptions!$B$14*K22))</f>
        <v>2945</v>
      </c>
      <c r="L33" s="77">
        <f>IF(L22=0,,IF(L31/L22&lt;=Assumptions!$B$12/12,L31*Assumptions!$B$14,(L31/L22-Assumptions!$B$12/12)*Assumptions!$B$16*L22+Assumptions!$B$12/12*Assumptions!$B$14*L22))</f>
        <v>2945</v>
      </c>
      <c r="M33" s="77">
        <f>IF(M22=0,,IF(M31/M22&lt;=Assumptions!$B$12/12,M31*Assumptions!$B$14,(M31/M22-Assumptions!$B$12/12)*Assumptions!$B$16*M22+Assumptions!$B$12/12*Assumptions!$B$14*M22))</f>
        <v>2945</v>
      </c>
      <c r="N33" s="77">
        <f>IF(N22=0,,IF(N31/N22&lt;=Assumptions!$B$12/12,N31*Assumptions!$B$14,(N31/N22-Assumptions!$B$12/12)*Assumptions!$B$16*N22+Assumptions!$B$12/12*Assumptions!$B$14*N22))</f>
        <v>2945</v>
      </c>
      <c r="O33" s="77">
        <f>IF(O22=0,,IF(O31/O22&lt;=Assumptions!$B$12/12,O31*Assumptions!$B$14,(O31/O22-Assumptions!$B$12/12)*Assumptions!$B$16*O22+Assumptions!$B$12/12*Assumptions!$B$14*O22))</f>
        <v>2945</v>
      </c>
      <c r="P33" s="70">
        <f t="shared" si="4"/>
        <v>35216</v>
      </c>
    </row>
    <row r="34" spans="1:17">
      <c r="A34" s="71"/>
      <c r="B34" s="78" t="s">
        <v>6</v>
      </c>
      <c r="C34" s="73"/>
      <c r="D34" s="74">
        <f>SUM(D32:D33)</f>
        <v>10961.5</v>
      </c>
      <c r="E34" s="74">
        <f t="shared" ref="E34:O34" si="7">SUM(E32:E33)</f>
        <v>11267.5</v>
      </c>
      <c r="F34" s="74">
        <f t="shared" si="7"/>
        <v>11267.5</v>
      </c>
      <c r="G34" s="74">
        <f t="shared" si="7"/>
        <v>11267.5</v>
      </c>
      <c r="H34" s="74">
        <f t="shared" si="7"/>
        <v>11267.5</v>
      </c>
      <c r="I34" s="74">
        <f t="shared" si="7"/>
        <v>11267.5</v>
      </c>
      <c r="J34" s="74">
        <f t="shared" si="7"/>
        <v>11267.5</v>
      </c>
      <c r="K34" s="74">
        <f t="shared" si="7"/>
        <v>11267.5</v>
      </c>
      <c r="L34" s="74">
        <f t="shared" si="7"/>
        <v>11267.5</v>
      </c>
      <c r="M34" s="74">
        <f t="shared" si="7"/>
        <v>11267.5</v>
      </c>
      <c r="N34" s="74">
        <f t="shared" si="7"/>
        <v>11267.5</v>
      </c>
      <c r="O34" s="74">
        <f t="shared" si="7"/>
        <v>11267.5</v>
      </c>
      <c r="P34" s="75">
        <f t="shared" si="4"/>
        <v>134904</v>
      </c>
      <c r="Q34" s="31"/>
    </row>
    <row r="35" spans="1:17">
      <c r="A35" s="94" t="s">
        <v>144</v>
      </c>
      <c r="B35" s="8" t="s">
        <v>7</v>
      </c>
      <c r="C35" s="8"/>
      <c r="D35" s="69">
        <v>0</v>
      </c>
      <c r="E35" s="69">
        <v>0</v>
      </c>
      <c r="F35" s="69">
        <v>0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0</v>
      </c>
      <c r="M35" s="69">
        <v>0</v>
      </c>
      <c r="N35" s="69">
        <v>0</v>
      </c>
      <c r="O35" s="69">
        <v>0</v>
      </c>
      <c r="P35" s="70">
        <f t="shared" ref="P35:P43" si="8">SUM(D35:O35)</f>
        <v>0</v>
      </c>
    </row>
    <row r="36" spans="1:17">
      <c r="A36" s="94" t="s">
        <v>159</v>
      </c>
      <c r="B36" s="8" t="s">
        <v>160</v>
      </c>
      <c r="C36" s="8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 t="shared" si="8"/>
        <v>0</v>
      </c>
    </row>
    <row r="37" spans="1:17">
      <c r="A37" s="94" t="s">
        <v>29</v>
      </c>
      <c r="B37" s="8" t="s">
        <v>8</v>
      </c>
      <c r="C37" s="8"/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70">
        <f t="shared" si="8"/>
        <v>0</v>
      </c>
    </row>
    <row r="38" spans="1:17">
      <c r="A38" s="94" t="s">
        <v>28</v>
      </c>
      <c r="B38" s="8" t="s">
        <v>9</v>
      </c>
      <c r="C38" s="8"/>
      <c r="D38" s="69">
        <v>12000</v>
      </c>
      <c r="E38" s="69">
        <v>12000</v>
      </c>
      <c r="F38" s="69">
        <v>12000</v>
      </c>
      <c r="G38" s="69">
        <v>12000</v>
      </c>
      <c r="H38" s="69">
        <v>12000</v>
      </c>
      <c r="I38" s="69">
        <v>12000</v>
      </c>
      <c r="J38" s="69">
        <v>12000</v>
      </c>
      <c r="K38" s="69">
        <v>12000</v>
      </c>
      <c r="L38" s="69">
        <v>168000</v>
      </c>
      <c r="M38" s="69">
        <v>112000</v>
      </c>
      <c r="N38" s="69">
        <v>112000</v>
      </c>
      <c r="O38" s="69">
        <v>112000</v>
      </c>
      <c r="P38" s="70">
        <f t="shared" si="8"/>
        <v>600000</v>
      </c>
    </row>
    <row r="39" spans="1:17">
      <c r="A39" s="94" t="s">
        <v>30</v>
      </c>
      <c r="B39" s="8" t="s">
        <v>92</v>
      </c>
      <c r="C39" s="8"/>
      <c r="D39" s="69">
        <v>1417</v>
      </c>
      <c r="E39" s="69">
        <v>1417</v>
      </c>
      <c r="F39" s="69">
        <v>1417</v>
      </c>
      <c r="G39" s="69">
        <v>1417</v>
      </c>
      <c r="H39" s="69">
        <v>1417</v>
      </c>
      <c r="I39" s="69">
        <v>1417</v>
      </c>
      <c r="J39" s="69">
        <v>1417</v>
      </c>
      <c r="K39" s="69">
        <v>1417</v>
      </c>
      <c r="L39" s="69">
        <v>1417</v>
      </c>
      <c r="M39" s="69">
        <v>1417</v>
      </c>
      <c r="N39" s="69">
        <v>1417</v>
      </c>
      <c r="O39" s="69">
        <v>1417</v>
      </c>
      <c r="P39" s="70">
        <f t="shared" si="8"/>
        <v>17004</v>
      </c>
    </row>
    <row r="40" spans="1:17">
      <c r="A40" s="95" t="s">
        <v>32</v>
      </c>
      <c r="B40" s="8" t="s">
        <v>10</v>
      </c>
      <c r="C40" s="8"/>
      <c r="D40" s="69">
        <v>666</v>
      </c>
      <c r="E40" s="69">
        <v>666</v>
      </c>
      <c r="F40" s="69">
        <v>666</v>
      </c>
      <c r="G40" s="69">
        <v>666</v>
      </c>
      <c r="H40" s="69">
        <v>667</v>
      </c>
      <c r="I40" s="69">
        <v>667</v>
      </c>
      <c r="J40" s="69">
        <v>667</v>
      </c>
      <c r="K40" s="69">
        <v>667</v>
      </c>
      <c r="L40" s="69">
        <v>667</v>
      </c>
      <c r="M40" s="69">
        <v>667</v>
      </c>
      <c r="N40" s="69">
        <v>667</v>
      </c>
      <c r="O40" s="69">
        <v>667</v>
      </c>
      <c r="P40" s="70">
        <f>SUM(D40:O40)</f>
        <v>8000</v>
      </c>
    </row>
    <row r="41" spans="1:17">
      <c r="A41" s="94" t="s">
        <v>145</v>
      </c>
      <c r="B41" s="8" t="s">
        <v>93</v>
      </c>
      <c r="C41" s="8"/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70">
        <f t="shared" si="8"/>
        <v>0</v>
      </c>
    </row>
    <row r="42" spans="1:17">
      <c r="A42" s="94" t="s">
        <v>33</v>
      </c>
      <c r="B42" s="8" t="s">
        <v>11</v>
      </c>
      <c r="C42" s="8"/>
      <c r="D42" s="69">
        <v>48</v>
      </c>
      <c r="E42" s="69">
        <v>48</v>
      </c>
      <c r="F42" s="69">
        <v>48</v>
      </c>
      <c r="G42" s="69">
        <v>48</v>
      </c>
      <c r="H42" s="69">
        <v>48</v>
      </c>
      <c r="I42" s="69">
        <v>48</v>
      </c>
      <c r="J42" s="69">
        <v>48</v>
      </c>
      <c r="K42" s="69">
        <v>48</v>
      </c>
      <c r="L42" s="69">
        <v>48</v>
      </c>
      <c r="M42" s="69">
        <v>48</v>
      </c>
      <c r="N42" s="69">
        <v>48</v>
      </c>
      <c r="O42" s="69">
        <v>48</v>
      </c>
      <c r="P42" s="70">
        <f t="shared" si="8"/>
        <v>576</v>
      </c>
    </row>
    <row r="43" spans="1:17">
      <c r="A43" s="71"/>
      <c r="B43" s="78" t="s">
        <v>12</v>
      </c>
      <c r="C43" s="73"/>
      <c r="D43" s="74">
        <f>SUM(D35:D42)</f>
        <v>14131</v>
      </c>
      <c r="E43" s="74">
        <f t="shared" ref="E43:O43" si="9">SUM(E35:E42)</f>
        <v>14131</v>
      </c>
      <c r="F43" s="74">
        <f t="shared" si="9"/>
        <v>14131</v>
      </c>
      <c r="G43" s="74">
        <f t="shared" si="9"/>
        <v>14131</v>
      </c>
      <c r="H43" s="74">
        <f t="shared" si="9"/>
        <v>14132</v>
      </c>
      <c r="I43" s="74">
        <f t="shared" si="9"/>
        <v>14132</v>
      </c>
      <c r="J43" s="74">
        <f t="shared" si="9"/>
        <v>14132</v>
      </c>
      <c r="K43" s="74">
        <f t="shared" si="9"/>
        <v>14132</v>
      </c>
      <c r="L43" s="74">
        <f t="shared" si="9"/>
        <v>170132</v>
      </c>
      <c r="M43" s="74">
        <f t="shared" si="9"/>
        <v>114132</v>
      </c>
      <c r="N43" s="74">
        <f t="shared" si="9"/>
        <v>114132</v>
      </c>
      <c r="O43" s="74">
        <f t="shared" si="9"/>
        <v>114132</v>
      </c>
      <c r="P43" s="75">
        <f t="shared" si="8"/>
        <v>625580</v>
      </c>
      <c r="Q43" s="31"/>
    </row>
    <row r="44" spans="1:17">
      <c r="A44" s="94" t="s">
        <v>31</v>
      </c>
      <c r="B44" s="8" t="s">
        <v>94</v>
      </c>
      <c r="C44" s="8"/>
      <c r="D44" s="69">
        <v>1533</v>
      </c>
      <c r="E44" s="69">
        <v>1533</v>
      </c>
      <c r="F44" s="69">
        <v>1533</v>
      </c>
      <c r="G44" s="69">
        <v>1533</v>
      </c>
      <c r="H44" s="69">
        <v>1533</v>
      </c>
      <c r="I44" s="69">
        <v>1533</v>
      </c>
      <c r="J44" s="69">
        <v>1533</v>
      </c>
      <c r="K44" s="69">
        <v>1533</v>
      </c>
      <c r="L44" s="69">
        <v>1533</v>
      </c>
      <c r="M44" s="69">
        <v>1533</v>
      </c>
      <c r="N44" s="69">
        <v>1533</v>
      </c>
      <c r="O44" s="69">
        <v>1533</v>
      </c>
      <c r="P44" s="70">
        <f t="shared" ref="P44:P60" si="10">SUM(D44:O44)</f>
        <v>18396</v>
      </c>
    </row>
    <row r="45" spans="1:17">
      <c r="A45" s="94" t="s">
        <v>146</v>
      </c>
      <c r="B45" s="8" t="s">
        <v>95</v>
      </c>
      <c r="C45" s="8"/>
      <c r="D45" s="69">
        <v>235</v>
      </c>
      <c r="E45" s="69">
        <v>235</v>
      </c>
      <c r="F45" s="69">
        <v>235</v>
      </c>
      <c r="G45" s="69">
        <v>235</v>
      </c>
      <c r="H45" s="69">
        <v>235</v>
      </c>
      <c r="I45" s="69">
        <v>235</v>
      </c>
      <c r="J45" s="69">
        <v>235</v>
      </c>
      <c r="K45" s="69">
        <v>235</v>
      </c>
      <c r="L45" s="69">
        <v>235</v>
      </c>
      <c r="M45" s="69">
        <v>235</v>
      </c>
      <c r="N45" s="69">
        <v>235</v>
      </c>
      <c r="O45" s="69">
        <v>235</v>
      </c>
      <c r="P45" s="70">
        <f t="shared" si="10"/>
        <v>2820</v>
      </c>
    </row>
    <row r="46" spans="1:17">
      <c r="A46" s="94" t="s">
        <v>147</v>
      </c>
      <c r="B46" s="8" t="s">
        <v>96</v>
      </c>
      <c r="C46" s="8"/>
      <c r="D46" s="69">
        <v>190</v>
      </c>
      <c r="E46" s="69">
        <v>190</v>
      </c>
      <c r="F46" s="69">
        <v>190</v>
      </c>
      <c r="G46" s="69">
        <v>190</v>
      </c>
      <c r="H46" s="69">
        <v>190</v>
      </c>
      <c r="I46" s="69">
        <v>190</v>
      </c>
      <c r="J46" s="69">
        <v>190</v>
      </c>
      <c r="K46" s="69">
        <v>190</v>
      </c>
      <c r="L46" s="69">
        <v>190</v>
      </c>
      <c r="M46" s="69">
        <v>190</v>
      </c>
      <c r="N46" s="69">
        <v>190</v>
      </c>
      <c r="O46" s="69">
        <v>190</v>
      </c>
      <c r="P46" s="70">
        <f t="shared" si="10"/>
        <v>2280</v>
      </c>
    </row>
    <row r="47" spans="1:17">
      <c r="A47" s="94" t="s">
        <v>148</v>
      </c>
      <c r="B47" s="8" t="s">
        <v>97</v>
      </c>
      <c r="C47" s="8"/>
      <c r="D47" s="69">
        <v>903</v>
      </c>
      <c r="E47" s="69">
        <v>903</v>
      </c>
      <c r="F47" s="69">
        <v>903</v>
      </c>
      <c r="G47" s="69">
        <v>903</v>
      </c>
      <c r="H47" s="69">
        <v>903</v>
      </c>
      <c r="I47" s="69">
        <v>903</v>
      </c>
      <c r="J47" s="69">
        <v>903</v>
      </c>
      <c r="K47" s="69">
        <v>903</v>
      </c>
      <c r="L47" s="69">
        <v>903</v>
      </c>
      <c r="M47" s="69">
        <v>903</v>
      </c>
      <c r="N47" s="69">
        <v>903</v>
      </c>
      <c r="O47" s="69">
        <v>903</v>
      </c>
      <c r="P47" s="70">
        <f t="shared" si="10"/>
        <v>10836</v>
      </c>
    </row>
    <row r="48" spans="1:17">
      <c r="A48" s="94" t="s">
        <v>42</v>
      </c>
      <c r="B48" s="8" t="s">
        <v>98</v>
      </c>
      <c r="C48" s="8"/>
      <c r="D48" s="69">
        <v>8333</v>
      </c>
      <c r="E48" s="69">
        <v>8333</v>
      </c>
      <c r="F48" s="69">
        <v>8333</v>
      </c>
      <c r="G48" s="69">
        <v>8333</v>
      </c>
      <c r="H48" s="69">
        <v>8333</v>
      </c>
      <c r="I48" s="69">
        <v>108333</v>
      </c>
      <c r="J48" s="69">
        <v>8333</v>
      </c>
      <c r="K48" s="69">
        <v>8333</v>
      </c>
      <c r="L48" s="69">
        <v>8334</v>
      </c>
      <c r="M48" s="69">
        <v>8334</v>
      </c>
      <c r="N48" s="69">
        <v>8334</v>
      </c>
      <c r="O48" s="69">
        <v>8334</v>
      </c>
      <c r="P48" s="70">
        <f t="shared" si="10"/>
        <v>200000</v>
      </c>
    </row>
    <row r="49" spans="1:17">
      <c r="A49" s="94" t="s">
        <v>149</v>
      </c>
      <c r="B49" s="8" t="s">
        <v>15</v>
      </c>
      <c r="C49" s="8"/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0</v>
      </c>
      <c r="M49" s="69">
        <v>0</v>
      </c>
      <c r="N49" s="69">
        <v>0</v>
      </c>
      <c r="O49" s="69">
        <v>0</v>
      </c>
      <c r="P49" s="70">
        <f t="shared" si="10"/>
        <v>0</v>
      </c>
    </row>
    <row r="50" spans="1:17">
      <c r="A50" s="71"/>
      <c r="B50" s="78" t="s">
        <v>99</v>
      </c>
      <c r="C50" s="73"/>
      <c r="D50" s="74">
        <f>SUM(D44:D49)</f>
        <v>11194</v>
      </c>
      <c r="E50" s="74">
        <f t="shared" ref="E50:O50" si="11">SUM(E44:E49)</f>
        <v>11194</v>
      </c>
      <c r="F50" s="74">
        <f t="shared" si="11"/>
        <v>11194</v>
      </c>
      <c r="G50" s="74">
        <f t="shared" si="11"/>
        <v>11194</v>
      </c>
      <c r="H50" s="74">
        <f t="shared" si="11"/>
        <v>11194</v>
      </c>
      <c r="I50" s="74">
        <f t="shared" si="11"/>
        <v>111194</v>
      </c>
      <c r="J50" s="74">
        <f t="shared" si="11"/>
        <v>11194</v>
      </c>
      <c r="K50" s="74">
        <f t="shared" si="11"/>
        <v>11194</v>
      </c>
      <c r="L50" s="74">
        <f t="shared" si="11"/>
        <v>11195</v>
      </c>
      <c r="M50" s="74">
        <f t="shared" si="11"/>
        <v>11195</v>
      </c>
      <c r="N50" s="74">
        <f t="shared" si="11"/>
        <v>11195</v>
      </c>
      <c r="O50" s="74">
        <f t="shared" si="11"/>
        <v>11195</v>
      </c>
      <c r="P50" s="75">
        <f t="shared" si="10"/>
        <v>234332</v>
      </c>
      <c r="Q50" s="31"/>
    </row>
    <row r="51" spans="1:17">
      <c r="A51" s="94" t="s">
        <v>150</v>
      </c>
      <c r="B51" s="8" t="s">
        <v>102</v>
      </c>
      <c r="C51" s="7"/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70">
        <f t="shared" si="10"/>
        <v>0</v>
      </c>
    </row>
    <row r="52" spans="1:17">
      <c r="A52" s="94" t="s">
        <v>151</v>
      </c>
      <c r="B52" s="8" t="s">
        <v>13</v>
      </c>
      <c r="C52" s="8"/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0</v>
      </c>
      <c r="O52" s="69">
        <v>0</v>
      </c>
      <c r="P52" s="70">
        <f t="shared" si="10"/>
        <v>0</v>
      </c>
    </row>
    <row r="53" spans="1:17">
      <c r="A53" s="71"/>
      <c r="B53" s="78" t="s">
        <v>103</v>
      </c>
      <c r="C53" s="73"/>
      <c r="D53" s="74">
        <f>SUM(D51:D52)</f>
        <v>0</v>
      </c>
      <c r="E53" s="74">
        <f t="shared" ref="E53:O53" si="12">SUM(E51:E52)</f>
        <v>0</v>
      </c>
      <c r="F53" s="74">
        <f t="shared" si="12"/>
        <v>0</v>
      </c>
      <c r="G53" s="74">
        <f t="shared" si="12"/>
        <v>0</v>
      </c>
      <c r="H53" s="74">
        <f t="shared" si="12"/>
        <v>0</v>
      </c>
      <c r="I53" s="74">
        <f t="shared" si="12"/>
        <v>0</v>
      </c>
      <c r="J53" s="74">
        <f t="shared" si="12"/>
        <v>0</v>
      </c>
      <c r="K53" s="74">
        <f t="shared" si="12"/>
        <v>0</v>
      </c>
      <c r="L53" s="74">
        <f t="shared" si="12"/>
        <v>0</v>
      </c>
      <c r="M53" s="74">
        <f t="shared" si="12"/>
        <v>0</v>
      </c>
      <c r="N53" s="74">
        <f t="shared" si="12"/>
        <v>0</v>
      </c>
      <c r="O53" s="74">
        <f t="shared" si="12"/>
        <v>0</v>
      </c>
      <c r="P53" s="75">
        <f t="shared" si="10"/>
        <v>0</v>
      </c>
      <c r="Q53" s="31"/>
    </row>
    <row r="54" spans="1:17">
      <c r="A54" s="94" t="s">
        <v>104</v>
      </c>
      <c r="B54" s="8" t="s">
        <v>116</v>
      </c>
      <c r="C54" s="8"/>
      <c r="D54" s="69">
        <v>0</v>
      </c>
      <c r="E54" s="69">
        <v>0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70">
        <f t="shared" si="10"/>
        <v>0</v>
      </c>
    </row>
    <row r="55" spans="1:17">
      <c r="A55" s="94" t="s">
        <v>105</v>
      </c>
      <c r="B55" s="8" t="s">
        <v>117</v>
      </c>
      <c r="C55" s="8"/>
      <c r="D55" s="69">
        <v>0</v>
      </c>
      <c r="E55" s="69">
        <v>0</v>
      </c>
      <c r="F55" s="69">
        <v>0</v>
      </c>
      <c r="G55" s="69">
        <v>0</v>
      </c>
      <c r="H55" s="69">
        <v>0</v>
      </c>
      <c r="I55" s="69">
        <v>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70">
        <f t="shared" si="10"/>
        <v>0</v>
      </c>
    </row>
    <row r="56" spans="1:17">
      <c r="A56" s="94" t="s">
        <v>106</v>
      </c>
      <c r="B56" s="8" t="s">
        <v>118</v>
      </c>
      <c r="C56" s="8"/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70">
        <f t="shared" si="10"/>
        <v>0</v>
      </c>
    </row>
    <row r="57" spans="1:17">
      <c r="A57" s="94" t="s">
        <v>107</v>
      </c>
      <c r="B57" s="8" t="s">
        <v>119</v>
      </c>
      <c r="C57" s="8"/>
      <c r="D57" s="69">
        <v>0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0</v>
      </c>
      <c r="N57" s="69">
        <v>0</v>
      </c>
      <c r="O57" s="69">
        <v>0</v>
      </c>
      <c r="P57" s="70">
        <f t="shared" si="10"/>
        <v>0</v>
      </c>
    </row>
    <row r="58" spans="1:17">
      <c r="A58" s="94" t="s">
        <v>36</v>
      </c>
      <c r="B58" s="8" t="s">
        <v>120</v>
      </c>
      <c r="C58" s="8"/>
      <c r="D58" s="69">
        <v>1000</v>
      </c>
      <c r="E58" s="69">
        <v>1000</v>
      </c>
      <c r="F58" s="69">
        <v>1000</v>
      </c>
      <c r="G58" s="69">
        <v>1000</v>
      </c>
      <c r="H58" s="69">
        <v>1000</v>
      </c>
      <c r="I58" s="69">
        <v>1000</v>
      </c>
      <c r="J58" s="69">
        <v>1000</v>
      </c>
      <c r="K58" s="69">
        <v>1000</v>
      </c>
      <c r="L58" s="69">
        <v>1000</v>
      </c>
      <c r="M58" s="69">
        <v>1000</v>
      </c>
      <c r="N58" s="69">
        <v>1000</v>
      </c>
      <c r="O58" s="69">
        <v>1000</v>
      </c>
      <c r="P58" s="70">
        <f t="shared" si="10"/>
        <v>12000</v>
      </c>
    </row>
    <row r="59" spans="1:17">
      <c r="A59" s="94" t="s">
        <v>108</v>
      </c>
      <c r="B59" s="8" t="s">
        <v>121</v>
      </c>
      <c r="C59" s="8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 t="shared" si="10"/>
        <v>0</v>
      </c>
    </row>
    <row r="60" spans="1:17">
      <c r="A60" s="94" t="s">
        <v>109</v>
      </c>
      <c r="B60" s="8" t="s">
        <v>122</v>
      </c>
      <c r="C60" s="8"/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 t="shared" si="10"/>
        <v>0</v>
      </c>
    </row>
    <row r="61" spans="1:17">
      <c r="A61" s="94" t="s">
        <v>35</v>
      </c>
      <c r="B61" s="8" t="s">
        <v>123</v>
      </c>
      <c r="C61" s="8"/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0">
        <f t="shared" ref="P61:P83" si="13">SUM(D61:O61)</f>
        <v>0</v>
      </c>
    </row>
    <row r="62" spans="1:17">
      <c r="A62" s="71"/>
      <c r="B62" s="78" t="s">
        <v>14</v>
      </c>
      <c r="C62" s="73"/>
      <c r="D62" s="74">
        <f>SUM(D54:D61)</f>
        <v>1000</v>
      </c>
      <c r="E62" s="74">
        <f t="shared" ref="E62:O62" si="14">SUM(E54:E61)</f>
        <v>1000</v>
      </c>
      <c r="F62" s="74">
        <f t="shared" si="14"/>
        <v>1000</v>
      </c>
      <c r="G62" s="74">
        <f t="shared" si="14"/>
        <v>1000</v>
      </c>
      <c r="H62" s="74">
        <f t="shared" si="14"/>
        <v>1000</v>
      </c>
      <c r="I62" s="74">
        <f t="shared" si="14"/>
        <v>1000</v>
      </c>
      <c r="J62" s="74">
        <f t="shared" si="14"/>
        <v>1000</v>
      </c>
      <c r="K62" s="74">
        <f t="shared" si="14"/>
        <v>1000</v>
      </c>
      <c r="L62" s="74">
        <f t="shared" si="14"/>
        <v>1000</v>
      </c>
      <c r="M62" s="74">
        <f t="shared" si="14"/>
        <v>1000</v>
      </c>
      <c r="N62" s="74">
        <f t="shared" si="14"/>
        <v>1000</v>
      </c>
      <c r="O62" s="74">
        <f t="shared" si="14"/>
        <v>1000</v>
      </c>
      <c r="P62" s="75">
        <f t="shared" si="13"/>
        <v>12000</v>
      </c>
      <c r="Q62" s="31"/>
    </row>
    <row r="63" spans="1:17">
      <c r="A63" s="94" t="s">
        <v>38</v>
      </c>
      <c r="B63" s="8" t="s">
        <v>124</v>
      </c>
      <c r="C63" s="8"/>
      <c r="D63" s="69">
        <v>60</v>
      </c>
      <c r="E63" s="69">
        <v>60</v>
      </c>
      <c r="F63" s="69">
        <v>60</v>
      </c>
      <c r="G63" s="69">
        <v>60</v>
      </c>
      <c r="H63" s="69">
        <v>60</v>
      </c>
      <c r="I63" s="69">
        <v>60</v>
      </c>
      <c r="J63" s="69">
        <v>60</v>
      </c>
      <c r="K63" s="69">
        <v>60</v>
      </c>
      <c r="L63" s="69">
        <v>60</v>
      </c>
      <c r="M63" s="69">
        <v>60</v>
      </c>
      <c r="N63" s="69">
        <v>60</v>
      </c>
      <c r="O63" s="69">
        <v>60</v>
      </c>
      <c r="P63" s="70">
        <f>SUM(D63:O63)</f>
        <v>720</v>
      </c>
    </row>
    <row r="64" spans="1:17">
      <c r="A64" s="94" t="s">
        <v>40</v>
      </c>
      <c r="B64" s="8" t="s">
        <v>125</v>
      </c>
      <c r="C64" s="8"/>
      <c r="D64" s="69">
        <v>80</v>
      </c>
      <c r="E64" s="69">
        <v>80</v>
      </c>
      <c r="F64" s="69">
        <v>80</v>
      </c>
      <c r="G64" s="69">
        <v>80</v>
      </c>
      <c r="H64" s="69">
        <v>80</v>
      </c>
      <c r="I64" s="69">
        <v>80</v>
      </c>
      <c r="J64" s="69">
        <v>80</v>
      </c>
      <c r="K64" s="69">
        <v>80</v>
      </c>
      <c r="L64" s="69">
        <v>80</v>
      </c>
      <c r="M64" s="69">
        <v>80</v>
      </c>
      <c r="N64" s="69">
        <v>80</v>
      </c>
      <c r="O64" s="69">
        <v>80</v>
      </c>
      <c r="P64" s="70">
        <f>SUM(D64:O64)</f>
        <v>960</v>
      </c>
    </row>
    <row r="65" spans="1:17">
      <c r="A65" s="94" t="s">
        <v>39</v>
      </c>
      <c r="B65" s="8" t="s">
        <v>126</v>
      </c>
      <c r="C65" s="8"/>
      <c r="D65" s="69">
        <v>1091</v>
      </c>
      <c r="E65" s="69">
        <v>1091</v>
      </c>
      <c r="F65" s="69">
        <v>1091</v>
      </c>
      <c r="G65" s="69">
        <v>1091</v>
      </c>
      <c r="H65" s="69">
        <v>1091</v>
      </c>
      <c r="I65" s="69">
        <v>1091</v>
      </c>
      <c r="J65" s="69">
        <v>1091</v>
      </c>
      <c r="K65" s="69">
        <v>1091</v>
      </c>
      <c r="L65" s="69">
        <v>1091</v>
      </c>
      <c r="M65" s="69">
        <v>1091</v>
      </c>
      <c r="N65" s="69">
        <v>1091</v>
      </c>
      <c r="O65" s="69">
        <v>1091</v>
      </c>
      <c r="P65" s="70">
        <f t="shared" si="13"/>
        <v>13092</v>
      </c>
    </row>
    <row r="66" spans="1:17">
      <c r="A66" s="71"/>
      <c r="B66" s="78" t="s">
        <v>161</v>
      </c>
      <c r="C66" s="73"/>
      <c r="D66" s="74">
        <f>SUM(D63:D65)</f>
        <v>1231</v>
      </c>
      <c r="E66" s="74">
        <f t="shared" ref="E66:O66" si="15">SUM(E63:E65)</f>
        <v>1231</v>
      </c>
      <c r="F66" s="74">
        <f t="shared" si="15"/>
        <v>1231</v>
      </c>
      <c r="G66" s="74">
        <f t="shared" si="15"/>
        <v>1231</v>
      </c>
      <c r="H66" s="74">
        <f t="shared" si="15"/>
        <v>1231</v>
      </c>
      <c r="I66" s="74">
        <f t="shared" si="15"/>
        <v>1231</v>
      </c>
      <c r="J66" s="74">
        <f t="shared" si="15"/>
        <v>1231</v>
      </c>
      <c r="K66" s="74">
        <f t="shared" si="15"/>
        <v>1231</v>
      </c>
      <c r="L66" s="74">
        <f t="shared" si="15"/>
        <v>1231</v>
      </c>
      <c r="M66" s="74">
        <f t="shared" si="15"/>
        <v>1231</v>
      </c>
      <c r="N66" s="74">
        <f t="shared" si="15"/>
        <v>1231</v>
      </c>
      <c r="O66" s="74">
        <f t="shared" si="15"/>
        <v>1231</v>
      </c>
      <c r="P66" s="75">
        <f t="shared" si="13"/>
        <v>14772</v>
      </c>
      <c r="Q66" s="31"/>
    </row>
    <row r="67" spans="1:17">
      <c r="A67" s="94" t="s">
        <v>44</v>
      </c>
      <c r="B67" s="8" t="s">
        <v>17</v>
      </c>
      <c r="C67" s="8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 t="shared" si="13"/>
        <v>0</v>
      </c>
    </row>
    <row r="68" spans="1:17">
      <c r="A68" s="94" t="s">
        <v>45</v>
      </c>
      <c r="B68" s="8" t="s">
        <v>18</v>
      </c>
      <c r="C68" s="8"/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 t="shared" si="13"/>
        <v>0</v>
      </c>
    </row>
    <row r="69" spans="1:17">
      <c r="A69" s="71"/>
      <c r="B69" s="78" t="s">
        <v>19</v>
      </c>
      <c r="C69" s="73"/>
      <c r="D69" s="74">
        <f>SUM(D67:D68)</f>
        <v>0</v>
      </c>
      <c r="E69" s="74">
        <f t="shared" ref="E69:O69" si="16">SUM(E67:E68)</f>
        <v>0</v>
      </c>
      <c r="F69" s="74">
        <f t="shared" si="16"/>
        <v>0</v>
      </c>
      <c r="G69" s="74">
        <f t="shared" si="16"/>
        <v>0</v>
      </c>
      <c r="H69" s="74">
        <f t="shared" si="16"/>
        <v>0</v>
      </c>
      <c r="I69" s="74">
        <f t="shared" si="16"/>
        <v>0</v>
      </c>
      <c r="J69" s="74">
        <f t="shared" si="16"/>
        <v>0</v>
      </c>
      <c r="K69" s="74">
        <f t="shared" si="16"/>
        <v>0</v>
      </c>
      <c r="L69" s="74">
        <f t="shared" si="16"/>
        <v>0</v>
      </c>
      <c r="M69" s="74">
        <f t="shared" si="16"/>
        <v>0</v>
      </c>
      <c r="N69" s="74">
        <f t="shared" si="16"/>
        <v>0</v>
      </c>
      <c r="O69" s="74">
        <f t="shared" si="16"/>
        <v>0</v>
      </c>
      <c r="P69" s="75">
        <f t="shared" si="13"/>
        <v>0</v>
      </c>
      <c r="Q69" s="31"/>
    </row>
    <row r="70" spans="1:17">
      <c r="A70" s="94" t="s">
        <v>41</v>
      </c>
      <c r="B70" s="97" t="s">
        <v>110</v>
      </c>
      <c r="C70" s="7"/>
      <c r="D70" s="69">
        <v>37500</v>
      </c>
      <c r="E70" s="69">
        <v>37500</v>
      </c>
      <c r="F70" s="69">
        <v>37500</v>
      </c>
      <c r="G70" s="69">
        <v>37500</v>
      </c>
      <c r="H70" s="69">
        <v>37500</v>
      </c>
      <c r="I70" s="69">
        <v>37500</v>
      </c>
      <c r="J70" s="69">
        <v>37500</v>
      </c>
      <c r="K70" s="69">
        <v>37500</v>
      </c>
      <c r="L70" s="69">
        <v>37500</v>
      </c>
      <c r="M70" s="69">
        <v>37500</v>
      </c>
      <c r="N70" s="69">
        <v>37500</v>
      </c>
      <c r="O70" s="69">
        <v>37500</v>
      </c>
      <c r="P70" s="70">
        <f t="shared" si="13"/>
        <v>450000</v>
      </c>
    </row>
    <row r="71" spans="1:17">
      <c r="A71" s="94" t="s">
        <v>43</v>
      </c>
      <c r="B71" s="28" t="s">
        <v>16</v>
      </c>
      <c r="C71" s="7"/>
      <c r="D71" s="69">
        <v>2000</v>
      </c>
      <c r="E71" s="69">
        <v>2000</v>
      </c>
      <c r="F71" s="69">
        <v>2000</v>
      </c>
      <c r="G71" s="69">
        <v>2000</v>
      </c>
      <c r="H71" s="69">
        <v>2000</v>
      </c>
      <c r="I71" s="69">
        <v>2000</v>
      </c>
      <c r="J71" s="69">
        <v>2000</v>
      </c>
      <c r="K71" s="69">
        <v>2000</v>
      </c>
      <c r="L71" s="69">
        <v>2000</v>
      </c>
      <c r="M71" s="69">
        <v>2000</v>
      </c>
      <c r="N71" s="69">
        <v>2000</v>
      </c>
      <c r="O71" s="69">
        <v>2000</v>
      </c>
      <c r="P71" s="70">
        <f t="shared" si="13"/>
        <v>24000</v>
      </c>
    </row>
    <row r="72" spans="1:17">
      <c r="A72" s="94" t="s">
        <v>47</v>
      </c>
      <c r="B72" s="96" t="s">
        <v>21</v>
      </c>
      <c r="C72" s="7"/>
      <c r="D72" s="69">
        <v>0</v>
      </c>
      <c r="E72" s="69">
        <v>0</v>
      </c>
      <c r="F72" s="69">
        <v>0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>
        <v>0</v>
      </c>
      <c r="O72" s="69">
        <v>0</v>
      </c>
      <c r="P72" s="70">
        <f t="shared" si="13"/>
        <v>0</v>
      </c>
    </row>
    <row r="73" spans="1:17">
      <c r="A73" s="94" t="s">
        <v>49</v>
      </c>
      <c r="B73" s="96" t="s">
        <v>23</v>
      </c>
      <c r="C73" s="7"/>
      <c r="D73" s="69">
        <v>19439</v>
      </c>
      <c r="E73" s="69">
        <v>19439</v>
      </c>
      <c r="F73" s="69">
        <v>19439</v>
      </c>
      <c r="G73" s="69">
        <v>19439</v>
      </c>
      <c r="H73" s="69">
        <v>19439</v>
      </c>
      <c r="I73" s="69">
        <v>19439</v>
      </c>
      <c r="J73" s="69">
        <v>19439</v>
      </c>
      <c r="K73" s="69">
        <v>19439</v>
      </c>
      <c r="L73" s="69">
        <v>19439</v>
      </c>
      <c r="M73" s="69">
        <v>19439</v>
      </c>
      <c r="N73" s="69">
        <v>19439</v>
      </c>
      <c r="O73" s="69">
        <v>19439</v>
      </c>
      <c r="P73" s="70">
        <f t="shared" si="13"/>
        <v>233268</v>
      </c>
    </row>
    <row r="74" spans="1:17">
      <c r="A74" s="94" t="s">
        <v>91</v>
      </c>
      <c r="B74" s="96" t="s">
        <v>162</v>
      </c>
      <c r="C74" s="8"/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si="13"/>
        <v>0</v>
      </c>
    </row>
    <row r="75" spans="1:17">
      <c r="A75" s="94" t="s">
        <v>138</v>
      </c>
      <c r="B75" s="96" t="s">
        <v>100</v>
      </c>
      <c r="C75" s="8"/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3"/>
        <v>0</v>
      </c>
    </row>
    <row r="76" spans="1:17">
      <c r="A76" s="94" t="s">
        <v>139</v>
      </c>
      <c r="B76" s="96" t="s">
        <v>101</v>
      </c>
      <c r="C76" s="7"/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3"/>
        <v>0</v>
      </c>
    </row>
    <row r="77" spans="1:17">
      <c r="A77" s="94" t="s">
        <v>137</v>
      </c>
      <c r="B77" s="96" t="s">
        <v>113</v>
      </c>
      <c r="C77" s="7"/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3"/>
        <v>0</v>
      </c>
    </row>
    <row r="78" spans="1:17">
      <c r="A78" s="94" t="s">
        <v>46</v>
      </c>
      <c r="B78" s="96" t="s">
        <v>20</v>
      </c>
      <c r="C78" s="7"/>
      <c r="D78" s="69">
        <v>124</v>
      </c>
      <c r="E78" s="69">
        <v>124</v>
      </c>
      <c r="F78" s="69">
        <v>124</v>
      </c>
      <c r="G78" s="69">
        <v>124</v>
      </c>
      <c r="H78" s="69">
        <v>124</v>
      </c>
      <c r="I78" s="69">
        <v>124</v>
      </c>
      <c r="J78" s="69">
        <v>124</v>
      </c>
      <c r="K78" s="69">
        <v>124</v>
      </c>
      <c r="L78" s="69">
        <v>124</v>
      </c>
      <c r="M78" s="69">
        <v>124</v>
      </c>
      <c r="N78" s="69">
        <v>124</v>
      </c>
      <c r="O78" s="69">
        <v>124</v>
      </c>
      <c r="P78" s="70">
        <f t="shared" si="13"/>
        <v>1488</v>
      </c>
    </row>
    <row r="79" spans="1:17">
      <c r="A79" s="94" t="s">
        <v>140</v>
      </c>
      <c r="B79" s="96" t="s">
        <v>85</v>
      </c>
      <c r="C79" s="7"/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3"/>
        <v>0</v>
      </c>
    </row>
    <row r="80" spans="1:17">
      <c r="A80" s="94" t="s">
        <v>48</v>
      </c>
      <c r="B80" s="100" t="s">
        <v>163</v>
      </c>
      <c r="C80" s="7"/>
      <c r="D80" s="69">
        <v>450</v>
      </c>
      <c r="E80" s="69">
        <v>450</v>
      </c>
      <c r="F80" s="69">
        <v>450</v>
      </c>
      <c r="G80" s="69">
        <v>450</v>
      </c>
      <c r="H80" s="69">
        <v>450</v>
      </c>
      <c r="I80" s="69">
        <v>450</v>
      </c>
      <c r="J80" s="69">
        <v>450</v>
      </c>
      <c r="K80" s="69">
        <v>450</v>
      </c>
      <c r="L80" s="69">
        <v>450</v>
      </c>
      <c r="M80" s="69">
        <v>450</v>
      </c>
      <c r="N80" s="69">
        <v>450</v>
      </c>
      <c r="O80" s="69">
        <v>450</v>
      </c>
      <c r="P80" s="70">
        <f t="shared" si="13"/>
        <v>5400</v>
      </c>
    </row>
    <row r="81" spans="1:17">
      <c r="A81" s="94" t="s">
        <v>141</v>
      </c>
      <c r="B81" s="100" t="s">
        <v>142</v>
      </c>
      <c r="C81" s="7"/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70">
        <f t="shared" si="13"/>
        <v>0</v>
      </c>
    </row>
    <row r="82" spans="1:17">
      <c r="A82" s="71"/>
      <c r="B82" s="78" t="s">
        <v>143</v>
      </c>
      <c r="C82" s="73"/>
      <c r="D82" s="74">
        <f>SUM(D80:D81)</f>
        <v>450</v>
      </c>
      <c r="E82" s="74">
        <f t="shared" ref="E82:O82" si="17">SUM(E80:E81)</f>
        <v>450</v>
      </c>
      <c r="F82" s="74">
        <f t="shared" si="17"/>
        <v>450</v>
      </c>
      <c r="G82" s="74">
        <f t="shared" si="17"/>
        <v>450</v>
      </c>
      <c r="H82" s="74">
        <f t="shared" si="17"/>
        <v>450</v>
      </c>
      <c r="I82" s="74">
        <f t="shared" si="17"/>
        <v>450</v>
      </c>
      <c r="J82" s="74">
        <f t="shared" si="17"/>
        <v>450</v>
      </c>
      <c r="K82" s="74">
        <f t="shared" si="17"/>
        <v>450</v>
      </c>
      <c r="L82" s="74">
        <f t="shared" si="17"/>
        <v>450</v>
      </c>
      <c r="M82" s="74">
        <f t="shared" si="17"/>
        <v>450</v>
      </c>
      <c r="N82" s="74">
        <f t="shared" si="17"/>
        <v>450</v>
      </c>
      <c r="O82" s="74">
        <f t="shared" si="17"/>
        <v>450</v>
      </c>
      <c r="P82" s="75">
        <f t="shared" si="13"/>
        <v>5400</v>
      </c>
      <c r="Q82" s="31"/>
    </row>
    <row r="83" spans="1:17">
      <c r="A83" s="94" t="s">
        <v>34</v>
      </c>
      <c r="B83" s="8" t="s">
        <v>114</v>
      </c>
      <c r="C83" s="8"/>
      <c r="D83" s="69">
        <v>0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  <c r="K83" s="69">
        <v>0</v>
      </c>
      <c r="L83" s="69">
        <v>0</v>
      </c>
      <c r="M83" s="69">
        <v>0</v>
      </c>
      <c r="N83" s="69">
        <v>0</v>
      </c>
      <c r="O83" s="69">
        <v>0</v>
      </c>
      <c r="P83" s="70">
        <f t="shared" si="13"/>
        <v>0</v>
      </c>
    </row>
    <row r="84" spans="1:17">
      <c r="A84" s="94" t="s">
        <v>37</v>
      </c>
      <c r="B84" s="8" t="s">
        <v>115</v>
      </c>
      <c r="C84" s="7"/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  <c r="K84" s="69">
        <v>0</v>
      </c>
      <c r="L84" s="69">
        <v>0</v>
      </c>
      <c r="M84" s="69">
        <v>0</v>
      </c>
      <c r="N84" s="69">
        <v>0</v>
      </c>
      <c r="O84" s="69">
        <v>0</v>
      </c>
      <c r="P84" s="70">
        <f t="shared" ref="P84:P90" si="18">SUM(D84:O84)</f>
        <v>0</v>
      </c>
    </row>
    <row r="85" spans="1:17">
      <c r="A85" s="71"/>
      <c r="B85" s="78" t="s">
        <v>164</v>
      </c>
      <c r="C85" s="73"/>
      <c r="D85" s="74">
        <f>SUM(D83:D84)</f>
        <v>0</v>
      </c>
      <c r="E85" s="74">
        <f t="shared" ref="E85:O85" si="19">SUM(E83:E84)</f>
        <v>0</v>
      </c>
      <c r="F85" s="74">
        <f t="shared" si="19"/>
        <v>0</v>
      </c>
      <c r="G85" s="74">
        <f t="shared" si="19"/>
        <v>0</v>
      </c>
      <c r="H85" s="74">
        <f t="shared" si="19"/>
        <v>0</v>
      </c>
      <c r="I85" s="74">
        <f t="shared" si="19"/>
        <v>0</v>
      </c>
      <c r="J85" s="74">
        <f t="shared" si="19"/>
        <v>0</v>
      </c>
      <c r="K85" s="74">
        <f t="shared" si="19"/>
        <v>0</v>
      </c>
      <c r="L85" s="74">
        <f t="shared" si="19"/>
        <v>0</v>
      </c>
      <c r="M85" s="74">
        <f t="shared" si="19"/>
        <v>0</v>
      </c>
      <c r="N85" s="74">
        <f t="shared" si="19"/>
        <v>0</v>
      </c>
      <c r="O85" s="74">
        <f t="shared" si="19"/>
        <v>0</v>
      </c>
      <c r="P85" s="75">
        <f t="shared" si="18"/>
        <v>0</v>
      </c>
      <c r="Q85" s="31"/>
    </row>
    <row r="86" spans="1:17">
      <c r="A86" s="94" t="s">
        <v>50</v>
      </c>
      <c r="B86" s="8" t="s">
        <v>111</v>
      </c>
      <c r="C86" s="8"/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 t="shared" si="18"/>
        <v>0</v>
      </c>
    </row>
    <row r="87" spans="1:17">
      <c r="A87" s="94" t="s">
        <v>51</v>
      </c>
      <c r="B87" s="8" t="s">
        <v>112</v>
      </c>
      <c r="C87" s="7"/>
      <c r="D87" s="69">
        <v>0</v>
      </c>
      <c r="E87" s="69">
        <v>0</v>
      </c>
      <c r="F87" s="69">
        <v>0</v>
      </c>
      <c r="G87" s="69">
        <v>0</v>
      </c>
      <c r="H87" s="69">
        <v>0</v>
      </c>
      <c r="I87" s="69">
        <v>0</v>
      </c>
      <c r="J87" s="69">
        <v>0</v>
      </c>
      <c r="K87" s="69">
        <v>0</v>
      </c>
      <c r="L87" s="69">
        <v>0</v>
      </c>
      <c r="M87" s="69">
        <v>0</v>
      </c>
      <c r="N87" s="69">
        <v>0</v>
      </c>
      <c r="O87" s="69">
        <v>0</v>
      </c>
      <c r="P87" s="70">
        <f t="shared" si="18"/>
        <v>0</v>
      </c>
    </row>
    <row r="88" spans="1:17">
      <c r="A88" s="71"/>
      <c r="B88" s="78" t="s">
        <v>66</v>
      </c>
      <c r="C88" s="73"/>
      <c r="D88" s="74">
        <f>SUM(D86:D87)</f>
        <v>0</v>
      </c>
      <c r="E88" s="74">
        <f t="shared" ref="E88:O88" si="20">SUM(E86:E87)</f>
        <v>0</v>
      </c>
      <c r="F88" s="74">
        <f t="shared" si="20"/>
        <v>0</v>
      </c>
      <c r="G88" s="74">
        <f t="shared" si="20"/>
        <v>0</v>
      </c>
      <c r="H88" s="74">
        <f t="shared" si="20"/>
        <v>0</v>
      </c>
      <c r="I88" s="74">
        <f t="shared" si="20"/>
        <v>0</v>
      </c>
      <c r="J88" s="74">
        <f t="shared" si="20"/>
        <v>0</v>
      </c>
      <c r="K88" s="74">
        <f t="shared" si="20"/>
        <v>0</v>
      </c>
      <c r="L88" s="74">
        <f t="shared" si="20"/>
        <v>0</v>
      </c>
      <c r="M88" s="74">
        <f t="shared" si="20"/>
        <v>0</v>
      </c>
      <c r="N88" s="74">
        <f t="shared" si="20"/>
        <v>0</v>
      </c>
      <c r="O88" s="74">
        <f t="shared" si="20"/>
        <v>0</v>
      </c>
      <c r="P88" s="75">
        <f t="shared" si="18"/>
        <v>0</v>
      </c>
      <c r="Q88" s="31"/>
    </row>
    <row r="89" spans="1:17">
      <c r="A89" s="98" t="s">
        <v>52</v>
      </c>
      <c r="B89" s="29" t="s">
        <v>24</v>
      </c>
      <c r="C89" s="8"/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70">
        <f t="shared" si="18"/>
        <v>0</v>
      </c>
    </row>
    <row r="90" spans="1:17">
      <c r="A90" s="25"/>
      <c r="B90" s="30" t="s">
        <v>22</v>
      </c>
      <c r="C90" s="101"/>
      <c r="D90" s="79">
        <f>D31+D34+D43+D50+D53+D62+D66+D69+SUM(D70:D79)+D82+D85+D88+D89</f>
        <v>143530.5</v>
      </c>
      <c r="E90" s="79">
        <f t="shared" ref="E90:O90" si="21">E31+E34+E43+E50+E53+E62+E66+E69+SUM(E70:E79)+E82+E85+E88+E89</f>
        <v>145836.5</v>
      </c>
      <c r="F90" s="79">
        <f t="shared" si="21"/>
        <v>145836.5</v>
      </c>
      <c r="G90" s="79">
        <f t="shared" si="21"/>
        <v>145836.5</v>
      </c>
      <c r="H90" s="79">
        <f t="shared" si="21"/>
        <v>145837.5</v>
      </c>
      <c r="I90" s="79">
        <f t="shared" si="21"/>
        <v>245837.5</v>
      </c>
      <c r="J90" s="79">
        <f t="shared" si="21"/>
        <v>145837.5</v>
      </c>
      <c r="K90" s="79">
        <f t="shared" si="21"/>
        <v>145837.5</v>
      </c>
      <c r="L90" s="79">
        <f t="shared" si="21"/>
        <v>301838.5</v>
      </c>
      <c r="M90" s="79">
        <f t="shared" si="21"/>
        <v>245838.5</v>
      </c>
      <c r="N90" s="79">
        <f t="shared" si="21"/>
        <v>245838.5</v>
      </c>
      <c r="O90" s="79">
        <f t="shared" si="21"/>
        <v>245838.5</v>
      </c>
      <c r="P90" s="80">
        <f t="shared" si="18"/>
        <v>2303744</v>
      </c>
    </row>
    <row r="91" spans="1:17">
      <c r="C91" s="8"/>
    </row>
    <row r="93" spans="1:17">
      <c r="C93" s="7"/>
    </row>
  </sheetData>
  <phoneticPr fontId="0" type="noConversion"/>
  <printOptions horizontalCentered="1"/>
  <pageMargins left="0.1" right="0.1" top="0.17" bottom="0.19" header="0" footer="0"/>
  <pageSetup scale="48" fitToHeight="2" orientation="landscape" verticalDpi="300" r:id="rId1"/>
  <headerFooter alignWithMargins="0">
    <oddFooter>&amp;L&amp;"Arial Narrow,Regular"&amp;8&amp;D
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"/>
  <sheetViews>
    <sheetView workbookViewId="0"/>
  </sheetViews>
  <sheetFormatPr defaultRowHeight="12.75"/>
  <cols>
    <col min="3" max="3" width="14.1640625" bestFit="1" customWidth="1"/>
    <col min="4" max="4" width="10.6640625" customWidth="1"/>
    <col min="5" max="5" width="10.83203125" customWidth="1"/>
    <col min="6" max="14" width="10" customWidth="1"/>
    <col min="15" max="15" width="9.83203125" bestFit="1" customWidth="1"/>
  </cols>
  <sheetData>
    <row r="1" spans="1:15">
      <c r="B1" t="s">
        <v>218</v>
      </c>
      <c r="C1" s="211">
        <v>37257</v>
      </c>
      <c r="D1" s="211">
        <v>37288</v>
      </c>
      <c r="E1" s="211">
        <v>37316</v>
      </c>
      <c r="F1" s="211">
        <v>37347</v>
      </c>
      <c r="G1" s="211">
        <v>37377</v>
      </c>
      <c r="H1" s="211">
        <v>37408</v>
      </c>
      <c r="I1" s="211">
        <v>37438</v>
      </c>
      <c r="J1" s="211">
        <v>37469</v>
      </c>
      <c r="K1" s="211">
        <v>37500</v>
      </c>
      <c r="L1" s="211">
        <v>37530</v>
      </c>
      <c r="M1" s="211">
        <v>37561</v>
      </c>
      <c r="N1" s="211">
        <v>37591</v>
      </c>
      <c r="O1" t="s">
        <v>219</v>
      </c>
    </row>
    <row r="3" spans="1:15">
      <c r="A3" t="s">
        <v>220</v>
      </c>
      <c r="B3" s="212">
        <v>0.2</v>
      </c>
      <c r="C3" s="213">
        <f>$B3*Data!D$90</f>
        <v>28706.100000000002</v>
      </c>
      <c r="D3" s="213">
        <f>$B3*Data!E$90</f>
        <v>29167.300000000003</v>
      </c>
      <c r="E3" s="213">
        <f>$B3*Data!F$90</f>
        <v>29167.300000000003</v>
      </c>
      <c r="F3" s="213">
        <f>$B3*Data!G$90</f>
        <v>29167.300000000003</v>
      </c>
      <c r="G3" s="213">
        <f>$B3*Data!H$90</f>
        <v>29167.5</v>
      </c>
      <c r="H3" s="213">
        <f>$B3*Data!I$90</f>
        <v>49167.5</v>
      </c>
      <c r="I3" s="213">
        <f>$B3*Data!J$90</f>
        <v>29167.5</v>
      </c>
      <c r="J3" s="213">
        <f>$B3*Data!K$90</f>
        <v>29167.5</v>
      </c>
      <c r="K3" s="213">
        <f>$B3*Data!L$90</f>
        <v>60367.700000000004</v>
      </c>
      <c r="L3" s="213">
        <f>$B3*Data!M$90</f>
        <v>49167.700000000004</v>
      </c>
      <c r="M3" s="213">
        <f>$B3*Data!N$90</f>
        <v>49167.700000000004</v>
      </c>
      <c r="N3" s="213">
        <f>$B3*Data!O$90</f>
        <v>49167.700000000004</v>
      </c>
      <c r="O3" s="214">
        <f>SUM(C3:N3)</f>
        <v>460748.80000000005</v>
      </c>
    </row>
    <row r="4" spans="1:15">
      <c r="A4" t="s">
        <v>221</v>
      </c>
      <c r="B4" s="212">
        <v>0.2</v>
      </c>
      <c r="C4" s="213">
        <f>$B4*Data!D$90</f>
        <v>28706.100000000002</v>
      </c>
      <c r="D4" s="213">
        <f>$B4*Data!E$90</f>
        <v>29167.300000000003</v>
      </c>
      <c r="E4" s="213">
        <f>$B4*Data!F$90</f>
        <v>29167.300000000003</v>
      </c>
      <c r="F4" s="213">
        <f>$B4*Data!G$90</f>
        <v>29167.300000000003</v>
      </c>
      <c r="G4" s="213">
        <f>$B4*Data!H$90</f>
        <v>29167.5</v>
      </c>
      <c r="H4" s="213">
        <f>$B4*Data!I$90</f>
        <v>49167.5</v>
      </c>
      <c r="I4" s="213">
        <f>$B4*Data!J$90</f>
        <v>29167.5</v>
      </c>
      <c r="J4" s="213">
        <f>$B4*Data!K$90</f>
        <v>29167.5</v>
      </c>
      <c r="K4" s="213">
        <f>$B4*Data!L$90</f>
        <v>60367.700000000004</v>
      </c>
      <c r="L4" s="213">
        <f>$B4*Data!M$90</f>
        <v>49167.700000000004</v>
      </c>
      <c r="M4" s="213">
        <f>$B4*Data!N$90</f>
        <v>49167.700000000004</v>
      </c>
      <c r="N4" s="213">
        <f>$B4*Data!O$90</f>
        <v>49167.700000000004</v>
      </c>
      <c r="O4" s="214">
        <f>SUM(C4:N4)</f>
        <v>460748.80000000005</v>
      </c>
    </row>
    <row r="5" spans="1:15">
      <c r="A5" t="s">
        <v>222</v>
      </c>
      <c r="B5" s="212">
        <v>0.2</v>
      </c>
      <c r="C5" s="213">
        <f>$B5*Data!D$90</f>
        <v>28706.100000000002</v>
      </c>
      <c r="D5" s="213">
        <f>$B5*Data!E$90</f>
        <v>29167.300000000003</v>
      </c>
      <c r="E5" s="213">
        <f>$B5*Data!F$90</f>
        <v>29167.300000000003</v>
      </c>
      <c r="F5" s="213">
        <f>$B5*Data!G$90</f>
        <v>29167.300000000003</v>
      </c>
      <c r="G5" s="213">
        <f>$B5*Data!H$90</f>
        <v>29167.5</v>
      </c>
      <c r="H5" s="213">
        <f>$B5*Data!I$90</f>
        <v>49167.5</v>
      </c>
      <c r="I5" s="213">
        <f>$B5*Data!J$90</f>
        <v>29167.5</v>
      </c>
      <c r="J5" s="213">
        <f>$B5*Data!K$90</f>
        <v>29167.5</v>
      </c>
      <c r="K5" s="213">
        <f>$B5*Data!L$90</f>
        <v>60367.700000000004</v>
      </c>
      <c r="L5" s="213">
        <f>$B5*Data!M$90</f>
        <v>49167.700000000004</v>
      </c>
      <c r="M5" s="213">
        <f>$B5*Data!N$90</f>
        <v>49167.700000000004</v>
      </c>
      <c r="N5" s="213">
        <f>$B5*Data!O$90</f>
        <v>49167.700000000004</v>
      </c>
      <c r="O5" s="214">
        <f>SUM(C5:N5)</f>
        <v>460748.80000000005</v>
      </c>
    </row>
    <row r="6" spans="1:15">
      <c r="A6" t="s">
        <v>226</v>
      </c>
      <c r="B6" s="212">
        <v>0.05</v>
      </c>
      <c r="C6" s="213">
        <f>$B6*Data!D$90</f>
        <v>7176.5250000000005</v>
      </c>
      <c r="D6" s="213">
        <f>$B6*Data!E$90</f>
        <v>7291.8250000000007</v>
      </c>
      <c r="E6" s="213">
        <f>$B6*Data!F$90</f>
        <v>7291.8250000000007</v>
      </c>
      <c r="F6" s="213">
        <f>$B6*Data!G$90</f>
        <v>7291.8250000000007</v>
      </c>
      <c r="G6" s="213">
        <f>$B6*Data!H$90</f>
        <v>7291.875</v>
      </c>
      <c r="H6" s="213">
        <f>$B6*Data!I$90</f>
        <v>12291.875</v>
      </c>
      <c r="I6" s="213">
        <f>$B6*Data!J$90</f>
        <v>7291.875</v>
      </c>
      <c r="J6" s="213">
        <f>$B6*Data!K$90</f>
        <v>7291.875</v>
      </c>
      <c r="K6" s="213">
        <f>$B6*Data!L$90</f>
        <v>15091.925000000001</v>
      </c>
      <c r="L6" s="213">
        <f>$B6*Data!M$90</f>
        <v>12291.925000000001</v>
      </c>
      <c r="M6" s="213">
        <f>$B6*Data!N$90</f>
        <v>12291.925000000001</v>
      </c>
      <c r="N6" s="213">
        <f>$B6*Data!O$90</f>
        <v>12291.925000000001</v>
      </c>
      <c r="O6" s="214">
        <f>SUM(C6:N6)</f>
        <v>115187.20000000001</v>
      </c>
    </row>
    <row r="7" spans="1:15">
      <c r="A7" t="s">
        <v>226</v>
      </c>
      <c r="B7" s="212">
        <v>0.05</v>
      </c>
      <c r="C7" s="213">
        <f>$B7*Data!D$90</f>
        <v>7176.5250000000005</v>
      </c>
      <c r="D7" s="213">
        <f>$B7*Data!E$90</f>
        <v>7291.8250000000007</v>
      </c>
      <c r="E7" s="213">
        <f>$B7*Data!F$90</f>
        <v>7291.8250000000007</v>
      </c>
      <c r="F7" s="213">
        <f>$B7*Data!G$90</f>
        <v>7291.8250000000007</v>
      </c>
      <c r="G7" s="213">
        <f>$B7*Data!H$90</f>
        <v>7291.875</v>
      </c>
      <c r="H7" s="213">
        <f>$B7*Data!I$90</f>
        <v>12291.875</v>
      </c>
      <c r="I7" s="213">
        <f>$B7*Data!J$90</f>
        <v>7291.875</v>
      </c>
      <c r="J7" s="213">
        <f>$B7*Data!K$90</f>
        <v>7291.875</v>
      </c>
      <c r="K7" s="213">
        <f>$B7*Data!L$90</f>
        <v>15091.925000000001</v>
      </c>
      <c r="L7" s="213">
        <f>$B7*Data!M$90</f>
        <v>12291.925000000001</v>
      </c>
      <c r="M7" s="213">
        <f>$B7*Data!N$90</f>
        <v>12291.925000000001</v>
      </c>
      <c r="N7" s="213">
        <f>$B7*Data!O$90</f>
        <v>12291.925000000001</v>
      </c>
      <c r="O7" s="214">
        <f>SUM(C7:N7)</f>
        <v>115187.20000000001</v>
      </c>
    </row>
    <row r="8" spans="1:15">
      <c r="B8" s="212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4">
        <f>SUM(O3:O7)</f>
        <v>1612620.8</v>
      </c>
    </row>
    <row r="10" spans="1:15">
      <c r="C10" t="s">
        <v>223</v>
      </c>
      <c r="D10" s="214">
        <f>Data!P90</f>
        <v>2303744</v>
      </c>
    </row>
    <row r="11" spans="1:15">
      <c r="C11" t="s">
        <v>224</v>
      </c>
      <c r="D11" s="214">
        <f>-O8</f>
        <v>-1612620.8</v>
      </c>
    </row>
    <row r="12" spans="1:15">
      <c r="C12" t="s">
        <v>225</v>
      </c>
      <c r="D12" s="214">
        <f>+D10+D11</f>
        <v>691123.19999999995</v>
      </c>
    </row>
    <row r="14" spans="1:15">
      <c r="E14" s="213"/>
    </row>
    <row r="15" spans="1:15">
      <c r="E15" s="213"/>
    </row>
    <row r="16" spans="1:15">
      <c r="E16" s="214"/>
    </row>
    <row r="17" spans="5:5">
      <c r="E17" s="213"/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/>
  </sheetViews>
  <sheetFormatPr defaultRowHeight="12.75"/>
  <cols>
    <col min="1" max="1" width="25.33203125" style="322" bestFit="1" customWidth="1"/>
    <col min="2" max="8" width="9" style="322" customWidth="1"/>
    <col min="9" max="9" width="10.5" style="322" bestFit="1" customWidth="1"/>
    <col min="10" max="17" width="9" style="322" customWidth="1"/>
    <col min="18" max="18" width="11.83203125" style="322" bestFit="1" customWidth="1"/>
    <col min="19" max="16384" width="9.33203125" style="322"/>
  </cols>
  <sheetData>
    <row r="1" spans="1:18" s="280" customFormat="1" ht="15.75">
      <c r="A1" s="323" t="s">
        <v>175</v>
      </c>
      <c r="B1" s="323"/>
      <c r="C1" s="324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8" s="280" customFormat="1" ht="15.75">
      <c r="A2" s="323" t="s">
        <v>176</v>
      </c>
      <c r="B2" s="323"/>
      <c r="C2" s="324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18" s="280" customFormat="1" ht="15.75">
      <c r="A3" s="326" t="s">
        <v>177</v>
      </c>
      <c r="B3" s="326"/>
      <c r="C3" s="324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</row>
    <row r="4" spans="1:18">
      <c r="A4" s="327"/>
      <c r="B4" s="182" t="s">
        <v>178</v>
      </c>
      <c r="C4" s="182" t="s">
        <v>179</v>
      </c>
      <c r="D4" s="182" t="s">
        <v>180</v>
      </c>
      <c r="E4" s="183" t="s">
        <v>181</v>
      </c>
      <c r="F4" s="182" t="s">
        <v>182</v>
      </c>
      <c r="G4" s="182" t="s">
        <v>183</v>
      </c>
      <c r="H4" s="182" t="s">
        <v>184</v>
      </c>
      <c r="I4" s="183" t="s">
        <v>185</v>
      </c>
      <c r="J4" s="182" t="s">
        <v>186</v>
      </c>
      <c r="K4" s="182" t="s">
        <v>187</v>
      </c>
      <c r="L4" s="182" t="s">
        <v>188</v>
      </c>
      <c r="M4" s="183" t="s">
        <v>189</v>
      </c>
      <c r="N4" s="182" t="s">
        <v>190</v>
      </c>
      <c r="O4" s="182" t="s">
        <v>191</v>
      </c>
      <c r="P4" s="182" t="s">
        <v>192</v>
      </c>
      <c r="Q4" s="183" t="s">
        <v>193</v>
      </c>
      <c r="R4" s="184" t="s">
        <v>194</v>
      </c>
    </row>
    <row r="5" spans="1:18" ht="13.5" thickBot="1">
      <c r="A5" s="327"/>
      <c r="B5" s="185" t="s">
        <v>195</v>
      </c>
      <c r="C5" s="185" t="s">
        <v>195</v>
      </c>
      <c r="D5" s="185" t="s">
        <v>195</v>
      </c>
      <c r="E5" s="186" t="s">
        <v>196</v>
      </c>
      <c r="F5" s="185" t="s">
        <v>195</v>
      </c>
      <c r="G5" s="185" t="s">
        <v>195</v>
      </c>
      <c r="H5" s="185" t="s">
        <v>195</v>
      </c>
      <c r="I5" s="186" t="s">
        <v>196</v>
      </c>
      <c r="J5" s="187" t="s">
        <v>195</v>
      </c>
      <c r="K5" s="188" t="s">
        <v>197</v>
      </c>
      <c r="L5" s="188" t="s">
        <v>198</v>
      </c>
      <c r="M5" s="186" t="s">
        <v>196</v>
      </c>
      <c r="N5" s="188" t="s">
        <v>198</v>
      </c>
      <c r="O5" s="188" t="s">
        <v>198</v>
      </c>
      <c r="P5" s="188" t="s">
        <v>198</v>
      </c>
      <c r="Q5" s="186" t="s">
        <v>196</v>
      </c>
      <c r="R5" s="185" t="s">
        <v>199</v>
      </c>
    </row>
    <row r="6" spans="1:18">
      <c r="A6" s="327"/>
      <c r="B6" s="184"/>
      <c r="C6" s="184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</row>
    <row r="7" spans="1:18">
      <c r="A7" s="190" t="s">
        <v>216</v>
      </c>
      <c r="B7" s="191"/>
      <c r="C7" s="191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1:18">
      <c r="A8" s="193" t="s">
        <v>217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</row>
    <row r="9" spans="1:18">
      <c r="A9" s="201" t="s">
        <v>200</v>
      </c>
      <c r="B9" s="194">
        <v>0</v>
      </c>
      <c r="C9" s="194">
        <v>0</v>
      </c>
      <c r="D9" s="194">
        <v>0</v>
      </c>
      <c r="E9" s="330">
        <f t="shared" ref="E9:E21" si="0">AVERAGE(B9:D9)</f>
        <v>0</v>
      </c>
      <c r="F9" s="194">
        <v>0</v>
      </c>
      <c r="G9" s="194">
        <v>0</v>
      </c>
      <c r="H9" s="194">
        <v>0</v>
      </c>
      <c r="I9" s="330">
        <f t="shared" ref="I9:I19" si="1">(F9+G9+H9)/3</f>
        <v>0</v>
      </c>
      <c r="J9" s="194">
        <v>0</v>
      </c>
      <c r="K9" s="195">
        <v>0</v>
      </c>
      <c r="L9" s="195">
        <v>0</v>
      </c>
      <c r="M9" s="330">
        <f t="shared" ref="M9:M21" si="2">AVERAGE(J9:L9)</f>
        <v>0</v>
      </c>
      <c r="N9" s="195">
        <v>0</v>
      </c>
      <c r="O9" s="195">
        <v>0</v>
      </c>
      <c r="P9" s="195">
        <v>0</v>
      </c>
      <c r="Q9" s="330">
        <f t="shared" ref="Q9:Q21" si="3">AVERAGE(N9:P9)</f>
        <v>0</v>
      </c>
      <c r="R9" s="331">
        <f t="shared" ref="R9:R21" si="4">(E9+I9+M9+Q9)/4</f>
        <v>0</v>
      </c>
    </row>
    <row r="10" spans="1:18">
      <c r="A10" s="201" t="s">
        <v>201</v>
      </c>
      <c r="B10" s="194">
        <v>1</v>
      </c>
      <c r="C10" s="194">
        <v>1</v>
      </c>
      <c r="D10" s="194">
        <v>1</v>
      </c>
      <c r="E10" s="330">
        <f t="shared" si="0"/>
        <v>1</v>
      </c>
      <c r="F10" s="194">
        <v>1</v>
      </c>
      <c r="G10" s="194">
        <v>1</v>
      </c>
      <c r="H10" s="194">
        <v>1</v>
      </c>
      <c r="I10" s="330">
        <f t="shared" si="1"/>
        <v>1</v>
      </c>
      <c r="J10" s="194">
        <v>1</v>
      </c>
      <c r="K10" s="195">
        <v>1</v>
      </c>
      <c r="L10" s="195">
        <v>1</v>
      </c>
      <c r="M10" s="330">
        <f t="shared" si="2"/>
        <v>1</v>
      </c>
      <c r="N10" s="195">
        <v>1</v>
      </c>
      <c r="O10" s="195">
        <v>1</v>
      </c>
      <c r="P10" s="195">
        <v>1</v>
      </c>
      <c r="Q10" s="330">
        <f t="shared" si="3"/>
        <v>1</v>
      </c>
      <c r="R10" s="331">
        <f t="shared" si="4"/>
        <v>1</v>
      </c>
    </row>
    <row r="11" spans="1:18">
      <c r="A11" s="201" t="s">
        <v>202</v>
      </c>
      <c r="B11" s="194">
        <v>1</v>
      </c>
      <c r="C11" s="194">
        <v>1</v>
      </c>
      <c r="D11" s="194">
        <v>1</v>
      </c>
      <c r="E11" s="330">
        <f t="shared" si="0"/>
        <v>1</v>
      </c>
      <c r="F11" s="194">
        <v>1</v>
      </c>
      <c r="G11" s="194">
        <v>1</v>
      </c>
      <c r="H11" s="194">
        <v>1</v>
      </c>
      <c r="I11" s="330">
        <f t="shared" si="1"/>
        <v>1</v>
      </c>
      <c r="J11" s="194">
        <v>2</v>
      </c>
      <c r="K11" s="195">
        <v>1</v>
      </c>
      <c r="L11" s="195">
        <v>1</v>
      </c>
      <c r="M11" s="330">
        <f t="shared" si="2"/>
        <v>1.3333333333333333</v>
      </c>
      <c r="N11" s="195">
        <v>1</v>
      </c>
      <c r="O11" s="195">
        <v>1</v>
      </c>
      <c r="P11" s="195">
        <v>1</v>
      </c>
      <c r="Q11" s="330">
        <f t="shared" si="3"/>
        <v>1</v>
      </c>
      <c r="R11" s="331">
        <f t="shared" si="4"/>
        <v>1.0833333333333333</v>
      </c>
    </row>
    <row r="12" spans="1:18">
      <c r="A12" s="190" t="s">
        <v>203</v>
      </c>
      <c r="B12" s="196">
        <f>SUM(B9:B11)</f>
        <v>2</v>
      </c>
      <c r="C12" s="196">
        <f>SUM(C9:C11)</f>
        <v>2</v>
      </c>
      <c r="D12" s="196">
        <f>SUM(D9:D11)</f>
        <v>2</v>
      </c>
      <c r="E12" s="197">
        <f>AVERAGE(B12:D12)</f>
        <v>2</v>
      </c>
      <c r="F12" s="196">
        <f>SUM(F9:F11)</f>
        <v>2</v>
      </c>
      <c r="G12" s="196">
        <f>SUM(G9:G11)</f>
        <v>2</v>
      </c>
      <c r="H12" s="196">
        <f>SUM(H9:H11)</f>
        <v>2</v>
      </c>
      <c r="I12" s="197">
        <f>AVERAGE(F12:H12)</f>
        <v>2</v>
      </c>
      <c r="J12" s="196">
        <f>SUM(J9:J11)</f>
        <v>3</v>
      </c>
      <c r="K12" s="196">
        <f>SUM(K9:K11)</f>
        <v>2</v>
      </c>
      <c r="L12" s="196">
        <f>SUM(L9:L11)</f>
        <v>2</v>
      </c>
      <c r="M12" s="197">
        <f>AVERAGE(J12:L12)</f>
        <v>2.3333333333333335</v>
      </c>
      <c r="N12" s="196">
        <f>SUM(N9:N11)</f>
        <v>2</v>
      </c>
      <c r="O12" s="196">
        <f>SUM(O9:O11)</f>
        <v>2</v>
      </c>
      <c r="P12" s="196">
        <f>SUM(P9:P11)</f>
        <v>2</v>
      </c>
      <c r="Q12" s="197">
        <f>AVERAGE(N12:P12)</f>
        <v>2</v>
      </c>
      <c r="R12" s="198">
        <f t="shared" si="4"/>
        <v>2.0833333333333335</v>
      </c>
    </row>
    <row r="13" spans="1:18">
      <c r="A13" s="190" t="s">
        <v>204</v>
      </c>
      <c r="B13" s="194"/>
      <c r="C13" s="194"/>
      <c r="D13" s="194"/>
      <c r="E13" s="330"/>
      <c r="F13" s="194"/>
      <c r="G13" s="194"/>
      <c r="H13" s="199"/>
      <c r="I13" s="330"/>
      <c r="J13" s="200">
        <f>SUM(B12+C12+D12+F12+G12+H12+J12)/7</f>
        <v>2.1428571428571428</v>
      </c>
      <c r="K13" s="195"/>
      <c r="L13" s="195"/>
      <c r="M13" s="330"/>
      <c r="N13" s="195"/>
      <c r="O13" s="195"/>
      <c r="P13" s="195"/>
      <c r="Q13" s="330"/>
      <c r="R13" s="331"/>
    </row>
    <row r="14" spans="1:18">
      <c r="A14" s="201" t="s">
        <v>205</v>
      </c>
      <c r="B14" s="194">
        <v>0</v>
      </c>
      <c r="C14" s="194">
        <v>0</v>
      </c>
      <c r="D14" s="194">
        <v>0</v>
      </c>
      <c r="E14" s="330">
        <f t="shared" si="0"/>
        <v>0</v>
      </c>
      <c r="F14" s="194">
        <v>0</v>
      </c>
      <c r="G14" s="194">
        <v>0</v>
      </c>
      <c r="H14" s="194">
        <v>0</v>
      </c>
      <c r="I14" s="330">
        <f t="shared" si="1"/>
        <v>0</v>
      </c>
      <c r="J14" s="194">
        <v>0</v>
      </c>
      <c r="K14" s="195">
        <v>0</v>
      </c>
      <c r="L14" s="195">
        <v>0</v>
      </c>
      <c r="M14" s="330">
        <f t="shared" si="2"/>
        <v>0</v>
      </c>
      <c r="N14" s="195">
        <v>0</v>
      </c>
      <c r="O14" s="195">
        <v>0</v>
      </c>
      <c r="P14" s="195">
        <v>0</v>
      </c>
      <c r="Q14" s="330">
        <f t="shared" si="3"/>
        <v>0</v>
      </c>
      <c r="R14" s="331">
        <f t="shared" si="4"/>
        <v>0</v>
      </c>
    </row>
    <row r="15" spans="1:18">
      <c r="A15" s="201" t="s">
        <v>206</v>
      </c>
      <c r="B15" s="194">
        <v>0</v>
      </c>
      <c r="C15" s="194">
        <v>0</v>
      </c>
      <c r="D15" s="194">
        <v>0</v>
      </c>
      <c r="E15" s="330">
        <f t="shared" si="0"/>
        <v>0</v>
      </c>
      <c r="F15" s="194">
        <v>0</v>
      </c>
      <c r="G15" s="194">
        <v>0</v>
      </c>
      <c r="H15" s="194">
        <v>0</v>
      </c>
      <c r="I15" s="330">
        <f t="shared" si="1"/>
        <v>0</v>
      </c>
      <c r="J15" s="194">
        <v>0</v>
      </c>
      <c r="K15" s="195">
        <v>0</v>
      </c>
      <c r="L15" s="195">
        <v>0</v>
      </c>
      <c r="M15" s="330">
        <f t="shared" si="2"/>
        <v>0</v>
      </c>
      <c r="N15" s="195">
        <v>0</v>
      </c>
      <c r="O15" s="195">
        <v>0</v>
      </c>
      <c r="P15" s="195">
        <v>0</v>
      </c>
      <c r="Q15" s="330">
        <f t="shared" si="3"/>
        <v>0</v>
      </c>
      <c r="R15" s="331">
        <f t="shared" si="4"/>
        <v>0</v>
      </c>
    </row>
    <row r="16" spans="1:18">
      <c r="A16" s="201" t="s">
        <v>207</v>
      </c>
      <c r="B16" s="194">
        <v>4</v>
      </c>
      <c r="C16" s="194">
        <v>5</v>
      </c>
      <c r="D16" s="194">
        <v>5</v>
      </c>
      <c r="E16" s="330">
        <f t="shared" si="0"/>
        <v>4.666666666666667</v>
      </c>
      <c r="F16" s="194">
        <v>5</v>
      </c>
      <c r="G16" s="194">
        <v>5</v>
      </c>
      <c r="H16" s="194">
        <v>5</v>
      </c>
      <c r="I16" s="330">
        <f t="shared" si="1"/>
        <v>5</v>
      </c>
      <c r="J16" s="194">
        <v>5</v>
      </c>
      <c r="K16" s="195">
        <v>6</v>
      </c>
      <c r="L16" s="195">
        <v>6</v>
      </c>
      <c r="M16" s="330">
        <f t="shared" si="2"/>
        <v>5.666666666666667</v>
      </c>
      <c r="N16" s="195">
        <v>6</v>
      </c>
      <c r="O16" s="195">
        <v>6</v>
      </c>
      <c r="P16" s="195">
        <v>6</v>
      </c>
      <c r="Q16" s="330">
        <f t="shared" si="3"/>
        <v>6</v>
      </c>
      <c r="R16" s="331">
        <f t="shared" si="4"/>
        <v>5.3333333333333339</v>
      </c>
    </row>
    <row r="17" spans="1:18">
      <c r="A17" s="201" t="s">
        <v>208</v>
      </c>
      <c r="B17" s="194">
        <v>0</v>
      </c>
      <c r="C17" s="194">
        <v>0</v>
      </c>
      <c r="D17" s="194">
        <v>0</v>
      </c>
      <c r="E17" s="330">
        <f t="shared" si="0"/>
        <v>0</v>
      </c>
      <c r="F17" s="194">
        <v>0</v>
      </c>
      <c r="G17" s="194">
        <v>0</v>
      </c>
      <c r="H17" s="194">
        <v>0</v>
      </c>
      <c r="I17" s="330">
        <f t="shared" si="1"/>
        <v>0</v>
      </c>
      <c r="J17" s="194">
        <v>0</v>
      </c>
      <c r="K17" s="195">
        <v>0</v>
      </c>
      <c r="L17" s="195">
        <v>0</v>
      </c>
      <c r="M17" s="330">
        <f t="shared" si="2"/>
        <v>0</v>
      </c>
      <c r="N17" s="195">
        <v>0</v>
      </c>
      <c r="O17" s="195">
        <v>0</v>
      </c>
      <c r="P17" s="195">
        <v>0</v>
      </c>
      <c r="Q17" s="330">
        <f t="shared" si="3"/>
        <v>0</v>
      </c>
      <c r="R17" s="331">
        <f t="shared" si="4"/>
        <v>0</v>
      </c>
    </row>
    <row r="18" spans="1:18">
      <c r="A18" s="201" t="s">
        <v>209</v>
      </c>
      <c r="B18" s="194">
        <v>0</v>
      </c>
      <c r="C18" s="194">
        <v>0</v>
      </c>
      <c r="D18" s="194">
        <v>0</v>
      </c>
      <c r="E18" s="330">
        <f t="shared" si="0"/>
        <v>0</v>
      </c>
      <c r="F18" s="194">
        <v>0</v>
      </c>
      <c r="G18" s="194">
        <v>0</v>
      </c>
      <c r="H18" s="194">
        <v>0</v>
      </c>
      <c r="I18" s="330">
        <f t="shared" si="1"/>
        <v>0</v>
      </c>
      <c r="J18" s="194">
        <v>0</v>
      </c>
      <c r="K18" s="195">
        <v>0</v>
      </c>
      <c r="L18" s="195">
        <v>0</v>
      </c>
      <c r="M18" s="330">
        <f t="shared" si="2"/>
        <v>0</v>
      </c>
      <c r="N18" s="195">
        <v>0</v>
      </c>
      <c r="O18" s="195">
        <v>0</v>
      </c>
      <c r="P18" s="195">
        <v>0</v>
      </c>
      <c r="Q18" s="330">
        <f t="shared" si="3"/>
        <v>0</v>
      </c>
      <c r="R18" s="331">
        <f t="shared" si="4"/>
        <v>0</v>
      </c>
    </row>
    <row r="19" spans="1:18">
      <c r="A19" s="201" t="s">
        <v>210</v>
      </c>
      <c r="B19" s="194">
        <v>3</v>
      </c>
      <c r="C19" s="194">
        <v>3</v>
      </c>
      <c r="D19" s="194">
        <v>3</v>
      </c>
      <c r="E19" s="330">
        <f t="shared" si="0"/>
        <v>3</v>
      </c>
      <c r="F19" s="194">
        <v>3</v>
      </c>
      <c r="G19" s="194">
        <v>2</v>
      </c>
      <c r="H19" s="194">
        <v>2</v>
      </c>
      <c r="I19" s="330">
        <f t="shared" si="1"/>
        <v>2.3333333333333335</v>
      </c>
      <c r="J19" s="194">
        <v>2</v>
      </c>
      <c r="K19" s="195">
        <v>1</v>
      </c>
      <c r="L19" s="195">
        <v>1</v>
      </c>
      <c r="M19" s="330">
        <f t="shared" si="2"/>
        <v>1.3333333333333333</v>
      </c>
      <c r="N19" s="195">
        <v>1</v>
      </c>
      <c r="O19" s="195">
        <v>1</v>
      </c>
      <c r="P19" s="195">
        <v>1</v>
      </c>
      <c r="Q19" s="330">
        <f t="shared" si="3"/>
        <v>1</v>
      </c>
      <c r="R19" s="331">
        <f t="shared" si="4"/>
        <v>1.9166666666666667</v>
      </c>
    </row>
    <row r="20" spans="1:18">
      <c r="A20" s="190" t="s">
        <v>211</v>
      </c>
      <c r="B20" s="202">
        <f>SUM(B14:B19)</f>
        <v>7</v>
      </c>
      <c r="C20" s="202">
        <f>SUM(C14:C19)</f>
        <v>8</v>
      </c>
      <c r="D20" s="202">
        <f>SUM(D14:D19)</f>
        <v>8</v>
      </c>
      <c r="E20" s="197">
        <f t="shared" si="0"/>
        <v>7.666666666666667</v>
      </c>
      <c r="F20" s="202">
        <f>SUM(F14:F19)</f>
        <v>8</v>
      </c>
      <c r="G20" s="202">
        <f>SUM(G14:G19)</f>
        <v>7</v>
      </c>
      <c r="H20" s="202">
        <f>SUM(H14:H19)</f>
        <v>7</v>
      </c>
      <c r="I20" s="197">
        <f>AVERAGE(F20:H20)</f>
        <v>7.333333333333333</v>
      </c>
      <c r="J20" s="202">
        <f>SUM(J14:J19)</f>
        <v>7</v>
      </c>
      <c r="K20" s="202">
        <f>SUM(K14:K19)</f>
        <v>7</v>
      </c>
      <c r="L20" s="202">
        <f>SUM(L14:L19)</f>
        <v>7</v>
      </c>
      <c r="M20" s="197">
        <f t="shared" si="2"/>
        <v>7</v>
      </c>
      <c r="N20" s="202">
        <f>SUM(N14:N19)</f>
        <v>7</v>
      </c>
      <c r="O20" s="202">
        <f>SUM(O14:O19)</f>
        <v>7</v>
      </c>
      <c r="P20" s="202">
        <f>SUM(P14:P19)</f>
        <v>7</v>
      </c>
      <c r="Q20" s="197">
        <f t="shared" si="3"/>
        <v>7</v>
      </c>
      <c r="R20" s="198">
        <f t="shared" si="4"/>
        <v>7.25</v>
      </c>
    </row>
    <row r="21" spans="1:18" ht="13.5" thickBot="1">
      <c r="A21" s="193" t="s">
        <v>212</v>
      </c>
      <c r="B21" s="203">
        <f>B12+B20</f>
        <v>9</v>
      </c>
      <c r="C21" s="203">
        <f>C12+C20</f>
        <v>10</v>
      </c>
      <c r="D21" s="203">
        <f>D12+D20</f>
        <v>10</v>
      </c>
      <c r="E21" s="204">
        <f t="shared" si="0"/>
        <v>9.6666666666666661</v>
      </c>
      <c r="F21" s="203">
        <f>F12+F20</f>
        <v>10</v>
      </c>
      <c r="G21" s="203">
        <f>G12+G20</f>
        <v>9</v>
      </c>
      <c r="H21" s="203">
        <f>H12+H20</f>
        <v>9</v>
      </c>
      <c r="I21" s="204">
        <f>AVERAGE(F21:H21)</f>
        <v>9.3333333333333339</v>
      </c>
      <c r="J21" s="203">
        <f>J12+J20</f>
        <v>10</v>
      </c>
      <c r="K21" s="203">
        <f>K12+K20</f>
        <v>9</v>
      </c>
      <c r="L21" s="203">
        <f>L12+L20</f>
        <v>9</v>
      </c>
      <c r="M21" s="204">
        <f t="shared" si="2"/>
        <v>9.3333333333333339</v>
      </c>
      <c r="N21" s="203">
        <f>N12+N20</f>
        <v>9</v>
      </c>
      <c r="O21" s="203">
        <f>O12+O20</f>
        <v>9</v>
      </c>
      <c r="P21" s="203">
        <f>P12+P20</f>
        <v>9</v>
      </c>
      <c r="Q21" s="204">
        <f t="shared" si="3"/>
        <v>9</v>
      </c>
      <c r="R21" s="205">
        <f t="shared" si="4"/>
        <v>9.3333333333333339</v>
      </c>
    </row>
    <row r="22" spans="1:18" ht="13.5" thickTop="1">
      <c r="A22" s="190" t="s">
        <v>213</v>
      </c>
      <c r="B22" s="191"/>
      <c r="C22" s="191"/>
      <c r="D22" s="192"/>
      <c r="E22" s="192"/>
      <c r="F22" s="192"/>
      <c r="G22" s="192"/>
      <c r="I22" s="192"/>
      <c r="J22" s="200">
        <f>SUM(B21+C21+D21+F21+G21+H21+J21)/7</f>
        <v>9.5714285714285712</v>
      </c>
      <c r="K22" s="192"/>
      <c r="L22" s="192"/>
      <c r="M22" s="192"/>
      <c r="N22" s="192"/>
      <c r="O22" s="192"/>
      <c r="P22" s="192"/>
      <c r="Q22" s="192"/>
      <c r="R22" s="192"/>
    </row>
  </sheetData>
  <phoneticPr fontId="0" type="noConversion"/>
  <pageMargins left="0.75" right="0.75" top="1" bottom="1" header="0.5" footer="0.5"/>
  <pageSetup scale="74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1"/>
  <sheetViews>
    <sheetView workbookViewId="0"/>
  </sheetViews>
  <sheetFormatPr defaultRowHeight="12.75"/>
  <cols>
    <col min="1" max="1" width="25.33203125" style="322" bestFit="1" customWidth="1"/>
    <col min="2" max="8" width="9" style="322" customWidth="1"/>
    <col min="9" max="9" width="10.5" style="322" bestFit="1" customWidth="1"/>
    <col min="10" max="17" width="9" style="322" customWidth="1"/>
    <col min="18" max="18" width="11.83203125" style="322" bestFit="1" customWidth="1"/>
    <col min="19" max="16384" width="9.33203125" style="322"/>
  </cols>
  <sheetData>
    <row r="1" spans="1:18" s="280" customFormat="1" ht="15.75">
      <c r="A1" s="323" t="s">
        <v>175</v>
      </c>
      <c r="B1" s="323"/>
      <c r="C1" s="324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18" s="280" customFormat="1" ht="15.75">
      <c r="A2" s="323" t="s">
        <v>176</v>
      </c>
      <c r="B2" s="323"/>
      <c r="C2" s="324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</row>
    <row r="3" spans="1:18" s="280" customFormat="1" ht="15.75">
      <c r="A3" s="326" t="s">
        <v>214</v>
      </c>
      <c r="B3" s="326"/>
      <c r="C3" s="324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</row>
    <row r="4" spans="1:18">
      <c r="A4" s="327"/>
      <c r="B4" s="182" t="s">
        <v>178</v>
      </c>
      <c r="C4" s="182" t="s">
        <v>179</v>
      </c>
      <c r="D4" s="182" t="s">
        <v>180</v>
      </c>
      <c r="E4" s="183" t="s">
        <v>181</v>
      </c>
      <c r="F4" s="182" t="s">
        <v>182</v>
      </c>
      <c r="G4" s="182" t="s">
        <v>183</v>
      </c>
      <c r="H4" s="182" t="s">
        <v>184</v>
      </c>
      <c r="I4" s="183" t="s">
        <v>185</v>
      </c>
      <c r="J4" s="182" t="s">
        <v>186</v>
      </c>
      <c r="K4" s="182" t="s">
        <v>187</v>
      </c>
      <c r="L4" s="182" t="s">
        <v>188</v>
      </c>
      <c r="M4" s="183" t="s">
        <v>189</v>
      </c>
      <c r="N4" s="182" t="s">
        <v>190</v>
      </c>
      <c r="O4" s="182" t="s">
        <v>191</v>
      </c>
      <c r="P4" s="182" t="s">
        <v>192</v>
      </c>
      <c r="Q4" s="183" t="s">
        <v>193</v>
      </c>
      <c r="R4" s="184" t="s">
        <v>215</v>
      </c>
    </row>
    <row r="5" spans="1:18" ht="13.5" thickBot="1">
      <c r="A5" s="327"/>
      <c r="B5" s="187" t="s">
        <v>197</v>
      </c>
      <c r="C5" s="187" t="s">
        <v>197</v>
      </c>
      <c r="D5" s="187" t="s">
        <v>197</v>
      </c>
      <c r="E5" s="206" t="s">
        <v>196</v>
      </c>
      <c r="F5" s="187" t="s">
        <v>197</v>
      </c>
      <c r="G5" s="187" t="s">
        <v>197</v>
      </c>
      <c r="H5" s="187" t="s">
        <v>197</v>
      </c>
      <c r="I5" s="206" t="s">
        <v>196</v>
      </c>
      <c r="J5" s="187" t="s">
        <v>197</v>
      </c>
      <c r="K5" s="187" t="s">
        <v>197</v>
      </c>
      <c r="L5" s="187" t="s">
        <v>198</v>
      </c>
      <c r="M5" s="206" t="s">
        <v>196</v>
      </c>
      <c r="N5" s="187" t="s">
        <v>198</v>
      </c>
      <c r="O5" s="187" t="s">
        <v>198</v>
      </c>
      <c r="P5" s="187" t="s">
        <v>198</v>
      </c>
      <c r="Q5" s="186" t="s">
        <v>196</v>
      </c>
      <c r="R5" s="185" t="s">
        <v>199</v>
      </c>
    </row>
    <row r="6" spans="1:18">
      <c r="A6" s="327"/>
      <c r="B6" s="184"/>
      <c r="C6" s="184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</row>
    <row r="7" spans="1:18">
      <c r="A7" s="190" t="s">
        <v>216</v>
      </c>
      <c r="B7" s="191"/>
      <c r="C7" s="191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</row>
    <row r="8" spans="1:18">
      <c r="A8" s="193" t="s">
        <v>217</v>
      </c>
      <c r="B8" s="328"/>
      <c r="C8" s="328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</row>
    <row r="9" spans="1:18">
      <c r="A9" s="201" t="s">
        <v>200</v>
      </c>
      <c r="B9" s="207">
        <v>0</v>
      </c>
      <c r="C9" s="207">
        <v>0</v>
      </c>
      <c r="D9" s="207">
        <v>0</v>
      </c>
      <c r="E9" s="330">
        <f t="shared" ref="E9:E20" si="0">AVERAGE(B9:D9)</f>
        <v>0</v>
      </c>
      <c r="F9" s="207">
        <v>0</v>
      </c>
      <c r="G9" s="207">
        <v>0</v>
      </c>
      <c r="H9" s="207">
        <v>0</v>
      </c>
      <c r="I9" s="330">
        <f t="shared" ref="I9:I18" si="1">(F9+G9+H9)/3</f>
        <v>0</v>
      </c>
      <c r="J9" s="207">
        <v>0</v>
      </c>
      <c r="K9" s="207">
        <v>0</v>
      </c>
      <c r="L9" s="207">
        <v>0</v>
      </c>
      <c r="M9" s="330">
        <f t="shared" ref="M9:M20" si="2">AVERAGE(J9:L9)</f>
        <v>0</v>
      </c>
      <c r="N9" s="207">
        <v>0</v>
      </c>
      <c r="O9" s="207">
        <v>0</v>
      </c>
      <c r="P9" s="207">
        <v>0</v>
      </c>
      <c r="Q9" s="330">
        <f t="shared" ref="Q9:Q20" si="3">AVERAGE(N9:P9)</f>
        <v>0</v>
      </c>
      <c r="R9" s="331">
        <f t="shared" ref="R9:R20" si="4">(E9+I9+M9+Q9)/4</f>
        <v>0</v>
      </c>
    </row>
    <row r="10" spans="1:18">
      <c r="A10" s="201" t="s">
        <v>201</v>
      </c>
      <c r="B10" s="207">
        <v>1</v>
      </c>
      <c r="C10" s="207">
        <v>1</v>
      </c>
      <c r="D10" s="207">
        <v>1</v>
      </c>
      <c r="E10" s="330">
        <f t="shared" si="0"/>
        <v>1</v>
      </c>
      <c r="F10" s="207">
        <v>1</v>
      </c>
      <c r="G10" s="207">
        <v>1</v>
      </c>
      <c r="H10" s="207">
        <v>1</v>
      </c>
      <c r="I10" s="330">
        <f t="shared" si="1"/>
        <v>1</v>
      </c>
      <c r="J10" s="207">
        <v>1</v>
      </c>
      <c r="K10" s="207">
        <v>1</v>
      </c>
      <c r="L10" s="207">
        <v>1</v>
      </c>
      <c r="M10" s="330">
        <f t="shared" si="2"/>
        <v>1</v>
      </c>
      <c r="N10" s="207">
        <v>1</v>
      </c>
      <c r="O10" s="207">
        <v>1</v>
      </c>
      <c r="P10" s="207">
        <v>1</v>
      </c>
      <c r="Q10" s="330">
        <f t="shared" si="3"/>
        <v>1</v>
      </c>
      <c r="R10" s="331">
        <f t="shared" si="4"/>
        <v>1</v>
      </c>
    </row>
    <row r="11" spans="1:18">
      <c r="A11" s="201" t="s">
        <v>202</v>
      </c>
      <c r="B11" s="207">
        <v>3</v>
      </c>
      <c r="C11" s="207">
        <v>3</v>
      </c>
      <c r="D11" s="207">
        <v>3</v>
      </c>
      <c r="E11" s="330">
        <f t="shared" si="0"/>
        <v>3</v>
      </c>
      <c r="F11" s="207">
        <v>3</v>
      </c>
      <c r="G11" s="207">
        <v>3</v>
      </c>
      <c r="H11" s="207">
        <v>3</v>
      </c>
      <c r="I11" s="330">
        <f t="shared" si="1"/>
        <v>3</v>
      </c>
      <c r="J11" s="207">
        <v>3</v>
      </c>
      <c r="K11" s="207">
        <v>3</v>
      </c>
      <c r="L11" s="207">
        <v>3</v>
      </c>
      <c r="M11" s="330">
        <f t="shared" si="2"/>
        <v>3</v>
      </c>
      <c r="N11" s="207">
        <v>3</v>
      </c>
      <c r="O11" s="207">
        <v>3</v>
      </c>
      <c r="P11" s="207">
        <v>3</v>
      </c>
      <c r="Q11" s="330">
        <f t="shared" si="3"/>
        <v>3</v>
      </c>
      <c r="R11" s="331">
        <f t="shared" si="4"/>
        <v>3</v>
      </c>
    </row>
    <row r="12" spans="1:18">
      <c r="A12" s="190" t="s">
        <v>203</v>
      </c>
      <c r="B12" s="208">
        <f>SUM(B9:B11)</f>
        <v>4</v>
      </c>
      <c r="C12" s="208">
        <f>SUM(C9:C11)</f>
        <v>4</v>
      </c>
      <c r="D12" s="208">
        <f>SUM(D9:D11)</f>
        <v>4</v>
      </c>
      <c r="E12" s="197">
        <f>AVERAGE(B12:D12)</f>
        <v>4</v>
      </c>
      <c r="F12" s="208">
        <f>SUM(F9:F11)</f>
        <v>4</v>
      </c>
      <c r="G12" s="208">
        <f>SUM(G9:G11)</f>
        <v>4</v>
      </c>
      <c r="H12" s="208">
        <f>SUM(H9:H11)</f>
        <v>4</v>
      </c>
      <c r="I12" s="197">
        <f>AVERAGE(F12:H12)</f>
        <v>4</v>
      </c>
      <c r="J12" s="208">
        <f>SUM(J9:J11)</f>
        <v>4</v>
      </c>
      <c r="K12" s="208">
        <f>SUM(K9:K11)</f>
        <v>4</v>
      </c>
      <c r="L12" s="208">
        <f>SUM(L9:L11)</f>
        <v>4</v>
      </c>
      <c r="M12" s="197">
        <f>AVERAGE(J12:L12)</f>
        <v>4</v>
      </c>
      <c r="N12" s="208">
        <f>SUM(N9:N11)</f>
        <v>4</v>
      </c>
      <c r="O12" s="208">
        <f>SUM(O9:O11)</f>
        <v>4</v>
      </c>
      <c r="P12" s="208">
        <f>SUM(P9:P11)</f>
        <v>4</v>
      </c>
      <c r="Q12" s="197">
        <f>AVERAGE(N12:P12)</f>
        <v>4</v>
      </c>
      <c r="R12" s="197">
        <f t="shared" si="4"/>
        <v>4</v>
      </c>
    </row>
    <row r="13" spans="1:18">
      <c r="A13" s="201" t="s">
        <v>205</v>
      </c>
      <c r="B13" s="207">
        <v>0</v>
      </c>
      <c r="C13" s="207">
        <v>0</v>
      </c>
      <c r="D13" s="207">
        <v>0</v>
      </c>
      <c r="E13" s="330">
        <f t="shared" si="0"/>
        <v>0</v>
      </c>
      <c r="F13" s="207">
        <v>0</v>
      </c>
      <c r="G13" s="207">
        <v>0</v>
      </c>
      <c r="H13" s="207">
        <v>0</v>
      </c>
      <c r="I13" s="330">
        <f t="shared" si="1"/>
        <v>0</v>
      </c>
      <c r="J13" s="207">
        <v>0</v>
      </c>
      <c r="K13" s="207">
        <v>0</v>
      </c>
      <c r="L13" s="207">
        <v>0</v>
      </c>
      <c r="M13" s="330">
        <f t="shared" si="2"/>
        <v>0</v>
      </c>
      <c r="N13" s="207">
        <v>0</v>
      </c>
      <c r="O13" s="207">
        <v>0</v>
      </c>
      <c r="P13" s="207">
        <v>0</v>
      </c>
      <c r="Q13" s="330">
        <f t="shared" si="3"/>
        <v>0</v>
      </c>
      <c r="R13" s="331">
        <f t="shared" si="4"/>
        <v>0</v>
      </c>
    </row>
    <row r="14" spans="1:18">
      <c r="A14" s="201" t="s">
        <v>206</v>
      </c>
      <c r="B14" s="207">
        <v>0</v>
      </c>
      <c r="C14" s="207">
        <v>0</v>
      </c>
      <c r="D14" s="207">
        <v>0</v>
      </c>
      <c r="E14" s="330">
        <f t="shared" si="0"/>
        <v>0</v>
      </c>
      <c r="F14" s="207">
        <v>0</v>
      </c>
      <c r="G14" s="207">
        <v>0</v>
      </c>
      <c r="H14" s="207">
        <v>0</v>
      </c>
      <c r="I14" s="330">
        <f t="shared" si="1"/>
        <v>0</v>
      </c>
      <c r="J14" s="207">
        <v>0</v>
      </c>
      <c r="K14" s="207">
        <v>0</v>
      </c>
      <c r="L14" s="207">
        <v>0</v>
      </c>
      <c r="M14" s="330">
        <f t="shared" si="2"/>
        <v>0</v>
      </c>
      <c r="N14" s="207">
        <v>0</v>
      </c>
      <c r="O14" s="207">
        <v>0</v>
      </c>
      <c r="P14" s="207">
        <v>0</v>
      </c>
      <c r="Q14" s="330">
        <f t="shared" si="3"/>
        <v>0</v>
      </c>
      <c r="R14" s="331">
        <f t="shared" si="4"/>
        <v>0</v>
      </c>
    </row>
    <row r="15" spans="1:18">
      <c r="A15" s="201" t="s">
        <v>207</v>
      </c>
      <c r="B15" s="207">
        <v>4</v>
      </c>
      <c r="C15" s="207">
        <v>4</v>
      </c>
      <c r="D15" s="207">
        <v>4</v>
      </c>
      <c r="E15" s="330">
        <f t="shared" si="0"/>
        <v>4</v>
      </c>
      <c r="F15" s="207">
        <v>4</v>
      </c>
      <c r="G15" s="207">
        <v>4</v>
      </c>
      <c r="H15" s="207">
        <v>4</v>
      </c>
      <c r="I15" s="330">
        <f t="shared" si="1"/>
        <v>4</v>
      </c>
      <c r="J15" s="207">
        <v>4</v>
      </c>
      <c r="K15" s="207">
        <v>4</v>
      </c>
      <c r="L15" s="207">
        <v>4</v>
      </c>
      <c r="M15" s="330">
        <f t="shared" si="2"/>
        <v>4</v>
      </c>
      <c r="N15" s="207">
        <v>4</v>
      </c>
      <c r="O15" s="207">
        <v>4</v>
      </c>
      <c r="P15" s="207">
        <v>4</v>
      </c>
      <c r="Q15" s="330">
        <f t="shared" si="3"/>
        <v>4</v>
      </c>
      <c r="R15" s="331">
        <f t="shared" si="4"/>
        <v>4</v>
      </c>
    </row>
    <row r="16" spans="1:18">
      <c r="A16" s="201" t="s">
        <v>208</v>
      </c>
      <c r="B16" s="207">
        <v>0</v>
      </c>
      <c r="C16" s="207">
        <v>0</v>
      </c>
      <c r="D16" s="207">
        <v>0</v>
      </c>
      <c r="E16" s="330">
        <f t="shared" si="0"/>
        <v>0</v>
      </c>
      <c r="F16" s="207">
        <v>0</v>
      </c>
      <c r="G16" s="207">
        <v>0</v>
      </c>
      <c r="H16" s="207">
        <v>0</v>
      </c>
      <c r="I16" s="330">
        <f t="shared" si="1"/>
        <v>0</v>
      </c>
      <c r="J16" s="207">
        <v>0</v>
      </c>
      <c r="K16" s="207">
        <v>0</v>
      </c>
      <c r="L16" s="207">
        <v>0</v>
      </c>
      <c r="M16" s="330">
        <f t="shared" si="2"/>
        <v>0</v>
      </c>
      <c r="N16" s="207">
        <v>0</v>
      </c>
      <c r="O16" s="207">
        <v>0</v>
      </c>
      <c r="P16" s="207">
        <v>0</v>
      </c>
      <c r="Q16" s="330">
        <f t="shared" si="3"/>
        <v>0</v>
      </c>
      <c r="R16" s="331">
        <f t="shared" si="4"/>
        <v>0</v>
      </c>
    </row>
    <row r="17" spans="1:18">
      <c r="A17" s="201" t="s">
        <v>209</v>
      </c>
      <c r="B17" s="207">
        <v>0</v>
      </c>
      <c r="C17" s="207">
        <v>0</v>
      </c>
      <c r="D17" s="207">
        <v>0</v>
      </c>
      <c r="E17" s="330">
        <f t="shared" si="0"/>
        <v>0</v>
      </c>
      <c r="F17" s="207">
        <v>0</v>
      </c>
      <c r="G17" s="207">
        <v>0</v>
      </c>
      <c r="H17" s="207">
        <v>0</v>
      </c>
      <c r="I17" s="330">
        <f t="shared" si="1"/>
        <v>0</v>
      </c>
      <c r="J17" s="207">
        <v>0</v>
      </c>
      <c r="K17" s="207">
        <v>0</v>
      </c>
      <c r="L17" s="207">
        <v>0</v>
      </c>
      <c r="M17" s="330">
        <f t="shared" si="2"/>
        <v>0</v>
      </c>
      <c r="N17" s="207">
        <v>0</v>
      </c>
      <c r="O17" s="207">
        <v>0</v>
      </c>
      <c r="P17" s="207">
        <v>0</v>
      </c>
      <c r="Q17" s="330">
        <f t="shared" si="3"/>
        <v>0</v>
      </c>
      <c r="R17" s="331">
        <f t="shared" si="4"/>
        <v>0</v>
      </c>
    </row>
    <row r="18" spans="1:18">
      <c r="A18" s="201" t="s">
        <v>210</v>
      </c>
      <c r="B18" s="207">
        <v>2</v>
      </c>
      <c r="C18" s="207">
        <v>2</v>
      </c>
      <c r="D18" s="207">
        <v>2</v>
      </c>
      <c r="E18" s="330">
        <f t="shared" si="0"/>
        <v>2</v>
      </c>
      <c r="F18" s="207">
        <v>2</v>
      </c>
      <c r="G18" s="207">
        <v>2</v>
      </c>
      <c r="H18" s="207">
        <v>2</v>
      </c>
      <c r="I18" s="330">
        <f t="shared" si="1"/>
        <v>2</v>
      </c>
      <c r="J18" s="207">
        <v>2</v>
      </c>
      <c r="K18" s="207">
        <v>2</v>
      </c>
      <c r="L18" s="207">
        <v>2</v>
      </c>
      <c r="M18" s="330">
        <f t="shared" si="2"/>
        <v>2</v>
      </c>
      <c r="N18" s="207">
        <v>2</v>
      </c>
      <c r="O18" s="207">
        <v>2</v>
      </c>
      <c r="P18" s="207">
        <v>2</v>
      </c>
      <c r="Q18" s="330">
        <f t="shared" si="3"/>
        <v>2</v>
      </c>
      <c r="R18" s="331">
        <f t="shared" si="4"/>
        <v>2</v>
      </c>
    </row>
    <row r="19" spans="1:18">
      <c r="A19" s="190" t="s">
        <v>211</v>
      </c>
      <c r="B19" s="209">
        <f>SUM(B13:B18)</f>
        <v>6</v>
      </c>
      <c r="C19" s="209">
        <f>SUM(C13:C18)</f>
        <v>6</v>
      </c>
      <c r="D19" s="209">
        <f>SUM(D13:D18)</f>
        <v>6</v>
      </c>
      <c r="E19" s="197">
        <f t="shared" si="0"/>
        <v>6</v>
      </c>
      <c r="F19" s="209">
        <f>SUM(F13:F18)</f>
        <v>6</v>
      </c>
      <c r="G19" s="209">
        <f>SUM(G13:G18)</f>
        <v>6</v>
      </c>
      <c r="H19" s="209">
        <f>SUM(H13:H18)</f>
        <v>6</v>
      </c>
      <c r="I19" s="197">
        <f>AVERAGE(F19:H19)</f>
        <v>6</v>
      </c>
      <c r="J19" s="209">
        <f>SUM(J13:J18)</f>
        <v>6</v>
      </c>
      <c r="K19" s="209">
        <f>SUM(K13:K18)</f>
        <v>6</v>
      </c>
      <c r="L19" s="209">
        <f>SUM(L13:L18)</f>
        <v>6</v>
      </c>
      <c r="M19" s="197">
        <f t="shared" si="2"/>
        <v>6</v>
      </c>
      <c r="N19" s="209">
        <f>SUM(N13:N18)</f>
        <v>6</v>
      </c>
      <c r="O19" s="209">
        <f>SUM(O13:O18)</f>
        <v>6</v>
      </c>
      <c r="P19" s="209">
        <f>SUM(P13:P18)</f>
        <v>6</v>
      </c>
      <c r="Q19" s="197">
        <f t="shared" si="3"/>
        <v>6</v>
      </c>
      <c r="R19" s="197">
        <f t="shared" si="4"/>
        <v>6</v>
      </c>
    </row>
    <row r="20" spans="1:18" ht="13.5" thickBot="1">
      <c r="A20" s="193" t="s">
        <v>212</v>
      </c>
      <c r="B20" s="210">
        <f>B12+B19</f>
        <v>10</v>
      </c>
      <c r="C20" s="210">
        <f>C12+C19</f>
        <v>10</v>
      </c>
      <c r="D20" s="210">
        <f>D12+D19</f>
        <v>10</v>
      </c>
      <c r="E20" s="204">
        <f t="shared" si="0"/>
        <v>10</v>
      </c>
      <c r="F20" s="210">
        <f>F12+F19</f>
        <v>10</v>
      </c>
      <c r="G20" s="210">
        <f>G12+G19</f>
        <v>10</v>
      </c>
      <c r="H20" s="210">
        <f>H12+H19</f>
        <v>10</v>
      </c>
      <c r="I20" s="204">
        <f>AVERAGE(F20:H20)</f>
        <v>10</v>
      </c>
      <c r="J20" s="210">
        <f>J12+J19</f>
        <v>10</v>
      </c>
      <c r="K20" s="210">
        <f>K12+K19</f>
        <v>10</v>
      </c>
      <c r="L20" s="210">
        <f>L12+L19</f>
        <v>10</v>
      </c>
      <c r="M20" s="204">
        <f t="shared" si="2"/>
        <v>10</v>
      </c>
      <c r="N20" s="210">
        <f>N12+N19</f>
        <v>10</v>
      </c>
      <c r="O20" s="210">
        <f>O12+O19</f>
        <v>10</v>
      </c>
      <c r="P20" s="210">
        <f>P12+P19</f>
        <v>10</v>
      </c>
      <c r="Q20" s="204">
        <f t="shared" si="3"/>
        <v>10</v>
      </c>
      <c r="R20" s="204">
        <f t="shared" si="4"/>
        <v>10</v>
      </c>
    </row>
    <row r="21" spans="1:18" ht="13.5" thickTop="1"/>
  </sheetData>
  <phoneticPr fontId="0" type="noConversion"/>
  <pageMargins left="0.75" right="0.75" top="1" bottom="1" header="0.5" footer="0.5"/>
  <pageSetup scale="74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2.75"/>
  <cols>
    <col min="1" max="1" width="21.1640625" style="322" bestFit="1" customWidth="1"/>
    <col min="2" max="2" width="1.83203125" style="322" customWidth="1"/>
    <col min="3" max="3" width="24.6640625" style="322" customWidth="1"/>
    <col min="4" max="16384" width="9.33203125" style="322"/>
  </cols>
  <sheetData>
    <row r="1" spans="1:3">
      <c r="A1" s="321" t="s">
        <v>291</v>
      </c>
      <c r="C1" s="321" t="s">
        <v>292</v>
      </c>
    </row>
    <row r="3" spans="1:3">
      <c r="A3" s="322" t="s">
        <v>293</v>
      </c>
      <c r="C3" s="322" t="s">
        <v>68</v>
      </c>
    </row>
    <row r="4" spans="1:3">
      <c r="A4" s="322" t="s">
        <v>294</v>
      </c>
      <c r="C4" s="322" t="s">
        <v>69</v>
      </c>
    </row>
    <row r="5" spans="1:3">
      <c r="A5" s="322" t="s">
        <v>295</v>
      </c>
      <c r="C5" s="322" t="s">
        <v>69</v>
      </c>
    </row>
    <row r="6" spans="1:3">
      <c r="A6" s="322" t="s">
        <v>296</v>
      </c>
      <c r="C6" s="322" t="s">
        <v>69</v>
      </c>
    </row>
    <row r="7" spans="1:3">
      <c r="A7" s="322" t="s">
        <v>297</v>
      </c>
      <c r="C7" s="322" t="s">
        <v>130</v>
      </c>
    </row>
    <row r="8" spans="1:3">
      <c r="A8" s="322" t="s">
        <v>298</v>
      </c>
      <c r="C8" s="322" t="s">
        <v>131</v>
      </c>
    </row>
    <row r="9" spans="1:3">
      <c r="A9" s="322" t="s">
        <v>299</v>
      </c>
      <c r="C9" s="322" t="s">
        <v>300</v>
      </c>
    </row>
    <row r="10" spans="1:3">
      <c r="A10" s="322" t="s">
        <v>301</v>
      </c>
      <c r="C10" s="322" t="s">
        <v>300</v>
      </c>
    </row>
    <row r="11" spans="1:3">
      <c r="A11" s="322" t="s">
        <v>302</v>
      </c>
      <c r="C11" s="322" t="s">
        <v>303</v>
      </c>
    </row>
    <row r="12" spans="1:3">
      <c r="A12" s="322" t="s">
        <v>304</v>
      </c>
      <c r="C12" s="322" t="s">
        <v>305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57"/>
  <sheetViews>
    <sheetView workbookViewId="0"/>
  </sheetViews>
  <sheetFormatPr defaultRowHeight="12.75"/>
  <cols>
    <col min="1" max="1" width="12.5" style="1" customWidth="1"/>
    <col min="2" max="2" width="20.33203125" style="1" bestFit="1" customWidth="1"/>
    <col min="3" max="14" width="9.6640625" style="1" customWidth="1"/>
    <col min="15" max="15" width="10.6640625" style="1" customWidth="1"/>
    <col min="16" max="16384" width="9.33203125" style="1"/>
  </cols>
  <sheetData>
    <row r="1" spans="1:16" s="4" customFormat="1">
      <c r="A1" s="24" t="s">
        <v>55</v>
      </c>
      <c r="C1" s="2" t="str">
        <f>+Data!D5</f>
        <v>12425</v>
      </c>
      <c r="D1" s="2"/>
      <c r="G1" s="6"/>
    </row>
    <row r="2" spans="1:16" s="4" customFormat="1">
      <c r="A2" s="24" t="s">
        <v>57</v>
      </c>
      <c r="C2" s="2" t="str">
        <f>+Data!D6</f>
        <v>Eric Thode</v>
      </c>
      <c r="D2" s="2"/>
      <c r="G2" s="6"/>
      <c r="H2" s="6"/>
      <c r="N2" s="24"/>
    </row>
    <row r="3" spans="1:16" s="4" customFormat="1">
      <c r="A3" s="24" t="s">
        <v>56</v>
      </c>
      <c r="C3" s="2" t="str">
        <f>+Data!D7</f>
        <v>105573</v>
      </c>
      <c r="D3" s="2"/>
      <c r="H3" s="6"/>
      <c r="P3" s="16"/>
    </row>
    <row r="4" spans="1:16" s="4" customFormat="1">
      <c r="C4" s="5"/>
      <c r="D4" s="2"/>
      <c r="H4" s="6"/>
    </row>
    <row r="5" spans="1:16" s="4" customFormat="1">
      <c r="A5" s="85" t="s">
        <v>60</v>
      </c>
      <c r="B5" s="86" t="s">
        <v>60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8" t="s">
        <v>53</v>
      </c>
    </row>
    <row r="6" spans="1:16" s="4" customFormat="1">
      <c r="A6" s="89" t="s">
        <v>63</v>
      </c>
      <c r="B6" s="90" t="s">
        <v>61</v>
      </c>
      <c r="C6" s="91">
        <v>37257</v>
      </c>
      <c r="D6" s="91">
        <v>37288</v>
      </c>
      <c r="E6" s="91">
        <v>37316</v>
      </c>
      <c r="F6" s="91">
        <v>37347</v>
      </c>
      <c r="G6" s="91">
        <v>37377</v>
      </c>
      <c r="H6" s="91">
        <v>37408</v>
      </c>
      <c r="I6" s="91">
        <v>37438</v>
      </c>
      <c r="J6" s="91">
        <v>37469</v>
      </c>
      <c r="K6" s="91">
        <v>37500</v>
      </c>
      <c r="L6" s="91">
        <v>37530</v>
      </c>
      <c r="M6" s="91">
        <v>37561</v>
      </c>
      <c r="N6" s="91">
        <v>37591</v>
      </c>
      <c r="O6" s="92" t="s">
        <v>54</v>
      </c>
    </row>
    <row r="7" spans="1:16">
      <c r="A7" s="11" t="str">
        <f>+Data!$D$7</f>
        <v>105573</v>
      </c>
      <c r="B7" s="11" t="s">
        <v>25</v>
      </c>
      <c r="C7" s="13">
        <f>+Data!D29+Data!D30</f>
        <v>45500</v>
      </c>
      <c r="D7" s="13">
        <f>+Data!E29+Data!E30</f>
        <v>47500</v>
      </c>
      <c r="E7" s="13">
        <f>+Data!F29+Data!F30</f>
        <v>47500</v>
      </c>
      <c r="F7" s="13">
        <f>+Data!G29+Data!G30</f>
        <v>47500</v>
      </c>
      <c r="G7" s="13">
        <f>+Data!H29+Data!H30</f>
        <v>47500</v>
      </c>
      <c r="H7" s="13">
        <f>+Data!I29+Data!I30</f>
        <v>47500</v>
      </c>
      <c r="I7" s="13">
        <f>+Data!J29+Data!J30</f>
        <v>47500</v>
      </c>
      <c r="J7" s="13">
        <f>+Data!K29+Data!K30</f>
        <v>47500</v>
      </c>
      <c r="K7" s="13">
        <f>+Data!L29+Data!L30</f>
        <v>47500</v>
      </c>
      <c r="L7" s="13">
        <f>+Data!M29+Data!M30</f>
        <v>47500</v>
      </c>
      <c r="M7" s="13">
        <f>+Data!N29+Data!N30</f>
        <v>47500</v>
      </c>
      <c r="N7" s="13">
        <f>+Data!O29+Data!O30</f>
        <v>47500</v>
      </c>
      <c r="O7" s="13">
        <f>+Data!P29+Data!P30</f>
        <v>568000</v>
      </c>
    </row>
    <row r="8" spans="1:16">
      <c r="A8" s="11" t="str">
        <f>+Data!$D$7</f>
        <v>105573</v>
      </c>
      <c r="B8" s="11" t="s">
        <v>26</v>
      </c>
      <c r="C8" s="13">
        <f>+Data!D32</f>
        <v>8140.5</v>
      </c>
      <c r="D8" s="13">
        <f>+Data!E32</f>
        <v>8322.5</v>
      </c>
      <c r="E8" s="13">
        <f>+Data!F32</f>
        <v>8322.5</v>
      </c>
      <c r="F8" s="13">
        <f>+Data!G32</f>
        <v>8322.5</v>
      </c>
      <c r="G8" s="13">
        <f>+Data!H32</f>
        <v>8322.5</v>
      </c>
      <c r="H8" s="13">
        <f>+Data!I32</f>
        <v>8322.5</v>
      </c>
      <c r="I8" s="13">
        <f>+Data!J32</f>
        <v>8322.5</v>
      </c>
      <c r="J8" s="13">
        <f>+Data!K32</f>
        <v>8322.5</v>
      </c>
      <c r="K8" s="13">
        <f>+Data!L32</f>
        <v>8322.5</v>
      </c>
      <c r="L8" s="13">
        <f>+Data!M32</f>
        <v>8322.5</v>
      </c>
      <c r="M8" s="13">
        <f>+Data!N32</f>
        <v>8322.5</v>
      </c>
      <c r="N8" s="13">
        <f>+Data!O32</f>
        <v>8322.5</v>
      </c>
      <c r="O8" s="13">
        <f>+Data!P32</f>
        <v>99688</v>
      </c>
    </row>
    <row r="9" spans="1:16">
      <c r="A9" s="11" t="str">
        <f>+Data!$D$7</f>
        <v>105573</v>
      </c>
      <c r="B9" s="12" t="s">
        <v>32</v>
      </c>
      <c r="C9" s="13">
        <f>+Data!D40</f>
        <v>666</v>
      </c>
      <c r="D9" s="13">
        <f>+Data!E40</f>
        <v>666</v>
      </c>
      <c r="E9" s="13">
        <f>+Data!F40</f>
        <v>666</v>
      </c>
      <c r="F9" s="13">
        <f>+Data!G40</f>
        <v>666</v>
      </c>
      <c r="G9" s="13">
        <f>+Data!H40</f>
        <v>667</v>
      </c>
      <c r="H9" s="13">
        <f>+Data!I40</f>
        <v>667</v>
      </c>
      <c r="I9" s="13">
        <f>+Data!J40</f>
        <v>667</v>
      </c>
      <c r="J9" s="13">
        <f>+Data!K40</f>
        <v>667</v>
      </c>
      <c r="K9" s="13">
        <f>+Data!L40</f>
        <v>667</v>
      </c>
      <c r="L9" s="13">
        <f>+Data!M40</f>
        <v>667</v>
      </c>
      <c r="M9" s="13">
        <f>+Data!N40</f>
        <v>667</v>
      </c>
      <c r="N9" s="13">
        <f>+Data!O40</f>
        <v>667</v>
      </c>
      <c r="O9" s="13">
        <f>+Data!P40</f>
        <v>8000</v>
      </c>
    </row>
    <row r="10" spans="1:16">
      <c r="A10" s="11" t="str">
        <f>+Data!$D$7</f>
        <v>105573</v>
      </c>
      <c r="B10" s="11" t="s">
        <v>33</v>
      </c>
      <c r="C10" s="13">
        <f>+Data!D42</f>
        <v>48</v>
      </c>
      <c r="D10" s="13">
        <f>+Data!E42</f>
        <v>48</v>
      </c>
      <c r="E10" s="13">
        <f>+Data!F42</f>
        <v>48</v>
      </c>
      <c r="F10" s="13">
        <f>+Data!G42</f>
        <v>48</v>
      </c>
      <c r="G10" s="13">
        <f>+Data!H42</f>
        <v>48</v>
      </c>
      <c r="H10" s="13">
        <f>+Data!I42</f>
        <v>48</v>
      </c>
      <c r="I10" s="13">
        <f>+Data!J42</f>
        <v>48</v>
      </c>
      <c r="J10" s="13">
        <f>+Data!K42</f>
        <v>48</v>
      </c>
      <c r="K10" s="13">
        <f>+Data!L42</f>
        <v>48</v>
      </c>
      <c r="L10" s="13">
        <f>+Data!M42</f>
        <v>48</v>
      </c>
      <c r="M10" s="13">
        <f>+Data!N42</f>
        <v>48</v>
      </c>
      <c r="N10" s="13">
        <f>+Data!O42</f>
        <v>48</v>
      </c>
      <c r="O10" s="13">
        <f>+Data!P42</f>
        <v>576</v>
      </c>
    </row>
    <row r="11" spans="1:16">
      <c r="A11" s="11" t="str">
        <f>+Data!$D$7</f>
        <v>105573</v>
      </c>
      <c r="B11" s="11" t="s">
        <v>28</v>
      </c>
      <c r="C11" s="13">
        <f>+Data!D38</f>
        <v>12000</v>
      </c>
      <c r="D11" s="13">
        <f>+Data!E38</f>
        <v>12000</v>
      </c>
      <c r="E11" s="13">
        <f>+Data!F38</f>
        <v>12000</v>
      </c>
      <c r="F11" s="13">
        <f>+Data!G38</f>
        <v>12000</v>
      </c>
      <c r="G11" s="13">
        <f>+Data!H38</f>
        <v>12000</v>
      </c>
      <c r="H11" s="13">
        <f>+Data!I38</f>
        <v>12000</v>
      </c>
      <c r="I11" s="13">
        <f>+Data!J38</f>
        <v>12000</v>
      </c>
      <c r="J11" s="13">
        <f>+Data!K38</f>
        <v>12000</v>
      </c>
      <c r="K11" s="13">
        <f>+Data!L38</f>
        <v>168000</v>
      </c>
      <c r="L11" s="13">
        <f>+Data!M38</f>
        <v>112000</v>
      </c>
      <c r="M11" s="13">
        <f>+Data!N38</f>
        <v>112000</v>
      </c>
      <c r="N11" s="13">
        <f>+Data!O38</f>
        <v>112000</v>
      </c>
      <c r="O11" s="13">
        <f>+Data!P38</f>
        <v>600000</v>
      </c>
    </row>
    <row r="12" spans="1:16">
      <c r="A12" s="11" t="str">
        <f>+Data!$D$7</f>
        <v>105573</v>
      </c>
      <c r="B12" s="11" t="s">
        <v>42</v>
      </c>
      <c r="C12" s="13">
        <f>+Data!D48</f>
        <v>8333</v>
      </c>
      <c r="D12" s="13">
        <f>+Data!E48</f>
        <v>8333</v>
      </c>
      <c r="E12" s="13">
        <f>+Data!F48</f>
        <v>8333</v>
      </c>
      <c r="F12" s="13">
        <f>+Data!G48</f>
        <v>8333</v>
      </c>
      <c r="G12" s="13">
        <f>+Data!H48</f>
        <v>8333</v>
      </c>
      <c r="H12" s="13">
        <f>+Data!I48</f>
        <v>108333</v>
      </c>
      <c r="I12" s="13">
        <f>+Data!J48</f>
        <v>8333</v>
      </c>
      <c r="J12" s="13">
        <f>+Data!K48</f>
        <v>8333</v>
      </c>
      <c r="K12" s="13">
        <f>+Data!L48</f>
        <v>8334</v>
      </c>
      <c r="L12" s="13">
        <f>+Data!M48</f>
        <v>8334</v>
      </c>
      <c r="M12" s="13">
        <f>+Data!N48</f>
        <v>8334</v>
      </c>
      <c r="N12" s="13">
        <f>+Data!O48</f>
        <v>8334</v>
      </c>
      <c r="O12" s="13">
        <f>+Data!P48</f>
        <v>200000</v>
      </c>
    </row>
    <row r="13" spans="1:16">
      <c r="A13" s="11" t="str">
        <f>+Data!$D$7</f>
        <v>105573</v>
      </c>
      <c r="B13" s="11" t="s">
        <v>29</v>
      </c>
      <c r="C13" s="13">
        <f>+Data!D37</f>
        <v>0</v>
      </c>
      <c r="D13" s="13">
        <f>+Data!E37</f>
        <v>0</v>
      </c>
      <c r="E13" s="13">
        <f>+Data!F37</f>
        <v>0</v>
      </c>
      <c r="F13" s="13">
        <f>+Data!G37</f>
        <v>0</v>
      </c>
      <c r="G13" s="13">
        <f>+Data!H37</f>
        <v>0</v>
      </c>
      <c r="H13" s="13">
        <f>+Data!I37</f>
        <v>0</v>
      </c>
      <c r="I13" s="13">
        <f>+Data!J37</f>
        <v>0</v>
      </c>
      <c r="J13" s="13">
        <f>+Data!K37</f>
        <v>0</v>
      </c>
      <c r="K13" s="13">
        <f>+Data!L37</f>
        <v>0</v>
      </c>
      <c r="L13" s="13">
        <f>+Data!M37</f>
        <v>0</v>
      </c>
      <c r="M13" s="13">
        <f>+Data!N37</f>
        <v>0</v>
      </c>
      <c r="N13" s="13">
        <f>+Data!O37</f>
        <v>0</v>
      </c>
      <c r="O13" s="13">
        <f>+Data!P37</f>
        <v>0</v>
      </c>
    </row>
    <row r="14" spans="1:16">
      <c r="A14" s="11" t="str">
        <f>+Data!$D$7</f>
        <v>105573</v>
      </c>
      <c r="B14" s="11" t="s">
        <v>31</v>
      </c>
      <c r="C14" s="13">
        <f>+Data!D44</f>
        <v>1533</v>
      </c>
      <c r="D14" s="13">
        <f>+Data!E44</f>
        <v>1533</v>
      </c>
      <c r="E14" s="13">
        <f>+Data!F44</f>
        <v>1533</v>
      </c>
      <c r="F14" s="13">
        <f>+Data!G44</f>
        <v>1533</v>
      </c>
      <c r="G14" s="13">
        <f>+Data!H44</f>
        <v>1533</v>
      </c>
      <c r="H14" s="13">
        <f>+Data!I44</f>
        <v>1533</v>
      </c>
      <c r="I14" s="13">
        <f>+Data!J44</f>
        <v>1533</v>
      </c>
      <c r="J14" s="13">
        <f>+Data!K44</f>
        <v>1533</v>
      </c>
      <c r="K14" s="13">
        <f>+Data!L44</f>
        <v>1533</v>
      </c>
      <c r="L14" s="13">
        <f>+Data!M44</f>
        <v>1533</v>
      </c>
      <c r="M14" s="13">
        <f>+Data!N44</f>
        <v>1533</v>
      </c>
      <c r="N14" s="13">
        <f>+Data!O44</f>
        <v>1533</v>
      </c>
      <c r="O14" s="13">
        <f>+Data!P44</f>
        <v>18396</v>
      </c>
    </row>
    <row r="15" spans="1:16">
      <c r="A15" s="11" t="str">
        <f>+Data!$D$7</f>
        <v>105573</v>
      </c>
      <c r="B15" s="11" t="s">
        <v>41</v>
      </c>
      <c r="C15" s="13">
        <f>+Data!D70</f>
        <v>37500</v>
      </c>
      <c r="D15" s="13">
        <f>+Data!E70</f>
        <v>37500</v>
      </c>
      <c r="E15" s="13">
        <f>+Data!F70</f>
        <v>37500</v>
      </c>
      <c r="F15" s="13">
        <f>+Data!G70</f>
        <v>37500</v>
      </c>
      <c r="G15" s="13">
        <f>+Data!H70</f>
        <v>37500</v>
      </c>
      <c r="H15" s="13">
        <f>+Data!I70</f>
        <v>37500</v>
      </c>
      <c r="I15" s="13">
        <f>+Data!J70</f>
        <v>37500</v>
      </c>
      <c r="J15" s="13">
        <f>+Data!K70</f>
        <v>37500</v>
      </c>
      <c r="K15" s="13">
        <f>+Data!L70</f>
        <v>37500</v>
      </c>
      <c r="L15" s="13">
        <f>+Data!M70</f>
        <v>37500</v>
      </c>
      <c r="M15" s="13">
        <f>+Data!N70</f>
        <v>37500</v>
      </c>
      <c r="N15" s="13">
        <f>+Data!O70</f>
        <v>37500</v>
      </c>
      <c r="O15" s="13">
        <f>+Data!P70</f>
        <v>450000</v>
      </c>
    </row>
    <row r="16" spans="1:16">
      <c r="A16" s="11" t="str">
        <f>+Data!$D$7</f>
        <v>105573</v>
      </c>
      <c r="B16" s="11" t="s">
        <v>48</v>
      </c>
      <c r="C16" s="13">
        <f>+Data!D80</f>
        <v>450</v>
      </c>
      <c r="D16" s="13">
        <f>+Data!E80</f>
        <v>450</v>
      </c>
      <c r="E16" s="13">
        <f>+Data!F80</f>
        <v>450</v>
      </c>
      <c r="F16" s="13">
        <f>+Data!G80</f>
        <v>450</v>
      </c>
      <c r="G16" s="13">
        <f>+Data!H80</f>
        <v>450</v>
      </c>
      <c r="H16" s="13">
        <f>+Data!I80</f>
        <v>450</v>
      </c>
      <c r="I16" s="13">
        <f>+Data!J80</f>
        <v>450</v>
      </c>
      <c r="J16" s="13">
        <f>+Data!K80</f>
        <v>450</v>
      </c>
      <c r="K16" s="13">
        <f>+Data!L80</f>
        <v>450</v>
      </c>
      <c r="L16" s="13">
        <f>+Data!M80</f>
        <v>450</v>
      </c>
      <c r="M16" s="13">
        <f>+Data!N80</f>
        <v>450</v>
      </c>
      <c r="N16" s="13">
        <f>+Data!O80</f>
        <v>450</v>
      </c>
      <c r="O16" s="13">
        <f>+Data!P80</f>
        <v>5400</v>
      </c>
    </row>
    <row r="17" spans="1:15">
      <c r="A17" s="11" t="str">
        <f>+Data!$D$7</f>
        <v>105573</v>
      </c>
      <c r="B17" s="11" t="s">
        <v>49</v>
      </c>
      <c r="C17" s="13">
        <f>+Data!D73</f>
        <v>19439</v>
      </c>
      <c r="D17" s="13">
        <f>+Data!E73</f>
        <v>19439</v>
      </c>
      <c r="E17" s="13">
        <f>+Data!F73</f>
        <v>19439</v>
      </c>
      <c r="F17" s="13">
        <f>+Data!G73</f>
        <v>19439</v>
      </c>
      <c r="G17" s="13">
        <f>+Data!H73</f>
        <v>19439</v>
      </c>
      <c r="H17" s="13">
        <f>+Data!I73</f>
        <v>19439</v>
      </c>
      <c r="I17" s="13">
        <f>+Data!J73</f>
        <v>19439</v>
      </c>
      <c r="J17" s="13">
        <f>+Data!K73</f>
        <v>19439</v>
      </c>
      <c r="K17" s="13">
        <f>+Data!L73</f>
        <v>19439</v>
      </c>
      <c r="L17" s="13">
        <f>+Data!M73</f>
        <v>19439</v>
      </c>
      <c r="M17" s="13">
        <f>+Data!N73</f>
        <v>19439</v>
      </c>
      <c r="N17" s="13">
        <f>+Data!O73</f>
        <v>19439</v>
      </c>
      <c r="O17" s="13">
        <f>+Data!P73</f>
        <v>233268</v>
      </c>
    </row>
    <row r="18" spans="1:15">
      <c r="A18" s="11" t="str">
        <f>+Data!$D$7</f>
        <v>105573</v>
      </c>
      <c r="B18" s="11" t="s">
        <v>91</v>
      </c>
      <c r="C18" s="13">
        <f>+Data!D74</f>
        <v>0</v>
      </c>
      <c r="D18" s="13">
        <f>+Data!E74</f>
        <v>0</v>
      </c>
      <c r="E18" s="13">
        <f>+Data!F74</f>
        <v>0</v>
      </c>
      <c r="F18" s="13">
        <f>+Data!G74</f>
        <v>0</v>
      </c>
      <c r="G18" s="13">
        <f>+Data!H74</f>
        <v>0</v>
      </c>
      <c r="H18" s="13">
        <f>+Data!I74</f>
        <v>0</v>
      </c>
      <c r="I18" s="13">
        <f>+Data!J74</f>
        <v>0</v>
      </c>
      <c r="J18" s="13">
        <f>+Data!K74</f>
        <v>0</v>
      </c>
      <c r="K18" s="13">
        <f>+Data!L74</f>
        <v>0</v>
      </c>
      <c r="L18" s="13">
        <f>+Data!M74</f>
        <v>0</v>
      </c>
      <c r="M18" s="13">
        <f>+Data!N74</f>
        <v>0</v>
      </c>
      <c r="N18" s="13">
        <f>+Data!O74</f>
        <v>0</v>
      </c>
      <c r="O18" s="13">
        <f>+Data!P74</f>
        <v>0</v>
      </c>
    </row>
    <row r="19" spans="1:15">
      <c r="A19" s="11" t="str">
        <f>+Data!$D$7</f>
        <v>105573</v>
      </c>
      <c r="B19" s="11" t="s">
        <v>30</v>
      </c>
      <c r="C19" s="13">
        <f>+Data!D39</f>
        <v>1417</v>
      </c>
      <c r="D19" s="13">
        <f>+Data!E39</f>
        <v>1417</v>
      </c>
      <c r="E19" s="13">
        <f>+Data!F39</f>
        <v>1417</v>
      </c>
      <c r="F19" s="13">
        <f>+Data!G39</f>
        <v>1417</v>
      </c>
      <c r="G19" s="13">
        <f>+Data!H39</f>
        <v>1417</v>
      </c>
      <c r="H19" s="13">
        <f>+Data!I39</f>
        <v>1417</v>
      </c>
      <c r="I19" s="13">
        <f>+Data!J39</f>
        <v>1417</v>
      </c>
      <c r="J19" s="13">
        <f>+Data!K39</f>
        <v>1417</v>
      </c>
      <c r="K19" s="13">
        <f>+Data!L39</f>
        <v>1417</v>
      </c>
      <c r="L19" s="13">
        <f>+Data!M39</f>
        <v>1417</v>
      </c>
      <c r="M19" s="13">
        <f>+Data!N39</f>
        <v>1417</v>
      </c>
      <c r="N19" s="13">
        <f>+Data!O39</f>
        <v>1417</v>
      </c>
      <c r="O19" s="13">
        <f>+Data!P39</f>
        <v>17004</v>
      </c>
    </row>
    <row r="20" spans="1:15">
      <c r="A20" s="11" t="str">
        <f>+Data!$D$7</f>
        <v>105573</v>
      </c>
      <c r="B20" s="11" t="s">
        <v>37</v>
      </c>
      <c r="C20" s="13">
        <f>+Data!D84</f>
        <v>0</v>
      </c>
      <c r="D20" s="13">
        <f>+Data!E84</f>
        <v>0</v>
      </c>
      <c r="E20" s="13">
        <f>+Data!F84</f>
        <v>0</v>
      </c>
      <c r="F20" s="13">
        <f>+Data!G84</f>
        <v>0</v>
      </c>
      <c r="G20" s="13">
        <f>+Data!H84</f>
        <v>0</v>
      </c>
      <c r="H20" s="13">
        <f>+Data!I84</f>
        <v>0</v>
      </c>
      <c r="I20" s="13">
        <f>+Data!J84</f>
        <v>0</v>
      </c>
      <c r="J20" s="13">
        <f>+Data!K84</f>
        <v>0</v>
      </c>
      <c r="K20" s="13">
        <f>+Data!L84</f>
        <v>0</v>
      </c>
      <c r="L20" s="13">
        <f>+Data!M84</f>
        <v>0</v>
      </c>
      <c r="M20" s="13">
        <f>+Data!N84</f>
        <v>0</v>
      </c>
      <c r="N20" s="13">
        <f>+Data!O84</f>
        <v>0</v>
      </c>
      <c r="O20" s="13">
        <f>+Data!P84</f>
        <v>0</v>
      </c>
    </row>
    <row r="21" spans="1:15">
      <c r="A21" s="11" t="str">
        <f>+Data!$D$7</f>
        <v>105573</v>
      </c>
      <c r="B21" s="11" t="s">
        <v>43</v>
      </c>
      <c r="C21" s="13">
        <f>+Data!D71</f>
        <v>2000</v>
      </c>
      <c r="D21" s="13">
        <f>+Data!E71</f>
        <v>2000</v>
      </c>
      <c r="E21" s="13">
        <f>+Data!F71</f>
        <v>2000</v>
      </c>
      <c r="F21" s="13">
        <f>+Data!G71</f>
        <v>2000</v>
      </c>
      <c r="G21" s="13">
        <f>+Data!H71</f>
        <v>2000</v>
      </c>
      <c r="H21" s="13">
        <f>+Data!I71</f>
        <v>2000</v>
      </c>
      <c r="I21" s="13">
        <f>+Data!J71</f>
        <v>2000</v>
      </c>
      <c r="J21" s="13">
        <f>+Data!K71</f>
        <v>2000</v>
      </c>
      <c r="K21" s="13">
        <f>+Data!L71</f>
        <v>2000</v>
      </c>
      <c r="L21" s="13">
        <f>+Data!M71</f>
        <v>2000</v>
      </c>
      <c r="M21" s="13">
        <f>+Data!N71</f>
        <v>2000</v>
      </c>
      <c r="N21" s="13">
        <f>+Data!O71</f>
        <v>2000</v>
      </c>
      <c r="O21" s="13">
        <f>+Data!P71</f>
        <v>24000</v>
      </c>
    </row>
    <row r="22" spans="1:15">
      <c r="A22" s="11" t="str">
        <f>+Data!$D$7</f>
        <v>105573</v>
      </c>
      <c r="B22" s="11" t="s">
        <v>46</v>
      </c>
      <c r="C22" s="13">
        <f>+Data!D78</f>
        <v>124</v>
      </c>
      <c r="D22" s="13">
        <f>+Data!E78</f>
        <v>124</v>
      </c>
      <c r="E22" s="13">
        <f>+Data!F78</f>
        <v>124</v>
      </c>
      <c r="F22" s="13">
        <f>+Data!G78</f>
        <v>124</v>
      </c>
      <c r="G22" s="13">
        <f>+Data!H78</f>
        <v>124</v>
      </c>
      <c r="H22" s="13">
        <f>+Data!I78</f>
        <v>124</v>
      </c>
      <c r="I22" s="13">
        <f>+Data!J78</f>
        <v>124</v>
      </c>
      <c r="J22" s="13">
        <f>+Data!K78</f>
        <v>124</v>
      </c>
      <c r="K22" s="13">
        <f>+Data!L78</f>
        <v>124</v>
      </c>
      <c r="L22" s="13">
        <f>+Data!M78</f>
        <v>124</v>
      </c>
      <c r="M22" s="13">
        <f>+Data!N78</f>
        <v>124</v>
      </c>
      <c r="N22" s="13">
        <f>+Data!O78</f>
        <v>124</v>
      </c>
      <c r="O22" s="13">
        <f>+Data!P78</f>
        <v>1488</v>
      </c>
    </row>
    <row r="23" spans="1:15">
      <c r="A23" s="11" t="str">
        <f>+Data!$D$7</f>
        <v>105573</v>
      </c>
      <c r="B23" s="11" t="s">
        <v>104</v>
      </c>
      <c r="C23" s="13">
        <f>+Data!D54</f>
        <v>0</v>
      </c>
      <c r="D23" s="13">
        <f>+Data!E54</f>
        <v>0</v>
      </c>
      <c r="E23" s="13">
        <f>+Data!F54</f>
        <v>0</v>
      </c>
      <c r="F23" s="13">
        <f>+Data!G54</f>
        <v>0</v>
      </c>
      <c r="G23" s="13">
        <f>+Data!H54</f>
        <v>0</v>
      </c>
      <c r="H23" s="13">
        <f>+Data!I54</f>
        <v>0</v>
      </c>
      <c r="I23" s="13">
        <f>+Data!J54</f>
        <v>0</v>
      </c>
      <c r="J23" s="13">
        <f>+Data!K54</f>
        <v>0</v>
      </c>
      <c r="K23" s="13">
        <f>+Data!L54</f>
        <v>0</v>
      </c>
      <c r="L23" s="13">
        <f>+Data!M54</f>
        <v>0</v>
      </c>
      <c r="M23" s="13">
        <f>+Data!N54</f>
        <v>0</v>
      </c>
      <c r="N23" s="13">
        <f>+Data!O54</f>
        <v>0</v>
      </c>
      <c r="O23" s="13">
        <f>+Data!P54</f>
        <v>0</v>
      </c>
    </row>
    <row r="24" spans="1:15">
      <c r="A24" s="11" t="str">
        <f>+Data!$D$7</f>
        <v>105573</v>
      </c>
      <c r="B24" s="11" t="s">
        <v>105</v>
      </c>
      <c r="C24" s="13">
        <f>+Data!D55</f>
        <v>0</v>
      </c>
      <c r="D24" s="13">
        <f>+Data!E55</f>
        <v>0</v>
      </c>
      <c r="E24" s="13">
        <f>+Data!F55</f>
        <v>0</v>
      </c>
      <c r="F24" s="13">
        <f>+Data!G55</f>
        <v>0</v>
      </c>
      <c r="G24" s="13">
        <f>+Data!H55</f>
        <v>0</v>
      </c>
      <c r="H24" s="13">
        <f>+Data!I55</f>
        <v>0</v>
      </c>
      <c r="I24" s="13">
        <f>+Data!J55</f>
        <v>0</v>
      </c>
      <c r="J24" s="13">
        <f>+Data!K55</f>
        <v>0</v>
      </c>
      <c r="K24" s="13">
        <f>+Data!L55</f>
        <v>0</v>
      </c>
      <c r="L24" s="13">
        <f>+Data!M55</f>
        <v>0</v>
      </c>
      <c r="M24" s="13">
        <f>+Data!N55</f>
        <v>0</v>
      </c>
      <c r="N24" s="13">
        <f>+Data!O55</f>
        <v>0</v>
      </c>
      <c r="O24" s="13">
        <f>+Data!P55</f>
        <v>0</v>
      </c>
    </row>
    <row r="25" spans="1:15">
      <c r="A25" s="11" t="str">
        <f>+Data!$D$7</f>
        <v>105573</v>
      </c>
      <c r="B25" s="11" t="s">
        <v>106</v>
      </c>
      <c r="C25" s="13">
        <f>+Data!D56</f>
        <v>0</v>
      </c>
      <c r="D25" s="13">
        <f>+Data!E56</f>
        <v>0</v>
      </c>
      <c r="E25" s="13">
        <f>+Data!F56</f>
        <v>0</v>
      </c>
      <c r="F25" s="13">
        <f>+Data!G56</f>
        <v>0</v>
      </c>
      <c r="G25" s="13">
        <f>+Data!H56</f>
        <v>0</v>
      </c>
      <c r="H25" s="13">
        <f>+Data!I56</f>
        <v>0</v>
      </c>
      <c r="I25" s="13">
        <f>+Data!J56</f>
        <v>0</v>
      </c>
      <c r="J25" s="13">
        <f>+Data!K56</f>
        <v>0</v>
      </c>
      <c r="K25" s="13">
        <f>+Data!L56</f>
        <v>0</v>
      </c>
      <c r="L25" s="13">
        <f>+Data!M56</f>
        <v>0</v>
      </c>
      <c r="M25" s="13">
        <f>+Data!N56</f>
        <v>0</v>
      </c>
      <c r="N25" s="13">
        <f>+Data!O56</f>
        <v>0</v>
      </c>
      <c r="O25" s="13">
        <f>+Data!P56</f>
        <v>0</v>
      </c>
    </row>
    <row r="26" spans="1:15">
      <c r="A26" s="11" t="str">
        <f>+Data!$D$7</f>
        <v>105573</v>
      </c>
      <c r="B26" s="11" t="s">
        <v>107</v>
      </c>
      <c r="C26" s="13">
        <f>+Data!D57</f>
        <v>0</v>
      </c>
      <c r="D26" s="13">
        <f>+Data!E57</f>
        <v>0</v>
      </c>
      <c r="E26" s="13">
        <f>+Data!F57</f>
        <v>0</v>
      </c>
      <c r="F26" s="13">
        <f>+Data!G57</f>
        <v>0</v>
      </c>
      <c r="G26" s="13">
        <f>+Data!H57</f>
        <v>0</v>
      </c>
      <c r="H26" s="13">
        <f>+Data!I57</f>
        <v>0</v>
      </c>
      <c r="I26" s="13">
        <f>+Data!J57</f>
        <v>0</v>
      </c>
      <c r="J26" s="13">
        <f>+Data!K57</f>
        <v>0</v>
      </c>
      <c r="K26" s="13">
        <f>+Data!L57</f>
        <v>0</v>
      </c>
      <c r="L26" s="13">
        <f>+Data!M57</f>
        <v>0</v>
      </c>
      <c r="M26" s="13">
        <f>+Data!N57</f>
        <v>0</v>
      </c>
      <c r="N26" s="13">
        <f>+Data!O57</f>
        <v>0</v>
      </c>
      <c r="O26" s="13">
        <f>+Data!P57</f>
        <v>0</v>
      </c>
    </row>
    <row r="27" spans="1:15">
      <c r="A27" s="11" t="str">
        <f>+Data!$D$7</f>
        <v>105573</v>
      </c>
      <c r="B27" s="11" t="s">
        <v>36</v>
      </c>
      <c r="C27" s="13">
        <f>+Data!D58</f>
        <v>1000</v>
      </c>
      <c r="D27" s="13">
        <f>+Data!E58</f>
        <v>1000</v>
      </c>
      <c r="E27" s="13">
        <f>+Data!F58</f>
        <v>1000</v>
      </c>
      <c r="F27" s="13">
        <f>+Data!G58</f>
        <v>1000</v>
      </c>
      <c r="G27" s="13">
        <f>+Data!H58</f>
        <v>1000</v>
      </c>
      <c r="H27" s="13">
        <f>+Data!I58</f>
        <v>1000</v>
      </c>
      <c r="I27" s="13">
        <f>+Data!J58</f>
        <v>1000</v>
      </c>
      <c r="J27" s="13">
        <f>+Data!K58</f>
        <v>1000</v>
      </c>
      <c r="K27" s="13">
        <f>+Data!L58</f>
        <v>1000</v>
      </c>
      <c r="L27" s="13">
        <f>+Data!M58</f>
        <v>1000</v>
      </c>
      <c r="M27" s="13">
        <f>+Data!N58</f>
        <v>1000</v>
      </c>
      <c r="N27" s="13">
        <f>+Data!O58</f>
        <v>1000</v>
      </c>
      <c r="O27" s="13">
        <f>+Data!P58</f>
        <v>12000</v>
      </c>
    </row>
    <row r="28" spans="1:15">
      <c r="A28" s="11" t="str">
        <f>+Data!$D$7</f>
        <v>105573</v>
      </c>
      <c r="B28" s="11" t="s">
        <v>108</v>
      </c>
      <c r="C28" s="13">
        <f>+Data!D59</f>
        <v>0</v>
      </c>
      <c r="D28" s="13">
        <f>+Data!E59</f>
        <v>0</v>
      </c>
      <c r="E28" s="13">
        <f>+Data!F59</f>
        <v>0</v>
      </c>
      <c r="F28" s="13">
        <f>+Data!G59</f>
        <v>0</v>
      </c>
      <c r="G28" s="13">
        <f>+Data!H59</f>
        <v>0</v>
      </c>
      <c r="H28" s="13">
        <f>+Data!I59</f>
        <v>0</v>
      </c>
      <c r="I28" s="13">
        <f>+Data!J59</f>
        <v>0</v>
      </c>
      <c r="J28" s="13">
        <f>+Data!K59</f>
        <v>0</v>
      </c>
      <c r="K28" s="13">
        <f>+Data!L59</f>
        <v>0</v>
      </c>
      <c r="L28" s="13">
        <f>+Data!M59</f>
        <v>0</v>
      </c>
      <c r="M28" s="13">
        <f>+Data!N59</f>
        <v>0</v>
      </c>
      <c r="N28" s="13">
        <f>+Data!O59</f>
        <v>0</v>
      </c>
      <c r="O28" s="13">
        <f>+Data!P59</f>
        <v>0</v>
      </c>
    </row>
    <row r="29" spans="1:15">
      <c r="A29" s="11" t="str">
        <f>+Data!$D$7</f>
        <v>105573</v>
      </c>
      <c r="B29" s="11" t="s">
        <v>109</v>
      </c>
      <c r="C29" s="13">
        <f>+Data!D60</f>
        <v>0</v>
      </c>
      <c r="D29" s="13">
        <f>+Data!E60</f>
        <v>0</v>
      </c>
      <c r="E29" s="13">
        <f>+Data!F60</f>
        <v>0</v>
      </c>
      <c r="F29" s="13">
        <f>+Data!G60</f>
        <v>0</v>
      </c>
      <c r="G29" s="13">
        <f>+Data!H60</f>
        <v>0</v>
      </c>
      <c r="H29" s="13">
        <f>+Data!I60</f>
        <v>0</v>
      </c>
      <c r="I29" s="13">
        <f>+Data!J60</f>
        <v>0</v>
      </c>
      <c r="J29" s="13">
        <f>+Data!K60</f>
        <v>0</v>
      </c>
      <c r="K29" s="13">
        <f>+Data!L60</f>
        <v>0</v>
      </c>
      <c r="L29" s="13">
        <f>+Data!M60</f>
        <v>0</v>
      </c>
      <c r="M29" s="13">
        <f>+Data!N60</f>
        <v>0</v>
      </c>
      <c r="N29" s="13">
        <f>+Data!O60</f>
        <v>0</v>
      </c>
      <c r="O29" s="13">
        <f>+Data!P60</f>
        <v>0</v>
      </c>
    </row>
    <row r="30" spans="1:15">
      <c r="A30" s="11" t="str">
        <f>+Data!$D$7</f>
        <v>105573</v>
      </c>
      <c r="B30" s="11" t="s">
        <v>35</v>
      </c>
      <c r="C30" s="13">
        <f>+Data!D61</f>
        <v>0</v>
      </c>
      <c r="D30" s="13">
        <f>+Data!E61</f>
        <v>0</v>
      </c>
      <c r="E30" s="13">
        <f>+Data!F61</f>
        <v>0</v>
      </c>
      <c r="F30" s="13">
        <f>+Data!G61</f>
        <v>0</v>
      </c>
      <c r="G30" s="13">
        <f>+Data!H61</f>
        <v>0</v>
      </c>
      <c r="H30" s="13">
        <f>+Data!I61</f>
        <v>0</v>
      </c>
      <c r="I30" s="13">
        <f>+Data!J61</f>
        <v>0</v>
      </c>
      <c r="J30" s="13">
        <f>+Data!K61</f>
        <v>0</v>
      </c>
      <c r="K30" s="13">
        <f>+Data!L61</f>
        <v>0</v>
      </c>
      <c r="L30" s="13">
        <f>+Data!M61</f>
        <v>0</v>
      </c>
      <c r="M30" s="13">
        <f>+Data!N61</f>
        <v>0</v>
      </c>
      <c r="N30" s="13">
        <f>+Data!O61</f>
        <v>0</v>
      </c>
      <c r="O30" s="13">
        <f>+Data!P61</f>
        <v>0</v>
      </c>
    </row>
    <row r="31" spans="1:15">
      <c r="A31" s="11" t="str">
        <f>+Data!$D$7</f>
        <v>105573</v>
      </c>
      <c r="B31" s="11" t="s">
        <v>40</v>
      </c>
      <c r="C31" s="13">
        <f>+Data!D64</f>
        <v>80</v>
      </c>
      <c r="D31" s="13">
        <f>+Data!E64</f>
        <v>80</v>
      </c>
      <c r="E31" s="13">
        <f>+Data!F64</f>
        <v>80</v>
      </c>
      <c r="F31" s="13">
        <f>+Data!G64</f>
        <v>80</v>
      </c>
      <c r="G31" s="13">
        <f>+Data!H64</f>
        <v>80</v>
      </c>
      <c r="H31" s="13">
        <f>+Data!I64</f>
        <v>80</v>
      </c>
      <c r="I31" s="13">
        <f>+Data!J64</f>
        <v>80</v>
      </c>
      <c r="J31" s="13">
        <f>+Data!K64</f>
        <v>80</v>
      </c>
      <c r="K31" s="13">
        <f>+Data!L64</f>
        <v>80</v>
      </c>
      <c r="L31" s="13">
        <f>+Data!M64</f>
        <v>80</v>
      </c>
      <c r="M31" s="13">
        <f>+Data!N64</f>
        <v>80</v>
      </c>
      <c r="N31" s="13">
        <f>+Data!O64</f>
        <v>80</v>
      </c>
      <c r="O31" s="13">
        <f>+Data!P64</f>
        <v>960</v>
      </c>
    </row>
    <row r="32" spans="1:15">
      <c r="A32" s="11" t="str">
        <f>+Data!$D$7</f>
        <v>105573</v>
      </c>
      <c r="B32" s="11" t="s">
        <v>38</v>
      </c>
      <c r="C32" s="13">
        <f>+Data!D63</f>
        <v>60</v>
      </c>
      <c r="D32" s="13">
        <f>+Data!E63</f>
        <v>60</v>
      </c>
      <c r="E32" s="13">
        <f>+Data!F63</f>
        <v>60</v>
      </c>
      <c r="F32" s="13">
        <f>+Data!G63</f>
        <v>60</v>
      </c>
      <c r="G32" s="13">
        <f>+Data!H63</f>
        <v>60</v>
      </c>
      <c r="H32" s="13">
        <f>+Data!I63</f>
        <v>60</v>
      </c>
      <c r="I32" s="13">
        <f>+Data!J63</f>
        <v>60</v>
      </c>
      <c r="J32" s="13">
        <f>+Data!K63</f>
        <v>60</v>
      </c>
      <c r="K32" s="13">
        <f>+Data!L63</f>
        <v>60</v>
      </c>
      <c r="L32" s="13">
        <f>+Data!M63</f>
        <v>60</v>
      </c>
      <c r="M32" s="13">
        <f>+Data!N63</f>
        <v>60</v>
      </c>
      <c r="N32" s="13">
        <f>+Data!O63</f>
        <v>60</v>
      </c>
      <c r="O32" s="13">
        <f>+Data!P63</f>
        <v>720</v>
      </c>
    </row>
    <row r="33" spans="1:15">
      <c r="A33" s="11" t="str">
        <f>+Data!$D$7</f>
        <v>105573</v>
      </c>
      <c r="B33" s="11" t="s">
        <v>39</v>
      </c>
      <c r="C33" s="13">
        <f>+Data!D65</f>
        <v>1091</v>
      </c>
      <c r="D33" s="13">
        <f>+Data!E65</f>
        <v>1091</v>
      </c>
      <c r="E33" s="13">
        <f>+Data!F65</f>
        <v>1091</v>
      </c>
      <c r="F33" s="13">
        <f>+Data!G65</f>
        <v>1091</v>
      </c>
      <c r="G33" s="13">
        <f>+Data!H65</f>
        <v>1091</v>
      </c>
      <c r="H33" s="13">
        <f>+Data!I65</f>
        <v>1091</v>
      </c>
      <c r="I33" s="13">
        <f>+Data!J65</f>
        <v>1091</v>
      </c>
      <c r="J33" s="13">
        <f>+Data!K65</f>
        <v>1091</v>
      </c>
      <c r="K33" s="13">
        <f>+Data!L65</f>
        <v>1091</v>
      </c>
      <c r="L33" s="13">
        <f>+Data!M65</f>
        <v>1091</v>
      </c>
      <c r="M33" s="13">
        <f>+Data!N65</f>
        <v>1091</v>
      </c>
      <c r="N33" s="13">
        <f>+Data!O65</f>
        <v>1091</v>
      </c>
      <c r="O33" s="13">
        <f>+Data!P65</f>
        <v>13092</v>
      </c>
    </row>
    <row r="34" spans="1:15">
      <c r="A34" s="11" t="str">
        <f>+Data!$D$7</f>
        <v>105573</v>
      </c>
      <c r="B34" s="11" t="s">
        <v>45</v>
      </c>
      <c r="C34" s="13">
        <f>+Data!D68</f>
        <v>0</v>
      </c>
      <c r="D34" s="13">
        <f>+Data!E68</f>
        <v>0</v>
      </c>
      <c r="E34" s="13">
        <f>+Data!F68</f>
        <v>0</v>
      </c>
      <c r="F34" s="13">
        <f>+Data!G68</f>
        <v>0</v>
      </c>
      <c r="G34" s="13">
        <f>+Data!H68</f>
        <v>0</v>
      </c>
      <c r="H34" s="13">
        <f>+Data!I68</f>
        <v>0</v>
      </c>
      <c r="I34" s="13">
        <f>+Data!J68</f>
        <v>0</v>
      </c>
      <c r="J34" s="13">
        <f>+Data!K68</f>
        <v>0</v>
      </c>
      <c r="K34" s="13">
        <f>+Data!L68</f>
        <v>0</v>
      </c>
      <c r="L34" s="13">
        <f>+Data!M68</f>
        <v>0</v>
      </c>
      <c r="M34" s="13">
        <f>+Data!N68</f>
        <v>0</v>
      </c>
      <c r="N34" s="13">
        <f>+Data!O68</f>
        <v>0</v>
      </c>
      <c r="O34" s="13">
        <f>+Data!P68</f>
        <v>0</v>
      </c>
    </row>
    <row r="35" spans="1:15">
      <c r="A35" s="11" t="str">
        <f>+Data!$D$7</f>
        <v>105573</v>
      </c>
      <c r="B35" s="11" t="s">
        <v>44</v>
      </c>
      <c r="C35" s="13">
        <f>+Data!D67</f>
        <v>0</v>
      </c>
      <c r="D35" s="13">
        <f>+Data!E67</f>
        <v>0</v>
      </c>
      <c r="E35" s="13">
        <f>+Data!F67</f>
        <v>0</v>
      </c>
      <c r="F35" s="13">
        <f>+Data!G67</f>
        <v>0</v>
      </c>
      <c r="G35" s="13">
        <f>+Data!H67</f>
        <v>0</v>
      </c>
      <c r="H35" s="13">
        <f>+Data!I67</f>
        <v>0</v>
      </c>
      <c r="I35" s="13">
        <f>+Data!J67</f>
        <v>0</v>
      </c>
      <c r="J35" s="13">
        <f>+Data!K67</f>
        <v>0</v>
      </c>
      <c r="K35" s="13">
        <f>+Data!L67</f>
        <v>0</v>
      </c>
      <c r="L35" s="13">
        <f>+Data!M67</f>
        <v>0</v>
      </c>
      <c r="M35" s="13">
        <f>+Data!N67</f>
        <v>0</v>
      </c>
      <c r="N35" s="13">
        <f>+Data!O67</f>
        <v>0</v>
      </c>
      <c r="O35" s="13">
        <f>+Data!P67</f>
        <v>0</v>
      </c>
    </row>
    <row r="36" spans="1:15">
      <c r="A36" s="11" t="str">
        <f>+Data!$D$7</f>
        <v>105573</v>
      </c>
      <c r="B36" s="11" t="s">
        <v>47</v>
      </c>
      <c r="C36" s="13">
        <f>+Data!D72</f>
        <v>0</v>
      </c>
      <c r="D36" s="13">
        <f>+Data!E72</f>
        <v>0</v>
      </c>
      <c r="E36" s="13">
        <f>+Data!F72</f>
        <v>0</v>
      </c>
      <c r="F36" s="13">
        <f>+Data!G72</f>
        <v>0</v>
      </c>
      <c r="G36" s="13">
        <f>+Data!H72</f>
        <v>0</v>
      </c>
      <c r="H36" s="13">
        <f>+Data!I72</f>
        <v>0</v>
      </c>
      <c r="I36" s="13">
        <f>+Data!J72</f>
        <v>0</v>
      </c>
      <c r="J36" s="13">
        <f>+Data!K72</f>
        <v>0</v>
      </c>
      <c r="K36" s="13">
        <f>+Data!L72</f>
        <v>0</v>
      </c>
      <c r="L36" s="13">
        <f>+Data!M72</f>
        <v>0</v>
      </c>
      <c r="M36" s="13">
        <f>+Data!N72</f>
        <v>0</v>
      </c>
      <c r="N36" s="13">
        <f>+Data!O72</f>
        <v>0</v>
      </c>
      <c r="O36" s="13">
        <f>+Data!P72</f>
        <v>0</v>
      </c>
    </row>
    <row r="37" spans="1:15">
      <c r="A37" s="11" t="str">
        <f>+Data!$D$7</f>
        <v>105573</v>
      </c>
      <c r="B37" s="11" t="s">
        <v>34</v>
      </c>
      <c r="C37" s="13">
        <f>+Data!D83</f>
        <v>0</v>
      </c>
      <c r="D37" s="13">
        <f>+Data!E83</f>
        <v>0</v>
      </c>
      <c r="E37" s="13">
        <f>+Data!F83</f>
        <v>0</v>
      </c>
      <c r="F37" s="13">
        <f>+Data!G83</f>
        <v>0</v>
      </c>
      <c r="G37" s="13">
        <f>+Data!H83</f>
        <v>0</v>
      </c>
      <c r="H37" s="13">
        <f>+Data!I83</f>
        <v>0</v>
      </c>
      <c r="I37" s="13">
        <f>+Data!J83</f>
        <v>0</v>
      </c>
      <c r="J37" s="13">
        <f>+Data!K83</f>
        <v>0</v>
      </c>
      <c r="K37" s="13">
        <f>+Data!L83</f>
        <v>0</v>
      </c>
      <c r="L37" s="13">
        <f>+Data!M83</f>
        <v>0</v>
      </c>
      <c r="M37" s="13">
        <f>+Data!N83</f>
        <v>0</v>
      </c>
      <c r="N37" s="13">
        <f>+Data!O83</f>
        <v>0</v>
      </c>
      <c r="O37" s="13">
        <f>+Data!P83</f>
        <v>0</v>
      </c>
    </row>
    <row r="38" spans="1:15">
      <c r="A38" s="11" t="str">
        <f>+Data!$D$7</f>
        <v>105573</v>
      </c>
      <c r="B38" s="11" t="s">
        <v>137</v>
      </c>
      <c r="C38" s="13">
        <f>+Data!D77</f>
        <v>0</v>
      </c>
      <c r="D38" s="13">
        <f>+Data!E77</f>
        <v>0</v>
      </c>
      <c r="E38" s="13">
        <f>+Data!F77</f>
        <v>0</v>
      </c>
      <c r="F38" s="13">
        <f>+Data!G77</f>
        <v>0</v>
      </c>
      <c r="G38" s="13">
        <f>+Data!H77</f>
        <v>0</v>
      </c>
      <c r="H38" s="13">
        <f>+Data!I77</f>
        <v>0</v>
      </c>
      <c r="I38" s="13">
        <f>+Data!J77</f>
        <v>0</v>
      </c>
      <c r="J38" s="13">
        <f>+Data!K77</f>
        <v>0</v>
      </c>
      <c r="K38" s="13">
        <f>+Data!L77</f>
        <v>0</v>
      </c>
      <c r="L38" s="13">
        <f>+Data!M77</f>
        <v>0</v>
      </c>
      <c r="M38" s="13">
        <f>+Data!N77</f>
        <v>0</v>
      </c>
      <c r="N38" s="13">
        <f>+Data!O77</f>
        <v>0</v>
      </c>
      <c r="O38" s="13">
        <f>+Data!P77</f>
        <v>0</v>
      </c>
    </row>
    <row r="39" spans="1:15">
      <c r="A39" s="11" t="str">
        <f>+Data!$D$7</f>
        <v>105573</v>
      </c>
      <c r="B39" s="93">
        <v>80020366</v>
      </c>
      <c r="C39" s="13">
        <f>+Data!D75</f>
        <v>0</v>
      </c>
      <c r="D39" s="13">
        <f>+Data!E75</f>
        <v>0</v>
      </c>
      <c r="E39" s="13">
        <f>+Data!F75</f>
        <v>0</v>
      </c>
      <c r="F39" s="13">
        <f>+Data!G75</f>
        <v>0</v>
      </c>
      <c r="G39" s="13">
        <f>+Data!H75</f>
        <v>0</v>
      </c>
      <c r="H39" s="13">
        <f>+Data!I75</f>
        <v>0</v>
      </c>
      <c r="I39" s="13">
        <f>+Data!J75</f>
        <v>0</v>
      </c>
      <c r="J39" s="13">
        <f>+Data!K75</f>
        <v>0</v>
      </c>
      <c r="K39" s="13">
        <f>+Data!L75</f>
        <v>0</v>
      </c>
      <c r="L39" s="13">
        <f>+Data!M75</f>
        <v>0</v>
      </c>
      <c r="M39" s="13">
        <f>+Data!N75</f>
        <v>0</v>
      </c>
      <c r="N39" s="13">
        <f>+Data!O75</f>
        <v>0</v>
      </c>
      <c r="O39" s="13">
        <f>+Data!P75</f>
        <v>0</v>
      </c>
    </row>
    <row r="40" spans="1:15">
      <c r="A40" s="11" t="str">
        <f>+Data!$D$7</f>
        <v>105573</v>
      </c>
      <c r="B40" s="11" t="s">
        <v>139</v>
      </c>
      <c r="C40" s="13">
        <f>+Data!D76</f>
        <v>0</v>
      </c>
      <c r="D40" s="13">
        <f>+Data!E76</f>
        <v>0</v>
      </c>
      <c r="E40" s="13">
        <f>+Data!F76</f>
        <v>0</v>
      </c>
      <c r="F40" s="13">
        <f>+Data!G76</f>
        <v>0</v>
      </c>
      <c r="G40" s="13">
        <f>+Data!H76</f>
        <v>0</v>
      </c>
      <c r="H40" s="13">
        <f>+Data!I76</f>
        <v>0</v>
      </c>
      <c r="I40" s="13">
        <f>+Data!J76</f>
        <v>0</v>
      </c>
      <c r="J40" s="13">
        <f>+Data!K76</f>
        <v>0</v>
      </c>
      <c r="K40" s="13">
        <f>+Data!L76</f>
        <v>0</v>
      </c>
      <c r="L40" s="13">
        <f>+Data!M76</f>
        <v>0</v>
      </c>
      <c r="M40" s="13">
        <f>+Data!N76</f>
        <v>0</v>
      </c>
      <c r="N40" s="13">
        <f>+Data!O76</f>
        <v>0</v>
      </c>
      <c r="O40" s="13">
        <f>+Data!P76</f>
        <v>0</v>
      </c>
    </row>
    <row r="41" spans="1:15">
      <c r="A41" s="11" t="str">
        <f>+Data!$D$7</f>
        <v>105573</v>
      </c>
      <c r="B41" s="11" t="s">
        <v>141</v>
      </c>
      <c r="C41" s="13">
        <f>+Data!D81</f>
        <v>0</v>
      </c>
      <c r="D41" s="13">
        <f>+Data!E81</f>
        <v>0</v>
      </c>
      <c r="E41" s="13">
        <f>+Data!F81</f>
        <v>0</v>
      </c>
      <c r="F41" s="13">
        <f>+Data!G81</f>
        <v>0</v>
      </c>
      <c r="G41" s="13">
        <f>+Data!H81</f>
        <v>0</v>
      </c>
      <c r="H41" s="13">
        <f>+Data!I81</f>
        <v>0</v>
      </c>
      <c r="I41" s="13">
        <f>+Data!J81</f>
        <v>0</v>
      </c>
      <c r="J41" s="13">
        <f>+Data!K81</f>
        <v>0</v>
      </c>
      <c r="K41" s="13">
        <f>+Data!L81</f>
        <v>0</v>
      </c>
      <c r="L41" s="13">
        <f>+Data!M81</f>
        <v>0</v>
      </c>
      <c r="M41" s="13">
        <f>+Data!N81</f>
        <v>0</v>
      </c>
      <c r="N41" s="13">
        <f>+Data!O81</f>
        <v>0</v>
      </c>
      <c r="O41" s="13">
        <f>+Data!P81</f>
        <v>0</v>
      </c>
    </row>
    <row r="42" spans="1:15">
      <c r="A42" s="11" t="str">
        <f>+Data!$D$7</f>
        <v>105573</v>
      </c>
      <c r="B42" s="11" t="s">
        <v>140</v>
      </c>
      <c r="C42" s="13">
        <f>+Data!D79</f>
        <v>0</v>
      </c>
      <c r="D42" s="13">
        <f>+Data!E79</f>
        <v>0</v>
      </c>
      <c r="E42" s="13">
        <f>+Data!F79</f>
        <v>0</v>
      </c>
      <c r="F42" s="13">
        <f>+Data!G79</f>
        <v>0</v>
      </c>
      <c r="G42" s="13">
        <f>+Data!H79</f>
        <v>0</v>
      </c>
      <c r="H42" s="13">
        <f>+Data!I79</f>
        <v>0</v>
      </c>
      <c r="I42" s="13">
        <f>+Data!J79</f>
        <v>0</v>
      </c>
      <c r="J42" s="13">
        <f>+Data!K79</f>
        <v>0</v>
      </c>
      <c r="K42" s="13">
        <f>+Data!L79</f>
        <v>0</v>
      </c>
      <c r="L42" s="13">
        <f>+Data!M79</f>
        <v>0</v>
      </c>
      <c r="M42" s="13">
        <f>+Data!N79</f>
        <v>0</v>
      </c>
      <c r="N42" s="13">
        <f>+Data!O79</f>
        <v>0</v>
      </c>
      <c r="O42" s="13">
        <f>+Data!P79</f>
        <v>0</v>
      </c>
    </row>
    <row r="43" spans="1:15">
      <c r="A43" s="11" t="str">
        <f>+Data!$D$7</f>
        <v>105573</v>
      </c>
      <c r="B43" s="11" t="s">
        <v>51</v>
      </c>
      <c r="C43" s="13">
        <f>+Data!D87</f>
        <v>0</v>
      </c>
      <c r="D43" s="13">
        <f>+Data!E87</f>
        <v>0</v>
      </c>
      <c r="E43" s="13">
        <f>+Data!F87</f>
        <v>0</v>
      </c>
      <c r="F43" s="13">
        <f>+Data!G87</f>
        <v>0</v>
      </c>
      <c r="G43" s="13">
        <f>+Data!H87</f>
        <v>0</v>
      </c>
      <c r="H43" s="13">
        <f>+Data!I87</f>
        <v>0</v>
      </c>
      <c r="I43" s="13">
        <f>+Data!J87</f>
        <v>0</v>
      </c>
      <c r="J43" s="13">
        <f>+Data!K87</f>
        <v>0</v>
      </c>
      <c r="K43" s="13">
        <f>+Data!L87</f>
        <v>0</v>
      </c>
      <c r="L43" s="13">
        <f>+Data!M87</f>
        <v>0</v>
      </c>
      <c r="M43" s="13">
        <f>+Data!N87</f>
        <v>0</v>
      </c>
      <c r="N43" s="13">
        <f>+Data!O87</f>
        <v>0</v>
      </c>
      <c r="O43" s="13">
        <f>+Data!P87</f>
        <v>0</v>
      </c>
    </row>
    <row r="44" spans="1:15">
      <c r="A44" s="11" t="str">
        <f>+Data!$D$7</f>
        <v>105573</v>
      </c>
      <c r="B44" s="11" t="s">
        <v>50</v>
      </c>
      <c r="C44" s="13">
        <f>+Data!D86</f>
        <v>0</v>
      </c>
      <c r="D44" s="13">
        <f>+Data!E86</f>
        <v>0</v>
      </c>
      <c r="E44" s="13">
        <f>+Data!F86</f>
        <v>0</v>
      </c>
      <c r="F44" s="13">
        <f>+Data!G86</f>
        <v>0</v>
      </c>
      <c r="G44" s="13">
        <f>+Data!H86</f>
        <v>0</v>
      </c>
      <c r="H44" s="13">
        <f>+Data!I86</f>
        <v>0</v>
      </c>
      <c r="I44" s="13">
        <f>+Data!J86</f>
        <v>0</v>
      </c>
      <c r="J44" s="13">
        <f>+Data!K86</f>
        <v>0</v>
      </c>
      <c r="K44" s="13">
        <f>+Data!L86</f>
        <v>0</v>
      </c>
      <c r="L44" s="13">
        <f>+Data!M86</f>
        <v>0</v>
      </c>
      <c r="M44" s="13">
        <f>+Data!N86</f>
        <v>0</v>
      </c>
      <c r="N44" s="13">
        <f>+Data!O86</f>
        <v>0</v>
      </c>
      <c r="O44" s="13">
        <f>+Data!P86</f>
        <v>0</v>
      </c>
    </row>
    <row r="45" spans="1:15">
      <c r="A45" s="11" t="str">
        <f>+Data!$D$7</f>
        <v>105573</v>
      </c>
      <c r="B45" s="11" t="s">
        <v>27</v>
      </c>
      <c r="C45" s="13">
        <f>+Data!D33</f>
        <v>2821</v>
      </c>
      <c r="D45" s="13">
        <f>+Data!E33</f>
        <v>2945</v>
      </c>
      <c r="E45" s="13">
        <f>+Data!F33</f>
        <v>2945</v>
      </c>
      <c r="F45" s="13">
        <f>+Data!G33</f>
        <v>2945</v>
      </c>
      <c r="G45" s="13">
        <f>+Data!H33</f>
        <v>2945</v>
      </c>
      <c r="H45" s="13">
        <f>+Data!I33</f>
        <v>2945</v>
      </c>
      <c r="I45" s="13">
        <f>+Data!J33</f>
        <v>2945</v>
      </c>
      <c r="J45" s="13">
        <f>+Data!K33</f>
        <v>2945</v>
      </c>
      <c r="K45" s="13">
        <f>+Data!L33</f>
        <v>2945</v>
      </c>
      <c r="L45" s="13">
        <f>+Data!M33</f>
        <v>2945</v>
      </c>
      <c r="M45" s="13">
        <f>+Data!N33</f>
        <v>2945</v>
      </c>
      <c r="N45" s="13">
        <f>+Data!O33</f>
        <v>2945</v>
      </c>
      <c r="O45" s="13">
        <f>+Data!P33</f>
        <v>35216</v>
      </c>
    </row>
    <row r="46" spans="1:15">
      <c r="A46" s="11" t="str">
        <f>+Data!$D$7</f>
        <v>105573</v>
      </c>
      <c r="B46" s="11" t="s">
        <v>52</v>
      </c>
      <c r="C46" s="13">
        <f>+Data!D89</f>
        <v>0</v>
      </c>
      <c r="D46" s="13">
        <f>+Data!E89</f>
        <v>0</v>
      </c>
      <c r="E46" s="13">
        <f>+Data!F89</f>
        <v>0</v>
      </c>
      <c r="F46" s="13">
        <f>+Data!G89</f>
        <v>0</v>
      </c>
      <c r="G46" s="13">
        <f>+Data!H89</f>
        <v>0</v>
      </c>
      <c r="H46" s="13">
        <f>+Data!I89</f>
        <v>0</v>
      </c>
      <c r="I46" s="13">
        <f>+Data!J89</f>
        <v>0</v>
      </c>
      <c r="J46" s="13">
        <f>+Data!K89</f>
        <v>0</v>
      </c>
      <c r="K46" s="13">
        <f>+Data!L89</f>
        <v>0</v>
      </c>
      <c r="L46" s="13">
        <f>+Data!M89</f>
        <v>0</v>
      </c>
      <c r="M46" s="13">
        <f>+Data!N89</f>
        <v>0</v>
      </c>
      <c r="N46" s="13">
        <f>+Data!O89</f>
        <v>0</v>
      </c>
      <c r="O46" s="13">
        <f>+Data!P89</f>
        <v>0</v>
      </c>
    </row>
    <row r="47" spans="1:15">
      <c r="A47" s="11" t="str">
        <f>+Data!$D$7</f>
        <v>105573</v>
      </c>
      <c r="B47" s="11" t="s">
        <v>144</v>
      </c>
      <c r="C47" s="13">
        <f>+Data!D35</f>
        <v>0</v>
      </c>
      <c r="D47" s="13">
        <f>+Data!E35</f>
        <v>0</v>
      </c>
      <c r="E47" s="13">
        <f>+Data!F35</f>
        <v>0</v>
      </c>
      <c r="F47" s="13">
        <f>+Data!G35</f>
        <v>0</v>
      </c>
      <c r="G47" s="13">
        <f>+Data!H35</f>
        <v>0</v>
      </c>
      <c r="H47" s="13">
        <f>+Data!I35</f>
        <v>0</v>
      </c>
      <c r="I47" s="13">
        <f>+Data!J35</f>
        <v>0</v>
      </c>
      <c r="J47" s="13">
        <f>+Data!K35</f>
        <v>0</v>
      </c>
      <c r="K47" s="13">
        <f>+Data!L35</f>
        <v>0</v>
      </c>
      <c r="L47" s="13">
        <f>+Data!M35</f>
        <v>0</v>
      </c>
      <c r="M47" s="13">
        <f>+Data!N35</f>
        <v>0</v>
      </c>
      <c r="N47" s="13">
        <f>+Data!O35</f>
        <v>0</v>
      </c>
      <c r="O47" s="13">
        <f>+Data!P35</f>
        <v>0</v>
      </c>
    </row>
    <row r="48" spans="1:15">
      <c r="A48" s="11" t="str">
        <f>+Data!$D$7</f>
        <v>105573</v>
      </c>
      <c r="B48" s="11" t="s">
        <v>145</v>
      </c>
      <c r="C48" s="13">
        <f>+Data!D41</f>
        <v>0</v>
      </c>
      <c r="D48" s="13">
        <f>+Data!E41</f>
        <v>0</v>
      </c>
      <c r="E48" s="13">
        <f>+Data!F41</f>
        <v>0</v>
      </c>
      <c r="F48" s="13">
        <f>+Data!G41</f>
        <v>0</v>
      </c>
      <c r="G48" s="13">
        <f>+Data!H41</f>
        <v>0</v>
      </c>
      <c r="H48" s="13">
        <f>+Data!I41</f>
        <v>0</v>
      </c>
      <c r="I48" s="13">
        <f>+Data!J41</f>
        <v>0</v>
      </c>
      <c r="J48" s="13">
        <f>+Data!K41</f>
        <v>0</v>
      </c>
      <c r="K48" s="13">
        <f>+Data!L41</f>
        <v>0</v>
      </c>
      <c r="L48" s="13">
        <f>+Data!M41</f>
        <v>0</v>
      </c>
      <c r="M48" s="13">
        <f>+Data!N41</f>
        <v>0</v>
      </c>
      <c r="N48" s="13">
        <f>+Data!O41</f>
        <v>0</v>
      </c>
      <c r="O48" s="13">
        <f>+Data!P41</f>
        <v>0</v>
      </c>
    </row>
    <row r="49" spans="1:16">
      <c r="A49" s="11" t="str">
        <f>+Data!$D$7</f>
        <v>105573</v>
      </c>
      <c r="B49" s="11" t="s">
        <v>146</v>
      </c>
      <c r="C49" s="13">
        <f>+Data!D45</f>
        <v>235</v>
      </c>
      <c r="D49" s="13">
        <f>+Data!E45</f>
        <v>235</v>
      </c>
      <c r="E49" s="13">
        <f>+Data!F45</f>
        <v>235</v>
      </c>
      <c r="F49" s="13">
        <f>+Data!G45</f>
        <v>235</v>
      </c>
      <c r="G49" s="13">
        <f>+Data!H45</f>
        <v>235</v>
      </c>
      <c r="H49" s="13">
        <f>+Data!I45</f>
        <v>235</v>
      </c>
      <c r="I49" s="13">
        <f>+Data!J45</f>
        <v>235</v>
      </c>
      <c r="J49" s="13">
        <f>+Data!K45</f>
        <v>235</v>
      </c>
      <c r="K49" s="13">
        <f>+Data!L45</f>
        <v>235</v>
      </c>
      <c r="L49" s="13">
        <f>+Data!M45</f>
        <v>235</v>
      </c>
      <c r="M49" s="13">
        <f>+Data!N45</f>
        <v>235</v>
      </c>
      <c r="N49" s="13">
        <f>+Data!O45</f>
        <v>235</v>
      </c>
      <c r="O49" s="13">
        <f>+Data!P45</f>
        <v>2820</v>
      </c>
    </row>
    <row r="50" spans="1:16">
      <c r="A50" s="11" t="str">
        <f>+Data!$D$7</f>
        <v>105573</v>
      </c>
      <c r="B50" s="11" t="s">
        <v>147</v>
      </c>
      <c r="C50" s="13">
        <f>+Data!D46</f>
        <v>190</v>
      </c>
      <c r="D50" s="13">
        <f>+Data!E46</f>
        <v>190</v>
      </c>
      <c r="E50" s="13">
        <f>+Data!F46</f>
        <v>190</v>
      </c>
      <c r="F50" s="13">
        <f>+Data!G46</f>
        <v>190</v>
      </c>
      <c r="G50" s="13">
        <f>+Data!H46</f>
        <v>190</v>
      </c>
      <c r="H50" s="13">
        <f>+Data!I46</f>
        <v>190</v>
      </c>
      <c r="I50" s="13">
        <f>+Data!J46</f>
        <v>190</v>
      </c>
      <c r="J50" s="13">
        <f>+Data!K46</f>
        <v>190</v>
      </c>
      <c r="K50" s="13">
        <f>+Data!L46</f>
        <v>190</v>
      </c>
      <c r="L50" s="13">
        <f>+Data!M46</f>
        <v>190</v>
      </c>
      <c r="M50" s="13">
        <f>+Data!N46</f>
        <v>190</v>
      </c>
      <c r="N50" s="13">
        <f>+Data!O46</f>
        <v>190</v>
      </c>
      <c r="O50" s="13">
        <f>+Data!P46</f>
        <v>2280</v>
      </c>
    </row>
    <row r="51" spans="1:16">
      <c r="A51" s="11" t="str">
        <f>+Data!$D$7</f>
        <v>105573</v>
      </c>
      <c r="B51" s="11" t="s">
        <v>148</v>
      </c>
      <c r="C51" s="13">
        <f>+Data!D47</f>
        <v>903</v>
      </c>
      <c r="D51" s="13">
        <f>+Data!E47</f>
        <v>903</v>
      </c>
      <c r="E51" s="13">
        <f>+Data!F47</f>
        <v>903</v>
      </c>
      <c r="F51" s="13">
        <f>+Data!G47</f>
        <v>903</v>
      </c>
      <c r="G51" s="13">
        <f>+Data!H47</f>
        <v>903</v>
      </c>
      <c r="H51" s="13">
        <f>+Data!I47</f>
        <v>903</v>
      </c>
      <c r="I51" s="13">
        <f>+Data!J47</f>
        <v>903</v>
      </c>
      <c r="J51" s="13">
        <f>+Data!K47</f>
        <v>903</v>
      </c>
      <c r="K51" s="13">
        <f>+Data!L47</f>
        <v>903</v>
      </c>
      <c r="L51" s="13">
        <f>+Data!M47</f>
        <v>903</v>
      </c>
      <c r="M51" s="13">
        <f>+Data!N47</f>
        <v>903</v>
      </c>
      <c r="N51" s="13">
        <f>+Data!O47</f>
        <v>903</v>
      </c>
      <c r="O51" s="13">
        <f>+Data!P47</f>
        <v>10836</v>
      </c>
    </row>
    <row r="52" spans="1:16">
      <c r="A52" s="11" t="str">
        <f>+Data!$D$7</f>
        <v>105573</v>
      </c>
      <c r="B52" s="11" t="s">
        <v>149</v>
      </c>
      <c r="C52" s="13">
        <f>+Data!D49</f>
        <v>0</v>
      </c>
      <c r="D52" s="13">
        <f>+Data!E49</f>
        <v>0</v>
      </c>
      <c r="E52" s="13">
        <f>+Data!F49</f>
        <v>0</v>
      </c>
      <c r="F52" s="13">
        <f>+Data!G49</f>
        <v>0</v>
      </c>
      <c r="G52" s="13">
        <f>+Data!H49</f>
        <v>0</v>
      </c>
      <c r="H52" s="13">
        <f>+Data!I49</f>
        <v>0</v>
      </c>
      <c r="I52" s="13">
        <f>+Data!J49</f>
        <v>0</v>
      </c>
      <c r="J52" s="13">
        <f>+Data!K49</f>
        <v>0</v>
      </c>
      <c r="K52" s="13">
        <f>+Data!L49</f>
        <v>0</v>
      </c>
      <c r="L52" s="13">
        <f>+Data!M49</f>
        <v>0</v>
      </c>
      <c r="M52" s="13">
        <f>+Data!N49</f>
        <v>0</v>
      </c>
      <c r="N52" s="13">
        <f>+Data!O49</f>
        <v>0</v>
      </c>
      <c r="O52" s="13">
        <f>+Data!P49</f>
        <v>0</v>
      </c>
    </row>
    <row r="53" spans="1:16">
      <c r="A53" s="11" t="str">
        <f>+Data!$D$7</f>
        <v>105573</v>
      </c>
      <c r="B53" s="11" t="s">
        <v>150</v>
      </c>
      <c r="C53" s="13">
        <f>+Data!D51</f>
        <v>0</v>
      </c>
      <c r="D53" s="13">
        <f>+Data!E51</f>
        <v>0</v>
      </c>
      <c r="E53" s="13">
        <f>+Data!F51</f>
        <v>0</v>
      </c>
      <c r="F53" s="13">
        <f>+Data!G51</f>
        <v>0</v>
      </c>
      <c r="G53" s="13">
        <f>+Data!H51</f>
        <v>0</v>
      </c>
      <c r="H53" s="13">
        <f>+Data!I51</f>
        <v>0</v>
      </c>
      <c r="I53" s="13">
        <f>+Data!J51</f>
        <v>0</v>
      </c>
      <c r="J53" s="13">
        <f>+Data!K51</f>
        <v>0</v>
      </c>
      <c r="K53" s="13">
        <f>+Data!L51</f>
        <v>0</v>
      </c>
      <c r="L53" s="13">
        <f>+Data!M51</f>
        <v>0</v>
      </c>
      <c r="M53" s="13">
        <f>+Data!N51</f>
        <v>0</v>
      </c>
      <c r="N53" s="13">
        <f>+Data!O51</f>
        <v>0</v>
      </c>
      <c r="O53" s="13">
        <f>+Data!P51</f>
        <v>0</v>
      </c>
    </row>
    <row r="54" spans="1:16">
      <c r="A54" s="11" t="str">
        <f>+Data!$D$7</f>
        <v>105573</v>
      </c>
      <c r="B54" s="11" t="s">
        <v>151</v>
      </c>
      <c r="C54" s="13">
        <f>+Data!D52</f>
        <v>0</v>
      </c>
      <c r="D54" s="13">
        <f>+Data!E52</f>
        <v>0</v>
      </c>
      <c r="E54" s="13">
        <f>+Data!F52</f>
        <v>0</v>
      </c>
      <c r="F54" s="13">
        <f>+Data!G52</f>
        <v>0</v>
      </c>
      <c r="G54" s="13">
        <f>+Data!H52</f>
        <v>0</v>
      </c>
      <c r="H54" s="13">
        <f>+Data!I52</f>
        <v>0</v>
      </c>
      <c r="I54" s="13">
        <f>+Data!J52</f>
        <v>0</v>
      </c>
      <c r="J54" s="13">
        <f>+Data!K52</f>
        <v>0</v>
      </c>
      <c r="K54" s="13">
        <f>+Data!L52</f>
        <v>0</v>
      </c>
      <c r="L54" s="13">
        <f>+Data!M52</f>
        <v>0</v>
      </c>
      <c r="M54" s="13">
        <f>+Data!N52</f>
        <v>0</v>
      </c>
      <c r="N54" s="13">
        <f>+Data!O52</f>
        <v>0</v>
      </c>
      <c r="O54" s="13">
        <f>+Data!P52</f>
        <v>0</v>
      </c>
    </row>
    <row r="55" spans="1:16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6">
      <c r="C56" s="15">
        <f t="shared" ref="C56:N56" si="0">SUM(C7:C55)</f>
        <v>143530.5</v>
      </c>
      <c r="D56" s="15">
        <f t="shared" si="0"/>
        <v>145836.5</v>
      </c>
      <c r="E56" s="15">
        <f t="shared" si="0"/>
        <v>145836.5</v>
      </c>
      <c r="F56" s="15">
        <f t="shared" si="0"/>
        <v>145836.5</v>
      </c>
      <c r="G56" s="15">
        <f t="shared" si="0"/>
        <v>145837.5</v>
      </c>
      <c r="H56" s="15">
        <f t="shared" si="0"/>
        <v>245837.5</v>
      </c>
      <c r="I56" s="15">
        <f t="shared" si="0"/>
        <v>145837.5</v>
      </c>
      <c r="J56" s="15">
        <f t="shared" si="0"/>
        <v>145837.5</v>
      </c>
      <c r="K56" s="15">
        <f t="shared" si="0"/>
        <v>301838.5</v>
      </c>
      <c r="L56" s="15">
        <f t="shared" si="0"/>
        <v>245838.5</v>
      </c>
      <c r="M56" s="15">
        <f t="shared" si="0"/>
        <v>245838.5</v>
      </c>
      <c r="N56" s="15">
        <f t="shared" si="0"/>
        <v>245838.5</v>
      </c>
      <c r="O56" s="15">
        <f>SUM(C56:N56)</f>
        <v>2303744</v>
      </c>
      <c r="P56" s="1" t="s">
        <v>58</v>
      </c>
    </row>
    <row r="57" spans="1:16">
      <c r="B57" s="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>
        <f>+O56-Data!N90</f>
        <v>2057905.5</v>
      </c>
      <c r="P57" s="3" t="s">
        <v>59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Assumptions</vt:lpstr>
      <vt:lpstr>01 vs 02</vt:lpstr>
      <vt:lpstr>Plan Summary</vt:lpstr>
      <vt:lpstr>Data</vt:lpstr>
      <vt:lpstr>Allocations</vt:lpstr>
      <vt:lpstr>2001 HC</vt:lpstr>
      <vt:lpstr>2002 HC</vt:lpstr>
      <vt:lpstr>Headcount</vt:lpstr>
      <vt:lpstr>Upload</vt:lpstr>
      <vt:lpstr>Data!Print_Area</vt:lpstr>
      <vt:lpstr>Data!Print_Titles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2001-09-13T18:33:54Z</cp:lastPrinted>
  <dcterms:created xsi:type="dcterms:W3CDTF">1998-07-08T19:32:38Z</dcterms:created>
  <dcterms:modified xsi:type="dcterms:W3CDTF">2023-09-16T23:21:33Z</dcterms:modified>
</cp:coreProperties>
</file>