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6C3DCD-1E7C-4AA8-91A9-88A70167A557}" xr6:coauthVersionLast="47" xr6:coauthVersionMax="47" xr10:uidLastSave="{00000000-0000-0000-0000-000000000000}"/>
  <bookViews>
    <workbookView xWindow="-120" yWindow="-120" windowWidth="38640" windowHeight="15720" tabRatio="857" activeTab="13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0">'1115'!$A$1:$O$43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C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C38" i="154"/>
  <c r="D38" i="154"/>
  <c r="E38" i="154"/>
  <c r="F38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sharedStrings.xml><?xml version="1.0" encoding="utf-8"?>
<sst xmlns="http://schemas.openxmlformats.org/spreadsheetml/2006/main" count="729" uniqueCount="62">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</sst>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</row>
        <row r="27">
          <cell r="B27">
            <v>37218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-34975670</v>
          </cell>
        </row>
        <row r="22">
          <cell r="J22">
            <v>9891900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1037620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10294536</v>
          </cell>
        </row>
        <row r="16">
          <cell r="K16">
            <v>719702.16000000015</v>
          </cell>
        </row>
        <row r="47">
          <cell r="G47">
            <v>0</v>
          </cell>
          <cell r="I47" t="str">
            <v>Loan Outstanding for VM</v>
          </cell>
          <cell r="K47">
            <v>3723267.5600000052</v>
          </cell>
        </row>
      </sheetData>
      <sheetData sheetId="14">
        <row r="19">
          <cell r="J19">
            <v>111368742.40000001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559852</v>
          </cell>
        </row>
      </sheetData>
      <sheetData sheetId="19"/>
      <sheetData sheetId="20">
        <row r="12">
          <cell r="I12">
            <v>2461885.9900000002</v>
          </cell>
        </row>
      </sheetData>
      <sheetData sheetId="21">
        <row r="16">
          <cell r="K16">
            <v>5402393</v>
          </cell>
        </row>
        <row r="17">
          <cell r="K17">
            <v>5402393</v>
          </cell>
        </row>
        <row r="47">
          <cell r="I47">
            <v>5402393</v>
          </cell>
        </row>
      </sheetData>
      <sheetData sheetId="22">
        <row r="16">
          <cell r="K16">
            <v>67200.23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7079.2799999999697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7079.2799999999697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7079.2799999999697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7079.2799999999697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7079.2799999999697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7079.2799999999697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7079.2799999999697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7079.2799999999697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-6441.8700000000099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-6441.8700000000099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-6441.8700000000099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-6441.8700000000099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-6441.8700000000099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-6441.8700000000099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-6441.8700000000099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-6441.8700000000099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-6441.8700000000099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-6441.8700000000099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-6441.8700000000099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-5404433.8200000059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-5404433.8200000059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-5404433.8200000059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-5404433.8200000059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-5404433.8200000059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-5404433.8200000059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-5404433.8200000059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-5404433.8200000059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-5404433.8200000059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-5404433.8200000059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8699.7100000004466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8699.7100000004466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8699.7100000004466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8699.7100000004466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8699.7100000004466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8699.7100000004466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8699.7100000004466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8699.7100000004466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8699.7100000004466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8699.7100000004466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8699.7100000004466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4924701.8336425684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4922326.5191101832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4731014.4153767787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4731014.4153767787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4917118.4255789807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72009999.565999806</v>
          </cell>
          <cell r="CX845">
            <v>3339051.1700000092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37217</v>
          </cell>
          <cell r="CT887">
            <v>72009999.565999806</v>
          </cell>
          <cell r="CX887">
            <v>3339051.1700000092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72009999.565999806</v>
          </cell>
          <cell r="CX929">
            <v>3339051.1700000092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37219</v>
          </cell>
          <cell r="CT971">
            <v>72009999.565999806</v>
          </cell>
          <cell r="CX971">
            <v>3339051.1700000092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72009999.565999806</v>
          </cell>
          <cell r="CX1013">
            <v>3339051.1700000092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72009999.565999806</v>
          </cell>
          <cell r="CX1055">
            <v>3339051.1700000092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72009999.565999806</v>
          </cell>
          <cell r="CX1097">
            <v>3339051.1700000092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72009999.565999806</v>
          </cell>
          <cell r="CX1139">
            <v>3339051.1700000092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72009999.565999806</v>
          </cell>
          <cell r="CX1181">
            <v>3339051.1700000092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72009999.565999806</v>
          </cell>
          <cell r="CX1223">
            <v>3339051.1700000092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72009999.565999806</v>
          </cell>
          <cell r="CX1265">
            <v>3339051.1700000092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5339446.5300000748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5339446.5300000748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5339446.5300000748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5339446.5300000748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5339446.5300000748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5339446.5300000748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5339446.5300000748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5339446.5300000748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5339446.5300000748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5339446.5300000748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-259413.97399997525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-259413.97399997525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-259413.97399997525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-259413.97399997525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-259413.97399997525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-259413.97399997525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-259413.97399997525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-259413.97399997525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-259413.97399997525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-259413.97399997525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-259413.97399997525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438570.68000000343</v>
          </cell>
        </row>
        <row r="850">
          <cell r="CX850" t="str">
            <v>OTE</v>
          </cell>
        </row>
        <row r="851">
          <cell r="CX851">
            <v>0</v>
          </cell>
        </row>
        <row r="887">
          <cell r="A887">
            <v>37217</v>
          </cell>
          <cell r="CX887">
            <v>438570.68000000343</v>
          </cell>
        </row>
        <row r="892">
          <cell r="CX892" t="str">
            <v>OTE</v>
          </cell>
        </row>
        <row r="893">
          <cell r="CX893">
            <v>0</v>
          </cell>
        </row>
        <row r="929">
          <cell r="A929">
            <v>37218</v>
          </cell>
          <cell r="CX929">
            <v>438570.68000000343</v>
          </cell>
        </row>
        <row r="934">
          <cell r="CX934" t="str">
            <v>OTE</v>
          </cell>
        </row>
        <row r="935">
          <cell r="CX935">
            <v>0</v>
          </cell>
        </row>
        <row r="971">
          <cell r="A971">
            <v>37219</v>
          </cell>
          <cell r="CX971">
            <v>438570.68000000343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438570.68000000343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438570.68000000343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438570.68000000343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438570.68000000343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438570.68000000343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438570.68000000343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438570.68000000343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-25393430.080000006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-25393430.080000006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-25393430.080000006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-25393430.080000006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-25393430.080000006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-25393430.080000006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-25393430.080000006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-25393430.080000006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-25393430.080000006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-25393430.080000006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-25393430.080000006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2968987.318591</v>
          </cell>
          <cell r="CG845">
            <v>150236.5</v>
          </cell>
          <cell r="CH845">
            <v>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2968987.318591</v>
          </cell>
          <cell r="CG887">
            <v>150236.5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2968987.318591</v>
          </cell>
          <cell r="CG929">
            <v>150236.5</v>
          </cell>
          <cell r="CH929">
            <v>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2968987.318591</v>
          </cell>
          <cell r="CG971">
            <v>150236.5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2968987.318591</v>
          </cell>
          <cell r="CG1013">
            <v>150236.5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2968987.318591</v>
          </cell>
          <cell r="CG1055">
            <v>150236.5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2968987.318591</v>
          </cell>
          <cell r="CG1097">
            <v>150236.5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2968987.318591</v>
          </cell>
          <cell r="CG1139">
            <v>150236.5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2968987.318591</v>
          </cell>
          <cell r="CG1181">
            <v>150236.5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2968987.318591</v>
          </cell>
          <cell r="CG1223">
            <v>150236.5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2968987.318591</v>
          </cell>
          <cell r="CG1265">
            <v>150236.5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1205405.0599999996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1205405.0599999996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1205405.0599999996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1205405.0599999996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1205405.0599999996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1205405.0599999996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1205405.0599999996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1205405.0599999996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1205405.0599999996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1205405.0599999996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5"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G21" sqref="G21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348319.02600002475</v>
      </c>
      <c r="C8" s="68"/>
      <c r="D8" s="68">
        <f t="shared" ref="D8:D26" si="0">B8-C8</f>
        <v>348319.02600002475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SUMIF([15]Statements!$A$5:$A$1305,$A$3,[15]Statements!$FF$5:$FF$1305)+11288</f>
        <v>2388353.6505374773</v>
      </c>
      <c r="C12" s="68"/>
      <c r="D12" s="68">
        <f t="shared" si="0"/>
        <v>2388353.6505374773</v>
      </c>
      <c r="E12" s="68">
        <v>0</v>
      </c>
      <c r="F12" s="68">
        <f>'[1]CARR FUTURES'!$I$12</f>
        <v>2461885.9900000002</v>
      </c>
      <c r="G12" s="68"/>
      <c r="H12" s="68">
        <f t="shared" si="1"/>
        <v>2461885.9900000002</v>
      </c>
      <c r="I12" s="68"/>
      <c r="J12" s="68"/>
      <c r="K12" s="68"/>
      <c r="L12" s="68">
        <f t="shared" si="2"/>
        <v>-73532.339462522883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395849.09000000358</v>
      </c>
      <c r="C13" s="68"/>
      <c r="D13" s="68">
        <f t="shared" si="0"/>
        <v>395849.09000000358</v>
      </c>
      <c r="E13" s="68">
        <v>0</v>
      </c>
      <c r="F13" s="68">
        <f>'[1]CREDIT SUISSE FIRST BOSTON'!$I$12</f>
        <v>559852</v>
      </c>
      <c r="G13" s="68"/>
      <c r="H13" s="68">
        <f t="shared" si="1"/>
        <v>559852</v>
      </c>
      <c r="I13" s="68"/>
      <c r="J13" s="68"/>
      <c r="K13" s="68"/>
      <c r="L13" s="68">
        <f t="shared" si="2"/>
        <v>-164002.90999999642</v>
      </c>
      <c r="M13" s="12"/>
      <c r="N13" s="46"/>
      <c r="O13" s="46"/>
    </row>
    <row r="14" spans="1:17" x14ac:dyDescent="0.2">
      <c r="A14" t="s">
        <v>9</v>
      </c>
      <c r="B14" s="68">
        <f>SUMIF([16]Statements!$A$5:$A$1305,$A$3,[16]Statements!$CT$5:$CT$1305)-SUMIF([16]Statements!$A$5:$A$1305,$A$3,[16]Statements!$CX$5:$CX$1305)-5</f>
        <v>43175380.895999767</v>
      </c>
      <c r="C14" s="68"/>
      <c r="D14" s="68">
        <f t="shared" si="0"/>
        <v>43175380.895999767</v>
      </c>
      <c r="E14" s="68">
        <f>+'[1]EDF MANN'!$J$20</f>
        <v>-34975670</v>
      </c>
      <c r="F14" s="68">
        <f>'[1]EDF MANN'!$J$22</f>
        <v>9891900</v>
      </c>
      <c r="G14" s="69"/>
      <c r="H14" s="68">
        <f t="shared" si="1"/>
        <v>9891900</v>
      </c>
      <c r="I14" s="69"/>
      <c r="J14" s="69"/>
      <c r="K14" s="69"/>
      <c r="L14" s="68">
        <f t="shared" ref="L14:L20" si="3">B14+E14-F14+J14</f>
        <v>-1692189.1040002331</v>
      </c>
      <c r="M14" s="12"/>
      <c r="N14" s="46"/>
      <c r="O14" s="46"/>
    </row>
    <row r="15" spans="1:17" x14ac:dyDescent="0.2">
      <c r="A15" t="s">
        <v>38</v>
      </c>
      <c r="B15" s="70">
        <f>SUMIF([5]Statements!$A$5:$A$1305,$A$3,[5]Statements!$BB$5:$BB$1305)-3</f>
        <v>11014237.919999994</v>
      </c>
      <c r="C15" s="70">
        <f>[1]Fimat!$K$47</f>
        <v>3723267.5600000052</v>
      </c>
      <c r="D15" s="68">
        <f t="shared" si="0"/>
        <v>7290970.3599999892</v>
      </c>
      <c r="E15" s="70">
        <v>0</v>
      </c>
      <c r="F15" s="70">
        <f>[1]Fimat!$K$12</f>
        <v>10294536</v>
      </c>
      <c r="G15" s="54">
        <f>[1]Fimat!$G$47</f>
        <v>0</v>
      </c>
      <c r="H15" s="54">
        <f t="shared" si="1"/>
        <v>10294536</v>
      </c>
      <c r="I15" s="54">
        <v>1</v>
      </c>
      <c r="J15" s="69">
        <f>SUMIF('[1]WIRE WORKSHEET'!$B$4:$B$36,A2,'[1]WIRE WORKSHEET'!$BB$4:$BB$36)</f>
        <v>-719702.16</v>
      </c>
      <c r="K15" s="54"/>
      <c r="L15" s="68">
        <f t="shared" si="3"/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453486.31859100005</v>
      </c>
      <c r="C16" s="68"/>
      <c r="D16" s="68">
        <f t="shared" si="0"/>
        <v>453486.31859100005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227606.5</v>
      </c>
      <c r="O17" s="46">
        <f>SUMIF([6]Statements!$BX$5:$BX$1305,$A$3,[6]Statements!$CH$5:$CH$1305)</f>
        <v>199720</v>
      </c>
    </row>
    <row r="18" spans="1:15" x14ac:dyDescent="0.2">
      <c r="A18" t="s">
        <v>35</v>
      </c>
      <c r="B18" s="68">
        <f>SUMIF([7]Statements!$A$5:$A$1305,$A$3,[7]Statements!$BB$5:$BB$1305)-5</f>
        <v>653619.9299999997</v>
      </c>
      <c r="C18" s="68"/>
      <c r="D18" s="68">
        <f t="shared" si="0"/>
        <v>653619.9299999997</v>
      </c>
      <c r="E18" s="68">
        <v>0</v>
      </c>
      <c r="F18" s="68">
        <f>'[1]JP Morgan'!$I$13</f>
        <v>1037620</v>
      </c>
      <c r="G18" s="68"/>
      <c r="H18" s="68">
        <f t="shared" si="1"/>
        <v>1037620</v>
      </c>
      <c r="I18" s="68"/>
      <c r="J18" s="68"/>
      <c r="K18" s="68"/>
      <c r="L18" s="68">
        <f t="shared" si="3"/>
        <v>-384000.0700000003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</f>
        <v>90201583.130000025</v>
      </c>
      <c r="C20" s="69"/>
      <c r="D20" s="68">
        <f t="shared" si="0"/>
        <v>90201583.130000025</v>
      </c>
      <c r="E20" s="69">
        <v>0</v>
      </c>
      <c r="F20" s="69">
        <f>[1]PARIBAS!$J$19</f>
        <v>111368742.40000001</v>
      </c>
      <c r="G20" s="69"/>
      <c r="H20" s="68">
        <f t="shared" si="1"/>
        <v>111368742.40000001</v>
      </c>
      <c r="I20" s="69"/>
      <c r="J20" s="69"/>
      <c r="K20" s="69"/>
      <c r="L20" s="68">
        <f t="shared" si="3"/>
        <v>-21167159.269999981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SUMIF([10]Statements!$A$5:$A$1305,$A$3,[10]Statements!$BN$5:$BN$1305)-3519</f>
        <v>26000.27999999997</v>
      </c>
      <c r="C23" s="68"/>
      <c r="D23" s="68">
        <f t="shared" si="0"/>
        <v>26000.27999999997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0.27999999996973202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</f>
        <v>66422.12999999999</v>
      </c>
      <c r="C24" s="68"/>
      <c r="D24" s="68">
        <f t="shared" si="0"/>
        <v>66422.12999999999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f>SUMIF([12]Statements!$A$5:$A$1305,$A$3,[12]Statements!$CP$5:$CP$1305)</f>
        <v>4239582.3799999934</v>
      </c>
      <c r="C25" s="68"/>
      <c r="D25" s="68">
        <f t="shared" si="0"/>
        <v>4239582.3799999934</v>
      </c>
      <c r="E25" s="69">
        <v>0</v>
      </c>
      <c r="F25" s="69">
        <f>'[1]Smith Barney'!ReqTotal</f>
        <v>5402393</v>
      </c>
      <c r="G25" s="69">
        <f>IF('[1]Smith Barney'!CurrentLoanValue&lt;50000000,IF('[1]Smith Barney'!CurrentLoanValue&gt;'[1]Smith Barney'!Requirements,'[1]Smith Barney'!Requirements,'[1]Smith Barney'!CurrentLoanValue),50000000)</f>
        <v>5402393</v>
      </c>
      <c r="H25" s="69">
        <f t="shared" si="1"/>
        <v>0</v>
      </c>
      <c r="I25" s="69"/>
      <c r="J25" s="69">
        <f>SUMIF('[1]WIRE WORKSHEET'!$B$4:$B$36,A2,'[1]WIRE WORKSHEET'!$BF$4:$BF$36)</f>
        <v>134561</v>
      </c>
      <c r="K25" s="69"/>
      <c r="L25" s="68">
        <f t="shared" si="4"/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f>SUMIF([13]Statements!$A$5:$A$1305,$A$3,[13]Statements!$CP$5:$CP$1305)</f>
        <v>91199.230000000447</v>
      </c>
      <c r="C26" s="68"/>
      <c r="D26" s="68">
        <f t="shared" si="0"/>
        <v>91199.230000000447</v>
      </c>
      <c r="E26" s="69">
        <v>0</v>
      </c>
      <c r="F26" s="69">
        <f>'[1]Smith Barney-Fin'!$K$16</f>
        <v>67200.23</v>
      </c>
      <c r="G26" s="69"/>
      <c r="H26" s="69">
        <f t="shared" si="1"/>
        <v>67200.23</v>
      </c>
      <c r="I26" s="69"/>
      <c r="J26" s="69"/>
      <c r="K26" s="69"/>
      <c r="L26" s="68">
        <f t="shared" si="4"/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153054034.27054951</v>
      </c>
      <c r="C28" s="72">
        <f>SUM(C7:C26)</f>
        <v>3723267.5600000052</v>
      </c>
      <c r="D28" s="72">
        <f>SUM(D7:D26)</f>
        <v>149330766.7105495</v>
      </c>
      <c r="E28" s="72">
        <f t="shared" ref="E28:L28" si="5">SUM(E7:E26)</f>
        <v>-34975670</v>
      </c>
      <c r="F28" s="72">
        <f t="shared" si="5"/>
        <v>141960240.62</v>
      </c>
      <c r="G28" s="72">
        <f t="shared" si="5"/>
        <v>5402393</v>
      </c>
      <c r="H28" s="72">
        <f t="shared" si="5"/>
        <v>136557847.62</v>
      </c>
      <c r="I28" s="72"/>
      <c r="J28" s="72">
        <f t="shared" si="5"/>
        <v>-585141.16</v>
      </c>
      <c r="K28" s="72"/>
      <c r="L28" s="72">
        <f t="shared" si="5"/>
        <v>-24467017.509450473</v>
      </c>
      <c r="M28" s="40"/>
      <c r="N28" s="39">
        <f>SUM(N7:N27)</f>
        <v>227606.5</v>
      </c>
      <c r="O28" s="39">
        <f>SUM(O7:O27)</f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f>G25</f>
        <v>5402393</v>
      </c>
      <c r="E36" s="68">
        <f>C36+D36</f>
        <v>5402393</v>
      </c>
      <c r="F36" s="70">
        <f>+B36-E36</f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-24467017.509450499</v>
      </c>
    </row>
    <row r="38" spans="1:14" x14ac:dyDescent="0.2">
      <c r="A38" s="18" t="s">
        <v>44</v>
      </c>
      <c r="B38" s="81">
        <v>20000000</v>
      </c>
      <c r="C38" s="81">
        <f>C15</f>
        <v>3723267.5600000052</v>
      </c>
      <c r="D38" s="81">
        <f>G15</f>
        <v>0</v>
      </c>
      <c r="E38" s="81">
        <f>C38+D38</f>
        <v>3723267.5600000052</v>
      </c>
      <c r="F38" s="82">
        <f>+B38-E38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5402393</v>
      </c>
      <c r="E39" s="83">
        <f>SUM(E36:E38)</f>
        <v>9125660.5600000061</v>
      </c>
      <c r="F39" s="84">
        <f>SUM(F36:F38)</f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'1115'!Print_Area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2001-11-21T17:14:28Z</cp:lastPrinted>
  <dcterms:created xsi:type="dcterms:W3CDTF">2000-04-03T19:03:47Z</dcterms:created>
  <dcterms:modified xsi:type="dcterms:W3CDTF">2023-09-16T23:29:59Z</dcterms:modified>
</cp:coreProperties>
</file>