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0001F4-9F94-4AF7-B612-1C9440619469}" xr6:coauthVersionLast="47" xr6:coauthVersionMax="47" xr10:uidLastSave="{00000000-0000-0000-0000-000000000000}"/>
  <bookViews>
    <workbookView xWindow="-120" yWindow="-120" windowWidth="38640" windowHeight="15720"/>
  </bookViews>
  <sheets>
    <sheet name="NSS Inventory" sheetId="7" r:id="rId1"/>
    <sheet name="Rights" sheetId="1" r:id="rId2"/>
    <sheet name="RFP Responses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Print_Area" localSheetId="0">'NSS Inventory'!$A$1:$K$27</definedName>
    <definedName name="_xlnm.Print_Area" localSheetId="2">'RFP Responses'!$A$1:$L$12</definedName>
    <definedName name="_xlnm.Print_Area" localSheetId="1">Rights!$A$1:$Q$47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G3" i="7"/>
  <c r="F4" i="7"/>
  <c r="G4" i="7"/>
  <c r="D5" i="7"/>
  <c r="F5" i="7"/>
  <c r="B9" i="7"/>
  <c r="D9" i="7"/>
  <c r="G9" i="7"/>
  <c r="H9" i="7"/>
  <c r="I9" i="7"/>
  <c r="J9" i="7"/>
  <c r="K9" i="7"/>
  <c r="B10" i="7"/>
  <c r="G10" i="7"/>
  <c r="H10" i="7"/>
  <c r="I10" i="7"/>
  <c r="J10" i="7"/>
  <c r="K10" i="7"/>
  <c r="B11" i="7"/>
  <c r="D11" i="7"/>
  <c r="G11" i="7"/>
  <c r="H11" i="7"/>
  <c r="I11" i="7"/>
  <c r="J11" i="7"/>
  <c r="K11" i="7"/>
  <c r="G13" i="7"/>
  <c r="H13" i="7"/>
  <c r="I13" i="7"/>
  <c r="G14" i="7"/>
  <c r="H14" i="7"/>
  <c r="I14" i="7"/>
  <c r="D16" i="7"/>
  <c r="G16" i="7"/>
  <c r="H16" i="7"/>
  <c r="I16" i="7"/>
  <c r="D17" i="7"/>
  <c r="G17" i="7"/>
  <c r="H17" i="7"/>
  <c r="I17" i="7"/>
  <c r="D19" i="7"/>
  <c r="G19" i="7"/>
  <c r="H19" i="7"/>
  <c r="I19" i="7"/>
  <c r="D5" i="4"/>
  <c r="E5" i="4"/>
  <c r="D6" i="4"/>
  <c r="E6" i="4"/>
  <c r="D7" i="4"/>
  <c r="E7" i="4"/>
  <c r="D8" i="4"/>
  <c r="E8" i="4"/>
  <c r="E9" i="4"/>
  <c r="D10" i="4"/>
  <c r="E10" i="4"/>
  <c r="D17" i="4"/>
  <c r="E17" i="4"/>
  <c r="E18" i="4"/>
  <c r="E19" i="4"/>
  <c r="D21" i="4"/>
  <c r="E21" i="4"/>
  <c r="F21" i="4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D28" i="1"/>
  <c r="E28" i="1"/>
  <c r="F28" i="1"/>
  <c r="G28" i="1"/>
  <c r="H28" i="1"/>
  <c r="I28" i="1"/>
  <c r="J28" i="1"/>
  <c r="P28" i="1"/>
  <c r="P29" i="1"/>
  <c r="P30" i="1"/>
  <c r="C32" i="1"/>
  <c r="D32" i="1"/>
  <c r="E32" i="1"/>
  <c r="F32" i="1"/>
  <c r="G32" i="1"/>
  <c r="H32" i="1"/>
  <c r="I32" i="1"/>
  <c r="J32" i="1"/>
  <c r="K32" i="1"/>
  <c r="L32" i="1"/>
  <c r="P32" i="1"/>
  <c r="Q32" i="1"/>
  <c r="P33" i="1"/>
  <c r="D34" i="1"/>
  <c r="E34" i="1"/>
  <c r="F34" i="1"/>
  <c r="G34" i="1"/>
  <c r="H34" i="1"/>
  <c r="I34" i="1"/>
  <c r="J34" i="1"/>
  <c r="K34" i="1"/>
  <c r="L34" i="1"/>
  <c r="P34" i="1"/>
  <c r="D37" i="1"/>
  <c r="E37" i="1"/>
  <c r="F37" i="1"/>
  <c r="G37" i="1"/>
  <c r="H37" i="1"/>
  <c r="I37" i="1"/>
  <c r="J37" i="1"/>
  <c r="K37" i="1"/>
  <c r="L37" i="1"/>
  <c r="P37" i="1"/>
</calcChain>
</file>

<file path=xl/sharedStrings.xml><?xml version="1.0" encoding="utf-8"?>
<sst xmlns="http://schemas.openxmlformats.org/spreadsheetml/2006/main" count="189" uniqueCount="98">
  <si>
    <t>Daily Contract Flexibilities</t>
  </si>
  <si>
    <t>Total</t>
  </si>
  <si>
    <t>Gulf</t>
  </si>
  <si>
    <t>Amarillo</t>
  </si>
  <si>
    <t>NICOR</t>
  </si>
  <si>
    <t>Coral</t>
  </si>
  <si>
    <t xml:space="preserve">PGE </t>
  </si>
  <si>
    <t>IQ</t>
  </si>
  <si>
    <t>WQ</t>
  </si>
  <si>
    <t>Projected NSS Rights for 2001</t>
  </si>
  <si>
    <t>Field Area Balancing</t>
  </si>
  <si>
    <t>PGE</t>
  </si>
  <si>
    <t>Demand Payments</t>
  </si>
  <si>
    <t>Nicor</t>
  </si>
  <si>
    <t>PV Factor</t>
  </si>
  <si>
    <t>Notional Value</t>
  </si>
  <si>
    <t>Issues</t>
  </si>
  <si>
    <t>Daily/Monthly Communication</t>
  </si>
  <si>
    <t>Inventory Tracking</t>
  </si>
  <si>
    <t>MSV</t>
  </si>
  <si>
    <t>MDIQ</t>
  </si>
  <si>
    <t>MDWQ</t>
  </si>
  <si>
    <t>Tariff</t>
  </si>
  <si>
    <t xml:space="preserve">Tafiff </t>
  </si>
  <si>
    <t>PGLC Rights</t>
  </si>
  <si>
    <t>EMW</t>
  </si>
  <si>
    <t xml:space="preserve">EMW </t>
  </si>
  <si>
    <t xml:space="preserve">Net EMW </t>
  </si>
  <si>
    <t>Net EMW</t>
  </si>
  <si>
    <t>EMW Remaining Rights</t>
  </si>
  <si>
    <t>enovate Field Area Balancing Service Proposal Responses</t>
  </si>
  <si>
    <t>Company</t>
  </si>
  <si>
    <t>Contact</t>
  </si>
  <si>
    <t>Bid</t>
  </si>
  <si>
    <t>Total Dollars</t>
  </si>
  <si>
    <t>Unit Price</t>
  </si>
  <si>
    <t>Term</t>
  </si>
  <si>
    <t>Location</t>
  </si>
  <si>
    <t>Notification</t>
  </si>
  <si>
    <t>fuel</t>
  </si>
  <si>
    <t>Negative Balance</t>
  </si>
  <si>
    <t>Other terms</t>
  </si>
  <si>
    <t>Paul Bougadis</t>
  </si>
  <si>
    <t>.08/mo</t>
  </si>
  <si>
    <t>April - October</t>
  </si>
  <si>
    <t>LA</t>
  </si>
  <si>
    <t>no</t>
  </si>
  <si>
    <t>Nicor Exchange</t>
  </si>
  <si>
    <t>Mark Rouff</t>
  </si>
  <si>
    <t>April - December</t>
  </si>
  <si>
    <t>TexOK (East)</t>
  </si>
  <si>
    <t>.02 /MMBtu for volumes nominated after 10:45 deadline</t>
  </si>
  <si>
    <t>Duke</t>
  </si>
  <si>
    <t>Kay Martin Atchinson</t>
  </si>
  <si>
    <t>.02/mo</t>
  </si>
  <si>
    <t>Cinergy</t>
  </si>
  <si>
    <t>may add incremental value for Nov-Dec and negative balance</t>
  </si>
  <si>
    <t>Sempra</t>
  </si>
  <si>
    <t>Anne Burke</t>
  </si>
  <si>
    <t>yes</t>
  </si>
  <si>
    <t>Conoco</t>
  </si>
  <si>
    <t>Kim Head</t>
  </si>
  <si>
    <t>STX</t>
  </si>
  <si>
    <t>Paul Fryre</t>
  </si>
  <si>
    <t>enovate Field Area Summary</t>
  </si>
  <si>
    <t xml:space="preserve">April  and October Rights - Will PGLC utilize withdrawal of 75,000/d?  </t>
  </si>
  <si>
    <t>PV Value</t>
  </si>
  <si>
    <t>*3rd Party Activity will not affect PGL inventory costs, carrying costs, or fuel costs.</t>
  </si>
  <si>
    <t>Notes</t>
  </si>
  <si>
    <t>NSS Value</t>
  </si>
  <si>
    <t>Mkt Expense (enovate value)</t>
  </si>
  <si>
    <t>Customer</t>
  </si>
  <si>
    <t>Current Inv</t>
  </si>
  <si>
    <t>% Full</t>
  </si>
  <si>
    <t># of days to fill</t>
  </si>
  <si>
    <t>Max Inj</t>
  </si>
  <si>
    <t>Max Wd</t>
  </si>
  <si>
    <t># of days to empty</t>
  </si>
  <si>
    <t>Deal Type</t>
  </si>
  <si>
    <t>Balancing</t>
  </si>
  <si>
    <t>NSS1</t>
  </si>
  <si>
    <t>NSS2</t>
  </si>
  <si>
    <t>Contract Number</t>
  </si>
  <si>
    <t>NSS 2</t>
  </si>
  <si>
    <t>NSS 1</t>
  </si>
  <si>
    <t>NSS 1 &amp; 2</t>
  </si>
  <si>
    <t>Storage Optimization</t>
  </si>
  <si>
    <t>PGL</t>
  </si>
  <si>
    <t>No-Notice</t>
  </si>
  <si>
    <t>Avail. Space</t>
  </si>
  <si>
    <t>NSS Storage Summary</t>
  </si>
  <si>
    <t>Deal Type:</t>
  </si>
  <si>
    <r>
      <t xml:space="preserve">Balancing </t>
    </r>
    <r>
      <rPr>
        <vertAlign val="superscript"/>
        <sz val="8.5"/>
        <rFont val="Arial"/>
        <family val="2"/>
      </rPr>
      <t>1/</t>
    </r>
  </si>
  <si>
    <r>
      <t>Storage Optimization</t>
    </r>
    <r>
      <rPr>
        <vertAlign val="superscript"/>
        <sz val="8.5"/>
        <rFont val="Arial"/>
        <family val="2"/>
      </rPr>
      <t xml:space="preserve"> 3/</t>
    </r>
  </si>
  <si>
    <r>
      <t xml:space="preserve">No-Notice </t>
    </r>
    <r>
      <rPr>
        <vertAlign val="superscript"/>
        <sz val="8.5"/>
        <rFont val="Arial"/>
        <family val="2"/>
      </rPr>
      <t>2/</t>
    </r>
  </si>
  <si>
    <t>3/  Storage Optimization - Enron Midwest balance.  Balance is a result of economics.  Activity is impacted by ratchets.</t>
  </si>
  <si>
    <t>2/  No-Notice - Peoples Operational balance.  Balance is strictly a result of operations.  Economics not a factor for the utility when utilizing storage.</t>
  </si>
  <si>
    <t xml:space="preserve">1/  Balancing - 50 day storage service sold to third parties.  Activity is not impacted by ratchets.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</si>
</sst>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#,##0.000_);[Red]\(#,##0.000\)"/>
    <numFmt numFmtId="167" formatCode="&quot;$&quot;#,##0"/>
    <numFmt numFmtId="175" formatCode="0.0000"/>
    <numFmt numFmtId="177" formatCode="_(&quot;$&quot;* #,##0_);_(&quot;$&quot;* \(#,##0\);_(&quot;$&quot;* &quot;-&quot;??_);_(@_)"/>
    <numFmt numFmtId="180" formatCode="&quot;$&quot;#,##0.00"/>
    <numFmt numFmtId="181" formatCode="0.0%"/>
  </numFmts>
  <fonts count="13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2"/>
      <name val="Times New Roman"/>
    </font>
    <font>
      <sz val="12"/>
      <name val="Times New Roman"/>
      <family val="1"/>
    </font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vertAlign val="superscript"/>
      <sz val="8.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17" fontId="2" fillId="2" borderId="0" xfId="1" applyNumberFormat="1" applyFont="1" applyFill="1" applyBorder="1"/>
    <xf numFmtId="17" fontId="2" fillId="2" borderId="0" xfId="1" applyNumberFormat="1" applyFont="1" applyFill="1" applyAlignment="1">
      <alignment horizontal="center"/>
    </xf>
    <xf numFmtId="37" fontId="3" fillId="3" borderId="1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4" fillId="2" borderId="2" xfId="1" applyNumberFormat="1" applyFont="1" applyFill="1" applyBorder="1" applyAlignment="1">
      <alignment horizontal="center"/>
    </xf>
    <xf numFmtId="165" fontId="4" fillId="2" borderId="0" xfId="1" applyNumberFormat="1" applyFont="1" applyFill="1" applyBorder="1" applyAlignment="1">
      <alignment horizontal="center"/>
    </xf>
    <xf numFmtId="166" fontId="4" fillId="2" borderId="0" xfId="1" applyNumberFormat="1" applyFont="1" applyFill="1" applyBorder="1" applyAlignment="1">
      <alignment horizontal="center"/>
    </xf>
    <xf numFmtId="166" fontId="4" fillId="2" borderId="2" xfId="1" applyNumberFormat="1" applyFont="1" applyFill="1" applyBorder="1" applyAlignment="1">
      <alignment horizontal="center"/>
    </xf>
    <xf numFmtId="164" fontId="3" fillId="2" borderId="3" xfId="1" applyNumberFormat="1" applyFont="1" applyFill="1" applyBorder="1" applyAlignment="1">
      <alignment horizontal="left"/>
    </xf>
    <xf numFmtId="164" fontId="4" fillId="2" borderId="4" xfId="1" applyNumberFormat="1" applyFont="1" applyFill="1" applyBorder="1" applyAlignment="1">
      <alignment horizontal="center"/>
    </xf>
    <xf numFmtId="37" fontId="3" fillId="3" borderId="4" xfId="2" applyNumberFormat="1" applyFont="1" applyFill="1" applyBorder="1" applyAlignment="1">
      <alignment horizontal="center"/>
    </xf>
    <xf numFmtId="37" fontId="3" fillId="3" borderId="5" xfId="2" applyNumberFormat="1" applyFont="1" applyFill="1" applyBorder="1" applyAlignment="1">
      <alignment horizontal="center"/>
    </xf>
    <xf numFmtId="164" fontId="4" fillId="2" borderId="6" xfId="1" applyNumberFormat="1" applyFont="1" applyFill="1" applyBorder="1" applyAlignment="1">
      <alignment horizontal="left"/>
    </xf>
    <xf numFmtId="37" fontId="3" fillId="3" borderId="7" xfId="2" applyNumberFormat="1" applyFont="1" applyFill="1" applyBorder="1" applyAlignment="1">
      <alignment horizontal="center"/>
    </xf>
    <xf numFmtId="165" fontId="3" fillId="2" borderId="8" xfId="1" applyNumberFormat="1" applyFont="1" applyFill="1" applyBorder="1"/>
    <xf numFmtId="166" fontId="4" fillId="2" borderId="8" xfId="1" applyNumberFormat="1" applyFont="1" applyFill="1" applyBorder="1"/>
    <xf numFmtId="166" fontId="4" fillId="2" borderId="6" xfId="1" applyNumberFormat="1" applyFont="1" applyFill="1" applyBorder="1"/>
    <xf numFmtId="166" fontId="3" fillId="2" borderId="6" xfId="1" applyNumberFormat="1" applyFont="1" applyFill="1" applyBorder="1"/>
    <xf numFmtId="166" fontId="3" fillId="2" borderId="9" xfId="1" applyNumberFormat="1" applyFont="1" applyFill="1" applyBorder="1"/>
    <xf numFmtId="166" fontId="4" fillId="2" borderId="10" xfId="1" applyNumberFormat="1" applyFont="1" applyFill="1" applyBorder="1" applyAlignment="1">
      <alignment horizontal="center"/>
    </xf>
    <xf numFmtId="37" fontId="3" fillId="3" borderId="11" xfId="2" applyNumberFormat="1" applyFont="1" applyFill="1" applyBorder="1" applyAlignment="1">
      <alignment horizontal="center"/>
    </xf>
    <xf numFmtId="37" fontId="3" fillId="3" borderId="12" xfId="2" applyNumberFormat="1" applyFont="1" applyFill="1" applyBorder="1" applyAlignment="1">
      <alignment horizontal="center"/>
    </xf>
    <xf numFmtId="166" fontId="4" fillId="2" borderId="3" xfId="1" applyNumberFormat="1" applyFont="1" applyFill="1" applyBorder="1"/>
    <xf numFmtId="166" fontId="4" fillId="2" borderId="4" xfId="1" applyNumberFormat="1" applyFont="1" applyFill="1" applyBorder="1" applyAlignment="1">
      <alignment horizontal="center"/>
    </xf>
    <xf numFmtId="37" fontId="3" fillId="3" borderId="13" xfId="2" applyNumberFormat="1" applyFont="1" applyFill="1" applyBorder="1" applyAlignment="1">
      <alignment horizontal="center"/>
    </xf>
    <xf numFmtId="37" fontId="3" fillId="3" borderId="14" xfId="2" applyNumberFormat="1" applyFont="1" applyFill="1" applyBorder="1" applyAlignment="1">
      <alignment horizontal="center"/>
    </xf>
    <xf numFmtId="37" fontId="3" fillId="3" borderId="15" xfId="2" applyNumberFormat="1" applyFont="1" applyFill="1" applyBorder="1" applyAlignment="1">
      <alignment horizontal="center"/>
    </xf>
    <xf numFmtId="37" fontId="3" fillId="4" borderId="13" xfId="2" applyNumberFormat="1" applyFont="1" applyFill="1" applyBorder="1" applyAlignment="1">
      <alignment horizontal="center"/>
    </xf>
    <xf numFmtId="37" fontId="3" fillId="4" borderId="4" xfId="2" applyNumberFormat="1" applyFont="1" applyFill="1" applyBorder="1" applyAlignment="1">
      <alignment horizontal="center"/>
    </xf>
    <xf numFmtId="37" fontId="3" fillId="4" borderId="5" xfId="2" applyNumberFormat="1" applyFont="1" applyFill="1" applyBorder="1" applyAlignment="1">
      <alignment horizontal="center"/>
    </xf>
    <xf numFmtId="37" fontId="3" fillId="4" borderId="14" xfId="2" applyNumberFormat="1" applyFont="1" applyFill="1" applyBorder="1" applyAlignment="1">
      <alignment horizontal="center"/>
    </xf>
    <xf numFmtId="37" fontId="3" fillId="4" borderId="1" xfId="2" applyNumberFormat="1" applyFont="1" applyFill="1" applyBorder="1" applyAlignment="1">
      <alignment horizontal="center"/>
    </xf>
    <xf numFmtId="37" fontId="3" fillId="4" borderId="7" xfId="2" applyNumberFormat="1" applyFont="1" applyFill="1" applyBorder="1" applyAlignment="1">
      <alignment horizontal="center"/>
    </xf>
    <xf numFmtId="37" fontId="3" fillId="4" borderId="15" xfId="2" applyNumberFormat="1" applyFont="1" applyFill="1" applyBorder="1" applyAlignment="1">
      <alignment horizontal="center"/>
    </xf>
    <xf numFmtId="37" fontId="3" fillId="4" borderId="11" xfId="2" applyNumberFormat="1" applyFont="1" applyFill="1" applyBorder="1" applyAlignment="1">
      <alignment horizontal="center"/>
    </xf>
    <xf numFmtId="37" fontId="3" fillId="4" borderId="12" xfId="2" applyNumberFormat="1" applyFont="1" applyFill="1" applyBorder="1" applyAlignment="1">
      <alignment horizontal="center"/>
    </xf>
    <xf numFmtId="37" fontId="3" fillId="5" borderId="14" xfId="2" applyNumberFormat="1" applyFont="1" applyFill="1" applyBorder="1" applyAlignment="1">
      <alignment horizontal="center"/>
    </xf>
    <xf numFmtId="37" fontId="3" fillId="5" borderId="15" xfId="2" applyNumberFormat="1" applyFont="1" applyFill="1" applyBorder="1" applyAlignment="1">
      <alignment horizontal="center"/>
    </xf>
    <xf numFmtId="37" fontId="3" fillId="3" borderId="16" xfId="2" applyNumberFormat="1" applyFont="1" applyFill="1" applyBorder="1" applyAlignment="1">
      <alignment horizontal="center"/>
    </xf>
    <xf numFmtId="0" fontId="6" fillId="2" borderId="0" xfId="0" applyFont="1" applyFill="1" applyBorder="1"/>
    <xf numFmtId="0" fontId="0" fillId="2" borderId="0" xfId="0" applyFill="1" applyBorder="1"/>
    <xf numFmtId="166" fontId="3" fillId="2" borderId="8" xfId="1" applyNumberFormat="1" applyFont="1" applyFill="1" applyBorder="1"/>
    <xf numFmtId="37" fontId="3" fillId="2" borderId="0" xfId="2" applyNumberFormat="1" applyFont="1" applyFill="1" applyBorder="1" applyAlignment="1">
      <alignment horizontal="center"/>
    </xf>
    <xf numFmtId="37" fontId="3" fillId="2" borderId="17" xfId="2" applyNumberFormat="1" applyFont="1" applyFill="1" applyBorder="1" applyAlignment="1">
      <alignment horizontal="center"/>
    </xf>
    <xf numFmtId="0" fontId="0" fillId="2" borderId="0" xfId="0" applyFill="1"/>
    <xf numFmtId="0" fontId="5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0" fillId="2" borderId="17" xfId="0" applyFill="1" applyBorder="1"/>
    <xf numFmtId="0" fontId="8" fillId="2" borderId="0" xfId="0" applyFont="1" applyFill="1"/>
    <xf numFmtId="0" fontId="7" fillId="2" borderId="0" xfId="0" applyFont="1" applyFill="1"/>
    <xf numFmtId="167" fontId="7" fillId="2" borderId="0" xfId="0" applyNumberFormat="1" applyFont="1" applyFill="1"/>
    <xf numFmtId="37" fontId="3" fillId="2" borderId="18" xfId="2" applyNumberFormat="1" applyFont="1" applyFill="1" applyBorder="1" applyAlignment="1">
      <alignment horizontal="center"/>
    </xf>
    <xf numFmtId="175" fontId="7" fillId="2" borderId="0" xfId="0" applyNumberFormat="1" applyFont="1" applyFill="1"/>
    <xf numFmtId="167" fontId="7" fillId="2" borderId="18" xfId="0" applyNumberFormat="1" applyFont="1" applyFill="1" applyBorder="1"/>
    <xf numFmtId="0" fontId="7" fillId="2" borderId="18" xfId="0" applyFont="1" applyFill="1" applyBorder="1"/>
    <xf numFmtId="0" fontId="7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17" fontId="2" fillId="2" borderId="0" xfId="1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37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5" fontId="3" fillId="2" borderId="3" xfId="1" applyNumberFormat="1" applyFont="1" applyFill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177" fontId="1" fillId="0" borderId="0" xfId="2" applyNumberFormat="1" applyAlignment="1">
      <alignment horizontal="center"/>
    </xf>
    <xf numFmtId="18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81" fontId="1" fillId="0" borderId="0" xfId="3" applyNumberFormat="1" applyAlignment="1">
      <alignment horizontal="center"/>
    </xf>
    <xf numFmtId="177" fontId="0" fillId="0" borderId="0" xfId="0" applyNumberFormat="1" applyAlignment="1">
      <alignment horizontal="center"/>
    </xf>
    <xf numFmtId="180" fontId="0" fillId="6" borderId="0" xfId="0" applyNumberFormat="1" applyFill="1" applyAlignment="1">
      <alignment horizontal="center"/>
    </xf>
    <xf numFmtId="20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18" xfId="0" applyBorder="1" applyAlignment="1">
      <alignment horizontal="left"/>
    </xf>
    <xf numFmtId="0" fontId="0" fillId="0" borderId="18" xfId="0" applyBorder="1" applyAlignment="1">
      <alignment horizontal="center"/>
    </xf>
    <xf numFmtId="177" fontId="1" fillId="0" borderId="18" xfId="2" applyNumberFormat="1" applyBorder="1" applyAlignment="1">
      <alignment horizontal="center"/>
    </xf>
    <xf numFmtId="180" fontId="0" fillId="0" borderId="18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81" fontId="1" fillId="0" borderId="18" xfId="3" applyNumberFormat="1" applyBorder="1" applyAlignment="1">
      <alignment horizontal="center"/>
    </xf>
    <xf numFmtId="180" fontId="0" fillId="5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20" fontId="0" fillId="5" borderId="18" xfId="0" applyNumberFormat="1" applyFill="1" applyBorder="1" applyAlignment="1">
      <alignment horizontal="center"/>
    </xf>
    <xf numFmtId="180" fontId="0" fillId="5" borderId="18" xfId="0" applyNumberFormat="1" applyFill="1" applyBorder="1" applyAlignment="1">
      <alignment horizontal="center"/>
    </xf>
    <xf numFmtId="37" fontId="3" fillId="5" borderId="11" xfId="2" applyNumberFormat="1" applyFont="1" applyFill="1" applyBorder="1" applyAlignment="1">
      <alignment horizontal="center"/>
    </xf>
    <xf numFmtId="37" fontId="3" fillId="5" borderId="1" xfId="2" applyNumberFormat="1" applyFont="1" applyFill="1" applyBorder="1" applyAlignment="1">
      <alignment horizontal="center"/>
    </xf>
    <xf numFmtId="37" fontId="7" fillId="2" borderId="18" xfId="0" applyNumberFormat="1" applyFont="1" applyFill="1" applyBorder="1" applyAlignment="1">
      <alignment horizontal="center"/>
    </xf>
    <xf numFmtId="6" fontId="7" fillId="2" borderId="18" xfId="0" applyNumberFormat="1" applyFont="1" applyFill="1" applyBorder="1"/>
    <xf numFmtId="0" fontId="10" fillId="0" borderId="0" xfId="0" applyFont="1" applyAlignment="1">
      <alignment horizontal="center"/>
    </xf>
    <xf numFmtId="37" fontId="0" fillId="0" borderId="0" xfId="0" applyNumberFormat="1" applyAlignment="1">
      <alignment horizontal="center"/>
    </xf>
    <xf numFmtId="9" fontId="1" fillId="0" borderId="0" xfId="3" applyAlignment="1">
      <alignment horizontal="center"/>
    </xf>
    <xf numFmtId="1" fontId="0" fillId="0" borderId="0" xfId="0" applyNumberFormat="1" applyAlignment="1">
      <alignment horizontal="center"/>
    </xf>
    <xf numFmtId="3" fontId="11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10" xfId="0" applyBorder="1"/>
    <xf numFmtId="37" fontId="0" fillId="0" borderId="10" xfId="0" applyNumberFormat="1" applyBorder="1" applyAlignment="1">
      <alignment horizontal="center"/>
    </xf>
    <xf numFmtId="0" fontId="6" fillId="0" borderId="0" xfId="0" applyFont="1" applyAlignment="1">
      <alignment horizontal="left"/>
    </xf>
    <xf numFmtId="37" fontId="0" fillId="2" borderId="0" xfId="0" applyNumberFormat="1" applyFill="1"/>
    <xf numFmtId="167" fontId="7" fillId="7" borderId="0" xfId="0" applyNumberFormat="1" applyFont="1" applyFill="1"/>
    <xf numFmtId="167" fontId="7" fillId="7" borderId="18" xfId="0" applyNumberFormat="1" applyFont="1" applyFill="1" applyBorder="1"/>
    <xf numFmtId="164" fontId="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r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G&amp;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icor%20Enerchan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Optimizer/NSS_trading_kev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hird%20Party%20Storage/PG&amp;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hird%20Party%20Storage/Nicor%20Enerchang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hird%20Party%20Storage/Cor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al"/>
      <sheetName val="enovate Contacts"/>
    </sheetNames>
    <sheetDataSet>
      <sheetData sheetId="0">
        <row r="4">
          <cell r="B4" t="str">
            <v>Coral</v>
          </cell>
        </row>
        <row r="10">
          <cell r="B10">
            <v>1000000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GE"/>
      <sheetName val="enovate Contacts"/>
    </sheetNames>
    <sheetDataSet>
      <sheetData sheetId="0">
        <row r="4">
          <cell r="B4" t="str">
            <v>PGE</v>
          </cell>
        </row>
        <row r="10">
          <cell r="B10">
            <v>1000000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cor Enerchange"/>
      <sheetName val="enovate Contacts"/>
    </sheetNames>
    <sheetDataSet>
      <sheetData sheetId="0">
        <row r="4">
          <cell r="B4" t="str">
            <v>Nicor Enerchange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  <sheetName val="June Actuals"/>
      <sheetName val="July Actuals"/>
      <sheetName val="August Actuals"/>
      <sheetName val="September Actuals"/>
      <sheetName val="October Actuals"/>
      <sheetName val="November Actuals"/>
      <sheetName val="December Actuals"/>
      <sheetName val="January Actuals"/>
      <sheetName val="February Actuals"/>
      <sheetName val="March Actuals"/>
      <sheetName val="April Actuals"/>
      <sheetName val="May Actua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0">
          <cell r="B80">
            <v>1335113.0019999994</v>
          </cell>
          <cell r="D80">
            <v>292868.99600000004</v>
          </cell>
          <cell r="F80">
            <v>53991.870999999999</v>
          </cell>
          <cell r="H80">
            <v>221226.57600000003</v>
          </cell>
          <cell r="J80">
            <v>576641.848</v>
          </cell>
          <cell r="L80">
            <v>8791.9520000000011</v>
          </cell>
          <cell r="N80">
            <v>244136.40200000003</v>
          </cell>
          <cell r="P80">
            <v>265960.24800000002</v>
          </cell>
          <cell r="R80">
            <v>1343.761</v>
          </cell>
          <cell r="T80">
            <v>798240.65799999994</v>
          </cell>
          <cell r="V80">
            <v>606260.12100000004</v>
          </cell>
          <cell r="X80">
            <v>4915</v>
          </cell>
        </row>
      </sheetData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GE -April 01"/>
      <sheetName val="PGE -May 01"/>
      <sheetName val="enovate Contacts"/>
    </sheetNames>
    <sheetDataSet>
      <sheetData sheetId="0"/>
      <sheetData sheetId="1">
        <row r="45">
          <cell r="F45">
            <v>560310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cor Enerchange - April 01"/>
      <sheetName val="Nicor Enerchange - May 01"/>
      <sheetName val="enovate Contacts"/>
    </sheetNames>
    <sheetDataSet>
      <sheetData sheetId="0"/>
      <sheetData sheetId="1">
        <row r="45">
          <cell r="F45">
            <v>344986.799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al - April 01"/>
      <sheetName val="Coral - May 01"/>
      <sheetName val="enovate Contacts"/>
    </sheetNames>
    <sheetDataSet>
      <sheetData sheetId="0"/>
      <sheetData sheetId="1">
        <row r="45">
          <cell r="F45">
            <v>473658.54999999993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26"/>
  <sheetViews>
    <sheetView tabSelected="1" zoomScale="85" workbookViewId="0">
      <selection activeCell="A27" sqref="A27"/>
    </sheetView>
  </sheetViews>
  <sheetFormatPr defaultRowHeight="12.75" x14ac:dyDescent="0.2"/>
  <cols>
    <col min="1" max="1" width="19.5703125" style="66" customWidth="1"/>
    <col min="2" max="2" width="17" style="4" bestFit="1" customWidth="1"/>
    <col min="3" max="3" width="16.7109375" style="4" bestFit="1" customWidth="1"/>
    <col min="4" max="4" width="15.85546875" bestFit="1" customWidth="1"/>
    <col min="5" max="5" width="12.42578125" customWidth="1"/>
    <col min="6" max="6" width="11.7109375" bestFit="1" customWidth="1"/>
    <col min="7" max="7" width="11.5703125" customWidth="1"/>
    <col min="8" max="8" width="10.5703125" customWidth="1"/>
    <col min="9" max="9" width="12.7109375" bestFit="1" customWidth="1"/>
    <col min="10" max="10" width="14.5703125" bestFit="1" customWidth="1"/>
    <col min="11" max="11" width="18" bestFit="1" customWidth="1"/>
  </cols>
  <sheetData>
    <row r="1" spans="1:11" ht="18" x14ac:dyDescent="0.25">
      <c r="A1" s="103" t="s">
        <v>90</v>
      </c>
    </row>
    <row r="2" spans="1:11" x14ac:dyDescent="0.2">
      <c r="F2" s="4"/>
    </row>
    <row r="3" spans="1:11" x14ac:dyDescent="0.2">
      <c r="A3" s="96" t="s">
        <v>19</v>
      </c>
      <c r="B3" s="4" t="s">
        <v>80</v>
      </c>
      <c r="C3" s="4">
        <v>113417</v>
      </c>
      <c r="D3" s="69">
        <v>9943725</v>
      </c>
      <c r="F3" s="69">
        <f>+G9+(G10/2)+G13+G16</f>
        <v>3221437.6444999995</v>
      </c>
      <c r="G3" s="93">
        <f>+F3/D3</f>
        <v>0.32396688811285501</v>
      </c>
    </row>
    <row r="4" spans="1:11" x14ac:dyDescent="0.2">
      <c r="B4" s="4" t="s">
        <v>81</v>
      </c>
      <c r="C4" s="4">
        <v>117162</v>
      </c>
      <c r="D4" s="95">
        <v>9275025</v>
      </c>
      <c r="F4" s="95">
        <f>+G11+(G10/2)+G14+G17</f>
        <v>2567008.1395</v>
      </c>
      <c r="G4" s="93">
        <f>+F4/D4</f>
        <v>0.2767656302274118</v>
      </c>
    </row>
    <row r="5" spans="1:11" x14ac:dyDescent="0.2">
      <c r="D5" s="69">
        <f>SUM(D3:D4)</f>
        <v>19218750</v>
      </c>
      <c r="E5" s="107"/>
      <c r="F5" s="69">
        <f>SUM(F3:F4)</f>
        <v>5788445.784</v>
      </c>
    </row>
    <row r="7" spans="1:11" x14ac:dyDescent="0.2">
      <c r="A7" s="97" t="s">
        <v>78</v>
      </c>
      <c r="B7" s="91" t="s">
        <v>71</v>
      </c>
      <c r="C7" s="91" t="s">
        <v>82</v>
      </c>
      <c r="D7" s="91" t="s">
        <v>19</v>
      </c>
      <c r="E7" s="91" t="s">
        <v>75</v>
      </c>
      <c r="F7" s="91" t="s">
        <v>76</v>
      </c>
      <c r="G7" s="91" t="s">
        <v>72</v>
      </c>
      <c r="H7" s="91" t="s">
        <v>73</v>
      </c>
      <c r="I7" s="91" t="s">
        <v>89</v>
      </c>
      <c r="J7" s="91" t="s">
        <v>74</v>
      </c>
      <c r="K7" s="91" t="s">
        <v>77</v>
      </c>
    </row>
    <row r="8" spans="1:11" x14ac:dyDescent="0.2">
      <c r="A8" s="97"/>
      <c r="B8" s="91"/>
      <c r="C8" s="91"/>
      <c r="D8" s="91"/>
      <c r="E8" s="91"/>
      <c r="F8" s="91"/>
      <c r="G8" s="91"/>
      <c r="H8" s="91"/>
      <c r="I8" s="91"/>
      <c r="J8" s="91"/>
      <c r="K8" s="91"/>
    </row>
    <row r="9" spans="1:11" x14ac:dyDescent="0.2">
      <c r="A9" s="66" t="s">
        <v>92</v>
      </c>
      <c r="B9" s="4" t="str">
        <f>+[2]PGE!$B$4</f>
        <v>PGE</v>
      </c>
      <c r="C9" s="4" t="s">
        <v>84</v>
      </c>
      <c r="D9" s="69">
        <f>+[2]PGE!$B$10</f>
        <v>1000000</v>
      </c>
      <c r="E9" s="69">
        <v>20000</v>
      </c>
      <c r="F9" s="69">
        <v>40000</v>
      </c>
      <c r="G9" s="69">
        <f>+'[5]PGE -May 01'!$F$45</f>
        <v>560310</v>
      </c>
      <c r="H9" s="93">
        <f>+G9/D9</f>
        <v>0.56030999999999997</v>
      </c>
      <c r="I9" s="69">
        <f>+D9-G9</f>
        <v>439690</v>
      </c>
      <c r="J9" s="94">
        <f>+I9/E9</f>
        <v>21.984500000000001</v>
      </c>
      <c r="K9" s="94">
        <f>+G9/F9</f>
        <v>14.00775</v>
      </c>
    </row>
    <row r="10" spans="1:11" x14ac:dyDescent="0.2">
      <c r="A10" s="66" t="s">
        <v>79</v>
      </c>
      <c r="B10" s="4" t="str">
        <f>+'[3]Nicor Enerchange'!$B$4</f>
        <v>Nicor Enerchange</v>
      </c>
      <c r="C10" s="4" t="s">
        <v>85</v>
      </c>
      <c r="D10" s="69">
        <v>500000</v>
      </c>
      <c r="E10" s="69">
        <v>10000</v>
      </c>
      <c r="F10" s="69">
        <v>20000</v>
      </c>
      <c r="G10" s="92">
        <f>+'[6]Nicor Enerchange - May 01'!$F$45</f>
        <v>344986.799</v>
      </c>
      <c r="H10" s="93">
        <f>+G10/D10</f>
        <v>0.68997359800000002</v>
      </c>
      <c r="I10" s="69">
        <f>+D10-G10</f>
        <v>155013.201</v>
      </c>
      <c r="J10" s="94">
        <f>(+I10/E10)</f>
        <v>15.501320100000001</v>
      </c>
      <c r="K10" s="94">
        <f>+G10/F10</f>
        <v>17.24933995</v>
      </c>
    </row>
    <row r="11" spans="1:11" x14ac:dyDescent="0.2">
      <c r="A11" s="66" t="s">
        <v>79</v>
      </c>
      <c r="B11" s="4" t="str">
        <f>+[1]Coral!$B$4</f>
        <v>Coral</v>
      </c>
      <c r="C11" s="4" t="s">
        <v>83</v>
      </c>
      <c r="D11" s="69">
        <f>+[1]Coral!$B$10</f>
        <v>1000000</v>
      </c>
      <c r="E11" s="69">
        <v>20000</v>
      </c>
      <c r="F11" s="69">
        <v>40000</v>
      </c>
      <c r="G11" s="92">
        <f>+'[7]Coral - May 01'!$F$45</f>
        <v>473658.54999999993</v>
      </c>
      <c r="H11" s="93">
        <f>+G11/D11</f>
        <v>0.47365854999999996</v>
      </c>
      <c r="I11" s="69">
        <f>+D11-G11</f>
        <v>526341.45000000007</v>
      </c>
      <c r="J11" s="94">
        <f>+I11/E11</f>
        <v>26.317072500000002</v>
      </c>
      <c r="K11" s="94">
        <f>+G11/F11</f>
        <v>11.841463749999999</v>
      </c>
    </row>
    <row r="12" spans="1:11" x14ac:dyDescent="0.2">
      <c r="D12" s="69"/>
      <c r="E12" s="4"/>
      <c r="F12" s="4"/>
      <c r="G12" s="4"/>
      <c r="H12" s="93"/>
      <c r="I12" s="4"/>
    </row>
    <row r="13" spans="1:11" x14ac:dyDescent="0.2">
      <c r="A13" s="66" t="s">
        <v>94</v>
      </c>
      <c r="B13" s="4" t="s">
        <v>87</v>
      </c>
      <c r="C13" s="4" t="s">
        <v>80</v>
      </c>
      <c r="D13" s="69">
        <v>900000</v>
      </c>
      <c r="E13" s="4"/>
      <c r="F13" s="69">
        <v>90000</v>
      </c>
      <c r="G13" s="92">
        <f>+'[4]April Actuals'!$H$80</f>
        <v>221226.57600000003</v>
      </c>
      <c r="H13" s="93">
        <f>+G13/D13</f>
        <v>0.2458073066666667</v>
      </c>
      <c r="I13" s="69">
        <f>+D13-G13</f>
        <v>678773.424</v>
      </c>
    </row>
    <row r="14" spans="1:11" x14ac:dyDescent="0.2">
      <c r="A14" s="66" t="s">
        <v>88</v>
      </c>
      <c r="B14" s="4" t="s">
        <v>87</v>
      </c>
      <c r="C14" s="4" t="s">
        <v>81</v>
      </c>
      <c r="D14" s="69">
        <v>1700000</v>
      </c>
      <c r="E14" s="4"/>
      <c r="F14" s="69"/>
      <c r="G14" s="92">
        <f>+'[4]April Actuals'!$T$80</f>
        <v>798240.65799999994</v>
      </c>
      <c r="H14" s="93">
        <f>+G14/D14</f>
        <v>0.46955332823529405</v>
      </c>
      <c r="I14" s="69">
        <f>+D14-G14</f>
        <v>901759.34200000006</v>
      </c>
    </row>
    <row r="15" spans="1:11" x14ac:dyDescent="0.2">
      <c r="D15" s="69"/>
      <c r="E15" s="4"/>
      <c r="F15" s="69"/>
      <c r="G15" s="92"/>
      <c r="H15" s="93"/>
      <c r="I15" s="69"/>
    </row>
    <row r="16" spans="1:11" x14ac:dyDescent="0.2">
      <c r="A16" s="66" t="s">
        <v>93</v>
      </c>
      <c r="B16" s="4" t="s">
        <v>25</v>
      </c>
      <c r="C16" s="4" t="s">
        <v>84</v>
      </c>
      <c r="D16" s="69">
        <f>+D3-D9-(D10/2)-D13</f>
        <v>7793725</v>
      </c>
      <c r="E16" s="4"/>
      <c r="F16" s="69"/>
      <c r="G16" s="92">
        <f>+'[4]April Actuals'!$B$80+'[4]April Actuals'!$D$80+'[4]April Actuals'!$F$80+'[4]April Actuals'!$J$80+'[4]April Actuals'!$L$80</f>
        <v>2267407.6689999993</v>
      </c>
      <c r="H16" s="93">
        <f>+G16/D16</f>
        <v>0.29092733821118905</v>
      </c>
      <c r="I16" s="69">
        <f>+D16-G16</f>
        <v>5526317.3310000002</v>
      </c>
    </row>
    <row r="17" spans="1:11" x14ac:dyDescent="0.2">
      <c r="A17" s="66" t="s">
        <v>86</v>
      </c>
      <c r="B17" s="4" t="s">
        <v>25</v>
      </c>
      <c r="C17" s="4" t="s">
        <v>83</v>
      </c>
      <c r="D17" s="69">
        <f>+D4-D11-(D10/2)-D14</f>
        <v>6325025</v>
      </c>
      <c r="E17" s="4"/>
      <c r="F17" s="69"/>
      <c r="G17" s="92">
        <f>+'[4]April Actuals'!$N$80+'[4]April Actuals'!$P$80+'[4]April Actuals'!$R$80+'[4]April Actuals'!$V$80+'[4]April Actuals'!$X$80</f>
        <v>1122615.5320000001</v>
      </c>
      <c r="H17" s="93">
        <f>+G17/D17</f>
        <v>0.17748792012679793</v>
      </c>
      <c r="I17" s="69">
        <f>+D17-G17</f>
        <v>5202409.4680000003</v>
      </c>
    </row>
    <row r="18" spans="1:11" ht="13.5" thickBot="1" x14ac:dyDescent="0.25">
      <c r="A18" s="98"/>
      <c r="B18" s="99"/>
      <c r="C18" s="99"/>
      <c r="D18" s="100"/>
      <c r="E18" s="99"/>
      <c r="F18" s="99"/>
      <c r="G18" s="102"/>
      <c r="H18" s="99"/>
      <c r="I18" s="99"/>
      <c r="J18" s="101"/>
      <c r="K18" s="101"/>
    </row>
    <row r="19" spans="1:11" x14ac:dyDescent="0.2">
      <c r="A19" s="4" t="s">
        <v>1</v>
      </c>
      <c r="D19" s="69">
        <f>SUM(D9:D18)</f>
        <v>19218750</v>
      </c>
      <c r="E19" s="69"/>
      <c r="F19" s="69"/>
      <c r="G19" s="69">
        <f>SUM(G9:G18)</f>
        <v>5788445.784</v>
      </c>
      <c r="H19" s="93">
        <f>+G19/D19</f>
        <v>0.30118742290731709</v>
      </c>
      <c r="I19" s="69">
        <f>+D19-G19</f>
        <v>13430304.216</v>
      </c>
      <c r="J19" s="69"/>
      <c r="K19" s="69"/>
    </row>
    <row r="20" spans="1:11" x14ac:dyDescent="0.2">
      <c r="D20" s="69"/>
      <c r="E20" s="4"/>
      <c r="F20" s="4"/>
      <c r="G20" s="4"/>
      <c r="H20" s="4"/>
      <c r="I20" s="4"/>
    </row>
    <row r="22" spans="1:11" x14ac:dyDescent="0.2">
      <c r="A22" s="97" t="s">
        <v>91</v>
      </c>
    </row>
    <row r="24" spans="1:11" x14ac:dyDescent="0.2">
      <c r="A24" s="66" t="s">
        <v>97</v>
      </c>
    </row>
    <row r="25" spans="1:11" x14ac:dyDescent="0.2">
      <c r="A25" s="66" t="s">
        <v>96</v>
      </c>
    </row>
    <row r="26" spans="1:11" x14ac:dyDescent="0.2">
      <c r="A26" s="66" t="s">
        <v>95</v>
      </c>
    </row>
  </sheetData>
  <phoneticPr fontId="0" type="noConversion"/>
  <pageMargins left="0.75" right="0.75" top="1" bottom="1" header="0.5" footer="0.5"/>
  <pageSetup scale="77" orientation="landscape" horizontalDpi="0" r:id="rId1"/>
  <headerFooter alignWithMargins="0">
    <oddFooter>&amp;L&amp;T&amp;C&amp;F&amp;R&amp;D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53"/>
  <sheetViews>
    <sheetView zoomScale="70" workbookViewId="0">
      <selection activeCell="L1" sqref="L1"/>
    </sheetView>
  </sheetViews>
  <sheetFormatPr defaultRowHeight="12.75" x14ac:dyDescent="0.2"/>
  <cols>
    <col min="1" max="1" width="22.140625" customWidth="1"/>
    <col min="2" max="2" width="16.5703125" bestFit="1" customWidth="1"/>
    <col min="3" max="3" width="12.85546875" style="4" bestFit="1" customWidth="1"/>
    <col min="4" max="10" width="11.42578125" bestFit="1" customWidth="1"/>
    <col min="11" max="15" width="11" bestFit="1" customWidth="1"/>
    <col min="16" max="16" width="13.5703125" style="45" bestFit="1" customWidth="1"/>
    <col min="17" max="23" width="9.140625" style="45"/>
  </cols>
  <sheetData>
    <row r="1" spans="1:16" s="41" customFormat="1" ht="18" x14ac:dyDescent="0.25">
      <c r="A1" s="40" t="s">
        <v>9</v>
      </c>
      <c r="C1" s="58"/>
    </row>
    <row r="2" spans="1:16" s="41" customFormat="1" x14ac:dyDescent="0.2">
      <c r="C2" s="58"/>
    </row>
    <row r="3" spans="1:16" ht="16.5" thickBot="1" x14ac:dyDescent="0.3">
      <c r="A3" s="1" t="s">
        <v>0</v>
      </c>
      <c r="B3" s="1"/>
      <c r="C3" s="59"/>
      <c r="D3" s="2">
        <v>36982</v>
      </c>
      <c r="E3" s="2">
        <v>37012</v>
      </c>
      <c r="F3" s="2">
        <v>37043</v>
      </c>
      <c r="G3" s="2">
        <v>37073</v>
      </c>
      <c r="H3" s="2">
        <v>37104</v>
      </c>
      <c r="I3" s="2">
        <v>37135</v>
      </c>
      <c r="J3" s="2">
        <v>37165</v>
      </c>
      <c r="K3" s="2">
        <v>37196</v>
      </c>
      <c r="L3" s="2">
        <v>37226</v>
      </c>
      <c r="M3" s="2">
        <v>37257</v>
      </c>
      <c r="N3" s="2">
        <v>37288</v>
      </c>
      <c r="O3" s="2">
        <v>37316</v>
      </c>
      <c r="P3" s="2" t="s">
        <v>1</v>
      </c>
    </row>
    <row r="4" spans="1:16" ht="15.75" x14ac:dyDescent="0.25">
      <c r="A4" s="9" t="s">
        <v>22</v>
      </c>
      <c r="B4" s="10" t="s">
        <v>1</v>
      </c>
      <c r="C4" s="10" t="s">
        <v>20</v>
      </c>
      <c r="D4" s="25">
        <v>128126</v>
      </c>
      <c r="E4" s="11">
        <v>128126</v>
      </c>
      <c r="F4" s="11">
        <v>128126</v>
      </c>
      <c r="G4" s="11">
        <v>128126</v>
      </c>
      <c r="H4" s="11">
        <v>128126</v>
      </c>
      <c r="I4" s="11">
        <v>128126</v>
      </c>
      <c r="J4" s="11">
        <v>128126</v>
      </c>
      <c r="K4" s="11">
        <v>128126</v>
      </c>
      <c r="L4" s="11">
        <v>128126</v>
      </c>
      <c r="M4" s="11">
        <v>128126</v>
      </c>
      <c r="N4" s="11">
        <v>128126</v>
      </c>
      <c r="O4" s="12">
        <v>128126</v>
      </c>
    </row>
    <row r="5" spans="1:16" ht="15.75" x14ac:dyDescent="0.25">
      <c r="A5" s="13" t="s">
        <v>23</v>
      </c>
      <c r="B5" s="5" t="s">
        <v>1</v>
      </c>
      <c r="C5" s="5" t="s">
        <v>21</v>
      </c>
      <c r="D5" s="26">
        <v>-179375</v>
      </c>
      <c r="E5" s="3">
        <v>-179375</v>
      </c>
      <c r="F5" s="3">
        <v>-179375</v>
      </c>
      <c r="G5" s="3">
        <v>-179375</v>
      </c>
      <c r="H5" s="3">
        <v>-179375</v>
      </c>
      <c r="I5" s="3">
        <v>-219150</v>
      </c>
      <c r="J5" s="3">
        <v>-219150</v>
      </c>
      <c r="K5" s="3">
        <v>-219150</v>
      </c>
      <c r="L5" s="3">
        <v>-179375</v>
      </c>
      <c r="M5" s="3">
        <v>-179375</v>
      </c>
      <c r="N5" s="3">
        <v>-179375</v>
      </c>
      <c r="O5" s="14">
        <v>-179375</v>
      </c>
    </row>
    <row r="6" spans="1:16" ht="15.75" x14ac:dyDescent="0.25">
      <c r="A6" s="15" t="s">
        <v>24</v>
      </c>
      <c r="B6" s="6" t="s">
        <v>2</v>
      </c>
      <c r="C6" s="6" t="s">
        <v>7</v>
      </c>
      <c r="D6" s="26">
        <v>42500</v>
      </c>
      <c r="E6" s="3">
        <v>29000</v>
      </c>
      <c r="F6" s="3">
        <v>29000</v>
      </c>
      <c r="G6" s="3">
        <v>29000</v>
      </c>
      <c r="H6" s="3">
        <v>29000</v>
      </c>
      <c r="I6" s="3">
        <v>29000</v>
      </c>
      <c r="J6" s="3">
        <v>42500</v>
      </c>
      <c r="K6" s="3">
        <v>42500</v>
      </c>
      <c r="L6" s="3">
        <v>42500</v>
      </c>
      <c r="M6" s="3">
        <v>42500</v>
      </c>
      <c r="N6" s="3">
        <v>42500</v>
      </c>
      <c r="O6" s="14">
        <v>42500</v>
      </c>
    </row>
    <row r="7" spans="1:16" ht="16.5" thickBot="1" x14ac:dyDescent="0.3">
      <c r="A7" s="19" t="s">
        <v>24</v>
      </c>
      <c r="B7" s="20" t="s">
        <v>2</v>
      </c>
      <c r="C7" s="20" t="s">
        <v>8</v>
      </c>
      <c r="D7" s="38">
        <v>-75000</v>
      </c>
      <c r="E7" s="21">
        <v>-29166</v>
      </c>
      <c r="F7" s="21">
        <v>-29166</v>
      </c>
      <c r="G7" s="21">
        <v>-29166</v>
      </c>
      <c r="H7" s="21">
        <v>-29166</v>
      </c>
      <c r="I7" s="21">
        <v>-29166</v>
      </c>
      <c r="J7" s="87">
        <v>-75000</v>
      </c>
      <c r="K7" s="21">
        <v>-85000</v>
      </c>
      <c r="L7" s="21">
        <v>-40000</v>
      </c>
      <c r="M7" s="21">
        <v>-110000</v>
      </c>
      <c r="N7" s="21">
        <v>-110000</v>
      </c>
      <c r="O7" s="22">
        <v>-95000</v>
      </c>
    </row>
    <row r="8" spans="1:16" ht="16.5" thickBot="1" x14ac:dyDescent="0.3">
      <c r="A8" s="42"/>
      <c r="B8" s="7"/>
      <c r="C8" s="7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</row>
    <row r="9" spans="1:16" ht="15.75" x14ac:dyDescent="0.25">
      <c r="A9" s="63" t="s">
        <v>25</v>
      </c>
      <c r="B9" s="10" t="s">
        <v>2</v>
      </c>
      <c r="C9" s="10" t="s">
        <v>7</v>
      </c>
      <c r="D9" s="25">
        <f>+D4-D6-D11</f>
        <v>53594.5</v>
      </c>
      <c r="E9" s="11">
        <f t="shared" ref="E9:O9" si="0">+E4-E6-E11</f>
        <v>67094.5</v>
      </c>
      <c r="F9" s="11">
        <f t="shared" si="0"/>
        <v>67094.5</v>
      </c>
      <c r="G9" s="11">
        <f t="shared" si="0"/>
        <v>67094.5</v>
      </c>
      <c r="H9" s="11">
        <f t="shared" si="0"/>
        <v>67094.5</v>
      </c>
      <c r="I9" s="11">
        <f t="shared" si="0"/>
        <v>67094.5</v>
      </c>
      <c r="J9" s="11">
        <f t="shared" si="0"/>
        <v>53594.5</v>
      </c>
      <c r="K9" s="11">
        <f t="shared" si="0"/>
        <v>53594.5</v>
      </c>
      <c r="L9" s="11">
        <f t="shared" si="0"/>
        <v>53594.5</v>
      </c>
      <c r="M9" s="11">
        <f t="shared" si="0"/>
        <v>53594.5</v>
      </c>
      <c r="N9" s="11">
        <f t="shared" si="0"/>
        <v>53594.5</v>
      </c>
      <c r="O9" s="12">
        <f t="shared" si="0"/>
        <v>53594.5</v>
      </c>
    </row>
    <row r="10" spans="1:16" ht="15.75" x14ac:dyDescent="0.25">
      <c r="A10" s="18" t="s">
        <v>26</v>
      </c>
      <c r="B10" s="5" t="s">
        <v>2</v>
      </c>
      <c r="C10" s="5" t="s">
        <v>8</v>
      </c>
      <c r="D10" s="26">
        <f>+D5-D7-D12</f>
        <v>-59531.25</v>
      </c>
      <c r="E10" s="3">
        <f t="shared" ref="E10:O10" si="1">+E5-E7-E12</f>
        <v>-105365.25</v>
      </c>
      <c r="F10" s="3">
        <f t="shared" si="1"/>
        <v>-105365.25</v>
      </c>
      <c r="G10" s="3">
        <f t="shared" si="1"/>
        <v>-105365.25</v>
      </c>
      <c r="H10" s="3">
        <f t="shared" si="1"/>
        <v>-105365.25</v>
      </c>
      <c r="I10" s="3">
        <f t="shared" si="1"/>
        <v>-145140.25</v>
      </c>
      <c r="J10" s="3">
        <f t="shared" si="1"/>
        <v>-99306.25</v>
      </c>
      <c r="K10" s="3">
        <f t="shared" si="1"/>
        <v>-89306.25</v>
      </c>
      <c r="L10" s="3">
        <f t="shared" si="1"/>
        <v>-94531.25</v>
      </c>
      <c r="M10" s="3">
        <f t="shared" si="1"/>
        <v>-24531.25</v>
      </c>
      <c r="N10" s="3">
        <f t="shared" si="1"/>
        <v>-24531.25</v>
      </c>
      <c r="O10" s="14">
        <f t="shared" si="1"/>
        <v>-39531.25</v>
      </c>
    </row>
    <row r="11" spans="1:16" ht="15.75" x14ac:dyDescent="0.25">
      <c r="A11" s="15" t="s">
        <v>25</v>
      </c>
      <c r="B11" s="6" t="s">
        <v>3</v>
      </c>
      <c r="C11" s="6" t="s">
        <v>7</v>
      </c>
      <c r="D11" s="26">
        <v>32031.5</v>
      </c>
      <c r="E11" s="3">
        <v>32031.5</v>
      </c>
      <c r="F11" s="3">
        <v>32031.5</v>
      </c>
      <c r="G11" s="3">
        <v>32031.5</v>
      </c>
      <c r="H11" s="3">
        <v>32031.5</v>
      </c>
      <c r="I11" s="3">
        <v>32031.5</v>
      </c>
      <c r="J11" s="3">
        <v>32031.5</v>
      </c>
      <c r="K11" s="3">
        <v>32031.5</v>
      </c>
      <c r="L11" s="3">
        <v>32031.5</v>
      </c>
      <c r="M11" s="3">
        <v>32031.5</v>
      </c>
      <c r="N11" s="3">
        <v>32031.5</v>
      </c>
      <c r="O11" s="14">
        <v>32031.5</v>
      </c>
    </row>
    <row r="12" spans="1:16" ht="16.5" thickBot="1" x14ac:dyDescent="0.3">
      <c r="A12" s="19" t="s">
        <v>26</v>
      </c>
      <c r="B12" s="20" t="s">
        <v>3</v>
      </c>
      <c r="C12" s="20" t="s">
        <v>8</v>
      </c>
      <c r="D12" s="27">
        <v>-44843.75</v>
      </c>
      <c r="E12" s="21">
        <v>-44843.75</v>
      </c>
      <c r="F12" s="21">
        <v>-44843.75</v>
      </c>
      <c r="G12" s="21">
        <v>-44843.75</v>
      </c>
      <c r="H12" s="21">
        <v>-44843.75</v>
      </c>
      <c r="I12" s="21">
        <v>-44843.75</v>
      </c>
      <c r="J12" s="21">
        <v>-44843.75</v>
      </c>
      <c r="K12" s="21">
        <v>-44843.75</v>
      </c>
      <c r="L12" s="21">
        <v>-44843.75</v>
      </c>
      <c r="M12" s="21">
        <v>-44843.75</v>
      </c>
      <c r="N12" s="21">
        <v>-44843.75</v>
      </c>
      <c r="O12" s="22">
        <v>-44843.75</v>
      </c>
    </row>
    <row r="13" spans="1:16" s="41" customFormat="1" ht="13.5" thickBot="1" x14ac:dyDescent="0.25">
      <c r="A13" s="46" t="s">
        <v>10</v>
      </c>
      <c r="B13" s="47"/>
      <c r="C13" s="47"/>
      <c r="O13" s="48"/>
    </row>
    <row r="14" spans="1:16" ht="15.75" x14ac:dyDescent="0.25">
      <c r="A14" s="23" t="s">
        <v>6</v>
      </c>
      <c r="B14" s="24" t="s">
        <v>2</v>
      </c>
      <c r="C14" s="24" t="s">
        <v>7</v>
      </c>
      <c r="D14" s="25">
        <v>20000</v>
      </c>
      <c r="E14" s="11">
        <v>20000</v>
      </c>
      <c r="F14" s="11">
        <v>20000</v>
      </c>
      <c r="G14" s="11">
        <v>20000</v>
      </c>
      <c r="H14" s="11">
        <v>20000</v>
      </c>
      <c r="I14" s="11">
        <v>20000</v>
      </c>
      <c r="J14" s="11">
        <v>20000</v>
      </c>
      <c r="K14" s="11"/>
      <c r="L14" s="11"/>
      <c r="M14" s="11"/>
      <c r="N14" s="11"/>
      <c r="O14" s="12"/>
    </row>
    <row r="15" spans="1:16" ht="15.75" x14ac:dyDescent="0.25">
      <c r="A15" s="16" t="s">
        <v>4</v>
      </c>
      <c r="B15" s="7" t="s">
        <v>2</v>
      </c>
      <c r="C15" s="7" t="s">
        <v>7</v>
      </c>
      <c r="D15" s="26">
        <v>10000</v>
      </c>
      <c r="E15" s="39">
        <v>10000</v>
      </c>
      <c r="F15" s="39">
        <v>10000</v>
      </c>
      <c r="G15" s="39">
        <v>10000</v>
      </c>
      <c r="H15" s="39">
        <v>10000</v>
      </c>
      <c r="I15" s="39">
        <v>10000</v>
      </c>
      <c r="J15" s="39">
        <v>10000</v>
      </c>
      <c r="K15" s="39">
        <v>10000</v>
      </c>
      <c r="L15" s="39">
        <v>10000</v>
      </c>
      <c r="M15" s="3"/>
      <c r="N15" s="3"/>
      <c r="O15" s="14"/>
    </row>
    <row r="16" spans="1:16" ht="15.75" x14ac:dyDescent="0.25">
      <c r="A16" s="17" t="s">
        <v>5</v>
      </c>
      <c r="B16" s="8" t="s">
        <v>2</v>
      </c>
      <c r="C16" s="8" t="s">
        <v>7</v>
      </c>
      <c r="D16" s="26">
        <v>20000</v>
      </c>
      <c r="E16" s="3">
        <v>20000</v>
      </c>
      <c r="F16" s="3">
        <v>20000</v>
      </c>
      <c r="G16" s="3">
        <v>20000</v>
      </c>
      <c r="H16" s="3">
        <v>20000</v>
      </c>
      <c r="I16" s="3">
        <v>20000</v>
      </c>
      <c r="J16" s="3">
        <v>20000</v>
      </c>
      <c r="K16" s="3">
        <v>20000</v>
      </c>
      <c r="L16" s="3">
        <v>20000</v>
      </c>
      <c r="M16" s="3"/>
      <c r="N16" s="3"/>
      <c r="O16" s="14"/>
    </row>
    <row r="17" spans="1:17" ht="15.75" x14ac:dyDescent="0.25">
      <c r="A17" s="16" t="s">
        <v>6</v>
      </c>
      <c r="B17" s="7" t="s">
        <v>2</v>
      </c>
      <c r="C17" s="7" t="s">
        <v>8</v>
      </c>
      <c r="D17" s="26">
        <v>-40000</v>
      </c>
      <c r="E17" s="3">
        <v>-40000</v>
      </c>
      <c r="F17" s="3">
        <v>-40000</v>
      </c>
      <c r="G17" s="3">
        <v>-40000</v>
      </c>
      <c r="H17" s="3">
        <v>-40000</v>
      </c>
      <c r="I17" s="3">
        <v>-40000</v>
      </c>
      <c r="J17" s="3">
        <v>-40000</v>
      </c>
      <c r="K17" s="3"/>
      <c r="L17" s="3"/>
      <c r="M17" s="3"/>
      <c r="N17" s="3"/>
      <c r="O17" s="14"/>
    </row>
    <row r="18" spans="1:17" ht="15.75" x14ac:dyDescent="0.25">
      <c r="A18" s="16" t="s">
        <v>4</v>
      </c>
      <c r="B18" s="7" t="s">
        <v>2</v>
      </c>
      <c r="C18" s="7" t="s">
        <v>8</v>
      </c>
      <c r="D18" s="26">
        <v>-20000</v>
      </c>
      <c r="E18" s="3">
        <v>-20000</v>
      </c>
      <c r="F18" s="3">
        <v>-20000</v>
      </c>
      <c r="G18" s="3">
        <v>-20000</v>
      </c>
      <c r="H18" s="3">
        <v>-20000</v>
      </c>
      <c r="I18" s="3">
        <v>-20000</v>
      </c>
      <c r="J18" s="3">
        <v>-20000</v>
      </c>
      <c r="K18" s="3">
        <v>-20000</v>
      </c>
      <c r="L18" s="3">
        <v>-20000</v>
      </c>
      <c r="M18" s="3"/>
      <c r="N18" s="3"/>
      <c r="O18" s="14"/>
    </row>
    <row r="19" spans="1:17" ht="16.5" thickBot="1" x14ac:dyDescent="0.3">
      <c r="A19" s="19" t="s">
        <v>5</v>
      </c>
      <c r="B19" s="20" t="s">
        <v>2</v>
      </c>
      <c r="C19" s="20" t="s">
        <v>8</v>
      </c>
      <c r="D19" s="27">
        <v>-40000</v>
      </c>
      <c r="E19" s="21">
        <v>-40000</v>
      </c>
      <c r="F19" s="21">
        <v>-40000</v>
      </c>
      <c r="G19" s="21">
        <v>-40000</v>
      </c>
      <c r="H19" s="21">
        <v>-40000</v>
      </c>
      <c r="I19" s="21">
        <v>-40000</v>
      </c>
      <c r="J19" s="21">
        <v>-40000</v>
      </c>
      <c r="K19" s="21">
        <v>-40000</v>
      </c>
      <c r="L19" s="21">
        <v>-40000</v>
      </c>
      <c r="M19" s="21"/>
      <c r="N19" s="21"/>
      <c r="O19" s="22"/>
    </row>
    <row r="20" spans="1:17" ht="13.5" thickBot="1" x14ac:dyDescent="0.25">
      <c r="A20" s="46" t="s">
        <v>29</v>
      </c>
      <c r="B20" s="47"/>
      <c r="C20" s="47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8"/>
    </row>
    <row r="21" spans="1:17" ht="15.75" x14ac:dyDescent="0.25">
      <c r="A21" s="63" t="s">
        <v>28</v>
      </c>
      <c r="B21" s="10" t="s">
        <v>2</v>
      </c>
      <c r="C21" s="10" t="s">
        <v>7</v>
      </c>
      <c r="D21" s="28">
        <f t="shared" ref="D21:O21" si="2">+D9-D14-D15-D16</f>
        <v>3594.5</v>
      </c>
      <c r="E21" s="29">
        <f t="shared" si="2"/>
        <v>17094.5</v>
      </c>
      <c r="F21" s="29">
        <f t="shared" si="2"/>
        <v>17094.5</v>
      </c>
      <c r="G21" s="29">
        <f t="shared" si="2"/>
        <v>17094.5</v>
      </c>
      <c r="H21" s="29">
        <f t="shared" si="2"/>
        <v>17094.5</v>
      </c>
      <c r="I21" s="29">
        <f t="shared" si="2"/>
        <v>17094.5</v>
      </c>
      <c r="J21" s="29">
        <f t="shared" si="2"/>
        <v>3594.5</v>
      </c>
      <c r="K21" s="29">
        <f t="shared" si="2"/>
        <v>23594.5</v>
      </c>
      <c r="L21" s="29">
        <f t="shared" si="2"/>
        <v>23594.5</v>
      </c>
      <c r="M21" s="29">
        <f t="shared" si="2"/>
        <v>53594.5</v>
      </c>
      <c r="N21" s="29">
        <f t="shared" si="2"/>
        <v>53594.5</v>
      </c>
      <c r="O21" s="30">
        <f t="shared" si="2"/>
        <v>53594.5</v>
      </c>
    </row>
    <row r="22" spans="1:17" ht="15.75" x14ac:dyDescent="0.25">
      <c r="A22" s="18" t="s">
        <v>27</v>
      </c>
      <c r="B22" s="5" t="s">
        <v>2</v>
      </c>
      <c r="C22" s="5" t="s">
        <v>8</v>
      </c>
      <c r="D22" s="37">
        <f t="shared" ref="D22:O22" si="3">+D10-D17-D18-D19</f>
        <v>40468.75</v>
      </c>
      <c r="E22" s="32">
        <f t="shared" si="3"/>
        <v>-5365.25</v>
      </c>
      <c r="F22" s="32">
        <f t="shared" si="3"/>
        <v>-5365.25</v>
      </c>
      <c r="G22" s="32">
        <f t="shared" si="3"/>
        <v>-5365.25</v>
      </c>
      <c r="H22" s="32">
        <f t="shared" si="3"/>
        <v>-5365.25</v>
      </c>
      <c r="I22" s="32">
        <f t="shared" si="3"/>
        <v>-45140.25</v>
      </c>
      <c r="J22" s="88">
        <f t="shared" si="3"/>
        <v>693.75</v>
      </c>
      <c r="K22" s="32">
        <f t="shared" si="3"/>
        <v>-29306.25</v>
      </c>
      <c r="L22" s="32">
        <f t="shared" si="3"/>
        <v>-34531.25</v>
      </c>
      <c r="M22" s="32">
        <f t="shared" si="3"/>
        <v>-24531.25</v>
      </c>
      <c r="N22" s="32">
        <f t="shared" si="3"/>
        <v>-24531.25</v>
      </c>
      <c r="O22" s="33">
        <f t="shared" si="3"/>
        <v>-39531.25</v>
      </c>
    </row>
    <row r="23" spans="1:17" ht="15.75" x14ac:dyDescent="0.25">
      <c r="A23" s="15" t="s">
        <v>28</v>
      </c>
      <c r="B23" s="6" t="s">
        <v>3</v>
      </c>
      <c r="C23" s="6" t="s">
        <v>7</v>
      </c>
      <c r="D23" s="31">
        <f>+D11</f>
        <v>32031.5</v>
      </c>
      <c r="E23" s="32">
        <f t="shared" ref="E23:O23" si="4">+E11</f>
        <v>32031.5</v>
      </c>
      <c r="F23" s="32">
        <f t="shared" si="4"/>
        <v>32031.5</v>
      </c>
      <c r="G23" s="32">
        <f t="shared" si="4"/>
        <v>32031.5</v>
      </c>
      <c r="H23" s="32">
        <f t="shared" si="4"/>
        <v>32031.5</v>
      </c>
      <c r="I23" s="32">
        <f t="shared" si="4"/>
        <v>32031.5</v>
      </c>
      <c r="J23" s="32">
        <f t="shared" si="4"/>
        <v>32031.5</v>
      </c>
      <c r="K23" s="32">
        <f t="shared" si="4"/>
        <v>32031.5</v>
      </c>
      <c r="L23" s="32">
        <f t="shared" si="4"/>
        <v>32031.5</v>
      </c>
      <c r="M23" s="32">
        <f t="shared" si="4"/>
        <v>32031.5</v>
      </c>
      <c r="N23" s="32">
        <f t="shared" si="4"/>
        <v>32031.5</v>
      </c>
      <c r="O23" s="33">
        <f t="shared" si="4"/>
        <v>32031.5</v>
      </c>
    </row>
    <row r="24" spans="1:17" ht="16.5" thickBot="1" x14ac:dyDescent="0.3">
      <c r="A24" s="19" t="s">
        <v>27</v>
      </c>
      <c r="B24" s="20" t="s">
        <v>3</v>
      </c>
      <c r="C24" s="20" t="s">
        <v>8</v>
      </c>
      <c r="D24" s="34">
        <f>+D12</f>
        <v>-44843.75</v>
      </c>
      <c r="E24" s="35">
        <f t="shared" ref="E24:O24" si="5">+E12</f>
        <v>-44843.75</v>
      </c>
      <c r="F24" s="35">
        <f t="shared" si="5"/>
        <v>-44843.75</v>
      </c>
      <c r="G24" s="35">
        <f t="shared" si="5"/>
        <v>-44843.75</v>
      </c>
      <c r="H24" s="35">
        <f t="shared" si="5"/>
        <v>-44843.75</v>
      </c>
      <c r="I24" s="35">
        <f t="shared" si="5"/>
        <v>-44843.75</v>
      </c>
      <c r="J24" s="35">
        <f t="shared" si="5"/>
        <v>-44843.75</v>
      </c>
      <c r="K24" s="35">
        <f t="shared" si="5"/>
        <v>-44843.75</v>
      </c>
      <c r="L24" s="35">
        <f t="shared" si="5"/>
        <v>-44843.75</v>
      </c>
      <c r="M24" s="35">
        <f t="shared" si="5"/>
        <v>-44843.75</v>
      </c>
      <c r="N24" s="35">
        <f t="shared" si="5"/>
        <v>-44843.75</v>
      </c>
      <c r="O24" s="36">
        <f t="shared" si="5"/>
        <v>-44843.75</v>
      </c>
    </row>
    <row r="25" spans="1:17" x14ac:dyDescent="0.2">
      <c r="A25" s="45"/>
      <c r="B25" s="45"/>
      <c r="C25" s="57"/>
      <c r="D25" s="45"/>
      <c r="E25" s="104"/>
      <c r="F25" s="45"/>
      <c r="G25" s="45"/>
      <c r="H25" s="45"/>
      <c r="I25" s="45"/>
      <c r="J25" s="45"/>
      <c r="K25" s="45"/>
      <c r="L25" s="45"/>
      <c r="M25" s="45"/>
      <c r="N25" s="45"/>
      <c r="O25" s="45"/>
    </row>
    <row r="26" spans="1:17" ht="15.75" x14ac:dyDescent="0.25">
      <c r="A26" s="49" t="s">
        <v>12</v>
      </c>
      <c r="B26" s="50"/>
      <c r="C26" s="6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</row>
    <row r="27" spans="1:17" ht="15.75" x14ac:dyDescent="0.25">
      <c r="A27" s="49"/>
      <c r="B27" s="50"/>
      <c r="C27" s="56" t="s">
        <v>19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</row>
    <row r="28" spans="1:17" ht="15.75" x14ac:dyDescent="0.25">
      <c r="A28" s="45"/>
      <c r="B28" s="50" t="s">
        <v>11</v>
      </c>
      <c r="C28" s="43">
        <v>1000000</v>
      </c>
      <c r="D28" s="105">
        <f>0.08*1000000</f>
        <v>80000</v>
      </c>
      <c r="E28" s="51">
        <f t="shared" ref="E28:J28" si="6">0.08*1000000</f>
        <v>80000</v>
      </c>
      <c r="F28" s="51">
        <f t="shared" si="6"/>
        <v>80000</v>
      </c>
      <c r="G28" s="51">
        <f t="shared" si="6"/>
        <v>80000</v>
      </c>
      <c r="H28" s="51">
        <f t="shared" si="6"/>
        <v>80000</v>
      </c>
      <c r="I28" s="51">
        <f t="shared" si="6"/>
        <v>80000</v>
      </c>
      <c r="J28" s="51">
        <f t="shared" si="6"/>
        <v>80000</v>
      </c>
      <c r="K28" s="51"/>
      <c r="L28" s="51"/>
      <c r="M28" s="50"/>
      <c r="N28" s="50"/>
      <c r="O28" s="50"/>
      <c r="P28" s="51">
        <f>SUM(D28:O28)</f>
        <v>560000</v>
      </c>
    </row>
    <row r="29" spans="1:17" ht="15.75" x14ac:dyDescent="0.25">
      <c r="A29" s="45"/>
      <c r="B29" s="50" t="s">
        <v>5</v>
      </c>
      <c r="C29" s="43">
        <v>1000000</v>
      </c>
      <c r="D29" s="105">
        <v>44444</v>
      </c>
      <c r="E29" s="51">
        <v>44444</v>
      </c>
      <c r="F29" s="51">
        <v>44444</v>
      </c>
      <c r="G29" s="51">
        <v>44444</v>
      </c>
      <c r="H29" s="51">
        <v>44444</v>
      </c>
      <c r="I29" s="51">
        <v>44444</v>
      </c>
      <c r="J29" s="51">
        <v>44444</v>
      </c>
      <c r="K29" s="51">
        <v>44444</v>
      </c>
      <c r="L29" s="51">
        <v>44448</v>
      </c>
      <c r="M29" s="50"/>
      <c r="N29" s="50"/>
      <c r="O29" s="50"/>
      <c r="P29" s="51">
        <f>SUM(D29:O29)</f>
        <v>400000</v>
      </c>
    </row>
    <row r="30" spans="1:17" ht="15.75" x14ac:dyDescent="0.25">
      <c r="A30" s="45"/>
      <c r="B30" s="50" t="s">
        <v>13</v>
      </c>
      <c r="C30" s="52">
        <v>500000</v>
      </c>
      <c r="D30" s="106">
        <v>18333</v>
      </c>
      <c r="E30" s="54">
        <v>18333</v>
      </c>
      <c r="F30" s="54">
        <v>18333</v>
      </c>
      <c r="G30" s="54">
        <v>18333</v>
      </c>
      <c r="H30" s="54">
        <v>18333</v>
      </c>
      <c r="I30" s="54">
        <v>18333</v>
      </c>
      <c r="J30" s="54">
        <v>18333</v>
      </c>
      <c r="K30" s="54">
        <v>18333</v>
      </c>
      <c r="L30" s="54">
        <v>18336</v>
      </c>
      <c r="M30" s="55"/>
      <c r="N30" s="55"/>
      <c r="O30" s="55"/>
      <c r="P30" s="54">
        <f>SUM(D30:O30)</f>
        <v>165000</v>
      </c>
    </row>
    <row r="31" spans="1:17" ht="15" x14ac:dyDescent="0.2">
      <c r="A31" s="50"/>
      <c r="B31" s="50"/>
      <c r="C31" s="57"/>
      <c r="D31" s="45"/>
      <c r="E31" s="45"/>
      <c r="F31" s="45"/>
      <c r="G31" s="45"/>
      <c r="H31" s="45"/>
      <c r="I31" s="45"/>
      <c r="J31" s="45"/>
      <c r="K31" s="45"/>
      <c r="L31" s="45"/>
      <c r="M31" s="50"/>
      <c r="N31" s="50"/>
      <c r="O31" s="50"/>
      <c r="P31" s="50"/>
    </row>
    <row r="32" spans="1:17" ht="15" x14ac:dyDescent="0.2">
      <c r="A32" s="45"/>
      <c r="B32" s="50" t="s">
        <v>15</v>
      </c>
      <c r="C32" s="61">
        <f>SUM(C28:C30)</f>
        <v>2500000</v>
      </c>
      <c r="D32" s="51">
        <f>SUM(D28:D31)</f>
        <v>142777</v>
      </c>
      <c r="E32" s="51">
        <f t="shared" ref="E32:L32" si="7">SUM(E28:E31)</f>
        <v>142777</v>
      </c>
      <c r="F32" s="51">
        <f t="shared" si="7"/>
        <v>142777</v>
      </c>
      <c r="G32" s="51">
        <f t="shared" si="7"/>
        <v>142777</v>
      </c>
      <c r="H32" s="51">
        <f t="shared" si="7"/>
        <v>142777</v>
      </c>
      <c r="I32" s="51">
        <f t="shared" si="7"/>
        <v>142777</v>
      </c>
      <c r="J32" s="51">
        <f t="shared" si="7"/>
        <v>142777</v>
      </c>
      <c r="K32" s="51">
        <f t="shared" si="7"/>
        <v>62777</v>
      </c>
      <c r="L32" s="51">
        <f t="shared" si="7"/>
        <v>62784</v>
      </c>
      <c r="M32" s="50"/>
      <c r="N32" s="50"/>
      <c r="O32" s="50"/>
      <c r="P32" s="51">
        <f>SUM(P28:P31)</f>
        <v>1125000</v>
      </c>
      <c r="Q32" s="45">
        <f>+P32/C32</f>
        <v>0.45</v>
      </c>
    </row>
    <row r="33" spans="1:16" ht="15" x14ac:dyDescent="0.2">
      <c r="A33" s="45"/>
      <c r="B33" s="50" t="s">
        <v>69</v>
      </c>
      <c r="C33" s="89"/>
      <c r="D33" s="90">
        <v>-89206</v>
      </c>
      <c r="E33" s="90">
        <v>-89206</v>
      </c>
      <c r="F33" s="90">
        <v>-89206</v>
      </c>
      <c r="G33" s="90">
        <v>-89206</v>
      </c>
      <c r="H33" s="90">
        <v>-89206</v>
      </c>
      <c r="I33" s="90">
        <v>-89206</v>
      </c>
      <c r="J33" s="90">
        <v>-89206</v>
      </c>
      <c r="K33" s="90">
        <v>-62777</v>
      </c>
      <c r="L33" s="90">
        <v>-62781</v>
      </c>
      <c r="M33" s="55"/>
      <c r="N33" s="55"/>
      <c r="O33" s="55"/>
      <c r="P33" s="90">
        <f>SUM(D33:O33)</f>
        <v>-750000</v>
      </c>
    </row>
    <row r="34" spans="1:16" ht="15" x14ac:dyDescent="0.2">
      <c r="A34" s="45"/>
      <c r="B34" s="50" t="s">
        <v>70</v>
      </c>
      <c r="C34" s="61"/>
      <c r="D34" s="51">
        <f>SUM(D32:D33)</f>
        <v>53571</v>
      </c>
      <c r="E34" s="51">
        <f t="shared" ref="E34:L34" si="8">SUM(E32:E33)</f>
        <v>53571</v>
      </c>
      <c r="F34" s="51">
        <f t="shared" si="8"/>
        <v>53571</v>
      </c>
      <c r="G34" s="51">
        <f t="shared" si="8"/>
        <v>53571</v>
      </c>
      <c r="H34" s="51">
        <f t="shared" si="8"/>
        <v>53571</v>
      </c>
      <c r="I34" s="51">
        <f t="shared" si="8"/>
        <v>53571</v>
      </c>
      <c r="J34" s="51">
        <f t="shared" si="8"/>
        <v>53571</v>
      </c>
      <c r="K34" s="51">
        <f t="shared" si="8"/>
        <v>0</v>
      </c>
      <c r="L34" s="51">
        <f t="shared" si="8"/>
        <v>3</v>
      </c>
      <c r="M34" s="50"/>
      <c r="N34" s="50"/>
      <c r="O34" s="50"/>
      <c r="P34" s="51">
        <f>SUM(P32:P33)</f>
        <v>375000</v>
      </c>
    </row>
    <row r="35" spans="1:16" ht="15" x14ac:dyDescent="0.2">
      <c r="A35" s="45"/>
      <c r="B35" s="45"/>
      <c r="C35" s="57"/>
      <c r="D35" s="45"/>
      <c r="E35" s="45"/>
      <c r="F35" s="45"/>
      <c r="G35" s="45"/>
      <c r="H35" s="45"/>
      <c r="I35" s="45"/>
      <c r="J35" s="45"/>
      <c r="K35" s="45"/>
      <c r="L35" s="45"/>
      <c r="M35" s="50"/>
      <c r="N35" s="50"/>
      <c r="O35" s="50"/>
      <c r="P35" s="51"/>
    </row>
    <row r="36" spans="1:16" ht="15" x14ac:dyDescent="0.2">
      <c r="A36" s="50"/>
      <c r="B36" s="50" t="s">
        <v>14</v>
      </c>
      <c r="C36" s="60"/>
      <c r="D36" s="53">
        <v>0.99560684849496328</v>
      </c>
      <c r="E36" s="53">
        <v>0.99150184034074107</v>
      </c>
      <c r="F36" s="53">
        <v>0.98726219788606662</v>
      </c>
      <c r="G36" s="53">
        <v>0.98332202692532533</v>
      </c>
      <c r="H36" s="53">
        <v>0.97935141713436702</v>
      </c>
      <c r="I36" s="53">
        <v>0.97543083719613988</v>
      </c>
      <c r="J36" s="53">
        <v>0.97164672100323601</v>
      </c>
      <c r="K36" s="53">
        <v>0.96778778591968651</v>
      </c>
      <c r="L36" s="53">
        <v>0.96403976660130053</v>
      </c>
      <c r="M36" s="50"/>
      <c r="N36" s="50"/>
      <c r="O36" s="50"/>
      <c r="P36" s="51"/>
    </row>
    <row r="37" spans="1:16" ht="15" x14ac:dyDescent="0.2">
      <c r="A37" s="50"/>
      <c r="B37" s="50" t="s">
        <v>66</v>
      </c>
      <c r="C37" s="60"/>
      <c r="D37" s="51">
        <f t="shared" ref="D37:L37" si="9">+(D28+D29)*D36</f>
        <v>123897.29865410722</v>
      </c>
      <c r="E37" s="51">
        <f t="shared" si="9"/>
        <v>123386.45501936319</v>
      </c>
      <c r="F37" s="51">
        <f t="shared" si="9"/>
        <v>122858.85695373367</v>
      </c>
      <c r="G37" s="51">
        <f t="shared" si="9"/>
        <v>122368.52631869519</v>
      </c>
      <c r="H37" s="51">
        <f t="shared" si="9"/>
        <v>121874.40775386916</v>
      </c>
      <c r="I37" s="51">
        <f t="shared" si="9"/>
        <v>121386.51510403643</v>
      </c>
      <c r="J37" s="51">
        <f t="shared" si="9"/>
        <v>120915.60454852671</v>
      </c>
      <c r="K37" s="51">
        <f t="shared" si="9"/>
        <v>43012.360357414545</v>
      </c>
      <c r="L37" s="51">
        <f t="shared" si="9"/>
        <v>42849.639545894606</v>
      </c>
      <c r="M37" s="50"/>
      <c r="N37" s="50"/>
      <c r="O37" s="50"/>
      <c r="P37" s="51">
        <f>SUM(D37:O37)</f>
        <v>942549.6642556407</v>
      </c>
    </row>
    <row r="38" spans="1:16" ht="15.75" x14ac:dyDescent="0.25">
      <c r="A38" s="49" t="s">
        <v>16</v>
      </c>
      <c r="B38" s="50"/>
      <c r="C38" s="62"/>
      <c r="D38" s="50"/>
      <c r="E38" s="49"/>
      <c r="F38" s="50"/>
      <c r="G38" s="45"/>
      <c r="H38" s="45"/>
      <c r="I38" s="45"/>
      <c r="J38" s="45"/>
      <c r="K38" s="45"/>
      <c r="L38" s="45"/>
      <c r="M38" s="45"/>
      <c r="N38" s="45"/>
      <c r="O38" s="45"/>
    </row>
    <row r="39" spans="1:16" ht="15" x14ac:dyDescent="0.2">
      <c r="A39" s="45"/>
      <c r="B39" s="50" t="s">
        <v>65</v>
      </c>
      <c r="C39" s="57"/>
      <c r="D39" s="50"/>
      <c r="E39" s="45"/>
      <c r="F39" s="50"/>
      <c r="G39" s="45"/>
      <c r="H39" s="45"/>
      <c r="I39" s="45"/>
      <c r="J39" s="45"/>
      <c r="K39" s="45"/>
      <c r="L39" s="45"/>
      <c r="M39" s="45"/>
      <c r="N39" s="45"/>
      <c r="O39" s="45"/>
    </row>
    <row r="40" spans="1:16" ht="15" x14ac:dyDescent="0.2">
      <c r="A40" s="45"/>
      <c r="B40" s="50" t="s">
        <v>17</v>
      </c>
      <c r="C40" s="57"/>
      <c r="D40" s="50"/>
      <c r="E40" s="45"/>
      <c r="F40" s="50"/>
      <c r="G40" s="45"/>
      <c r="H40" s="45"/>
      <c r="I40" s="45"/>
      <c r="J40" s="45"/>
      <c r="K40" s="45"/>
      <c r="L40" s="45"/>
      <c r="M40" s="45"/>
      <c r="N40" s="45"/>
      <c r="O40" s="45"/>
    </row>
    <row r="41" spans="1:16" ht="15" x14ac:dyDescent="0.2">
      <c r="A41" s="45"/>
      <c r="B41" s="50" t="s">
        <v>18</v>
      </c>
      <c r="C41" s="57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</row>
    <row r="42" spans="1:16" x14ac:dyDescent="0.2">
      <c r="A42" s="45"/>
      <c r="B42" s="45"/>
      <c r="C42" s="57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</row>
    <row r="43" spans="1:16" ht="15.75" x14ac:dyDescent="0.25">
      <c r="A43" s="49" t="s">
        <v>68</v>
      </c>
      <c r="B43" s="50" t="s">
        <v>67</v>
      </c>
      <c r="C43" s="57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</row>
    <row r="44" spans="1:16" x14ac:dyDescent="0.2">
      <c r="A44" s="45"/>
      <c r="C44" s="57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</row>
    <row r="45" spans="1:16" x14ac:dyDescent="0.2">
      <c r="A45" s="45"/>
      <c r="B45" s="45"/>
      <c r="C45" s="57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</row>
    <row r="46" spans="1:16" x14ac:dyDescent="0.2">
      <c r="A46" s="45"/>
      <c r="B46" s="45"/>
      <c r="C46" s="57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</row>
    <row r="47" spans="1:16" x14ac:dyDescent="0.2">
      <c r="A47" s="45"/>
      <c r="B47" s="45"/>
      <c r="C47" s="57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</row>
    <row r="48" spans="1:16" x14ac:dyDescent="0.2">
      <c r="A48" s="45"/>
      <c r="B48" s="45"/>
      <c r="C48" s="57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</row>
    <row r="49" spans="1:15" x14ac:dyDescent="0.2">
      <c r="A49" s="45"/>
      <c r="B49" s="45"/>
      <c r="C49" s="57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</row>
    <row r="50" spans="1:15" x14ac:dyDescent="0.2">
      <c r="A50" s="45"/>
      <c r="B50" s="45"/>
      <c r="C50" s="57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</row>
    <row r="51" spans="1:15" x14ac:dyDescent="0.2">
      <c r="A51" s="45"/>
      <c r="B51" s="45"/>
      <c r="C51" s="57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</row>
    <row r="52" spans="1:15" x14ac:dyDescent="0.2">
      <c r="A52" s="45"/>
      <c r="B52" s="45"/>
      <c r="C52" s="57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</row>
    <row r="53" spans="1:15" x14ac:dyDescent="0.2">
      <c r="A53" s="45"/>
      <c r="B53" s="45"/>
      <c r="C53" s="57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</row>
  </sheetData>
  <phoneticPr fontId="0" type="noConversion"/>
  <pageMargins left="0.53" right="0.49" top="0.68" bottom="0.65" header="0.4" footer="0.31"/>
  <pageSetup scale="62" orientation="landscape" horizontalDpi="0" r:id="rId1"/>
  <headerFooter alignWithMargins="0">
    <oddFooter>&amp;L&amp;D&amp;C&amp;F&amp;R&amp;T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21"/>
  <sheetViews>
    <sheetView zoomScale="85" workbookViewId="0">
      <selection activeCell="H24" sqref="H24"/>
    </sheetView>
  </sheetViews>
  <sheetFormatPr defaultRowHeight="12.75" x14ac:dyDescent="0.2"/>
  <cols>
    <col min="1" max="1" width="26.85546875" style="4" customWidth="1"/>
    <col min="2" max="2" width="19.140625" style="4" bestFit="1" customWidth="1"/>
    <col min="3" max="3" width="0.140625" style="4" customWidth="1"/>
    <col min="4" max="4" width="12.5703125" style="4" bestFit="1" customWidth="1"/>
    <col min="5" max="5" width="10" style="4" bestFit="1" customWidth="1"/>
    <col min="6" max="6" width="9.28515625" style="4" bestFit="1" customWidth="1"/>
    <col min="7" max="7" width="15" style="4" bestFit="1" customWidth="1"/>
    <col min="8" max="8" width="12.28515625" style="4" bestFit="1" customWidth="1"/>
    <col min="9" max="9" width="11.42578125" style="4" bestFit="1" customWidth="1"/>
    <col min="10" max="10" width="5.42578125" style="4" bestFit="1" customWidth="1"/>
    <col min="11" max="11" width="17.28515625" style="4" bestFit="1" customWidth="1"/>
    <col min="12" max="12" width="52.28515625" bestFit="1" customWidth="1"/>
  </cols>
  <sheetData>
    <row r="1" spans="1:12" ht="15.75" x14ac:dyDescent="0.25">
      <c r="A1" s="64" t="s">
        <v>30</v>
      </c>
    </row>
    <row r="3" spans="1:12" x14ac:dyDescent="0.2">
      <c r="A3" s="65" t="s">
        <v>31</v>
      </c>
      <c r="B3" s="65" t="s">
        <v>32</v>
      </c>
      <c r="C3" s="65" t="s">
        <v>33</v>
      </c>
      <c r="D3" s="65" t="s">
        <v>34</v>
      </c>
      <c r="E3" s="65" t="s">
        <v>35</v>
      </c>
      <c r="F3" s="65" t="s">
        <v>19</v>
      </c>
      <c r="G3" s="65" t="s">
        <v>36</v>
      </c>
      <c r="H3" s="65" t="s">
        <v>37</v>
      </c>
      <c r="I3" s="65" t="s">
        <v>38</v>
      </c>
      <c r="J3" s="65" t="s">
        <v>39</v>
      </c>
      <c r="K3" s="65" t="s">
        <v>40</v>
      </c>
      <c r="L3" s="65" t="s">
        <v>41</v>
      </c>
    </row>
    <row r="4" spans="1:12" x14ac:dyDescent="0.2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1:12" x14ac:dyDescent="0.2">
      <c r="A5" s="66" t="s">
        <v>11</v>
      </c>
      <c r="B5" s="66" t="s">
        <v>42</v>
      </c>
      <c r="C5" s="4" t="s">
        <v>43</v>
      </c>
      <c r="D5" s="67">
        <f>0.08*1000000*7</f>
        <v>560000</v>
      </c>
      <c r="E5" s="68">
        <f t="shared" ref="E5:E10" si="0">+D5/1000000</f>
        <v>0.56000000000000005</v>
      </c>
      <c r="F5" s="69">
        <v>1000000</v>
      </c>
      <c r="G5" s="68" t="s">
        <v>44</v>
      </c>
      <c r="H5" s="68" t="s">
        <v>45</v>
      </c>
      <c r="I5" s="70">
        <v>0.41666666666666669</v>
      </c>
      <c r="J5" s="71">
        <v>1.7000000000000001E-2</v>
      </c>
      <c r="K5" s="4" t="s">
        <v>46</v>
      </c>
      <c r="L5" s="68"/>
    </row>
    <row r="6" spans="1:12" x14ac:dyDescent="0.2">
      <c r="A6" s="66" t="s">
        <v>47</v>
      </c>
      <c r="B6" s="66" t="s">
        <v>48</v>
      </c>
      <c r="C6" s="4">
        <v>0.4</v>
      </c>
      <c r="D6" s="72">
        <f>+C6*1000000</f>
        <v>400000</v>
      </c>
      <c r="E6" s="68">
        <f t="shared" si="0"/>
        <v>0.4</v>
      </c>
      <c r="F6" s="69">
        <v>1000000</v>
      </c>
      <c r="G6" s="73" t="s">
        <v>49</v>
      </c>
      <c r="H6" s="68" t="s">
        <v>50</v>
      </c>
      <c r="I6" s="74">
        <v>0.44791666666666669</v>
      </c>
      <c r="J6" s="71">
        <v>1.7000000000000001E-2</v>
      </c>
      <c r="K6" s="4" t="s">
        <v>46</v>
      </c>
      <c r="L6" s="74" t="s">
        <v>51</v>
      </c>
    </row>
    <row r="7" spans="1:12" x14ac:dyDescent="0.2">
      <c r="A7" s="66" t="s">
        <v>52</v>
      </c>
      <c r="B7" s="66" t="s">
        <v>53</v>
      </c>
      <c r="C7" s="4" t="s">
        <v>54</v>
      </c>
      <c r="D7" s="67">
        <f>20000*7</f>
        <v>140000</v>
      </c>
      <c r="E7" s="68">
        <f>+D7/1000000</f>
        <v>0.14000000000000001</v>
      </c>
      <c r="F7" s="69">
        <v>1000000</v>
      </c>
      <c r="G7" s="68" t="s">
        <v>44</v>
      </c>
      <c r="H7" s="68" t="s">
        <v>45</v>
      </c>
      <c r="I7" s="70">
        <v>0.41666666666666669</v>
      </c>
      <c r="J7" s="71">
        <v>1.7000000000000001E-2</v>
      </c>
      <c r="K7" s="4" t="s">
        <v>46</v>
      </c>
      <c r="L7" s="68"/>
    </row>
    <row r="8" spans="1:12" x14ac:dyDescent="0.2">
      <c r="A8" s="66" t="s">
        <v>55</v>
      </c>
      <c r="B8" s="66"/>
      <c r="C8" s="4">
        <v>0.1</v>
      </c>
      <c r="D8" s="72">
        <f>+C8*1000000</f>
        <v>100000</v>
      </c>
      <c r="E8" s="68">
        <f t="shared" si="0"/>
        <v>0.1</v>
      </c>
      <c r="F8" s="69">
        <v>1000000</v>
      </c>
      <c r="G8" s="68" t="s">
        <v>44</v>
      </c>
      <c r="H8" s="68" t="s">
        <v>45</v>
      </c>
      <c r="I8" s="70">
        <v>0.41666666666666669</v>
      </c>
      <c r="J8" s="71">
        <v>1.7000000000000001E-2</v>
      </c>
      <c r="K8" s="4" t="s">
        <v>46</v>
      </c>
      <c r="L8" s="68" t="s">
        <v>56</v>
      </c>
    </row>
    <row r="9" spans="1:12" x14ac:dyDescent="0.2">
      <c r="A9" s="66" t="s">
        <v>57</v>
      </c>
      <c r="B9" s="66" t="s">
        <v>58</v>
      </c>
      <c r="C9" s="4">
        <v>0.08</v>
      </c>
      <c r="D9" s="72">
        <v>80000</v>
      </c>
      <c r="E9" s="68">
        <f t="shared" si="0"/>
        <v>0.08</v>
      </c>
      <c r="F9" s="69">
        <v>1000000</v>
      </c>
      <c r="G9" s="68" t="s">
        <v>44</v>
      </c>
      <c r="H9" s="68" t="s">
        <v>45</v>
      </c>
      <c r="I9" s="70">
        <v>0.41666666666666669</v>
      </c>
      <c r="J9" s="71">
        <v>1.7000000000000001E-2</v>
      </c>
      <c r="K9" s="75" t="s">
        <v>59</v>
      </c>
      <c r="L9" s="68"/>
    </row>
    <row r="10" spans="1:12" x14ac:dyDescent="0.2">
      <c r="A10" s="66" t="s">
        <v>60</v>
      </c>
      <c r="B10" s="66" t="s">
        <v>61</v>
      </c>
      <c r="C10" s="4">
        <v>0.05</v>
      </c>
      <c r="D10" s="72">
        <f>+C10*1000000</f>
        <v>50000</v>
      </c>
      <c r="E10" s="68">
        <f t="shared" si="0"/>
        <v>0.05</v>
      </c>
      <c r="F10" s="69">
        <v>1000000</v>
      </c>
      <c r="G10" s="68" t="s">
        <v>44</v>
      </c>
      <c r="H10" s="68" t="s">
        <v>62</v>
      </c>
      <c r="I10" s="70">
        <v>0.41666666666666669</v>
      </c>
      <c r="J10" s="71">
        <v>1.7000000000000001E-2</v>
      </c>
      <c r="K10" s="4" t="s">
        <v>46</v>
      </c>
      <c r="L10" s="68"/>
    </row>
    <row r="11" spans="1:12" x14ac:dyDescent="0.2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</row>
    <row r="13" spans="1:12" ht="15.75" x14ac:dyDescent="0.25">
      <c r="A13" s="64" t="s">
        <v>64</v>
      </c>
    </row>
    <row r="15" spans="1:12" x14ac:dyDescent="0.2">
      <c r="A15" s="65" t="s">
        <v>31</v>
      </c>
      <c r="B15" s="65" t="s">
        <v>32</v>
      </c>
      <c r="C15" s="65" t="s">
        <v>33</v>
      </c>
      <c r="D15" s="65" t="s">
        <v>34</v>
      </c>
      <c r="E15" s="65" t="s">
        <v>35</v>
      </c>
      <c r="F15" s="65" t="s">
        <v>19</v>
      </c>
      <c r="G15" s="65" t="s">
        <v>36</v>
      </c>
      <c r="H15" s="65" t="s">
        <v>37</v>
      </c>
      <c r="I15" s="65" t="s">
        <v>38</v>
      </c>
      <c r="J15" s="65" t="s">
        <v>39</v>
      </c>
      <c r="K15" s="65" t="s">
        <v>40</v>
      </c>
      <c r="L15" s="65" t="s">
        <v>41</v>
      </c>
    </row>
    <row r="16" spans="1:12" x14ac:dyDescent="0.2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</row>
    <row r="17" spans="1:12" x14ac:dyDescent="0.2">
      <c r="A17" s="66" t="s">
        <v>11</v>
      </c>
      <c r="B17" s="66" t="s">
        <v>42</v>
      </c>
      <c r="C17" s="4" t="s">
        <v>43</v>
      </c>
      <c r="D17" s="67">
        <f>0.08*1000000*7</f>
        <v>560000</v>
      </c>
      <c r="E17" s="68">
        <f>+D17/F17</f>
        <v>0.56000000000000005</v>
      </c>
      <c r="F17" s="69">
        <v>1000000</v>
      </c>
      <c r="G17" s="68" t="s">
        <v>44</v>
      </c>
      <c r="H17" s="68" t="s">
        <v>45</v>
      </c>
      <c r="I17" s="70">
        <v>0.41666666666666669</v>
      </c>
      <c r="J17" s="71">
        <v>1.7000000000000001E-2</v>
      </c>
      <c r="K17" s="4" t="s">
        <v>46</v>
      </c>
      <c r="L17" s="68"/>
    </row>
    <row r="18" spans="1:12" x14ac:dyDescent="0.2">
      <c r="A18" s="66" t="s">
        <v>47</v>
      </c>
      <c r="B18" s="66" t="s">
        <v>48</v>
      </c>
      <c r="C18" s="4">
        <v>0.4</v>
      </c>
      <c r="D18" s="72">
        <v>165000</v>
      </c>
      <c r="E18" s="68">
        <f>+D18/F18</f>
        <v>0.33</v>
      </c>
      <c r="F18" s="69">
        <v>500000</v>
      </c>
      <c r="G18" s="83" t="s">
        <v>49</v>
      </c>
      <c r="H18" s="83" t="s">
        <v>50</v>
      </c>
      <c r="I18" s="84">
        <v>0.44791666666666669</v>
      </c>
      <c r="J18" s="71">
        <v>1.7000000000000001E-2</v>
      </c>
      <c r="K18" s="4" t="s">
        <v>46</v>
      </c>
      <c r="L18" s="76"/>
    </row>
    <row r="19" spans="1:12" x14ac:dyDescent="0.2">
      <c r="A19" s="77" t="s">
        <v>5</v>
      </c>
      <c r="B19" s="77" t="s">
        <v>63</v>
      </c>
      <c r="C19" s="78" t="s">
        <v>54</v>
      </c>
      <c r="D19" s="79">
        <v>400000</v>
      </c>
      <c r="E19" s="80">
        <f>+D19/F19</f>
        <v>0.4</v>
      </c>
      <c r="F19" s="81">
        <v>1000000</v>
      </c>
      <c r="G19" s="86" t="s">
        <v>49</v>
      </c>
      <c r="H19" s="80" t="s">
        <v>45</v>
      </c>
      <c r="I19" s="85">
        <v>0.4375</v>
      </c>
      <c r="J19" s="82">
        <v>1.7000000000000001E-2</v>
      </c>
      <c r="K19" s="78" t="s">
        <v>46</v>
      </c>
      <c r="L19" s="80"/>
    </row>
    <row r="20" spans="1:12" x14ac:dyDescent="0.2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</row>
    <row r="21" spans="1:12" x14ac:dyDescent="0.2">
      <c r="D21" s="72">
        <f>SUM(D17:D20)</f>
        <v>1125000</v>
      </c>
      <c r="E21" s="4">
        <f>+D21/F21</f>
        <v>0.45</v>
      </c>
      <c r="F21" s="69">
        <f>SUM(F17:F20)</f>
        <v>2500000</v>
      </c>
    </row>
  </sheetData>
  <phoneticPr fontId="0" type="noConversion"/>
  <pageMargins left="0.44" right="0.33" top="0.77" bottom="0.76" header="0.5" footer="0.5"/>
  <pageSetup scale="69" orientation="landscape" horizontalDpi="0" r:id="rId1"/>
  <headerFooter alignWithMargins="0">
    <oddFooter>&amp;L&amp;D&amp;C&amp;F&amp;R&amp;T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NSS Inventory</vt:lpstr>
      <vt:lpstr>Rights</vt:lpstr>
      <vt:lpstr>RFP Responses</vt:lpstr>
      <vt:lpstr>'NSS Inventory'!Print_Area</vt:lpstr>
      <vt:lpstr>'RFP Responses'!Print_Area</vt:lpstr>
      <vt:lpstr>Rights!Print_Area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lfascett</dc:creator>
  <cp:lastModifiedBy>Jan Havlíček</cp:lastModifiedBy>
  <cp:lastPrinted>2001-04-30T16:15:26Z</cp:lastPrinted>
  <dcterms:created xsi:type="dcterms:W3CDTF">2001-03-01T18:03:21Z</dcterms:created>
  <dcterms:modified xsi:type="dcterms:W3CDTF">2023-09-16T23:50:21Z</dcterms:modified>
</cp:coreProperties>
</file>