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AB93B6-F1F3-4DD3-A09F-06F06B2CF18D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2" i="3"/>
  <c r="E22" i="3"/>
  <c r="F22" i="3"/>
  <c r="D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<sst xmlns="http://schemas.openxmlformats.org/spreadsheetml/2006/main" count="426" uniqueCount="131">
  <si>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</si>
  <si>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</si>
  <si>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</si>
  <si>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</si>
  <si>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</si>
  <si>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</si>
  <si>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</si>
  <si>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</si>
  <si>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</si>
  <si>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</si>
  <si>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</si>
  <si>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</si>
  <si>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</si>
  <si>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</si>
  <si>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</si>
  <si>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</si>
  <si>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</si>
  <si>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</si>
  <si>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</si>
  <si>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</si>
  <si>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</si>
  <si>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</si>
  <si>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</si>
  <si>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</si>
  <si>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</si>
  <si>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</si>
  <si>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</si>
  <si>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</si>
  <si>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</si>
  <si>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</si>
  <si>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</si>
  <si>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</si>
  <si>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</si>
  <si>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</si>
  <si>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</si>
  <si>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</si>
  <si>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</si>
  <si>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</si>
  <si>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</si>
  <si>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</si>
  <si>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</si>
  <si>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</si>
  <si>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</si>
  <si>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</si>
  <si>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</si>
  <si>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</si>
  <si>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</si>
  <si>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</si>
  <si>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</si>
  <si>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</si>
  <si>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</si>
  <si>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</si>
  <si>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</si>
  <si>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</si>
  <si>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</si>
  <si>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</si>
  <si>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</si>
  <si>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</si>
  <si>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</si>
  <si>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</si>
  <si>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</si>
  <si>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</si>
  <si>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</si>
  <si>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</si>
  <si>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</si>
  <si>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</si>
  <si>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</si>
  <si>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</si>
  <si>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</si>
  <si>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</si>
  <si>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</si>
  <si>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</si>
  <si>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</si>
  <si>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</si>
  <si>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</si>
  <si>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</si>
  <si>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</si>
  <si>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</si>
  <si>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</si>
  <si>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</si>
  <si>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</si>
  <si>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</si>
  <si>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</si>
  <si>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</si>
  <si>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</si>
  <si>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</si>
  <si>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</si>
  <si>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</si>
  <si>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</si>
  <si>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</si>
  <si>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</si>
  <si>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</si>
  <si>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</si>
  <si>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</si>
  <si>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</si>
  <si>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</si>
  <si>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</si>
  <si>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</si>
  <si>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</si>
  <si>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</si>
  <si>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</si>
  <si>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</si>
  <si>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</si>
  <si>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</si>
  <si>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</si>
  <si>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</si>
  <si>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</si>
  <si>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</si>
  <si>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</si>
  <si>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</si>
  <si>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</si>
  <si>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</si>
  <si>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</si>
  <si>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</si>
  <si>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</si>
  <si>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</si>
  <si>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</si>
  <si>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</si>
  <si>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</si>
  <si>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</si>
  <si>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</si>
  <si>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</si>
  <si>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</si>
  <si>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</si>
  <si>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</si>
  <si>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</si>
  <si>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</si>
  <si>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</si>
  <si>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</si>
  <si>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Results based on activity through January 18, 2001</t>
  </si>
  <si>
    <t>Crude &amp;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</si>
</sst>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031A63BA-7C9F-CA76-1C7C-2231F3F4140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855C88C7-5918-8B8C-9DD2-3CFDF62BEC6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353F40F0-46C2-19F6-01F5-ADC64A655197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6A5D105F-5A1E-8B1E-0349-32D6D76D908F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414C2F61-EAEF-D47B-F041-E41F98723DFE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F75795C2-8281-B2E3-DA0D-4C9CEA9EEA91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8934CB45-866F-9140-084C-BD044F2011DA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07160023-2BAF-D829-C230-22ACA42F0DE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EDE4BFDA-32E4-262C-83A2-DCB5B6EC3DBE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8F5EB8C3-E140-7E4C-94DF-E0D88CD05583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86C83FF-8334-5E60-731F-304392CD4A1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A7B3EA8C-4283-0867-DA42-CE870A40A1DA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B7B41ED6-9B56-E765-4499-66DDDF8770BB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57FE4DF-342F-64B5-8A4F-F84F30663C62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766E5BE4-0FCE-CC6A-94F4-43FFDE49A05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56F6D11B-1FCA-268A-EFB9-B57C9F76DB6B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83915C1C-376C-5458-535B-1A285ECBB5B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54E184C1-F73D-D85D-B4EF-E18521104FD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E5E1CD69-47AF-7B85-0779-BF13E6D3A9C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C690B7AD-1B3A-C4D9-80AB-5E66613FE50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6BABF3F5-8DFF-4F98-E869-8930B779422E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-4389</v>
          </cell>
          <cell r="G8">
            <v>17128.77</v>
          </cell>
        </row>
        <row r="9">
          <cell r="C9">
            <v>4054.6792399999999</v>
          </cell>
          <cell r="G9">
            <v>7821.5169999999998</v>
          </cell>
        </row>
        <row r="10">
          <cell r="C10">
            <v>-957</v>
          </cell>
          <cell r="G10">
            <v>2056.681</v>
          </cell>
        </row>
        <row r="11">
          <cell r="C11">
            <v>-4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2077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-4389</v>
          </cell>
          <cell r="H9">
            <v>0</v>
          </cell>
          <cell r="I9">
            <v>0</v>
          </cell>
          <cell r="J9">
            <v>-4389</v>
          </cell>
          <cell r="L9">
            <v>0</v>
          </cell>
          <cell r="M9">
            <v>6767.77</v>
          </cell>
          <cell r="N9">
            <v>10361</v>
          </cell>
          <cell r="O9">
            <v>-21517.77</v>
          </cell>
          <cell r="Q9">
            <v>-44389</v>
          </cell>
          <cell r="S9">
            <v>0</v>
          </cell>
          <cell r="T9">
            <v>0</v>
          </cell>
          <cell r="U9">
            <v>0</v>
          </cell>
          <cell r="V9">
            <v>-44389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4054.6792399999999</v>
          </cell>
          <cell r="H10">
            <v>0</v>
          </cell>
          <cell r="I10">
            <v>0</v>
          </cell>
          <cell r="J10">
            <v>4054.6792399999999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-3766.8377599999999</v>
          </cell>
          <cell r="Q10">
            <v>-9695.3207600000005</v>
          </cell>
          <cell r="S10">
            <v>0</v>
          </cell>
          <cell r="T10">
            <v>0</v>
          </cell>
          <cell r="U10">
            <v>0</v>
          </cell>
          <cell r="V10">
            <v>-9695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-957</v>
          </cell>
          <cell r="H11">
            <v>0</v>
          </cell>
          <cell r="I11">
            <v>0</v>
          </cell>
          <cell r="J11">
            <v>-957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-3013.681</v>
          </cell>
          <cell r="Q11">
            <v>-5957</v>
          </cell>
          <cell r="S11">
            <v>0</v>
          </cell>
          <cell r="T11">
            <v>0</v>
          </cell>
          <cell r="U11">
            <v>0</v>
          </cell>
          <cell r="V11">
            <v>-5957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-4</v>
          </cell>
          <cell r="H12">
            <v>0</v>
          </cell>
          <cell r="I12">
            <v>0</v>
          </cell>
          <cell r="J12">
            <v>-4</v>
          </cell>
          <cell r="L12">
            <v>0</v>
          </cell>
          <cell r="M12">
            <v>1808.5229999999999</v>
          </cell>
          <cell r="N12">
            <v>1923</v>
          </cell>
          <cell r="O12">
            <v>-3735.5230000000001</v>
          </cell>
          <cell r="Q12">
            <v>-8513.2510000000002</v>
          </cell>
          <cell r="S12">
            <v>0</v>
          </cell>
          <cell r="T12">
            <v>0</v>
          </cell>
          <cell r="U12">
            <v>0</v>
          </cell>
          <cell r="V12">
            <v>-8513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2077</v>
          </cell>
          <cell r="H14">
            <v>0</v>
          </cell>
          <cell r="I14">
            <v>0</v>
          </cell>
          <cell r="J14">
            <v>2077</v>
          </cell>
          <cell r="L14">
            <v>0</v>
          </cell>
          <cell r="M14">
            <v>3467.386</v>
          </cell>
          <cell r="N14">
            <v>2315</v>
          </cell>
          <cell r="O14">
            <v>-3705.386</v>
          </cell>
          <cell r="Q14">
            <v>-17923</v>
          </cell>
          <cell r="S14">
            <v>0</v>
          </cell>
          <cell r="T14">
            <v>0</v>
          </cell>
          <cell r="U14">
            <v>0</v>
          </cell>
          <cell r="V14">
            <v>-17923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747.67923999999994</v>
          </cell>
          <cell r="H21">
            <v>0</v>
          </cell>
          <cell r="I21">
            <v>0</v>
          </cell>
          <cell r="J21">
            <v>747.67923999999994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-46667.767759999995</v>
          </cell>
          <cell r="Q21">
            <v>-95441.070760000002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-95690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247.67923999999994</v>
          </cell>
          <cell r="H28">
            <v>0</v>
          </cell>
          <cell r="I28">
            <v>0</v>
          </cell>
          <cell r="J28">
            <v>247.67923999999994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-51090.280759999987</v>
          </cell>
          <cell r="Q28">
            <v>-95441.070760000002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-95690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247.67923999999994</v>
          </cell>
          <cell r="H32">
            <v>0</v>
          </cell>
          <cell r="I32">
            <v>0</v>
          </cell>
          <cell r="J32">
            <v>247.67923999999994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-51398.280760000001</v>
          </cell>
          <cell r="Q32">
            <v>-95441.070760000002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-95690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-4389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4040</v>
          </cell>
          <cell r="E11">
            <v>14.67924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-957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269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809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999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  <cell r="K30">
            <v>0</v>
          </cell>
        </row>
        <row r="32">
          <cell r="I32">
            <v>247.67923999999994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-7115</v>
      </c>
      <c r="H9" s="36">
        <f>GrossMargin!J10</f>
        <v>0</v>
      </c>
      <c r="I9" s="36">
        <f>+'Mgmt Summary'!I9</f>
        <v>0</v>
      </c>
      <c r="J9" s="136">
        <f>SUM(G9:I9)</f>
        <v>-7115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-24243.77</v>
      </c>
      <c r="P9" s="37"/>
      <c r="Q9" s="133">
        <f>+'Mgmt Summary'!Q9</f>
        <v>-47115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4977.7972399999999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4977.7972399999999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-2843.71976</v>
      </c>
      <c r="P10" s="37"/>
      <c r="Q10" s="133">
        <f>+'Mgmt Summary'!Q10</f>
        <v>-8772.2027600000001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-8772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-2191</v>
      </c>
      <c r="H11" s="36">
        <f>GrossMargin!J12</f>
        <v>0</v>
      </c>
      <c r="I11" s="36">
        <f>+'Mgmt Summary'!I11</f>
        <v>0</v>
      </c>
      <c r="J11" s="136">
        <f t="shared" si="1"/>
        <v>-2191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-4247.6810000000005</v>
      </c>
      <c r="P11" s="37"/>
      <c r="Q11" s="133">
        <f>+'Mgmt Summary'!Q11</f>
        <v>-7191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-7191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628</v>
      </c>
      <c r="H12" s="36">
        <f>GrossMargin!J13</f>
        <v>0</v>
      </c>
      <c r="I12" s="36">
        <f>+'Mgmt Summary'!I12</f>
        <v>0</v>
      </c>
      <c r="J12" s="136">
        <f t="shared" si="1"/>
        <v>628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-3103.5230000000001</v>
      </c>
      <c r="P12" s="37"/>
      <c r="Q12" s="133">
        <f>+'Mgmt Summary'!Q12</f>
        <v>-7881.2510000000002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-7881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1751</v>
      </c>
      <c r="H14" s="36">
        <f>GrossMargin!J15</f>
        <v>0</v>
      </c>
      <c r="I14" s="36">
        <f>+'Mgmt Summary'!I14</f>
        <v>0</v>
      </c>
      <c r="J14" s="136">
        <f t="shared" si="1"/>
        <v>1751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-4031.386</v>
      </c>
      <c r="P14" s="37"/>
      <c r="Q14" s="133">
        <f>+'Mgmt Summary'!Q14</f>
        <v>-18249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-893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-4447.4989999999998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-4447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K8" sqref="K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130</v>
      </c>
      <c r="B8" s="224"/>
      <c r="C8" s="225">
        <f>+'Mgmt Summary'!J9</f>
        <v>-7115</v>
      </c>
      <c r="D8" s="226">
        <f>+'Mgmt Summary'!C9</f>
        <v>40000</v>
      </c>
      <c r="E8" s="227">
        <f t="shared" ref="E8:E13" si="0">-D8+C8</f>
        <v>-47115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-24243.77</v>
      </c>
      <c r="L8" s="226">
        <f t="shared" ref="K8:L13" si="2">D8-H8</f>
        <v>22871.23</v>
      </c>
      <c r="M8" s="227">
        <f t="shared" ref="M8:M13" si="3">K8-L8</f>
        <v>-47115</v>
      </c>
      <c r="N8" s="290"/>
      <c r="O8" s="225">
        <f>+C8-'[1]QTD Mgmt Summary'!C8</f>
        <v>-2726</v>
      </c>
      <c r="P8" s="226">
        <f>-G8+'[1]QTD Mgmt Summary'!G8</f>
        <v>0</v>
      </c>
      <c r="Q8" s="227">
        <f>+O8+P8</f>
        <v>-2726</v>
      </c>
    </row>
    <row r="9" spans="1:22" s="32" customFormat="1" ht="13.5" customHeight="1">
      <c r="A9" s="223" t="s">
        <v>1</v>
      </c>
      <c r="B9" s="224"/>
      <c r="C9" s="225">
        <f>+'Mgmt Summary'!J10</f>
        <v>4977.7972399999999</v>
      </c>
      <c r="D9" s="226">
        <f>+'Mgmt Summary'!C10</f>
        <v>13750</v>
      </c>
      <c r="E9" s="227">
        <f t="shared" si="0"/>
        <v>-8772.2027600000001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-2843.71976</v>
      </c>
      <c r="L9" s="226">
        <f t="shared" si="2"/>
        <v>5928.4830000000002</v>
      </c>
      <c r="M9" s="227">
        <f t="shared" si="3"/>
        <v>-8772.2027600000001</v>
      </c>
      <c r="N9" s="290"/>
      <c r="O9" s="225">
        <f>+C9-'[1]QTD Mgmt Summary'!C9</f>
        <v>923.11799999999994</v>
      </c>
      <c r="P9" s="226">
        <f>-G9+'[1]QTD Mgmt Summary'!G9</f>
        <v>0</v>
      </c>
      <c r="Q9" s="227">
        <f t="shared" ref="Q9:Q16" si="4">+O9+P9</f>
        <v>923.11799999999994</v>
      </c>
    </row>
    <row r="10" spans="1:22" s="32" customFormat="1" ht="13.5" customHeight="1">
      <c r="A10" s="223" t="s">
        <v>44</v>
      </c>
      <c r="B10" s="224"/>
      <c r="C10" s="225">
        <f>+'Mgmt Summary'!J11</f>
        <v>-2191</v>
      </c>
      <c r="D10" s="226">
        <f>+'Mgmt Summary'!C11</f>
        <v>5000</v>
      </c>
      <c r="E10" s="227">
        <f t="shared" si="0"/>
        <v>-7191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-4247.6810000000005</v>
      </c>
      <c r="L10" s="226">
        <f t="shared" si="2"/>
        <v>2943.319</v>
      </c>
      <c r="M10" s="227">
        <f t="shared" si="3"/>
        <v>-7191</v>
      </c>
      <c r="N10" s="290"/>
      <c r="O10" s="225">
        <f>+C10-'[1]QTD Mgmt Summary'!C10</f>
        <v>-1234</v>
      </c>
      <c r="P10" s="226">
        <f>-G10+'[1]QTD Mgmt Summary'!G10</f>
        <v>0</v>
      </c>
      <c r="Q10" s="227">
        <f t="shared" si="4"/>
        <v>-1234</v>
      </c>
    </row>
    <row r="11" spans="1:22" s="32" customFormat="1" ht="13.5" customHeight="1">
      <c r="A11" s="223" t="s">
        <v>64</v>
      </c>
      <c r="B11" s="224"/>
      <c r="C11" s="225">
        <f>+'Mgmt Summary'!J12</f>
        <v>628</v>
      </c>
      <c r="D11" s="226">
        <f>+'Mgmt Summary'!C12</f>
        <v>8509.2510000000002</v>
      </c>
      <c r="E11" s="227">
        <f t="shared" si="0"/>
        <v>-7881.2510000000002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-3103.5230000000001</v>
      </c>
      <c r="L11" s="226">
        <f t="shared" si="2"/>
        <v>4777.7280000000001</v>
      </c>
      <c r="M11" s="227">
        <f t="shared" si="3"/>
        <v>-7881.2510000000002</v>
      </c>
      <c r="N11" s="290"/>
      <c r="O11" s="225">
        <f>+C11-'[1]QTD Mgmt Summary'!C11</f>
        <v>632</v>
      </c>
      <c r="P11" s="226">
        <f>-G11+'[1]QTD Mgmt Summary'!G11</f>
        <v>0</v>
      </c>
      <c r="Q11" s="227">
        <f t="shared" si="4"/>
        <v>632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1751</v>
      </c>
      <c r="D13" s="226">
        <f>+'Mgmt Summary'!C14</f>
        <v>20000</v>
      </c>
      <c r="E13" s="227">
        <f t="shared" si="0"/>
        <v>-18249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-4031.3860000000004</v>
      </c>
      <c r="L13" s="226">
        <f t="shared" si="2"/>
        <v>14217.614</v>
      </c>
      <c r="M13" s="227">
        <f t="shared" si="3"/>
        <v>-18249</v>
      </c>
      <c r="N13" s="290"/>
      <c r="O13" s="225">
        <f>+C13-'[1]QTD Mgmt Summary'!C13</f>
        <v>-326</v>
      </c>
      <c r="P13" s="294">
        <f>(-G13+'[1]QTD Mgmt Summary'!G13)*0</f>
        <v>0</v>
      </c>
      <c r="Q13" s="227">
        <f t="shared" si="4"/>
        <v>-326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 t="shared" si="5"/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-2609.25</v>
      </c>
      <c r="L15" s="226">
        <f t="shared" si="7"/>
        <v>424.75</v>
      </c>
      <c r="M15" s="227">
        <f t="shared" si="6"/>
        <v>-3034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7"/>
        <v>-2424.9259999999999</v>
      </c>
      <c r="L17" s="259">
        <f t="shared" si="7"/>
        <v>-2424.4270000000001</v>
      </c>
      <c r="M17" s="260">
        <f t="shared" si="6"/>
        <v>-0.49899999999979627</v>
      </c>
      <c r="N17" s="290"/>
      <c r="O17" s="225">
        <f>+C17-'[1]QTD Mgmt Summary'!C17</f>
        <v>-859</v>
      </c>
      <c r="P17" s="226">
        <f>-G17+'[1]QTD Mgmt Summary'!G17</f>
        <v>0</v>
      </c>
      <c r="Q17" s="227">
        <f>+O17+P17</f>
        <v>-859</v>
      </c>
    </row>
    <row r="18" spans="1:17" s="32" customFormat="1" ht="13.5" customHeight="1">
      <c r="A18" s="223" t="s">
        <v>128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-2842.2027600000001</v>
      </c>
      <c r="D21" s="235">
        <f>SUM(D8:D20)</f>
        <v>96188.75</v>
      </c>
      <c r="E21" s="236">
        <f>SUM(E8:E20)</f>
        <v>-99030.95276</v>
      </c>
      <c r="F21" s="237"/>
      <c r="G21" s="234">
        <f>SUM(G8:G20)</f>
        <v>47415.3</v>
      </c>
      <c r="H21" s="235">
        <f>SUM(H8:H20)</f>
        <v>47165.3</v>
      </c>
      <c r="I21" s="236">
        <f>SUM(I8:I20)</f>
        <v>-250</v>
      </c>
      <c r="J21" s="237"/>
      <c r="K21" s="234">
        <f>SUM(K8:K20)</f>
        <v>-50257.502760000003</v>
      </c>
      <c r="L21" s="235">
        <f>SUM(L8:L20)</f>
        <v>49023.45</v>
      </c>
      <c r="M21" s="236">
        <f>SUM(M8:M20)</f>
        <v>-99280.95276</v>
      </c>
      <c r="N21" s="291"/>
      <c r="O21" s="234">
        <f>SUM(O8:O20)</f>
        <v>-3589.8820000000001</v>
      </c>
      <c r="P21" s="235">
        <f>SUM(P8:P20)</f>
        <v>0</v>
      </c>
      <c r="Q21" s="236">
        <f>SUM(Q8:Q20)</f>
        <v>-3589.8820000000001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Summary'!C22</f>
        <v>0</v>
      </c>
      <c r="P23" s="226">
        <f>-G23+'[1]QTD Mgmt Summary'!G22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Summary'!C23</f>
        <v>0</v>
      </c>
      <c r="P24" s="226">
        <f>(-G24+'[1]QTD Mgmt Summary'!G23)*0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Summary'!C24</f>
        <v>0</v>
      </c>
      <c r="P25" s="226">
        <f>-G25+'[1]QTD Mgmt Summary'!G24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Summary'!C25</f>
        <v>0</v>
      </c>
      <c r="P26" s="226">
        <f>-G26+'[1]QTD Mgmt Summary'!G25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-3342.2027600000001</v>
      </c>
      <c r="D28" s="235">
        <f>SUM(D21:D26)</f>
        <v>95688.75</v>
      </c>
      <c r="E28" s="236">
        <f>SUM(E21:E26)</f>
        <v>-99030.95276</v>
      </c>
      <c r="F28" s="237"/>
      <c r="G28" s="234">
        <f>SUM(G21:G26)</f>
        <v>51337.96</v>
      </c>
      <c r="H28" s="235">
        <f>SUM(H21:H26)</f>
        <v>51087.96</v>
      </c>
      <c r="I28" s="236">
        <f>SUM(I21:I26)</f>
        <v>-250</v>
      </c>
      <c r="J28" s="237"/>
      <c r="K28" s="234">
        <f>SUM(K21:K26)</f>
        <v>-54680.162759999999</v>
      </c>
      <c r="L28" s="235">
        <f>SUM(L21:L26)</f>
        <v>44600.79</v>
      </c>
      <c r="M28" s="236">
        <f>SUM(M21:M26)</f>
        <v>-99280.95276</v>
      </c>
      <c r="N28" s="291"/>
      <c r="O28" s="234">
        <f>SUM(O21:O26)</f>
        <v>-3589.8820000000001</v>
      </c>
      <c r="P28" s="235">
        <f>SUM(P21:P26)</f>
        <v>0</v>
      </c>
      <c r="Q28" s="236">
        <f>SUM(Q21:Q26)</f>
        <v>-3589.8820000000001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Summary'!C29</f>
        <v>0</v>
      </c>
      <c r="P30" s="226">
        <f>-G30+'[1]QTD Mgmt Summary'!G29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-3342.2027600000001</v>
      </c>
      <c r="D32" s="240">
        <f>+D28-D30</f>
        <v>95688.75</v>
      </c>
      <c r="E32" s="264">
        <f>+E28-E30</f>
        <v>-99030.95276</v>
      </c>
      <c r="F32" s="241"/>
      <c r="G32" s="239">
        <f>SUM(G28:G30)</f>
        <v>51645.96</v>
      </c>
      <c r="H32" s="240">
        <f>SUM(H28:H30)</f>
        <v>51395.96</v>
      </c>
      <c r="I32" s="264">
        <f>SUM(I28:I30)</f>
        <v>-250</v>
      </c>
      <c r="J32" s="241"/>
      <c r="K32" s="239">
        <f>SUM(K28:K30)</f>
        <v>-54988.162759999999</v>
      </c>
      <c r="L32" s="240">
        <f>SUM(L28:L30)</f>
        <v>44292.79</v>
      </c>
      <c r="M32" s="264">
        <f>SUM(M28:M30)</f>
        <v>-99280.95276</v>
      </c>
      <c r="N32" s="291"/>
      <c r="O32" s="239">
        <f>SUM(O28:O30)</f>
        <v>-3589.8820000000001</v>
      </c>
      <c r="P32" s="240">
        <f>SUM(P28:P30)</f>
        <v>0</v>
      </c>
      <c r="Q32" s="264">
        <f>SUM(Q28:Q30)</f>
        <v>-3589.8820000000001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113</v>
      </c>
      <c r="D37" s="283"/>
      <c r="E37" s="284"/>
      <c r="G37" s="282" t="s">
        <v>114</v>
      </c>
      <c r="H37" s="283"/>
      <c r="I37" s="283"/>
      <c r="J37" s="284"/>
    </row>
    <row r="38" spans="1:17" hidden="1">
      <c r="C38" s="269" t="s">
        <v>102</v>
      </c>
      <c r="D38" s="270"/>
      <c r="E38" s="271">
        <f>+'GM-WeeklyChnge'!C32</f>
        <v>-3600</v>
      </c>
      <c r="G38" s="269" t="s">
        <v>103</v>
      </c>
      <c r="H38" s="270"/>
      <c r="I38" s="272">
        <f>+'Expense Weekly Change'!E22+'Expense Weekly Change'!E21</f>
        <v>0</v>
      </c>
      <c r="J38" s="287"/>
    </row>
    <row r="39" spans="1:17" hidden="1">
      <c r="C39" s="269" t="s">
        <v>104</v>
      </c>
      <c r="D39" s="270"/>
      <c r="E39" s="271">
        <f>+'GM-WeeklyChnge'!D32</f>
        <v>10.118000000000002</v>
      </c>
      <c r="G39" s="269" t="s">
        <v>105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9" s="273"/>
    </row>
    <row r="40" spans="1:17" hidden="1">
      <c r="C40" s="269" t="s">
        <v>106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0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107</v>
      </c>
      <c r="D42" s="280"/>
      <c r="E42" s="281">
        <f>SUM(E38:E41)</f>
        <v>-3589.8820000000001</v>
      </c>
      <c r="G42" s="279" t="s">
        <v>107</v>
      </c>
      <c r="H42" s="280"/>
      <c r="I42" s="285">
        <f>SUM(I38:I41)</f>
        <v>0</v>
      </c>
      <c r="J42" s="286"/>
    </row>
    <row r="43" spans="1:17" hidden="1"/>
    <row r="44" spans="1:17" ht="13.5" hidden="1">
      <c r="C44" s="282" t="s">
        <v>111</v>
      </c>
      <c r="D44" s="283"/>
      <c r="E44" s="284"/>
      <c r="G44" s="282" t="s">
        <v>112</v>
      </c>
      <c r="H44" s="283"/>
      <c r="I44" s="283"/>
      <c r="J44" s="284"/>
    </row>
    <row r="45" spans="1:17" hidden="1">
      <c r="C45" s="269" t="s">
        <v>108</v>
      </c>
      <c r="D45" s="270"/>
      <c r="E45" s="271">
        <f>+[1]GrossMargin!$I$32</f>
        <v>247.67923999999994</v>
      </c>
      <c r="G45" s="269" t="s">
        <v>108</v>
      </c>
      <c r="H45" s="270"/>
      <c r="I45" s="272">
        <f>+'[1]QTD Mgmt Summary'!$G$31</f>
        <v>51645.96</v>
      </c>
      <c r="J45" s="287"/>
    </row>
    <row r="46" spans="1:17" hidden="1">
      <c r="C46" s="269" t="s">
        <v>109</v>
      </c>
      <c r="D46" s="270"/>
      <c r="E46" s="271">
        <f>+GrossMargin!I33</f>
        <v>-3342.2027600000001</v>
      </c>
      <c r="G46" s="269" t="s">
        <v>109</v>
      </c>
      <c r="H46" s="270"/>
      <c r="I46" s="272">
        <f>+G32</f>
        <v>51645.96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110</v>
      </c>
      <c r="D48" s="280"/>
      <c r="E48" s="281">
        <f>+E46-E45</f>
        <v>-3589.8820000000001</v>
      </c>
      <c r="G48" s="279" t="s">
        <v>110</v>
      </c>
      <c r="H48" s="280"/>
      <c r="I48" s="285">
        <f>+I46-I45</f>
        <v>0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I37" sqref="I3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130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-7115</v>
      </c>
      <c r="H9" s="36">
        <f>GrossMargin!J10</f>
        <v>0</v>
      </c>
      <c r="I9" s="36">
        <f>GrossMargin!K10</f>
        <v>0</v>
      </c>
      <c r="J9" s="136">
        <f t="shared" ref="J9:J15" si="1">SUM(G9:I9)</f>
        <v>-7115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-24243.77</v>
      </c>
      <c r="P9" s="37"/>
      <c r="Q9" s="133">
        <f t="shared" ref="Q9:Q15" si="3">+J9-C9</f>
        <v>-47115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4977.7972399999999</v>
      </c>
      <c r="H10" s="36">
        <f>GrossMargin!J11</f>
        <v>0</v>
      </c>
      <c r="I10" s="36">
        <f>GrossMargin!K11</f>
        <v>0</v>
      </c>
      <c r="J10" s="136">
        <f t="shared" si="1"/>
        <v>4977.7972399999999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-2843.71976</v>
      </c>
      <c r="P10" s="37"/>
      <c r="Q10" s="133">
        <f t="shared" si="3"/>
        <v>-8772.2027600000001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-8772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-2191</v>
      </c>
      <c r="H11" s="36">
        <f>GrossMargin!J12</f>
        <v>0</v>
      </c>
      <c r="I11" s="36">
        <f>GrossMargin!K12</f>
        <v>0</v>
      </c>
      <c r="J11" s="136">
        <f t="shared" si="1"/>
        <v>-2191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-4247.6810000000005</v>
      </c>
      <c r="P11" s="37"/>
      <c r="Q11" s="133">
        <f t="shared" si="3"/>
        <v>-7191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-7191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628</v>
      </c>
      <c r="H12" s="36">
        <f>GrossMargin!J13</f>
        <v>0</v>
      </c>
      <c r="I12" s="36">
        <f>GrossMargin!K13</f>
        <v>0</v>
      </c>
      <c r="J12" s="136">
        <f t="shared" si="1"/>
        <v>628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-3103.5230000000001</v>
      </c>
      <c r="P12" s="37"/>
      <c r="Q12" s="133">
        <f t="shared" si="3"/>
        <v>-7881.2510000000002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-7881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1751</v>
      </c>
      <c r="H14" s="140">
        <f>GrossMargin!J15</f>
        <v>0</v>
      </c>
      <c r="I14" s="140">
        <f>+GrossMargin!K21</f>
        <v>0</v>
      </c>
      <c r="J14" s="179">
        <f t="shared" si="1"/>
        <v>1751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-4031.386</v>
      </c>
      <c r="P14" s="181"/>
      <c r="Q14" s="139">
        <f t="shared" si="3"/>
        <v>-18249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-2424.9259999999999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128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47165.3</v>
      </c>
      <c r="E22" s="45">
        <f>SUM(E9:E21)</f>
        <v>49023.45</v>
      </c>
      <c r="F22" s="36"/>
      <c r="G22" s="43">
        <f t="shared" ref="G22:O22" si="5">SUM(G9:G21)</f>
        <v>-2842.2027600000001</v>
      </c>
      <c r="H22" s="44">
        <f t="shared" si="5"/>
        <v>0</v>
      </c>
      <c r="I22" s="45">
        <f t="shared" si="5"/>
        <v>0</v>
      </c>
      <c r="J22" s="46">
        <f t="shared" si="5"/>
        <v>-2842.2027600000001</v>
      </c>
      <c r="K22" s="44">
        <f t="shared" si="5"/>
        <v>0</v>
      </c>
      <c r="L22" s="43">
        <f t="shared" si="5"/>
        <v>1383.4870000000001</v>
      </c>
      <c r="M22" s="44">
        <f t="shared" si="5"/>
        <v>23683.959999999995</v>
      </c>
      <c r="N22" s="44">
        <f t="shared" si="5"/>
        <v>22347.853000000003</v>
      </c>
      <c r="O22" s="46">
        <f t="shared" si="5"/>
        <v>-50257.502760000003</v>
      </c>
      <c r="P22" s="180"/>
      <c r="Q22" s="43">
        <f t="shared" ref="Q22:V22" si="6">SUM(Q9:Q21)</f>
        <v>-99030.95276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-99280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Expenses!F24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-T24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51087.96</v>
      </c>
      <c r="E29" s="45">
        <f>SUM(E22:E28)</f>
        <v>44600.79</v>
      </c>
      <c r="F29" s="36"/>
      <c r="G29" s="43">
        <f t="shared" ref="G29:O29" si="7">SUM(G22:G28)</f>
        <v>-3342.2027600000001</v>
      </c>
      <c r="H29" s="44">
        <f t="shared" si="7"/>
        <v>0</v>
      </c>
      <c r="I29" s="45">
        <f t="shared" si="7"/>
        <v>0</v>
      </c>
      <c r="J29" s="46">
        <f t="shared" si="7"/>
        <v>-3342.2027600000001</v>
      </c>
      <c r="K29" s="44">
        <f t="shared" si="7"/>
        <v>0</v>
      </c>
      <c r="L29" s="43">
        <f t="shared" si="7"/>
        <v>0</v>
      </c>
      <c r="M29" s="44">
        <f t="shared" si="7"/>
        <v>51337.959999999992</v>
      </c>
      <c r="N29" s="44">
        <f t="shared" si="7"/>
        <v>0</v>
      </c>
      <c r="O29" s="46">
        <f t="shared" si="7"/>
        <v>-54680.162759999999</v>
      </c>
      <c r="P29" s="180"/>
      <c r="Q29" s="43">
        <f t="shared" ref="Q29:V29" si="8">SUM(Q22:Q28)</f>
        <v>-99030.95276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-99280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51395.96</v>
      </c>
      <c r="E33" s="41">
        <f>SUM(E29:E31)</f>
        <v>44292.79</v>
      </c>
      <c r="F33" s="36"/>
      <c r="G33" s="39">
        <f t="shared" ref="G33:V33" si="9">SUM(G29:G31)</f>
        <v>-3342.2027600000001</v>
      </c>
      <c r="H33" s="40">
        <f t="shared" si="9"/>
        <v>0</v>
      </c>
      <c r="I33" s="40">
        <f t="shared" si="9"/>
        <v>0</v>
      </c>
      <c r="J33" s="42">
        <f t="shared" si="9"/>
        <v>-3342.2027600000001</v>
      </c>
      <c r="K33" s="40">
        <f t="shared" si="9"/>
        <v>0</v>
      </c>
      <c r="L33" s="39">
        <f t="shared" si="9"/>
        <v>0</v>
      </c>
      <c r="M33" s="40">
        <f t="shared" si="9"/>
        <v>51645.959999999992</v>
      </c>
      <c r="N33" s="40">
        <f t="shared" si="9"/>
        <v>0</v>
      </c>
      <c r="O33" s="42">
        <f>J33-K33-M33-N33-L33</f>
        <v>-54988.162759999992</v>
      </c>
      <c r="P33" s="37"/>
      <c r="Q33" s="39">
        <f t="shared" si="9"/>
        <v>-99030.95276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-99280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14" sqref="A14:IV1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18,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130</v>
      </c>
      <c r="B9" s="34"/>
      <c r="C9" s="139">
        <f>+GrossMargin!D10-[1]GrossMargin!D10</f>
        <v>-2726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-2726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-2726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913</v>
      </c>
      <c r="D10" s="36">
        <f>+GrossMargin!E11-[1]GrossMargin!E11</f>
        <v>10.118000000000002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923.11800000000005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923.11800000000005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-1234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-1234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-1234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632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632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632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-1127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-1127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-1127</v>
      </c>
    </row>
    <row r="15" spans="1:11" ht="13.5" hidden="1" customHeight="1">
      <c r="A15" s="242" t="s">
        <v>116</v>
      </c>
      <c r="B15" s="249"/>
      <c r="C15" s="244">
        <f>+GrossMargin!D16-[1]GrossMargin!D16</f>
        <v>397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397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397</v>
      </c>
    </row>
    <row r="16" spans="1:11" ht="13.5" hidden="1" customHeight="1">
      <c r="A16" s="242" t="s">
        <v>84</v>
      </c>
      <c r="B16" s="249"/>
      <c r="C16" s="295">
        <f>+GrossMargin!D17-[1]GrossMargin!D17</f>
        <v>403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403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403</v>
      </c>
    </row>
    <row r="17" spans="1:11" ht="13.5" hidden="1" customHeight="1">
      <c r="A17" s="242" t="s">
        <v>82</v>
      </c>
      <c r="B17" s="249"/>
      <c r="C17" s="295">
        <f>+GrossMargin!D18-[1]GrossMargin!D18</f>
        <v>1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1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1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-326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-326</v>
      </c>
      <c r="I20" s="299">
        <f t="shared" si="2"/>
        <v>0</v>
      </c>
      <c r="J20" s="36">
        <f t="shared" si="2"/>
        <v>0</v>
      </c>
      <c r="K20" s="135">
        <f t="shared" si="2"/>
        <v>-326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-859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-859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-859</v>
      </c>
    </row>
    <row r="25" spans="1:11" s="190" customFormat="1" ht="13.5" customHeight="1">
      <c r="A25" s="107" t="s">
        <v>128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-3600</v>
      </c>
      <c r="D28" s="44">
        <f t="shared" si="5"/>
        <v>10.118000000000002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-3589.8820000000001</v>
      </c>
      <c r="I28" s="44">
        <f t="shared" si="5"/>
        <v>0</v>
      </c>
      <c r="J28" s="44">
        <f t="shared" si="5"/>
        <v>0</v>
      </c>
      <c r="K28" s="45">
        <f t="shared" si="5"/>
        <v>-3589.8820000000001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+GrossMargin!D31-[1]GrossMargin!D30</f>
        <v>0</v>
      </c>
      <c r="D30" s="36">
        <f>+GrossMargin!E31-[1]GrossMargin!E30</f>
        <v>0</v>
      </c>
      <c r="E30" s="36">
        <f>+GrossMargin!F31-[1]GrossMargin!F30</f>
        <v>0</v>
      </c>
      <c r="F30" s="36">
        <f>+GrossMargin!G31-[1]GrossMargin!G30</f>
        <v>0</v>
      </c>
      <c r="G30" s="138">
        <f>+GrossMargin!H31-[1]GrossMargin!H30</f>
        <v>0</v>
      </c>
      <c r="H30" s="134">
        <f>SUM(C30:G30)</f>
        <v>0</v>
      </c>
      <c r="I30" s="133">
        <f>GrossMargin!J31-[1]GrossMargin!J30</f>
        <v>0</v>
      </c>
      <c r="J30" s="246">
        <f>+GrossMargin!K31-[1]GrossMargin!K30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-3600</v>
      </c>
      <c r="D32" s="40">
        <f>SUM(D28:D30)</f>
        <v>10.118000000000002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-3589.8820000000001</v>
      </c>
      <c r="I32" s="39">
        <f>SUM(I28:I30)</f>
        <v>0</v>
      </c>
      <c r="J32" s="40">
        <f>SUM(J28:J30)</f>
        <v>0</v>
      </c>
      <c r="K32" s="41">
        <f>SUM(H32:J32)</f>
        <v>-3589.8820000000001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6" zoomScaleNormal="100" workbookViewId="0">
      <selection activeCell="B15" sqref="A15:IV20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18,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130</v>
      </c>
      <c r="C10" s="189"/>
      <c r="D10" s="139">
        <v>-7115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-7115</v>
      </c>
      <c r="J10" s="137"/>
      <c r="K10" s="36">
        <v>0</v>
      </c>
      <c r="L10" s="36">
        <f>+I10+K10</f>
        <v>-7115</v>
      </c>
      <c r="M10" s="253">
        <v>40000</v>
      </c>
      <c r="N10" s="135">
        <f t="shared" ref="N10:N22" si="1">L10-M10</f>
        <v>-47115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2762-D12</f>
        <v>4953</v>
      </c>
      <c r="E11" s="140">
        <f>1.05124+13.628+10.118</f>
        <v>24.797240000000002</v>
      </c>
      <c r="F11" s="140">
        <v>0</v>
      </c>
      <c r="G11" s="140">
        <v>0</v>
      </c>
      <c r="H11" s="138">
        <v>0</v>
      </c>
      <c r="I11" s="136">
        <f t="shared" si="0"/>
        <v>4977.7972399999999</v>
      </c>
      <c r="J11" s="137"/>
      <c r="K11" s="36">
        <v>0</v>
      </c>
      <c r="L11" s="36">
        <f t="shared" ref="L11:L22" si="2">+I11+K11</f>
        <v>4977.7972399999999</v>
      </c>
      <c r="M11" s="253">
        <v>13750</v>
      </c>
      <c r="N11" s="135">
        <f t="shared" si="1"/>
        <v>-8772.2027600000001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-2191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-2191</v>
      </c>
      <c r="J12" s="137"/>
      <c r="K12" s="36">
        <v>0</v>
      </c>
      <c r="L12" s="36">
        <f t="shared" si="2"/>
        <v>-2191</v>
      </c>
      <c r="M12" s="253">
        <f>1875+3125</f>
        <v>5000</v>
      </c>
      <c r="N12" s="135">
        <f t="shared" si="1"/>
        <v>-7191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628</v>
      </c>
      <c r="J13" s="137"/>
      <c r="K13" s="36">
        <v>0</v>
      </c>
      <c r="L13" s="36">
        <f t="shared" si="2"/>
        <v>628</v>
      </c>
      <c r="M13" s="253">
        <v>8509.2510000000002</v>
      </c>
      <c r="N13" s="135">
        <f t="shared" si="1"/>
        <v>-7881.2510000000002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-858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-858</v>
      </c>
      <c r="J15" s="246"/>
      <c r="K15" s="246">
        <v>0</v>
      </c>
      <c r="L15" s="36">
        <f t="shared" si="2"/>
        <v>-858</v>
      </c>
      <c r="M15" s="255">
        <v>0</v>
      </c>
      <c r="N15" s="247">
        <f>L15-M15</f>
        <v>-858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1206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1206</v>
      </c>
      <c r="J16" s="246"/>
      <c r="K16" s="246">
        <v>0</v>
      </c>
      <c r="L16" s="36">
        <f>+I16+K16</f>
        <v>1206</v>
      </c>
      <c r="M16" s="255">
        <v>0</v>
      </c>
      <c r="N16" s="247">
        <f>L16-M16</f>
        <v>1206</v>
      </c>
    </row>
    <row r="17" spans="1:16" ht="13.5" hidden="1" customHeight="1">
      <c r="B17" s="242" t="s">
        <v>84</v>
      </c>
      <c r="C17" s="243"/>
      <c r="D17" s="244">
        <v>1402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1402</v>
      </c>
      <c r="J17" s="246"/>
      <c r="K17" s="246">
        <v>0</v>
      </c>
      <c r="L17" s="36">
        <f t="shared" si="2"/>
        <v>1402</v>
      </c>
      <c r="M17" s="255">
        <v>0</v>
      </c>
      <c r="N17" s="247">
        <f>L17-M17</f>
        <v>1402</v>
      </c>
      <c r="P17" s="166"/>
    </row>
    <row r="18" spans="1:16" ht="13.5" hidden="1" customHeight="1">
      <c r="B18" s="242" t="s">
        <v>82</v>
      </c>
      <c r="C18" s="243"/>
      <c r="D18" s="244">
        <v>1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1</v>
      </c>
      <c r="J18" s="246"/>
      <c r="K18" s="246">
        <v>0</v>
      </c>
      <c r="L18" s="36">
        <f t="shared" si="2"/>
        <v>1</v>
      </c>
      <c r="M18" s="255">
        <v>0</v>
      </c>
      <c r="N18" s="247">
        <f t="shared" si="1"/>
        <v>1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1751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1751</v>
      </c>
      <c r="J21" s="137"/>
      <c r="K21" s="36">
        <f>SUM(K15:K20)</f>
        <v>0</v>
      </c>
      <c r="L21" s="36">
        <f t="shared" si="2"/>
        <v>1751</v>
      </c>
      <c r="M21" s="253">
        <v>20000</v>
      </c>
      <c r="N21" s="135">
        <f>L21-M21</f>
        <v>-18249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-859</v>
      </c>
      <c r="E25" s="140">
        <v>0</v>
      </c>
      <c r="F25" s="140">
        <v>0</v>
      </c>
      <c r="G25" s="140">
        <v>0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128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43">
        <f t="shared" ref="D29:N29" si="5">SUM(D10:D14)+SUM(D21:D27)</f>
        <v>-2867</v>
      </c>
      <c r="E29" s="44">
        <f t="shared" si="5"/>
        <v>24.797240000000002</v>
      </c>
      <c r="F29" s="44">
        <f t="shared" si="5"/>
        <v>0</v>
      </c>
      <c r="G29" s="44">
        <f t="shared" si="5"/>
        <v>0</v>
      </c>
      <c r="H29" s="45">
        <f t="shared" si="5"/>
        <v>0</v>
      </c>
      <c r="I29" s="46">
        <f t="shared" si="5"/>
        <v>-2842.2027600000001</v>
      </c>
      <c r="J29" s="44">
        <f t="shared" si="5"/>
        <v>0</v>
      </c>
      <c r="K29" s="44">
        <f t="shared" si="5"/>
        <v>0</v>
      </c>
      <c r="L29" s="44">
        <f t="shared" si="5"/>
        <v>-2842.2027600000001</v>
      </c>
      <c r="M29" s="45">
        <f t="shared" si="5"/>
        <v>96188.75</v>
      </c>
      <c r="N29" s="43">
        <f t="shared" si="5"/>
        <v>-99030.95276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-2867</v>
      </c>
      <c r="E33" s="40">
        <f>+E29+E31</f>
        <v>24.797240000000002</v>
      </c>
      <c r="F33" s="40">
        <f>+F29+F31</f>
        <v>0</v>
      </c>
      <c r="G33" s="40">
        <f>+G29+G31</f>
        <v>-500</v>
      </c>
      <c r="H33" s="41">
        <f>+H29+H31</f>
        <v>0</v>
      </c>
      <c r="I33" s="42">
        <f>SUM(I29:I31)</f>
        <v>-3342.2027600000001</v>
      </c>
      <c r="J33" s="40">
        <f>SUM(J29:J31)</f>
        <v>0</v>
      </c>
      <c r="K33" s="39">
        <f>+K29+K31</f>
        <v>0</v>
      </c>
      <c r="L33" s="40">
        <f>+L29+L31</f>
        <v>-3342.2027600000001</v>
      </c>
      <c r="M33" s="41">
        <f>+M29+M31</f>
        <v>95688.75</v>
      </c>
      <c r="N33" s="41">
        <f>SUM(N29:N31)</f>
        <v>-99030.95276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130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128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23683.959999999995</v>
      </c>
      <c r="E22" s="57">
        <f>SUM(E9:E21)</f>
        <v>23433.959999999995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51337.959999999992</v>
      </c>
      <c r="E27" s="48">
        <f>SUM(E22:E25)</f>
        <v>51087.959999999992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18,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+Expenses!D20-[1]Expenses!D19</f>
        <v>-712.17</v>
      </c>
      <c r="D16" s="142">
        <f>+Expenses!E20-[1]Expenses!E19</f>
        <v>-712.17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-712.17</v>
      </c>
      <c r="D18" s="48">
        <f>SUM(D9:D17)</f>
        <v>-712.17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-712.17</v>
      </c>
      <c r="D27" s="48">
        <f>+D18+D24</f>
        <v>-712.17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+Expenses!D24-[1]Expenses!D23</f>
        <v>0</v>
      </c>
      <c r="D29" s="142">
        <f>+Expenses!E24-[1]Expenses!E23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+Expenses!D25-[1]Expenses!D24</f>
        <v>0</v>
      </c>
      <c r="D30" s="142">
        <f>+Expenses!E25-[1]Expenses!E24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-712.17</v>
      </c>
      <c r="D32" s="48">
        <f>SUM(D27:D30)</f>
        <v>-712.17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Expenses!D32-[1]Expenses!D29</f>
        <v>#VALUE!</v>
      </c>
      <c r="D37" s="142">
        <f>Expenses!E32-[1]Expenses!E29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Expenses!D33-[1]Expenses!D30</f>
        <v>#VALUE!</v>
      </c>
      <c r="D38" s="142" t="e">
        <f>Expenses!E33-[1]Expenses!E30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Expenses!D34-[1]Expenses!D31</f>
        <v>0</v>
      </c>
      <c r="D39" s="155">
        <f>Expenses!E34-[1]Expenses!E31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130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128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2001-01-19T16:49:30Z</cp:lastPrinted>
  <dcterms:created xsi:type="dcterms:W3CDTF">1999-10-18T12:36:30Z</dcterms:created>
  <dcterms:modified xsi:type="dcterms:W3CDTF">2023-09-17T00:01:02Z</dcterms:modified>
</cp:coreProperties>
</file>