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B329E5-D324-47BA-A151-D5B04F20DBFA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Summary'!$A$1:$M$33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'CapChrg-AllocExp'!$B$2:$P$28</definedName>
    <definedName name="_xlnm.Print_Area" localSheetId="6">'Expense Weekly Change'!$A$2:$J$40</definedName>
    <definedName name="_xlnm.Print_Area" localSheetId="5">Expenses!$B$2:$K$33</definedName>
    <definedName name="_xlnm.Print_Area" localSheetId="3">'GM-WeeklyChnge'!$A$1:$K$32</definedName>
    <definedName name="_xlnm.Print_Area" localSheetId="4">GrossMargin!$B$2:$N$34</definedName>
    <definedName name="_xlnm.Print_Area" localSheetId="8">Headcount!$B$1:$N$19</definedName>
    <definedName name="_xlnm.Print_Area" localSheetId="2">'Mgmt Summary'!$A$1:$V$36</definedName>
    <definedName name="_xlnm.Print_Area" localSheetId="1">'QTD Mgmt Summary'!$A$1:$Q$33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D22" i="4"/>
  <c r="E22" i="4"/>
  <c r="F22" i="4"/>
  <c r="K22" i="4"/>
  <c r="L22" i="4"/>
  <c r="M22" i="4"/>
  <c r="D24" i="4"/>
  <c r="E24" i="4"/>
  <c r="F24" i="4"/>
  <c r="M24" i="4"/>
  <c r="F25" i="4"/>
  <c r="K25" i="4"/>
  <c r="L25" i="4"/>
  <c r="M25" i="4"/>
  <c r="D27" i="4"/>
  <c r="E27" i="4"/>
  <c r="F27" i="4"/>
  <c r="K27" i="4"/>
  <c r="L27" i="4"/>
  <c r="M27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1" i="3"/>
  <c r="E21" i="3"/>
  <c r="F21" i="3"/>
  <c r="D23" i="3"/>
  <c r="F23" i="3"/>
  <c r="F24" i="3"/>
  <c r="D26" i="3"/>
  <c r="E26" i="3"/>
  <c r="F26" i="3"/>
  <c r="F31" i="3"/>
  <c r="F32" i="3"/>
  <c r="F33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7" i="9"/>
  <c r="D27" i="9"/>
  <c r="E27" i="9"/>
  <c r="F27" i="9"/>
  <c r="G27" i="9"/>
  <c r="H27" i="9"/>
  <c r="I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J31" i="9"/>
  <c r="K31" i="9"/>
  <c r="B4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D28" i="2"/>
  <c r="E28" i="2"/>
  <c r="F28" i="2"/>
  <c r="G28" i="2"/>
  <c r="H28" i="2"/>
  <c r="I28" i="2"/>
  <c r="J28" i="2"/>
  <c r="K28" i="2"/>
  <c r="L28" i="2"/>
  <c r="M28" i="2"/>
  <c r="N28" i="2"/>
  <c r="I30" i="2"/>
  <c r="L30" i="2"/>
  <c r="M30" i="2"/>
  <c r="N30" i="2"/>
  <c r="D32" i="2"/>
  <c r="E32" i="2"/>
  <c r="F32" i="2"/>
  <c r="G32" i="2"/>
  <c r="H32" i="2"/>
  <c r="I32" i="2"/>
  <c r="J32" i="2"/>
  <c r="K32" i="2"/>
  <c r="L32" i="2"/>
  <c r="M32" i="2"/>
  <c r="N32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1" i="1"/>
  <c r="D21" i="1"/>
  <c r="E21" i="1"/>
  <c r="G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D23" i="1"/>
  <c r="E23" i="1"/>
  <c r="J23" i="1"/>
  <c r="L23" i="1"/>
  <c r="M23" i="1"/>
  <c r="O23" i="1"/>
  <c r="Q23" i="1"/>
  <c r="T23" i="1"/>
  <c r="V23" i="1"/>
  <c r="D24" i="1"/>
  <c r="E24" i="1"/>
  <c r="J24" i="1"/>
  <c r="N24" i="1"/>
  <c r="O24" i="1"/>
  <c r="Q24" i="1"/>
  <c r="T24" i="1"/>
  <c r="V24" i="1"/>
  <c r="C25" i="1"/>
  <c r="D25" i="1"/>
  <c r="E25" i="1"/>
  <c r="G25" i="1"/>
  <c r="H25" i="1"/>
  <c r="I25" i="1"/>
  <c r="J25" i="1"/>
  <c r="M25" i="1"/>
  <c r="O25" i="1"/>
  <c r="Q25" i="1"/>
  <c r="T25" i="1"/>
  <c r="V25" i="1"/>
  <c r="D26" i="1"/>
  <c r="E26" i="1"/>
  <c r="J26" i="1"/>
  <c r="L26" i="1"/>
  <c r="O26" i="1"/>
  <c r="Q26" i="1"/>
  <c r="S26" i="1"/>
  <c r="V26" i="1"/>
  <c r="V27" i="1"/>
  <c r="C28" i="1"/>
  <c r="D28" i="1"/>
  <c r="E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E30" i="1"/>
  <c r="G30" i="1"/>
  <c r="H30" i="1"/>
  <c r="I30" i="1"/>
  <c r="J30" i="1"/>
  <c r="O30" i="1"/>
  <c r="Q30" i="1"/>
  <c r="T30" i="1"/>
  <c r="V30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G34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E22" i="37"/>
  <c r="G22" i="37"/>
  <c r="H22" i="37"/>
  <c r="I22" i="37"/>
  <c r="K22" i="37"/>
  <c r="L22" i="37"/>
  <c r="M22" i="37"/>
  <c r="O22" i="37"/>
  <c r="P22" i="37"/>
  <c r="Q22" i="37"/>
  <c r="E23" i="37"/>
  <c r="G23" i="37"/>
  <c r="H23" i="37"/>
  <c r="I23" i="37"/>
  <c r="K23" i="37"/>
  <c r="L23" i="37"/>
  <c r="M23" i="37"/>
  <c r="O23" i="37"/>
  <c r="P23" i="37"/>
  <c r="Q23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9" i="37"/>
  <c r="D29" i="37"/>
  <c r="E29" i="37"/>
  <c r="G29" i="37"/>
  <c r="H29" i="37"/>
  <c r="I29" i="37"/>
  <c r="K29" i="37"/>
  <c r="L29" i="37"/>
  <c r="M29" i="37"/>
  <c r="O29" i="37"/>
  <c r="P29" i="37"/>
  <c r="Q29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E37" i="37"/>
  <c r="I37" i="37"/>
  <c r="E38" i="37"/>
  <c r="I38" i="37"/>
  <c r="E39" i="37"/>
  <c r="I39" i="37"/>
  <c r="E41" i="37"/>
  <c r="I41" i="37"/>
  <c r="E44" i="37"/>
  <c r="I44" i="37"/>
  <c r="E45" i="37"/>
  <c r="I45" i="37"/>
  <c r="E47" i="37"/>
  <c r="I47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4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<sst xmlns="http://schemas.openxmlformats.org/spreadsheetml/2006/main" count="420" uniqueCount="129">
  <si>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</si>
  <si>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</si>
  <si>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</si>
  <si>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</si>
  <si>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</si>
  <si>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</si>
  <si>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</si>
  <si>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</si>
  <si>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</si>
  <si>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</si>
  <si>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</si>
  <si>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</si>
  <si>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</si>
  <si>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</si>
  <si>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</si>
  <si>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</si>
  <si>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</si>
  <si>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</si>
  <si>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</si>
  <si>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</si>
  <si>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</si>
  <si>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</si>
  <si>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</si>
  <si>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</si>
  <si>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</si>
  <si>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</si>
  <si>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</si>
  <si>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</si>
  <si>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</si>
  <si>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</si>
  <si>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</si>
  <si>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</si>
  <si>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</si>
  <si>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</si>
  <si>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</si>
  <si>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</si>
  <si>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</si>
  <si>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</si>
  <si>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</si>
  <si>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</si>
  <si>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</si>
  <si>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</si>
  <si>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</si>
  <si>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</si>
  <si>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</si>
  <si>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</si>
  <si>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</si>
  <si>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</si>
  <si>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</si>
  <si>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</si>
  <si>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</si>
  <si>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</si>
  <si>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</si>
  <si>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</si>
  <si>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</si>
  <si>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</si>
  <si>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</si>
  <si>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</si>
  <si>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</si>
  <si>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</si>
  <si>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</si>
  <si>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</si>
  <si>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</si>
  <si>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</si>
  <si>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</si>
  <si>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</si>
  <si>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</si>
  <si>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</si>
  <si>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</si>
  <si>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</si>
  <si>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</si>
  <si>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</si>
  <si>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</si>
  <si>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</si>
  <si>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</si>
  <si>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</si>
  <si>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</si>
  <si>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</si>
  <si>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</si>
  <si>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</si>
  <si>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</si>
  <si>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</si>
  <si>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</si>
  <si>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</si>
  <si>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</si>
  <si>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</si>
  <si>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</si>
  <si>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</si>
  <si>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</si>
  <si>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</si>
  <si>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</si>
  <si>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</si>
  <si>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</si>
  <si>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</si>
  <si>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</si>
  <si>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</si>
  <si>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</si>
  <si>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</si>
  <si>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</si>
  <si>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</si>
  <si>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</si>
  <si>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</si>
  <si>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</si>
  <si>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</si>
  <si>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</si>
  <si>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</si>
  <si>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</si>
  <si>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</si>
  <si>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</si>
  <si>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</si>
  <si>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</si>
  <si>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</si>
  <si>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</si>
  <si>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</si>
  <si>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</si>
  <si>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</si>
  <si>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</si>
  <si>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</si>
  <si>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</si>
  <si>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</si>
  <si>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</si>
  <si>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</si>
  <si>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</si>
  <si>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</si>
  <si>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</si>
  <si>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</si>
  <si>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</si>
  <si>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</si>
  <si>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Results based on activity through January 11,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</si>
</sst>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17" fillId="0" borderId="13" xfId="1" applyNumberFormat="1" applyFont="1" applyFill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9" xfId="1" applyNumberFormat="1" applyFont="1" applyBorder="1"/>
    <xf numFmtId="165" fontId="80" fillId="0" borderId="9" xfId="1" applyNumberFormat="1" applyFont="1" applyBorder="1"/>
    <xf numFmtId="165" fontId="82" fillId="0" borderId="13" xfId="1" applyNumberFormat="1" applyFont="1" applyBorder="1"/>
    <xf numFmtId="165" fontId="80" fillId="0" borderId="11" xfId="1" applyNumberFormat="1" applyFont="1" applyBorder="1"/>
    <xf numFmtId="165" fontId="82" fillId="0" borderId="12" xfId="1" applyNumberFormat="1" applyFont="1" applyBorder="1"/>
    <xf numFmtId="165" fontId="17" fillId="0" borderId="6" xfId="1" applyNumberFormat="1" applyFont="1" applyBorder="1"/>
    <xf numFmtId="165" fontId="18" fillId="0" borderId="9" xfId="1" applyNumberFormat="1" applyFont="1" applyFill="1" applyBorder="1"/>
    <xf numFmtId="165" fontId="82" fillId="0" borderId="9" xfId="1" applyNumberFormat="1" applyFont="1" applyFill="1" applyBorder="1"/>
    <xf numFmtId="165" fontId="82" fillId="0" borderId="11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1" fillId="6" borderId="0" xfId="0" applyNumberFormat="1" applyFont="1" applyFill="1" applyAlignment="1">
      <alignment horizontal="center"/>
    </xf>
    <xf numFmtId="166" fontId="11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166" fontId="12" fillId="6" borderId="0" xfId="0" quotePrefix="1" applyNumberFormat="1" applyFont="1" applyFill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AE0DDF4C-8D5A-A86C-39E3-A01E0A1D7D0F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9C86A453-CC84-1510-57E3-91536017C91B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4F54D931-6DD3-C02F-C9A5-14A7A3919543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8F108941-9F90-DFF7-3529-7EA87496CEEE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>
          <a:extLst>
            <a:ext uri="{FF2B5EF4-FFF2-40B4-BE49-F238E27FC236}">
              <a16:creationId xmlns:a16="http://schemas.microsoft.com/office/drawing/2014/main" id="{7F7E9B29-C4B5-8766-DFD9-D8B49E37A49B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>
          <a:extLst>
            <a:ext uri="{FF2B5EF4-FFF2-40B4-BE49-F238E27FC236}">
              <a16:creationId xmlns:a16="http://schemas.microsoft.com/office/drawing/2014/main" id="{7952E882-6446-BF2E-D35C-17A545946748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BB789BD0-236F-6F03-F9CF-A47D4ABC1F89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D304521B-1963-9DCF-756E-E57C4161891A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A5109F83-BE44-7689-31F6-C55B062E5223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EB2989D8-A00F-9B3B-F680-EF6FF4E19AF0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692C29CD-FDF1-0916-6A1E-4D935FB8DB81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62546394-B59D-83EC-DEA9-491C0BEB8AA4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9952FA8A-C8B4-817A-5B64-4750738DD016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DFE5A5F-6746-70C3-F82D-A9013F678A9B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20472499-AB26-3181-148D-8AB10ED01257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38C0EC02-BACD-7EBB-E1BB-E5414658969E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2184904F-FFEA-C81E-21F8-459FAE0A158A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2A7B4C4B-B15D-9050-493C-1DEEA7A96704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FCF425E5-EF6A-BB06-AE09-F52C326A859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96B6887A-1625-0F2D-97B2-55E68F360D24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1880D148-39C0-6614-B8D8-31856588EA1C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-15996</v>
          </cell>
          <cell r="G8">
            <v>17128.77</v>
          </cell>
        </row>
        <row r="9">
          <cell r="C9">
            <v>702.05124000000001</v>
          </cell>
          <cell r="G9">
            <v>7821.5169999999998</v>
          </cell>
        </row>
        <row r="10">
          <cell r="C10">
            <v>-299</v>
          </cell>
          <cell r="G10">
            <v>2056.681</v>
          </cell>
        </row>
        <row r="11">
          <cell r="C11">
            <v>1213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1249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0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0</v>
          </cell>
          <cell r="G17">
            <v>1565.9259999999999</v>
          </cell>
        </row>
        <row r="18">
          <cell r="C18">
            <v>0</v>
          </cell>
          <cell r="G18">
            <v>2015.539</v>
          </cell>
        </row>
        <row r="22">
          <cell r="C22">
            <v>0</v>
          </cell>
          <cell r="G22">
            <v>27654</v>
          </cell>
        </row>
        <row r="23">
          <cell r="C23">
            <v>0</v>
          </cell>
          <cell r="G23">
            <v>-22348</v>
          </cell>
        </row>
        <row r="24">
          <cell r="C24">
            <v>-500</v>
          </cell>
          <cell r="G24">
            <v>0</v>
          </cell>
        </row>
        <row r="25">
          <cell r="C25">
            <v>0</v>
          </cell>
          <cell r="G25">
            <v>-1383.4870000000001</v>
          </cell>
        </row>
        <row r="29">
          <cell r="C29">
            <v>0</v>
          </cell>
          <cell r="G29">
            <v>308</v>
          </cell>
        </row>
        <row r="31">
          <cell r="G31">
            <v>51645.96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January 4,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40000</v>
          </cell>
          <cell r="D9">
            <v>17128.77</v>
          </cell>
          <cell r="E9">
            <v>22871.23</v>
          </cell>
          <cell r="G9">
            <v>-15996</v>
          </cell>
          <cell r="H9">
            <v>0</v>
          </cell>
          <cell r="I9">
            <v>0</v>
          </cell>
          <cell r="J9">
            <v>-15996</v>
          </cell>
          <cell r="L9">
            <v>0</v>
          </cell>
          <cell r="M9">
            <v>6767.77</v>
          </cell>
          <cell r="N9">
            <v>10361</v>
          </cell>
          <cell r="O9">
            <v>-33124.770000000004</v>
          </cell>
          <cell r="Q9">
            <v>-55996</v>
          </cell>
          <cell r="S9">
            <v>0</v>
          </cell>
          <cell r="T9">
            <v>0</v>
          </cell>
          <cell r="U9">
            <v>0</v>
          </cell>
          <cell r="V9">
            <v>-55996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702.05124000000001</v>
          </cell>
          <cell r="H10">
            <v>0</v>
          </cell>
          <cell r="I10">
            <v>0</v>
          </cell>
          <cell r="J10">
            <v>702.05124000000001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-7119.46576</v>
          </cell>
          <cell r="Q10">
            <v>-13047.948759999999</v>
          </cell>
          <cell r="S10">
            <v>0</v>
          </cell>
          <cell r="T10">
            <v>0</v>
          </cell>
          <cell r="U10">
            <v>0</v>
          </cell>
          <cell r="V10">
            <v>-13048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-299</v>
          </cell>
          <cell r="H11">
            <v>0</v>
          </cell>
          <cell r="I11">
            <v>0</v>
          </cell>
          <cell r="J11">
            <v>-299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-2355.681</v>
          </cell>
          <cell r="Q11">
            <v>-5299</v>
          </cell>
          <cell r="S11">
            <v>0</v>
          </cell>
          <cell r="T11">
            <v>0</v>
          </cell>
          <cell r="U11">
            <v>0</v>
          </cell>
          <cell r="V11">
            <v>-5299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1213</v>
          </cell>
          <cell r="H12">
            <v>0</v>
          </cell>
          <cell r="I12">
            <v>0</v>
          </cell>
          <cell r="J12">
            <v>1213</v>
          </cell>
          <cell r="L12">
            <v>0</v>
          </cell>
          <cell r="M12">
            <v>1808.5229999999999</v>
          </cell>
          <cell r="N12">
            <v>1923</v>
          </cell>
          <cell r="O12">
            <v>-2518.5230000000001</v>
          </cell>
          <cell r="Q12">
            <v>-7296.2510000000002</v>
          </cell>
          <cell r="S12">
            <v>0</v>
          </cell>
          <cell r="T12">
            <v>0</v>
          </cell>
          <cell r="U12">
            <v>0</v>
          </cell>
          <cell r="V12">
            <v>-7296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1249</v>
          </cell>
          <cell r="H14">
            <v>0</v>
          </cell>
          <cell r="I14">
            <v>0</v>
          </cell>
          <cell r="J14">
            <v>1249</v>
          </cell>
          <cell r="L14">
            <v>0</v>
          </cell>
          <cell r="M14">
            <v>3467.386</v>
          </cell>
          <cell r="N14">
            <v>2315</v>
          </cell>
          <cell r="O14">
            <v>-4533.3860000000004</v>
          </cell>
          <cell r="Q14">
            <v>-18751</v>
          </cell>
          <cell r="S14">
            <v>0</v>
          </cell>
          <cell r="T14">
            <v>0</v>
          </cell>
          <cell r="U14">
            <v>0</v>
          </cell>
          <cell r="V14">
            <v>-18751</v>
          </cell>
        </row>
        <row r="15">
          <cell r="A15" t="str">
            <v>Transportation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1430.25</v>
          </cell>
          <cell r="N16">
            <v>1145</v>
          </cell>
          <cell r="O16">
            <v>-2575.25</v>
          </cell>
          <cell r="Q16">
            <v>-3000</v>
          </cell>
          <cell r="S16">
            <v>0</v>
          </cell>
          <cell r="T16">
            <v>0</v>
          </cell>
          <cell r="U16">
            <v>0</v>
          </cell>
          <cell r="V16">
            <v>-3000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809.5</v>
          </cell>
          <cell r="N17">
            <v>779</v>
          </cell>
          <cell r="O17">
            <v>-1588.5</v>
          </cell>
          <cell r="Q17">
            <v>-1413</v>
          </cell>
          <cell r="S17">
            <v>0</v>
          </cell>
          <cell r="T17">
            <v>0</v>
          </cell>
          <cell r="U17">
            <v>0</v>
          </cell>
          <cell r="V17">
            <v>-1413</v>
          </cell>
        </row>
        <row r="18">
          <cell r="A18" t="str">
            <v>Puerto Rico</v>
          </cell>
          <cell r="C18">
            <v>-858.5010000000002</v>
          </cell>
          <cell r="D18">
            <v>1565.9259999999999</v>
          </cell>
          <cell r="E18">
            <v>-2424.4270000000001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591</v>
          </cell>
          <cell r="M18">
            <v>413.92599999999999</v>
          </cell>
          <cell r="N18">
            <v>561</v>
          </cell>
          <cell r="O18">
            <v>-1565.9259999999999</v>
          </cell>
          <cell r="Q18">
            <v>858.5010000000002</v>
          </cell>
          <cell r="S18">
            <v>0</v>
          </cell>
          <cell r="T18">
            <v>0</v>
          </cell>
          <cell r="U18">
            <v>0</v>
          </cell>
          <cell r="V18">
            <v>859</v>
          </cell>
        </row>
        <row r="19">
          <cell r="A19" t="str">
            <v>Office of the Chairman</v>
          </cell>
          <cell r="C19">
            <v>0</v>
          </cell>
          <cell r="D19">
            <v>1765.539</v>
          </cell>
          <cell r="E19">
            <v>-1765.539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1495.539</v>
          </cell>
          <cell r="N19">
            <v>520</v>
          </cell>
          <cell r="O19">
            <v>-2015.539</v>
          </cell>
          <cell r="Q19">
            <v>0</v>
          </cell>
          <cell r="S19">
            <v>0</v>
          </cell>
          <cell r="T19">
            <v>-250</v>
          </cell>
          <cell r="U19">
            <v>0</v>
          </cell>
          <cell r="V19">
            <v>-250</v>
          </cell>
        </row>
        <row r="21">
          <cell r="A21" t="str">
            <v>Subtotal Commercial</v>
          </cell>
          <cell r="C21">
            <v>96188.75</v>
          </cell>
          <cell r="D21">
            <v>47165.447</v>
          </cell>
          <cell r="E21">
            <v>49023.303</v>
          </cell>
          <cell r="G21">
            <v>-13130.948759999999</v>
          </cell>
          <cell r="H21">
            <v>0</v>
          </cell>
          <cell r="I21">
            <v>0</v>
          </cell>
          <cell r="J21">
            <v>-13130.948759999999</v>
          </cell>
          <cell r="K21">
            <v>0</v>
          </cell>
          <cell r="L21">
            <v>1383.4870000000001</v>
          </cell>
          <cell r="M21">
            <v>23683.96</v>
          </cell>
          <cell r="N21">
            <v>22348</v>
          </cell>
          <cell r="O21">
            <v>-60546.395759999999</v>
          </cell>
          <cell r="Q21">
            <v>-109319.69876</v>
          </cell>
          <cell r="R21">
            <v>0</v>
          </cell>
          <cell r="S21">
            <v>0</v>
          </cell>
          <cell r="T21">
            <v>-250</v>
          </cell>
          <cell r="U21">
            <v>0</v>
          </cell>
          <cell r="V21">
            <v>-109569</v>
          </cell>
        </row>
        <row r="23">
          <cell r="A23" t="str">
            <v>Group Support Cost</v>
          </cell>
          <cell r="C23">
            <v>0</v>
          </cell>
          <cell r="D23">
            <v>27654</v>
          </cell>
          <cell r="E23">
            <v>-27654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27654</v>
          </cell>
          <cell r="N23">
            <v>0</v>
          </cell>
          <cell r="O23">
            <v>-27654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Support Cost Allocated to Teams</v>
          </cell>
          <cell r="C24">
            <v>0</v>
          </cell>
          <cell r="D24">
            <v>-22348</v>
          </cell>
          <cell r="E24">
            <v>22348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-22348</v>
          </cell>
          <cell r="O24">
            <v>22348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Other Interest Related Charges</v>
          </cell>
          <cell r="C25">
            <v>-500</v>
          </cell>
          <cell r="D25">
            <v>0</v>
          </cell>
          <cell r="E25">
            <v>-500</v>
          </cell>
          <cell r="G25">
            <v>-500</v>
          </cell>
          <cell r="H25">
            <v>0</v>
          </cell>
          <cell r="I25">
            <v>0</v>
          </cell>
          <cell r="J25">
            <v>-500</v>
          </cell>
          <cell r="L25">
            <v>0</v>
          </cell>
          <cell r="M25">
            <v>0</v>
          </cell>
          <cell r="N25">
            <v>0</v>
          </cell>
          <cell r="O25">
            <v>-500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Capital Charge Offset</v>
          </cell>
          <cell r="C26">
            <v>0</v>
          </cell>
          <cell r="D26">
            <v>-1383.4870000000001</v>
          </cell>
          <cell r="E26">
            <v>1383.4870000000001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-1383.4870000000001</v>
          </cell>
          <cell r="M26">
            <v>0</v>
          </cell>
          <cell r="N26">
            <v>0</v>
          </cell>
          <cell r="O26">
            <v>1383.4870000000001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V27">
            <v>0</v>
          </cell>
        </row>
        <row r="28">
          <cell r="A28" t="str">
            <v>Global Markets EBIT</v>
          </cell>
          <cell r="C28">
            <v>95688.75</v>
          </cell>
          <cell r="D28">
            <v>51087.96</v>
          </cell>
          <cell r="E28">
            <v>44600.79</v>
          </cell>
          <cell r="G28">
            <v>-13630.948759999999</v>
          </cell>
          <cell r="H28">
            <v>0</v>
          </cell>
          <cell r="I28">
            <v>0</v>
          </cell>
          <cell r="J28">
            <v>-13630.948759999999</v>
          </cell>
          <cell r="K28">
            <v>0</v>
          </cell>
          <cell r="L28">
            <v>0</v>
          </cell>
          <cell r="M28">
            <v>51337.96</v>
          </cell>
          <cell r="N28">
            <v>0</v>
          </cell>
          <cell r="O28">
            <v>-64968.908759999998</v>
          </cell>
          <cell r="Q28">
            <v>-109319.69876</v>
          </cell>
          <cell r="R28">
            <v>0</v>
          </cell>
          <cell r="S28">
            <v>0</v>
          </cell>
          <cell r="T28">
            <v>-250</v>
          </cell>
          <cell r="U28">
            <v>0</v>
          </cell>
          <cell r="V28">
            <v>-109569</v>
          </cell>
        </row>
        <row r="29">
          <cell r="G29" t="str">
            <v>Other Expenses:</v>
          </cell>
          <cell r="M29" t="str">
            <v xml:space="preserve"> </v>
          </cell>
        </row>
        <row r="30">
          <cell r="A30" t="str">
            <v>Interest Expense/(Income)</v>
          </cell>
          <cell r="C30">
            <v>0</v>
          </cell>
          <cell r="D30">
            <v>308</v>
          </cell>
          <cell r="E30">
            <v>-308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308</v>
          </cell>
          <cell r="N30">
            <v>0</v>
          </cell>
          <cell r="O30">
            <v>-308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2">
          <cell r="A32" t="str">
            <v>Global Markets Pre-tax Income</v>
          </cell>
          <cell r="C32">
            <v>95688.75</v>
          </cell>
          <cell r="D32">
            <v>51395.96</v>
          </cell>
          <cell r="E32">
            <v>44292.79</v>
          </cell>
          <cell r="G32">
            <v>-13630.948759999999</v>
          </cell>
          <cell r="H32">
            <v>0</v>
          </cell>
          <cell r="I32">
            <v>0</v>
          </cell>
          <cell r="J32">
            <v>-13630.948759999999</v>
          </cell>
          <cell r="K32">
            <v>0</v>
          </cell>
          <cell r="L32">
            <v>0</v>
          </cell>
          <cell r="M32">
            <v>51645.96</v>
          </cell>
          <cell r="N32">
            <v>0</v>
          </cell>
          <cell r="O32">
            <v>-65276.908759999998</v>
          </cell>
          <cell r="Q32">
            <v>-109319.69876</v>
          </cell>
          <cell r="R32">
            <v>0</v>
          </cell>
          <cell r="S32">
            <v>0</v>
          </cell>
          <cell r="T32">
            <v>-250</v>
          </cell>
          <cell r="U32">
            <v>0</v>
          </cell>
          <cell r="V32">
            <v>-109569</v>
          </cell>
        </row>
        <row r="34">
          <cell r="E34" t="str">
            <v>MPR Change:</v>
          </cell>
          <cell r="G34">
            <v>0</v>
          </cell>
        </row>
        <row r="36">
          <cell r="A36" t="str">
            <v>(1) Includes capital charge, direct, and allocated expenses</v>
          </cell>
        </row>
      </sheetData>
      <sheetData sheetId="3" refreshError="1"/>
      <sheetData sheetId="4">
        <row r="10">
          <cell r="D10">
            <v>-15996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701</v>
          </cell>
          <cell r="E11">
            <v>1.05124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-299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1213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777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307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165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-500</v>
          </cell>
          <cell r="H30">
            <v>0</v>
          </cell>
        </row>
        <row r="32">
          <cell r="I32">
            <v>-13630.948759999999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413.92599999999999</v>
          </cell>
          <cell r="E18">
            <v>413.92599999999999</v>
          </cell>
        </row>
        <row r="19">
          <cell r="D19">
            <v>1495.539</v>
          </cell>
          <cell r="E19">
            <v>1245.539</v>
          </cell>
        </row>
        <row r="23">
          <cell r="D23">
            <v>27654</v>
          </cell>
          <cell r="E23">
            <v>27654</v>
          </cell>
        </row>
        <row r="24">
          <cell r="D24">
            <v>0</v>
          </cell>
          <cell r="E24">
            <v>0</v>
          </cell>
        </row>
        <row r="29">
          <cell r="D29" t="str">
            <v>Operating Expenses</v>
          </cell>
        </row>
        <row r="30">
          <cell r="D30" t="str">
            <v>Forecast</v>
          </cell>
          <cell r="E30" t="str">
            <v>Plan</v>
          </cell>
        </row>
        <row r="31">
          <cell r="D31">
            <v>0</v>
          </cell>
          <cell r="E31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123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6.5">
      <c r="A3" s="308" t="s">
        <v>124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-4389</v>
      </c>
      <c r="H9" s="36">
        <f>GrossMargin!J10</f>
        <v>0</v>
      </c>
      <c r="I9" s="36">
        <f>+'Mgmt Summary'!I9</f>
        <v>0</v>
      </c>
      <c r="J9" s="136">
        <f>SUM(G9:I9)</f>
        <v>-4389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-21517.77</v>
      </c>
      <c r="P9" s="37"/>
      <c r="Q9" s="133">
        <f>+'Mgmt Summary'!Q9</f>
        <v>-44389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-44389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4054.6792399999999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4054.6792399999999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-3766.8377599999999</v>
      </c>
      <c r="P10" s="37"/>
      <c r="Q10" s="133">
        <f>+'Mgmt Summary'!Q10</f>
        <v>-9695.3207600000005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-9695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-957</v>
      </c>
      <c r="H11" s="36">
        <f>GrossMargin!J12</f>
        <v>0</v>
      </c>
      <c r="I11" s="36">
        <f>+'Mgmt Summary'!I11</f>
        <v>0</v>
      </c>
      <c r="J11" s="136">
        <f t="shared" si="1"/>
        <v>-957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-3013.681</v>
      </c>
      <c r="P11" s="37"/>
      <c r="Q11" s="133">
        <f>+'Mgmt Summary'!Q11</f>
        <v>-5957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-5957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-4</v>
      </c>
      <c r="H12" s="36">
        <f>GrossMargin!J13</f>
        <v>0</v>
      </c>
      <c r="I12" s="36">
        <f>+'Mgmt Summary'!I12</f>
        <v>0</v>
      </c>
      <c r="J12" s="136">
        <f t="shared" si="1"/>
        <v>-4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-3735.5230000000001</v>
      </c>
      <c r="P12" s="37"/>
      <c r="Q12" s="133">
        <f>+'Mgmt Summary'!Q12</f>
        <v>-8513.2510000000002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-8513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2077</v>
      </c>
      <c r="H14" s="36">
        <f>GrossMargin!J15</f>
        <v>0</v>
      </c>
      <c r="I14" s="36">
        <f>+'Mgmt Summary'!I14</f>
        <v>0</v>
      </c>
      <c r="J14" s="136">
        <f t="shared" si="1"/>
        <v>2077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-3705.386</v>
      </c>
      <c r="P14" s="37"/>
      <c r="Q14" s="133">
        <f>+'Mgmt Summary'!Q14</f>
        <v>-17923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-17923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Summary'!C19</f>
        <v>0</v>
      </c>
      <c r="D17" s="36">
        <f>+'Mgmt Summary'!D19</f>
        <v>1765.539</v>
      </c>
      <c r="E17" s="135">
        <f t="shared" si="0"/>
        <v>-1765.539</v>
      </c>
      <c r="F17" s="36"/>
      <c r="G17" s="133">
        <f>+'Mgmt Summary'!G19</f>
        <v>0</v>
      </c>
      <c r="H17" s="36">
        <f>GrossMargin!J18</f>
        <v>0</v>
      </c>
      <c r="I17" s="36">
        <f>+'Mgmt Summary'!I19</f>
        <v>0</v>
      </c>
      <c r="J17" s="136">
        <f t="shared" si="1"/>
        <v>0</v>
      </c>
      <c r="K17" s="137"/>
      <c r="L17" s="139">
        <f>+'Mgmt Summary'!L19</f>
        <v>0</v>
      </c>
      <c r="M17" s="140">
        <f>+'Mgmt Summary'!M19</f>
        <v>1495.539</v>
      </c>
      <c r="N17" s="140">
        <f>+'Mgmt Summary'!N19</f>
        <v>520</v>
      </c>
      <c r="O17" s="136">
        <f t="shared" si="2"/>
        <v>-2015.539</v>
      </c>
      <c r="P17" s="37"/>
      <c r="Q17" s="133">
        <f>+'Mgmt Summary'!Q19</f>
        <v>0</v>
      </c>
      <c r="R17" s="36"/>
      <c r="S17" s="36">
        <f>+'Mgmt Summary'!S19</f>
        <v>0</v>
      </c>
      <c r="T17" s="36">
        <f>+'Mgmt Summary'!T19</f>
        <v>-250</v>
      </c>
      <c r="U17" s="36">
        <f>+'Mgmt Summary'!U19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-34</v>
      </c>
      <c r="H21" s="36">
        <f>GrossMargin!J22</f>
        <v>0</v>
      </c>
      <c r="I21" s="36">
        <f>+'Mgmt Summary'!I16</f>
        <v>0</v>
      </c>
      <c r="J21" s="136">
        <f>SUM(G21:I21)</f>
        <v>-34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-2609.25</v>
      </c>
      <c r="P21" s="37"/>
      <c r="Q21" s="133">
        <f>+'Mgmt Summary'!Q16</f>
        <v>-3034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-3034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0</v>
      </c>
      <c r="H22" s="36">
        <f>GrossMargin!J26</f>
        <v>0</v>
      </c>
      <c r="I22" s="36">
        <f>+'Mgmt Summary'!I17</f>
        <v>0</v>
      </c>
      <c r="J22" s="136">
        <f>SUM(G22:I22)</f>
        <v>0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-1588.5</v>
      </c>
      <c r="P22" s="37"/>
      <c r="Q22" s="133">
        <f>+'Mgmt Summary'!Q17</f>
        <v>-1413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-1413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1565.9259999999999</v>
      </c>
      <c r="E23" s="135">
        <f>C23-D23</f>
        <v>-2424.4270000000001</v>
      </c>
      <c r="F23" s="36"/>
      <c r="G23" s="133">
        <f>+'Mgmt Summary'!G18</f>
        <v>0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413.92599999999999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858.5010000000002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859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5729.6759999999995</v>
      </c>
      <c r="E25" s="45">
        <f>SUM(E21:E24)</f>
        <v>-2175.1770000000001</v>
      </c>
      <c r="F25" s="36">
        <f>SUM(F19:F23)</f>
        <v>0</v>
      </c>
      <c r="G25" s="43">
        <f t="shared" ref="G25:O25" si="6">SUM(G21:G24)</f>
        <v>-34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2653.6759999999999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-3588.4989999999998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-3588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Summary'!C23</f>
        <v>0</v>
      </c>
      <c r="D30" s="36">
        <f>+'Mgmt Summary'!D23</f>
        <v>27654</v>
      </c>
      <c r="E30" s="135">
        <f>C30-D30</f>
        <v>-27654</v>
      </c>
      <c r="F30" s="36"/>
      <c r="G30" s="133">
        <f>+'Mgmt Summary'!G23</f>
        <v>0</v>
      </c>
      <c r="H30" s="36" t="e">
        <f>GrossMargin!#REF!</f>
        <v>#REF!</v>
      </c>
      <c r="I30" s="36">
        <f>+'Mgmt Summary'!I23</f>
        <v>0</v>
      </c>
      <c r="J30" s="136" t="e">
        <f>SUM(G30:I30)</f>
        <v>#REF!</v>
      </c>
      <c r="K30" s="137"/>
      <c r="L30" s="139">
        <f>+'Mgmt Summary'!L23</f>
        <v>0</v>
      </c>
      <c r="M30" s="140">
        <f>+'Mgmt Summary'!M23</f>
        <v>27654</v>
      </c>
      <c r="N30" s="140">
        <f>+'Mgmt Summary'!N23</f>
        <v>0</v>
      </c>
      <c r="O30" s="136" t="e">
        <f>J30-K30-M30-N30-L30</f>
        <v>#REF!</v>
      </c>
      <c r="P30" s="37"/>
      <c r="Q30" s="133">
        <f>+'Mgmt Summary'!Q23</f>
        <v>0</v>
      </c>
      <c r="R30" s="36"/>
      <c r="S30" s="36">
        <f>+'Mgmt Summary'!S23</f>
        <v>0</v>
      </c>
      <c r="T30" s="36">
        <f>+'Mgmt Summary'!T23</f>
        <v>0</v>
      </c>
      <c r="U30" s="36">
        <f>+'Mgmt Summary'!U23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Summary'!C24</f>
        <v>0</v>
      </c>
      <c r="D31" s="36">
        <f>+'Mgmt Summary'!D24</f>
        <v>-22348</v>
      </c>
      <c r="E31" s="135">
        <f>C31-D31</f>
        <v>22348</v>
      </c>
      <c r="F31" s="36"/>
      <c r="G31" s="133">
        <f>+'Mgmt Summary'!G24</f>
        <v>0</v>
      </c>
      <c r="H31" s="36" t="e">
        <f>GrossMargin!#REF!</f>
        <v>#REF!</v>
      </c>
      <c r="I31" s="36">
        <f>+'Mgmt Summary'!I24</f>
        <v>0</v>
      </c>
      <c r="J31" s="136" t="e">
        <f>SUM(G31:I31)</f>
        <v>#REF!</v>
      </c>
      <c r="K31" s="137"/>
      <c r="L31" s="139">
        <f>+'Mgmt Summary'!L24</f>
        <v>0</v>
      </c>
      <c r="M31" s="140">
        <f>+'Mgmt Summary'!M24</f>
        <v>0</v>
      </c>
      <c r="N31" s="140">
        <f>+'Mgmt Summary'!N24</f>
        <v>-22348</v>
      </c>
      <c r="O31" s="136" t="e">
        <f>J31-K31-M31-N31-L31</f>
        <v>#REF!</v>
      </c>
      <c r="P31" s="37"/>
      <c r="Q31" s="133">
        <f>+'Mgmt Summary'!Q24</f>
        <v>0</v>
      </c>
      <c r="R31" s="36"/>
      <c r="S31" s="36">
        <f>+'Mgmt Summary'!S24</f>
        <v>0</v>
      </c>
      <c r="T31" s="36">
        <f>+'Mgmt Summary'!T24</f>
        <v>0</v>
      </c>
      <c r="U31" s="36">
        <f>+'Mgmt Summary'!U24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Summary'!C25</f>
        <v>-500</v>
      </c>
      <c r="D32" s="36">
        <f>+'Mgmt Summary'!D25</f>
        <v>0</v>
      </c>
      <c r="E32" s="135">
        <f>C32-D32</f>
        <v>-500</v>
      </c>
      <c r="F32" s="36"/>
      <c r="G32" s="133">
        <f>+'Mgmt Summary'!G25</f>
        <v>-500</v>
      </c>
      <c r="H32" s="36" t="e">
        <f>GrossMargin!#REF!</f>
        <v>#REF!</v>
      </c>
      <c r="I32" s="36">
        <f>+'Mgmt Summary'!I25</f>
        <v>0</v>
      </c>
      <c r="J32" s="136" t="e">
        <f>SUM(G32:I32)</f>
        <v>#REF!</v>
      </c>
      <c r="K32" s="137"/>
      <c r="L32" s="139">
        <f>+'Mgmt Summary'!L25</f>
        <v>0</v>
      </c>
      <c r="M32" s="140">
        <f>+'Mgmt Summary'!M25</f>
        <v>0</v>
      </c>
      <c r="N32" s="140">
        <f>+'Mgmt Summary'!N25</f>
        <v>0</v>
      </c>
      <c r="O32" s="136" t="e">
        <f>J32-K32-M32-N32-L32</f>
        <v>#REF!</v>
      </c>
      <c r="P32" s="37"/>
      <c r="Q32" s="133">
        <f>+'Mgmt Summary'!Q25</f>
        <v>0</v>
      </c>
      <c r="R32" s="36"/>
      <c r="S32" s="36">
        <f>+'Mgmt Summary'!S25</f>
        <v>0</v>
      </c>
      <c r="T32" s="36">
        <f>+'Mgmt Summary'!T25</f>
        <v>0</v>
      </c>
      <c r="U32" s="36">
        <f>+'Mgmt Summary'!U25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Summary'!C26</f>
        <v>0</v>
      </c>
      <c r="D33" s="36">
        <f>+'Mgmt Summary'!D26</f>
        <v>-1383.4870000000001</v>
      </c>
      <c r="E33" s="135">
        <f>C33-D33</f>
        <v>1383.4870000000001</v>
      </c>
      <c r="F33" s="36"/>
      <c r="G33" s="133">
        <f>+'Mgmt Summary'!G26</f>
        <v>0</v>
      </c>
      <c r="H33" s="36">
        <f>GrossMargin!J27</f>
        <v>0</v>
      </c>
      <c r="I33" s="36">
        <f>+'Mgmt Summary'!I26</f>
        <v>0</v>
      </c>
      <c r="J33" s="136">
        <f>SUM(G33:I33)</f>
        <v>0</v>
      </c>
      <c r="K33" s="137"/>
      <c r="L33" s="139">
        <f>+'Mgmt Summary'!L26</f>
        <v>-1383.4870000000001</v>
      </c>
      <c r="M33" s="140">
        <f>+'Mgmt Summary'!M26</f>
        <v>0</v>
      </c>
      <c r="N33" s="140">
        <f>+'Mgmt Summary'!N26</f>
        <v>0</v>
      </c>
      <c r="O33" s="136">
        <f>J33-K33-M33-N33-L33</f>
        <v>1383.4870000000001</v>
      </c>
      <c r="P33" s="37"/>
      <c r="Q33" s="133">
        <f>+'Mgmt Summary'!Q26</f>
        <v>0</v>
      </c>
      <c r="R33" s="36"/>
      <c r="S33" s="36">
        <f>+'Mgmt Summary'!S26</f>
        <v>0</v>
      </c>
      <c r="T33" s="36">
        <f>+'Mgmt Summary'!T26</f>
        <v>0</v>
      </c>
      <c r="U33" s="36">
        <f>+'Mgmt Summary'!U26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Summary'!C30</f>
        <v>0</v>
      </c>
      <c r="D37" s="36">
        <f>+'Mgmt Summary'!D30</f>
        <v>308</v>
      </c>
      <c r="E37" s="135">
        <f>C37-D37</f>
        <v>-308</v>
      </c>
      <c r="F37" s="36"/>
      <c r="G37" s="133">
        <f>+'Mgmt Summary'!G30</f>
        <v>0</v>
      </c>
      <c r="H37" s="36">
        <f>GrossMargin!J31</f>
        <v>0</v>
      </c>
      <c r="I37" s="36">
        <f>+'Mgmt Summary'!I30</f>
        <v>0</v>
      </c>
      <c r="J37" s="136">
        <f>SUM(G37:I37)</f>
        <v>0</v>
      </c>
      <c r="K37" s="137"/>
      <c r="L37" s="139">
        <f>+'Mgmt Summary'!L30</f>
        <v>0</v>
      </c>
      <c r="M37" s="140">
        <f>+'Mgmt Summary'!M30</f>
        <v>308</v>
      </c>
      <c r="N37" s="140">
        <f>+'Mgmt Summary'!N30</f>
        <v>0</v>
      </c>
      <c r="O37" s="136">
        <f>J37-K37-M37-N37-L37</f>
        <v>-308</v>
      </c>
      <c r="P37" s="37"/>
      <c r="Q37" s="133">
        <f>+'Mgmt Summary'!Q30</f>
        <v>0</v>
      </c>
      <c r="R37" s="36"/>
      <c r="S37" s="36">
        <f>+'Mgmt Summary'!S30</f>
        <v>0</v>
      </c>
      <c r="T37" s="36">
        <f>+'Mgmt Summary'!T30</f>
        <v>0</v>
      </c>
      <c r="U37" s="36">
        <f>+'Mgmt Summary'!U30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+'GM-WeeklyChnge'!C37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8"/>
  <sheetViews>
    <sheetView tabSelected="1" zoomScale="95" workbookViewId="0">
      <selection activeCell="I34" sqref="I3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118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January 11,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117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115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-4389</v>
      </c>
      <c r="D8" s="226">
        <f>+'Mgmt Summary'!C9</f>
        <v>40000</v>
      </c>
      <c r="E8" s="227">
        <f t="shared" ref="E8:E13" si="0">-D8+C8</f>
        <v>-44389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-21517.77</v>
      </c>
      <c r="L8" s="226">
        <f t="shared" ref="K8:L13" si="2">D8-H8</f>
        <v>22871.23</v>
      </c>
      <c r="M8" s="227">
        <f t="shared" ref="M8:M13" si="3">K8-L8</f>
        <v>-44389</v>
      </c>
      <c r="N8" s="290"/>
      <c r="O8" s="225">
        <f>+C8-'[1]QTD Mgmt Summary'!C8</f>
        <v>11607</v>
      </c>
      <c r="P8" s="226">
        <f>-G8+'[1]QTD Mgmt Summary'!G8</f>
        <v>0</v>
      </c>
      <c r="Q8" s="227">
        <f>+O8+P8</f>
        <v>11607</v>
      </c>
    </row>
    <row r="9" spans="1:22" s="32" customFormat="1" ht="13.5" customHeight="1">
      <c r="A9" s="223" t="s">
        <v>1</v>
      </c>
      <c r="B9" s="224"/>
      <c r="C9" s="225">
        <f>+'Mgmt Summary'!J10</f>
        <v>4054.6792399999999</v>
      </c>
      <c r="D9" s="226">
        <f>+'Mgmt Summary'!C10</f>
        <v>13750</v>
      </c>
      <c r="E9" s="227">
        <f t="shared" si="0"/>
        <v>-9695.3207600000005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-3766.8377599999999</v>
      </c>
      <c r="L9" s="226">
        <f t="shared" si="2"/>
        <v>5928.4830000000002</v>
      </c>
      <c r="M9" s="227">
        <f t="shared" si="3"/>
        <v>-9695.3207600000005</v>
      </c>
      <c r="N9" s="290"/>
      <c r="O9" s="225">
        <f>+C9-'[1]QTD Mgmt Summary'!C9</f>
        <v>3352.6279999999997</v>
      </c>
      <c r="P9" s="226">
        <f>-G9+'[1]QTD Mgmt Summary'!G9</f>
        <v>0</v>
      </c>
      <c r="Q9" s="227">
        <f t="shared" ref="Q9:Q16" si="4">+O9+P9</f>
        <v>3352.6279999999997</v>
      </c>
    </row>
    <row r="10" spans="1:22" s="32" customFormat="1" ht="13.5" customHeight="1">
      <c r="A10" s="223" t="s">
        <v>44</v>
      </c>
      <c r="B10" s="224"/>
      <c r="C10" s="225">
        <f>+'Mgmt Summary'!J11</f>
        <v>-957</v>
      </c>
      <c r="D10" s="226">
        <f>+'Mgmt Summary'!C11</f>
        <v>5000</v>
      </c>
      <c r="E10" s="227">
        <f t="shared" si="0"/>
        <v>-5957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-3013.681</v>
      </c>
      <c r="L10" s="226">
        <f t="shared" si="2"/>
        <v>2943.319</v>
      </c>
      <c r="M10" s="227">
        <f t="shared" si="3"/>
        <v>-5957</v>
      </c>
      <c r="N10" s="290"/>
      <c r="O10" s="225">
        <f>+C10-'[1]QTD Mgmt Summary'!C10</f>
        <v>-658</v>
      </c>
      <c r="P10" s="226">
        <f>-G10+'[1]QTD Mgmt Summary'!G10</f>
        <v>0</v>
      </c>
      <c r="Q10" s="227">
        <f t="shared" si="4"/>
        <v>-658</v>
      </c>
    </row>
    <row r="11" spans="1:22" s="32" customFormat="1" ht="13.5" customHeight="1">
      <c r="A11" s="223" t="s">
        <v>64</v>
      </c>
      <c r="B11" s="224"/>
      <c r="C11" s="225">
        <f>+'Mgmt Summary'!J12</f>
        <v>-4</v>
      </c>
      <c r="D11" s="226">
        <f>+'Mgmt Summary'!C12</f>
        <v>8509.2510000000002</v>
      </c>
      <c r="E11" s="227">
        <f t="shared" si="0"/>
        <v>-8513.2510000000002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-3735.5230000000001</v>
      </c>
      <c r="L11" s="226">
        <f t="shared" si="2"/>
        <v>4777.7280000000001</v>
      </c>
      <c r="M11" s="227">
        <f t="shared" si="3"/>
        <v>-8513.2510000000002</v>
      </c>
      <c r="N11" s="290"/>
      <c r="O11" s="225">
        <f>+C11-'[1]QTD Mgmt Summary'!C11</f>
        <v>-1217</v>
      </c>
      <c r="P11" s="226">
        <f>-G11+'[1]QTD Mgmt Summary'!G11</f>
        <v>0</v>
      </c>
      <c r="Q11" s="227">
        <f t="shared" si="4"/>
        <v>-1217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2077</v>
      </c>
      <c r="D13" s="226">
        <f>+'Mgmt Summary'!C14</f>
        <v>20000</v>
      </c>
      <c r="E13" s="227">
        <f t="shared" si="0"/>
        <v>-17923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-3705.3860000000004</v>
      </c>
      <c r="L13" s="226">
        <f t="shared" si="2"/>
        <v>14217.614</v>
      </c>
      <c r="M13" s="227">
        <f t="shared" si="3"/>
        <v>-17923</v>
      </c>
      <c r="N13" s="290"/>
      <c r="O13" s="225">
        <f>+C13-'[1]QTD Mgmt Summary'!C13</f>
        <v>828</v>
      </c>
      <c r="P13" s="294">
        <f>(-G13+'[1]QTD Mgmt Summary'!G13)*0</f>
        <v>0</v>
      </c>
      <c r="Q13" s="227">
        <f t="shared" si="4"/>
        <v>828</v>
      </c>
    </row>
    <row r="14" spans="1:22" s="32" customFormat="1" ht="13.5" customHeight="1">
      <c r="A14" s="223" t="s">
        <v>90</v>
      </c>
      <c r="B14" s="224"/>
      <c r="C14" s="225">
        <f>+'Mgmt Summary'!J15</f>
        <v>0</v>
      </c>
      <c r="D14" s="226">
        <f>+'Mgmt Summary'!C15</f>
        <v>500</v>
      </c>
      <c r="E14" s="227">
        <f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-34</v>
      </c>
      <c r="D15" s="226">
        <f>+'Mgmt Summary'!C16</f>
        <v>3000</v>
      </c>
      <c r="E15" s="227">
        <f>-D15+C15</f>
        <v>-3034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5">C15-G15</f>
        <v>-2609.25</v>
      </c>
      <c r="L15" s="226">
        <f t="shared" si="5"/>
        <v>424.75</v>
      </c>
      <c r="M15" s="227">
        <f>K15-L15</f>
        <v>-3034</v>
      </c>
      <c r="N15" s="290"/>
      <c r="O15" s="225">
        <f>+C15-'[1]QTD Mgmt Summary'!C15</f>
        <v>-34</v>
      </c>
      <c r="P15" s="226">
        <f>-G15+'[1]QTD Mgmt Summary'!G15</f>
        <v>0</v>
      </c>
      <c r="Q15" s="227">
        <f t="shared" si="4"/>
        <v>-34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0</v>
      </c>
      <c r="D16" s="226">
        <f>+'Mgmt Summary'!C17</f>
        <v>1413</v>
      </c>
      <c r="E16" s="227">
        <f>-D16+C16</f>
        <v>-1413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5"/>
        <v>-1588.5</v>
      </c>
      <c r="L16" s="226">
        <f t="shared" si="5"/>
        <v>-175.5</v>
      </c>
      <c r="M16" s="227">
        <f>K16-L16</f>
        <v>-1413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0</v>
      </c>
      <c r="D17" s="259">
        <f>+'Mgmt Summary'!C18</f>
        <v>-858.5010000000002</v>
      </c>
      <c r="E17" s="260">
        <f>-D17+C17</f>
        <v>858.5010000000002</v>
      </c>
      <c r="F17" s="228"/>
      <c r="G17" s="258">
        <f>+Expenses!D18+'CapChrg-AllocExp'!K19+'CapChrg-AllocExp'!D19</f>
        <v>1565.9259999999999</v>
      </c>
      <c r="H17" s="259">
        <f>+Expenses!E18+'CapChrg-AllocExp'!L19+'CapChrg-AllocExp'!E19</f>
        <v>1565.9259999999999</v>
      </c>
      <c r="I17" s="260">
        <f>+H17-G17</f>
        <v>0</v>
      </c>
      <c r="J17" s="228"/>
      <c r="K17" s="258">
        <f t="shared" si="5"/>
        <v>-1565.9259999999999</v>
      </c>
      <c r="L17" s="259">
        <f t="shared" si="5"/>
        <v>-2424.4270000000001</v>
      </c>
      <c r="M17" s="260">
        <f>K17-L17</f>
        <v>858.5010000000002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2</v>
      </c>
      <c r="B18" s="224"/>
      <c r="C18" s="225">
        <f>+'Mgmt Summary'!J19</f>
        <v>0</v>
      </c>
      <c r="D18" s="226">
        <f>+'Mgmt Summary'!C19</f>
        <v>0</v>
      </c>
      <c r="E18" s="227">
        <f>-D18+C18</f>
        <v>0</v>
      </c>
      <c r="F18" s="228"/>
      <c r="G18" s="225">
        <f>+Expenses!D19+'CapChrg-AllocExp'!K20</f>
        <v>2015.539</v>
      </c>
      <c r="H18" s="226">
        <f>+Expenses!E19+'CapChrg-AllocExp'!L20</f>
        <v>1765.539</v>
      </c>
      <c r="I18" s="227">
        <f>+H18-G18</f>
        <v>-250</v>
      </c>
      <c r="J18" s="228"/>
      <c r="K18" s="225">
        <f>C18-G18</f>
        <v>-2015.539</v>
      </c>
      <c r="L18" s="226">
        <f>D18-H18</f>
        <v>-1765.539</v>
      </c>
      <c r="M18" s="227">
        <f>K18-L18</f>
        <v>-250</v>
      </c>
      <c r="N18" s="290"/>
      <c r="O18" s="225">
        <f>+C18-'[1]QTD Mgmt Summary'!C18</f>
        <v>0</v>
      </c>
      <c r="P18" s="226">
        <f>-G18+'[1]QTD Mgmt Summary'!G18</f>
        <v>0</v>
      </c>
      <c r="Q18" s="227">
        <f>+O18+P18</f>
        <v>0</v>
      </c>
    </row>
    <row r="19" spans="1:17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289"/>
      <c r="O19" s="215"/>
      <c r="P19" s="216"/>
      <c r="Q19" s="217"/>
    </row>
    <row r="20" spans="1:17" s="220" customFormat="1" ht="16.5">
      <c r="A20" s="229" t="s">
        <v>3</v>
      </c>
      <c r="B20" s="219"/>
      <c r="C20" s="234">
        <f>SUM(C8:C19)</f>
        <v>747.67923999999994</v>
      </c>
      <c r="D20" s="235">
        <f>SUM(D8:D19)</f>
        <v>96188.75</v>
      </c>
      <c r="E20" s="236">
        <f>SUM(E8:E19)</f>
        <v>-95441.070760000002</v>
      </c>
      <c r="F20" s="237"/>
      <c r="G20" s="234">
        <f>SUM(G8:G19)</f>
        <v>47415.447</v>
      </c>
      <c r="H20" s="235">
        <f>SUM(H8:H19)</f>
        <v>47165.447</v>
      </c>
      <c r="I20" s="236">
        <f>SUM(I8:I19)</f>
        <v>-250</v>
      </c>
      <c r="J20" s="237"/>
      <c r="K20" s="234">
        <f>SUM(K8:K19)</f>
        <v>-46667.767759999995</v>
      </c>
      <c r="L20" s="235">
        <f>SUM(L8:L19)</f>
        <v>49023.303</v>
      </c>
      <c r="M20" s="236">
        <f>SUM(M8:M19)</f>
        <v>-95691.070760000002</v>
      </c>
      <c r="N20" s="291"/>
      <c r="O20" s="234">
        <f>SUM(O8:O19)</f>
        <v>13878.628000000001</v>
      </c>
      <c r="P20" s="235">
        <f>SUM(P8:P19)</f>
        <v>0</v>
      </c>
      <c r="Q20" s="236">
        <f>SUM(Q8:Q19)</f>
        <v>13878.628000000001</v>
      </c>
    </row>
    <row r="21" spans="1:17" ht="4.5" customHeight="1">
      <c r="A21" s="211"/>
      <c r="B21" s="206"/>
      <c r="C21" s="215"/>
      <c r="D21" s="216"/>
      <c r="E21" s="217"/>
      <c r="F21" s="218"/>
      <c r="G21" s="221"/>
      <c r="H21" s="216"/>
      <c r="I21" s="217"/>
      <c r="J21" s="218"/>
      <c r="K21" s="215"/>
      <c r="L21" s="216"/>
      <c r="M21" s="217"/>
      <c r="N21" s="289"/>
      <c r="O21" s="215"/>
      <c r="P21" s="216"/>
      <c r="Q21" s="217"/>
    </row>
    <row r="22" spans="1:17" s="32" customFormat="1" ht="13.5" customHeight="1">
      <c r="A22" s="223" t="s">
        <v>99</v>
      </c>
      <c r="B22" s="224"/>
      <c r="C22" s="225">
        <v>0</v>
      </c>
      <c r="D22" s="226">
        <v>0</v>
      </c>
      <c r="E22" s="227">
        <f>-D22+C22</f>
        <v>0</v>
      </c>
      <c r="F22" s="228"/>
      <c r="G22" s="225">
        <f>+'Mgmt Summary'!L23+'Mgmt Summary'!M23+'Mgmt Summary'!N23</f>
        <v>27654</v>
      </c>
      <c r="H22" s="226">
        <f>+'Mgmt Summary'!D23</f>
        <v>27654</v>
      </c>
      <c r="I22" s="227">
        <f>+H22-G22</f>
        <v>0</v>
      </c>
      <c r="J22" s="228"/>
      <c r="K22" s="225">
        <f>C22-G22</f>
        <v>-27654</v>
      </c>
      <c r="L22" s="226">
        <f>D22-H22</f>
        <v>-27654</v>
      </c>
      <c r="M22" s="227">
        <f>K22-L22</f>
        <v>0</v>
      </c>
      <c r="N22" s="290"/>
      <c r="O22" s="225">
        <f>+C22-'[1]QTD Mgmt Summary'!C22</f>
        <v>0</v>
      </c>
      <c r="P22" s="226">
        <f>-G22+'[1]QTD Mgmt Summary'!G22</f>
        <v>0</v>
      </c>
      <c r="Q22" s="227">
        <f>+O22+P22</f>
        <v>0</v>
      </c>
    </row>
    <row r="23" spans="1:17" s="32" customFormat="1" ht="13.5" customHeight="1">
      <c r="A23" s="223" t="s">
        <v>95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-22348</v>
      </c>
      <c r="H23" s="226">
        <f>+'Mgmt Summary'!D24</f>
        <v>-22348</v>
      </c>
      <c r="I23" s="227">
        <f>+H23-G23</f>
        <v>0</v>
      </c>
      <c r="J23" s="228"/>
      <c r="K23" s="225">
        <f t="shared" ref="K23:L25" si="6">C23-G23</f>
        <v>22348</v>
      </c>
      <c r="L23" s="226">
        <f t="shared" si="6"/>
        <v>22348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10</v>
      </c>
      <c r="B24" s="224"/>
      <c r="C24" s="225">
        <f>+'Mgmt Summary'!J25</f>
        <v>-500</v>
      </c>
      <c r="D24" s="226">
        <f>+'Mgmt Summary'!C25</f>
        <v>-500</v>
      </c>
      <c r="E24" s="227">
        <f>-D24+C24</f>
        <v>0</v>
      </c>
      <c r="F24" s="228"/>
      <c r="G24" s="225">
        <f>+Expenses!D24</f>
        <v>0</v>
      </c>
      <c r="H24" s="226">
        <f>+Expenses!E24</f>
        <v>0</v>
      </c>
      <c r="I24" s="227">
        <f>+H24-G24</f>
        <v>0</v>
      </c>
      <c r="J24" s="228"/>
      <c r="K24" s="225">
        <f t="shared" si="6"/>
        <v>-500</v>
      </c>
      <c r="L24" s="226">
        <f t="shared" si="6"/>
        <v>-500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35</v>
      </c>
      <c r="B25" s="224"/>
      <c r="C25" s="225">
        <f>+'Mgmt Summary'!J26</f>
        <v>0</v>
      </c>
      <c r="D25" s="226">
        <f>+'Mgmt Summary'!C26</f>
        <v>0</v>
      </c>
      <c r="E25" s="227">
        <f>-D25+C25</f>
        <v>0</v>
      </c>
      <c r="F25" s="228"/>
      <c r="G25" s="225">
        <f>+'CapChrg-AllocExp'!D24</f>
        <v>-1383.4870000000001</v>
      </c>
      <c r="H25" s="226">
        <f>+'CapChrg-AllocExp'!E24</f>
        <v>-1383.4870000000001</v>
      </c>
      <c r="I25" s="227">
        <f>+H25-G25</f>
        <v>0</v>
      </c>
      <c r="J25" s="228"/>
      <c r="K25" s="225">
        <f t="shared" si="6"/>
        <v>1383.4870000000001</v>
      </c>
      <c r="L25" s="226">
        <f t="shared" si="6"/>
        <v>1383.4870000000001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289"/>
      <c r="O26" s="215"/>
      <c r="P26" s="216"/>
      <c r="Q26" s="217"/>
    </row>
    <row r="27" spans="1:17" s="220" customFormat="1" ht="16.5">
      <c r="A27" s="229" t="s">
        <v>74</v>
      </c>
      <c r="B27" s="219"/>
      <c r="C27" s="234">
        <f>SUM(C20:C25)</f>
        <v>247.67923999999994</v>
      </c>
      <c r="D27" s="235">
        <f>SUM(D20:D25)</f>
        <v>95688.75</v>
      </c>
      <c r="E27" s="236">
        <f>SUM(E20:E25)</f>
        <v>-95441.070760000002</v>
      </c>
      <c r="F27" s="237"/>
      <c r="G27" s="234">
        <f>SUM(G20:G25)</f>
        <v>51337.96</v>
      </c>
      <c r="H27" s="235">
        <f>SUM(H20:H25)</f>
        <v>51087.96</v>
      </c>
      <c r="I27" s="236">
        <f>SUM(I20:I25)</f>
        <v>-250</v>
      </c>
      <c r="J27" s="237"/>
      <c r="K27" s="234">
        <f>SUM(K20:K25)</f>
        <v>-51090.280759999987</v>
      </c>
      <c r="L27" s="235">
        <f>SUM(L20:L25)</f>
        <v>44600.79</v>
      </c>
      <c r="M27" s="236">
        <f>SUM(M20:M25)</f>
        <v>-95691.070760000002</v>
      </c>
      <c r="N27" s="291"/>
      <c r="O27" s="234">
        <f>SUM(O20:O25)</f>
        <v>13878.628000000001</v>
      </c>
      <c r="P27" s="235">
        <f>SUM(P20:P25)</f>
        <v>0</v>
      </c>
      <c r="Q27" s="236">
        <f>SUM(Q20:Q25)</f>
        <v>13878.628000000001</v>
      </c>
    </row>
    <row r="28" spans="1:17" ht="4.5" customHeight="1">
      <c r="A28" s="211"/>
      <c r="B28" s="206"/>
      <c r="C28" s="225"/>
      <c r="D28" s="226"/>
      <c r="E28" s="227"/>
      <c r="F28" s="228"/>
      <c r="G28" s="238"/>
      <c r="H28" s="226"/>
      <c r="I28" s="227"/>
      <c r="J28" s="228"/>
      <c r="K28" s="225"/>
      <c r="L28" s="226"/>
      <c r="M28" s="227"/>
      <c r="N28" s="289"/>
      <c r="O28" s="225"/>
      <c r="P28" s="226"/>
      <c r="Q28" s="227"/>
    </row>
    <row r="29" spans="1:17" s="32" customFormat="1" ht="13.5" customHeight="1">
      <c r="A29" s="223" t="s">
        <v>57</v>
      </c>
      <c r="B29" s="224"/>
      <c r="C29" s="225">
        <f>+'Mgmt Summary'!J30</f>
        <v>0</v>
      </c>
      <c r="D29" s="226">
        <f>+'Mgmt Summary'!C30</f>
        <v>0</v>
      </c>
      <c r="E29" s="227">
        <f>D29-C29</f>
        <v>0</v>
      </c>
      <c r="F29" s="228"/>
      <c r="G29" s="225">
        <f>+'Mgmt Summary'!M30</f>
        <v>308</v>
      </c>
      <c r="H29" s="226">
        <f>+'Mgmt Summary'!D30</f>
        <v>308</v>
      </c>
      <c r="I29" s="227">
        <f>+H29-G29</f>
        <v>0</v>
      </c>
      <c r="J29" s="228"/>
      <c r="K29" s="225">
        <f>C29-G29</f>
        <v>-308</v>
      </c>
      <c r="L29" s="226">
        <f>D29-H29</f>
        <v>-308</v>
      </c>
      <c r="M29" s="227">
        <f>K29-L29</f>
        <v>0</v>
      </c>
      <c r="N29" s="290"/>
      <c r="O29" s="225">
        <f>+C29-'[1]QTD Mgmt Summary'!C29</f>
        <v>0</v>
      </c>
      <c r="P29" s="226">
        <f>-G29+'[1]QTD Mgmt Summary'!G29</f>
        <v>0</v>
      </c>
      <c r="Q29" s="227">
        <f>+O29+P29</f>
        <v>0</v>
      </c>
    </row>
    <row r="30" spans="1:17" ht="4.5" customHeight="1" thickBot="1">
      <c r="A30" s="211"/>
      <c r="B30" s="206"/>
      <c r="C30" s="225"/>
      <c r="D30" s="226"/>
      <c r="E30" s="227"/>
      <c r="F30" s="228"/>
      <c r="G30" s="238"/>
      <c r="H30" s="226"/>
      <c r="I30" s="227"/>
      <c r="J30" s="228"/>
      <c r="K30" s="225"/>
      <c r="L30" s="226"/>
      <c r="M30" s="227"/>
      <c r="N30" s="289"/>
      <c r="O30" s="225"/>
      <c r="P30" s="226"/>
      <c r="Q30" s="227"/>
    </row>
    <row r="31" spans="1:17" s="220" customFormat="1" ht="17.25" thickBot="1">
      <c r="A31" s="230" t="s">
        <v>75</v>
      </c>
      <c r="B31" s="222"/>
      <c r="C31" s="239">
        <f>+C27-C29</f>
        <v>247.67923999999994</v>
      </c>
      <c r="D31" s="240">
        <f>+D27-D29</f>
        <v>95688.75</v>
      </c>
      <c r="E31" s="264">
        <f>+E27-E29</f>
        <v>-95441.070760000002</v>
      </c>
      <c r="F31" s="241"/>
      <c r="G31" s="239">
        <f>SUM(G27:G29)</f>
        <v>51645.96</v>
      </c>
      <c r="H31" s="240">
        <f>SUM(H27:H29)</f>
        <v>51395.96</v>
      </c>
      <c r="I31" s="264">
        <f>SUM(I27:I29)</f>
        <v>-250</v>
      </c>
      <c r="J31" s="241"/>
      <c r="K31" s="239">
        <f>SUM(K27:K29)</f>
        <v>-51398.280759999987</v>
      </c>
      <c r="L31" s="240">
        <f>SUM(L27:L29)</f>
        <v>44292.79</v>
      </c>
      <c r="M31" s="264">
        <f>SUM(M27:M29)</f>
        <v>-95691.070760000002</v>
      </c>
      <c r="N31" s="291"/>
      <c r="O31" s="239">
        <f>SUM(O27:O29)</f>
        <v>13878.628000000001</v>
      </c>
      <c r="P31" s="240">
        <f>SUM(P27:P29)</f>
        <v>0</v>
      </c>
      <c r="Q31" s="264">
        <f>SUM(Q27:Q29)</f>
        <v>13878.628000000001</v>
      </c>
    </row>
    <row r="32" spans="1:17" ht="3" customHeight="1">
      <c r="A32" s="66"/>
      <c r="C32" s="67"/>
      <c r="D32" s="22"/>
      <c r="E32" s="66"/>
      <c r="F32" s="23"/>
      <c r="I32" s="66"/>
    </row>
    <row r="33" spans="1:17">
      <c r="A33" s="250" t="s">
        <v>88</v>
      </c>
      <c r="C33" s="23"/>
      <c r="D33" s="22"/>
      <c r="E33" s="23"/>
      <c r="F33" s="23"/>
      <c r="I33" s="23"/>
    </row>
    <row r="34" spans="1:17">
      <c r="M34" s="187"/>
      <c r="Q34" s="187"/>
    </row>
    <row r="35" spans="1:17">
      <c r="L35" s="166"/>
    </row>
    <row r="36" spans="1:17" ht="13.5" hidden="1">
      <c r="C36" s="282" t="s">
        <v>113</v>
      </c>
      <c r="D36" s="283"/>
      <c r="E36" s="284"/>
      <c r="G36" s="282" t="s">
        <v>114</v>
      </c>
      <c r="H36" s="283"/>
      <c r="I36" s="283"/>
      <c r="J36" s="284"/>
    </row>
    <row r="37" spans="1:17" hidden="1">
      <c r="C37" s="269" t="s">
        <v>102</v>
      </c>
      <c r="D37" s="270"/>
      <c r="E37" s="271">
        <f>+'GM-WeeklyChnge'!C31</f>
        <v>13865</v>
      </c>
      <c r="G37" s="269" t="s">
        <v>103</v>
      </c>
      <c r="H37" s="270"/>
      <c r="I37" s="272">
        <f>+'Expense Weekly Change'!E22+'Expense Weekly Change'!E21</f>
        <v>0</v>
      </c>
      <c r="J37" s="287"/>
    </row>
    <row r="38" spans="1:17" hidden="1">
      <c r="C38" s="269" t="s">
        <v>104</v>
      </c>
      <c r="D38" s="270"/>
      <c r="E38" s="271">
        <f>+'GM-WeeklyChnge'!D31</f>
        <v>13.628</v>
      </c>
      <c r="G38" s="269" t="s">
        <v>105</v>
      </c>
      <c r="H38" s="270"/>
      <c r="I38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38" s="273"/>
    </row>
    <row r="39" spans="1:17" hidden="1">
      <c r="C39" s="269" t="s">
        <v>106</v>
      </c>
      <c r="D39" s="270"/>
      <c r="E39" s="271">
        <f>+'GM-WeeklyChnge'!E31+'GM-WeeklyChnge'!F31+'GM-WeeklyChnge'!G31</f>
        <v>0</v>
      </c>
      <c r="G39" s="269" t="s">
        <v>28</v>
      </c>
      <c r="H39" s="270"/>
      <c r="I39" s="272">
        <f>-G29+'[1]QTD Mgmt Summary'!$G$29</f>
        <v>0</v>
      </c>
      <c r="J39" s="273"/>
    </row>
    <row r="40" spans="1:17" hidden="1">
      <c r="C40" s="274"/>
      <c r="D40" s="275"/>
      <c r="E40" s="276"/>
      <c r="G40" s="274"/>
      <c r="H40" s="275"/>
      <c r="I40" s="277"/>
      <c r="J40" s="278"/>
    </row>
    <row r="41" spans="1:17" ht="13.5" hidden="1">
      <c r="C41" s="279" t="s">
        <v>107</v>
      </c>
      <c r="D41" s="280"/>
      <c r="E41" s="281">
        <f>SUM(E37:E40)</f>
        <v>13878.628000000001</v>
      </c>
      <c r="G41" s="279" t="s">
        <v>107</v>
      </c>
      <c r="H41" s="280"/>
      <c r="I41" s="285">
        <f>SUM(I37:I40)</f>
        <v>0</v>
      </c>
      <c r="J41" s="286"/>
    </row>
    <row r="42" spans="1:17" hidden="1"/>
    <row r="43" spans="1:17" ht="13.5" hidden="1">
      <c r="C43" s="282" t="s">
        <v>111</v>
      </c>
      <c r="D43" s="283"/>
      <c r="E43" s="284"/>
      <c r="G43" s="282" t="s">
        <v>112</v>
      </c>
      <c r="H43" s="283"/>
      <c r="I43" s="283"/>
      <c r="J43" s="284"/>
    </row>
    <row r="44" spans="1:17" hidden="1">
      <c r="C44" s="269" t="s">
        <v>108</v>
      </c>
      <c r="D44" s="270"/>
      <c r="E44" s="271">
        <f>+[1]GrossMargin!$I$32</f>
        <v>-13630.948759999999</v>
      </c>
      <c r="G44" s="269" t="s">
        <v>108</v>
      </c>
      <c r="H44" s="270"/>
      <c r="I44" s="272">
        <f>+'[1]QTD Mgmt Summary'!$G$31</f>
        <v>51645.96</v>
      </c>
      <c r="J44" s="287"/>
    </row>
    <row r="45" spans="1:17" hidden="1">
      <c r="C45" s="269" t="s">
        <v>109</v>
      </c>
      <c r="D45" s="270"/>
      <c r="E45" s="271">
        <f>+GrossMargin!I32</f>
        <v>247.67923999999994</v>
      </c>
      <c r="G45" s="269" t="s">
        <v>109</v>
      </c>
      <c r="H45" s="270"/>
      <c r="I45" s="272">
        <f>+G31</f>
        <v>51645.96</v>
      </c>
      <c r="J45" s="273"/>
    </row>
    <row r="46" spans="1:17" hidden="1">
      <c r="C46" s="269"/>
      <c r="D46" s="270"/>
      <c r="E46" s="271"/>
      <c r="G46" s="269"/>
      <c r="H46" s="270"/>
      <c r="I46" s="272"/>
      <c r="J46" s="273"/>
    </row>
    <row r="47" spans="1:17" ht="13.5" hidden="1">
      <c r="C47" s="279" t="s">
        <v>110</v>
      </c>
      <c r="D47" s="280"/>
      <c r="E47" s="281">
        <f>+E45-E44</f>
        <v>13878.627999999999</v>
      </c>
      <c r="G47" s="279" t="s">
        <v>110</v>
      </c>
      <c r="H47" s="280"/>
      <c r="I47" s="285">
        <f>+I45-I44</f>
        <v>0</v>
      </c>
      <c r="J47" s="286"/>
    </row>
    <row r="48" spans="1:17">
      <c r="I48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6" orientation="landscape" blackAndWhite="1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2"/>
  <sheetViews>
    <sheetView zoomScaleNormal="100" workbookViewId="0">
      <selection activeCell="L37" sqref="L37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119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5">
      <c r="A3" s="313" t="s">
        <v>128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-4389</v>
      </c>
      <c r="H9" s="36">
        <f>GrossMargin!J10</f>
        <v>0</v>
      </c>
      <c r="I9" s="36">
        <f>GrossMargin!K10</f>
        <v>0</v>
      </c>
      <c r="J9" s="136">
        <f t="shared" ref="J9:J15" si="1">SUM(G9:I9)</f>
        <v>-4389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-21517.77</v>
      </c>
      <c r="P9" s="37"/>
      <c r="Q9" s="133">
        <f t="shared" ref="Q9:Q15" si="3">+J9-C9</f>
        <v>-44389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-44389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4054.6792399999999</v>
      </c>
      <c r="H10" s="36">
        <f>GrossMargin!J11</f>
        <v>0</v>
      </c>
      <c r="I10" s="36">
        <f>GrossMargin!K11</f>
        <v>0</v>
      </c>
      <c r="J10" s="136">
        <f t="shared" si="1"/>
        <v>4054.6792399999999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-3766.8377599999999</v>
      </c>
      <c r="P10" s="37"/>
      <c r="Q10" s="133">
        <f t="shared" si="3"/>
        <v>-9695.3207600000005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-9695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-957</v>
      </c>
      <c r="H11" s="36">
        <f>GrossMargin!J12</f>
        <v>0</v>
      </c>
      <c r="I11" s="36">
        <f>GrossMargin!K12</f>
        <v>0</v>
      </c>
      <c r="J11" s="136">
        <f t="shared" si="1"/>
        <v>-957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-3013.681</v>
      </c>
      <c r="P11" s="37"/>
      <c r="Q11" s="133">
        <f t="shared" si="3"/>
        <v>-5957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-5957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-4</v>
      </c>
      <c r="H12" s="36">
        <f>GrossMargin!J13</f>
        <v>0</v>
      </c>
      <c r="I12" s="36">
        <f>GrossMargin!K13</f>
        <v>0</v>
      </c>
      <c r="J12" s="136">
        <f t="shared" si="1"/>
        <v>-4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-3735.5230000000001</v>
      </c>
      <c r="P12" s="37"/>
      <c r="Q12" s="133">
        <f t="shared" si="3"/>
        <v>-8513.2510000000002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-8513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2077</v>
      </c>
      <c r="H14" s="140">
        <f>GrossMargin!J15</f>
        <v>0</v>
      </c>
      <c r="I14" s="140">
        <f>+GrossMargin!K21</f>
        <v>0</v>
      </c>
      <c r="J14" s="179">
        <f t="shared" si="1"/>
        <v>2077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-3705.386</v>
      </c>
      <c r="P14" s="181"/>
      <c r="Q14" s="139">
        <f t="shared" si="3"/>
        <v>-17923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-17923</v>
      </c>
      <c r="W14" s="63"/>
      <c r="X14" s="169"/>
    </row>
    <row r="15" spans="1:24" s="64" customFormat="1" ht="13.5" customHeight="1">
      <c r="A15" s="167" t="s">
        <v>90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-34</v>
      </c>
      <c r="H16" s="140">
        <f>GrossMargin!J18</f>
        <v>0</v>
      </c>
      <c r="I16" s="140">
        <f>+GrossMargin!K23</f>
        <v>0</v>
      </c>
      <c r="J16" s="179">
        <f>SUM(G16:I16)</f>
        <v>-34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-2609.25</v>
      </c>
      <c r="P16" s="181"/>
      <c r="Q16" s="139">
        <f>+J16-C16</f>
        <v>-3034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-3034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0</v>
      </c>
      <c r="H17" s="140">
        <f>GrossMargin!J19</f>
        <v>0</v>
      </c>
      <c r="I17" s="140">
        <f>+GrossMargin!K24</f>
        <v>0</v>
      </c>
      <c r="J17" s="179">
        <f>SUM(G17:I17)</f>
        <v>0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-1588.5</v>
      </c>
      <c r="P17" s="181"/>
      <c r="Q17" s="139">
        <f>+J17-C17</f>
        <v>-1413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-1413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1565.9259999999999</v>
      </c>
      <c r="E18" s="164">
        <f>C18-D18</f>
        <v>-2424.4270000000001</v>
      </c>
      <c r="F18" s="140"/>
      <c r="G18" s="139">
        <f>+GrossMargin!I25</f>
        <v>0</v>
      </c>
      <c r="H18" s="140">
        <f>GrossMargin!J20</f>
        <v>0</v>
      </c>
      <c r="I18" s="140">
        <f>+GrossMargin!K25</f>
        <v>0</v>
      </c>
      <c r="J18" s="179">
        <f>SUM(G18:I18)</f>
        <v>0</v>
      </c>
      <c r="K18" s="180"/>
      <c r="L18" s="139">
        <f>+'CapChrg-AllocExp'!D19</f>
        <v>591</v>
      </c>
      <c r="M18" s="36">
        <f>Expenses!D18</f>
        <v>413.92599999999999</v>
      </c>
      <c r="N18" s="140">
        <f>+'CapChrg-AllocExp'!K19</f>
        <v>561</v>
      </c>
      <c r="O18" s="179">
        <f>J18-K18-M18-N18-L18</f>
        <v>-1565.9259999999999</v>
      </c>
      <c r="P18" s="181"/>
      <c r="Q18" s="139">
        <f>+J18-C18</f>
        <v>858.5010000000002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859</v>
      </c>
      <c r="W18" s="63"/>
      <c r="X18" s="169"/>
    </row>
    <row r="19" spans="1:24" ht="13.5" customHeight="1">
      <c r="A19" s="107" t="s">
        <v>2</v>
      </c>
      <c r="B19" s="35"/>
      <c r="C19" s="133">
        <f>GrossMargin!M26</f>
        <v>0</v>
      </c>
      <c r="D19" s="36">
        <f>Expenses!E19+'CapChrg-AllocExp'!E20+'CapChrg-AllocExp'!L20</f>
        <v>1765.539</v>
      </c>
      <c r="E19" s="135">
        <f>C19-D19</f>
        <v>-1765.539</v>
      </c>
      <c r="F19" s="36"/>
      <c r="G19" s="133">
        <f>GrossMargin!I26</f>
        <v>0</v>
      </c>
      <c r="H19" s="36">
        <f>GrossMargin!J26</f>
        <v>0</v>
      </c>
      <c r="I19" s="36">
        <f>GrossMargin!K26</f>
        <v>0</v>
      </c>
      <c r="J19" s="136">
        <f>SUM(G19:I19)</f>
        <v>0</v>
      </c>
      <c r="K19" s="137"/>
      <c r="L19" s="133">
        <f>'CapChrg-AllocExp'!D20</f>
        <v>0</v>
      </c>
      <c r="M19" s="36">
        <f>Expenses!D19</f>
        <v>1495.539</v>
      </c>
      <c r="N19" s="36">
        <f>'CapChrg-AllocExp'!K20</f>
        <v>520</v>
      </c>
      <c r="O19" s="136">
        <f>J19-K19-M19-N19-L19</f>
        <v>-2015.539</v>
      </c>
      <c r="P19" s="37"/>
      <c r="Q19" s="133">
        <f>+J19-C19</f>
        <v>0</v>
      </c>
      <c r="R19" s="36"/>
      <c r="S19" s="36">
        <f>'CapChrg-AllocExp'!F20</f>
        <v>0</v>
      </c>
      <c r="T19" s="36">
        <f>Expenses!F19</f>
        <v>-250</v>
      </c>
      <c r="U19" s="36">
        <f>'CapChrg-AllocExp'!M20</f>
        <v>0</v>
      </c>
      <c r="V19" s="135">
        <f>ROUND(SUM(Q19:U19),0)</f>
        <v>-250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34" customFormat="1" ht="12" customHeight="1">
      <c r="A21" s="38" t="s">
        <v>96</v>
      </c>
      <c r="B21" s="35"/>
      <c r="C21" s="43">
        <f>SUM(C9:C20)</f>
        <v>96188.75</v>
      </c>
      <c r="D21" s="44">
        <f>SUM(D9:D20)</f>
        <v>47165.447</v>
      </c>
      <c r="E21" s="45">
        <f>SUM(E9:E20)</f>
        <v>49023.303</v>
      </c>
      <c r="F21" s="36"/>
      <c r="G21" s="43">
        <f t="shared" ref="G21:O21" si="5">SUM(G9:G20)</f>
        <v>747.67923999999994</v>
      </c>
      <c r="H21" s="44">
        <f t="shared" si="5"/>
        <v>0</v>
      </c>
      <c r="I21" s="45">
        <f t="shared" si="5"/>
        <v>0</v>
      </c>
      <c r="J21" s="46">
        <f t="shared" si="5"/>
        <v>747.67923999999994</v>
      </c>
      <c r="K21" s="44">
        <f t="shared" si="5"/>
        <v>0</v>
      </c>
      <c r="L21" s="43">
        <f t="shared" si="5"/>
        <v>1383.4870000000001</v>
      </c>
      <c r="M21" s="44">
        <f t="shared" si="5"/>
        <v>23683.96</v>
      </c>
      <c r="N21" s="44">
        <f t="shared" si="5"/>
        <v>22348</v>
      </c>
      <c r="O21" s="46">
        <f t="shared" si="5"/>
        <v>-46667.767759999995</v>
      </c>
      <c r="P21" s="180"/>
      <c r="Q21" s="43">
        <f t="shared" ref="Q21:V21" si="6">SUM(Q9:Q20)</f>
        <v>-95441.070760000002</v>
      </c>
      <c r="R21" s="44">
        <f t="shared" si="6"/>
        <v>0</v>
      </c>
      <c r="S21" s="44">
        <f t="shared" si="6"/>
        <v>0</v>
      </c>
      <c r="T21" s="44">
        <f t="shared" si="6"/>
        <v>-250</v>
      </c>
      <c r="U21" s="44">
        <f t="shared" si="6"/>
        <v>0</v>
      </c>
      <c r="V21" s="45">
        <f t="shared" si="6"/>
        <v>-95690</v>
      </c>
      <c r="W21" s="32"/>
    </row>
    <row r="22" spans="1:24" ht="3" customHeight="1">
      <c r="A22" s="107"/>
      <c r="B22" s="35"/>
      <c r="C22" s="133"/>
      <c r="D22" s="36"/>
      <c r="E22" s="135"/>
      <c r="F22" s="36"/>
      <c r="G22" s="133"/>
      <c r="H22" s="36"/>
      <c r="I22" s="36"/>
      <c r="J22" s="136"/>
      <c r="K22" s="137"/>
      <c r="L22" s="134"/>
      <c r="M22" s="36"/>
      <c r="N22" s="36"/>
      <c r="O22" s="136"/>
      <c r="P22" s="37"/>
      <c r="Q22" s="133"/>
      <c r="R22" s="36"/>
      <c r="S22" s="36"/>
      <c r="T22" s="36"/>
      <c r="U22" s="36"/>
      <c r="V22" s="135"/>
      <c r="W22" s="32"/>
    </row>
    <row r="23" spans="1:24" ht="13.5" customHeight="1">
      <c r="A23" s="107" t="s">
        <v>99</v>
      </c>
      <c r="B23" s="35"/>
      <c r="C23" s="133">
        <v>0</v>
      </c>
      <c r="D23" s="36">
        <f>Expenses!E23</f>
        <v>27654</v>
      </c>
      <c r="E23" s="135">
        <f>C23-D23</f>
        <v>-27654</v>
      </c>
      <c r="F23" s="36"/>
      <c r="G23" s="133">
        <v>0</v>
      </c>
      <c r="H23" s="36">
        <v>0</v>
      </c>
      <c r="I23" s="36">
        <v>0</v>
      </c>
      <c r="J23" s="136">
        <f>SUM(G23:I23)</f>
        <v>0</v>
      </c>
      <c r="K23" s="137"/>
      <c r="L23" s="133">
        <f>'CapChrg-AllocExp'!D25</f>
        <v>0</v>
      </c>
      <c r="M23" s="36">
        <f>+Expenses!D23</f>
        <v>27654</v>
      </c>
      <c r="N23" s="36">
        <v>0</v>
      </c>
      <c r="O23" s="136">
        <f>J23-K23-M23-N23-L23</f>
        <v>-27654</v>
      </c>
      <c r="P23" s="37"/>
      <c r="Q23" s="133">
        <f>+J23-C23</f>
        <v>0</v>
      </c>
      <c r="R23" s="36"/>
      <c r="S23" s="36">
        <v>0</v>
      </c>
      <c r="T23" s="36">
        <f>Expenses!F23</f>
        <v>0</v>
      </c>
      <c r="U23" s="36">
        <v>0</v>
      </c>
      <c r="V23" s="135">
        <f>ROUND(SUM(Q23:U23),0)</f>
        <v>0</v>
      </c>
      <c r="W23" s="32"/>
    </row>
    <row r="24" spans="1:24" ht="13.5" customHeight="1">
      <c r="A24" s="107" t="s">
        <v>95</v>
      </c>
      <c r="B24" s="35"/>
      <c r="C24" s="133">
        <v>0</v>
      </c>
      <c r="D24" s="36">
        <f>+'CapChrg-AllocExp'!L25</f>
        <v>-22348</v>
      </c>
      <c r="E24" s="135">
        <f>C24-D24</f>
        <v>22348</v>
      </c>
      <c r="F24" s="36"/>
      <c r="G24" s="133">
        <v>0</v>
      </c>
      <c r="H24" s="36"/>
      <c r="I24" s="36">
        <v>0</v>
      </c>
      <c r="J24" s="136">
        <f>SUM(G24:I24)</f>
        <v>0</v>
      </c>
      <c r="K24" s="137"/>
      <c r="L24" s="133">
        <v>0</v>
      </c>
      <c r="M24" s="36">
        <v>0</v>
      </c>
      <c r="N24" s="36">
        <f>+'CapChrg-AllocExp'!K25</f>
        <v>-22348</v>
      </c>
      <c r="O24" s="136">
        <f>J24-K24-M24-N24-L24</f>
        <v>22348</v>
      </c>
      <c r="P24" s="37"/>
      <c r="Q24" s="133">
        <f>+J24-C24</f>
        <v>0</v>
      </c>
      <c r="R24" s="36"/>
      <c r="S24" s="36">
        <v>0</v>
      </c>
      <c r="T24" s="36">
        <f>-T23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10</v>
      </c>
      <c r="B25" s="35"/>
      <c r="C25" s="139">
        <f>GrossMargin!M30</f>
        <v>-500</v>
      </c>
      <c r="D25" s="36">
        <f>Expenses!E24</f>
        <v>0</v>
      </c>
      <c r="E25" s="135">
        <f>C25-D25</f>
        <v>-500</v>
      </c>
      <c r="F25" s="137"/>
      <c r="G25" s="133">
        <f>GrossMargin!I30</f>
        <v>-500</v>
      </c>
      <c r="H25" s="36">
        <f>GrossMargin!J30</f>
        <v>0</v>
      </c>
      <c r="I25" s="36">
        <f>GrossMargin!K30</f>
        <v>0</v>
      </c>
      <c r="J25" s="136">
        <f>SUM(G25:I25)</f>
        <v>-500</v>
      </c>
      <c r="K25" s="137"/>
      <c r="L25" s="133">
        <v>0</v>
      </c>
      <c r="M25" s="36">
        <f>Expenses!D24</f>
        <v>0</v>
      </c>
      <c r="N25" s="36">
        <v>0</v>
      </c>
      <c r="O25" s="136">
        <f>J25-K25-M25-N25-L25</f>
        <v>-500</v>
      </c>
      <c r="P25" s="37"/>
      <c r="Q25" s="133">
        <f>+J25-C25</f>
        <v>0</v>
      </c>
      <c r="R25" s="36"/>
      <c r="S25" s="36">
        <v>0</v>
      </c>
      <c r="T25" s="36">
        <f>Expenses!F24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35</v>
      </c>
      <c r="B26" s="35"/>
      <c r="C26" s="133">
        <v>0</v>
      </c>
      <c r="D26" s="140">
        <f>'CapChrg-AllocExp'!E24</f>
        <v>-1383.4870000000001</v>
      </c>
      <c r="E26" s="135">
        <f>C26-D26</f>
        <v>1383.4870000000001</v>
      </c>
      <c r="F26" s="36"/>
      <c r="G26" s="133">
        <v>0</v>
      </c>
      <c r="H26" s="36">
        <v>0</v>
      </c>
      <c r="I26" s="36">
        <v>0</v>
      </c>
      <c r="J26" s="136">
        <f>SUM(G26:I26)</f>
        <v>0</v>
      </c>
      <c r="K26" s="137"/>
      <c r="L26" s="139">
        <f>'CapChrg-AllocExp'!D24</f>
        <v>-1383.4870000000001</v>
      </c>
      <c r="M26" s="36">
        <v>0</v>
      </c>
      <c r="N26" s="36">
        <v>0</v>
      </c>
      <c r="O26" s="136">
        <f>J26-K26-M26-N26-L26</f>
        <v>1383.4870000000001</v>
      </c>
      <c r="P26" s="37"/>
      <c r="Q26" s="133">
        <f>+J26-C26</f>
        <v>0</v>
      </c>
      <c r="R26" s="36"/>
      <c r="S26" s="36">
        <f>'CapChrg-AllocExp'!F24</f>
        <v>0</v>
      </c>
      <c r="T26" s="36">
        <v>0</v>
      </c>
      <c r="U26" s="36">
        <v>0</v>
      </c>
      <c r="V26" s="135">
        <f>ROUND(SUM(Q26:U26),0)</f>
        <v>0</v>
      </c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>
        <f>ROUND(SUM(Q27:U27),0)</f>
        <v>0</v>
      </c>
      <c r="W27" s="32"/>
    </row>
    <row r="28" spans="1:24" s="34" customFormat="1" ht="12" customHeight="1">
      <c r="A28" s="38" t="s">
        <v>74</v>
      </c>
      <c r="B28" s="35"/>
      <c r="C28" s="43">
        <f>SUM(C21:C27)</f>
        <v>95688.75</v>
      </c>
      <c r="D28" s="44">
        <f>SUM(D21:D27)</f>
        <v>51087.96</v>
      </c>
      <c r="E28" s="45">
        <f>SUM(E21:E27)</f>
        <v>44600.79</v>
      </c>
      <c r="F28" s="36"/>
      <c r="G28" s="43">
        <f t="shared" ref="G28:O28" si="7">SUM(G21:G27)</f>
        <v>247.67923999999994</v>
      </c>
      <c r="H28" s="44">
        <f t="shared" si="7"/>
        <v>0</v>
      </c>
      <c r="I28" s="45">
        <f t="shared" si="7"/>
        <v>0</v>
      </c>
      <c r="J28" s="46">
        <f t="shared" si="7"/>
        <v>247.67923999999994</v>
      </c>
      <c r="K28" s="44">
        <f t="shared" si="7"/>
        <v>0</v>
      </c>
      <c r="L28" s="43">
        <f t="shared" si="7"/>
        <v>0</v>
      </c>
      <c r="M28" s="44">
        <f t="shared" si="7"/>
        <v>51337.96</v>
      </c>
      <c r="N28" s="44">
        <f t="shared" si="7"/>
        <v>0</v>
      </c>
      <c r="O28" s="46">
        <f t="shared" si="7"/>
        <v>-51090.280759999987</v>
      </c>
      <c r="P28" s="180"/>
      <c r="Q28" s="43">
        <f t="shared" ref="Q28:V28" si="8">SUM(Q21:Q27)</f>
        <v>-95441.070760000002</v>
      </c>
      <c r="R28" s="44">
        <f t="shared" si="8"/>
        <v>0</v>
      </c>
      <c r="S28" s="44">
        <f t="shared" si="8"/>
        <v>0</v>
      </c>
      <c r="T28" s="44">
        <f t="shared" si="8"/>
        <v>-250</v>
      </c>
      <c r="U28" s="44">
        <f t="shared" si="8"/>
        <v>0</v>
      </c>
      <c r="V28" s="45">
        <f t="shared" si="8"/>
        <v>-95690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 t="s">
        <v>62</v>
      </c>
      <c r="H29" s="36"/>
      <c r="I29" s="36"/>
      <c r="J29" s="136"/>
      <c r="K29" s="137"/>
      <c r="L29" s="134"/>
      <c r="M29" s="36" t="s">
        <v>63</v>
      </c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2" customHeight="1">
      <c r="A30" s="107" t="s">
        <v>57</v>
      </c>
      <c r="B30" s="35"/>
      <c r="C30" s="133">
        <v>0</v>
      </c>
      <c r="D30" s="140">
        <v>308</v>
      </c>
      <c r="E30" s="135">
        <f>C30-D30</f>
        <v>-308</v>
      </c>
      <c r="F30" s="36"/>
      <c r="G30" s="133">
        <f>GrossMargin!I42</f>
        <v>0</v>
      </c>
      <c r="H30" s="36">
        <f>GrossMargin!J42</f>
        <v>0</v>
      </c>
      <c r="I30" s="36">
        <f>GrossMargin!K42</f>
        <v>0</v>
      </c>
      <c r="J30" s="136">
        <f>SUM(G30:I30)</f>
        <v>0</v>
      </c>
      <c r="K30" s="137"/>
      <c r="L30" s="134">
        <v>0</v>
      </c>
      <c r="M30" s="140">
        <v>308</v>
      </c>
      <c r="N30" s="36">
        <v>0</v>
      </c>
      <c r="O30" s="136">
        <f>J30-K30-M30-N30-L30</f>
        <v>-308</v>
      </c>
      <c r="P30" s="37"/>
      <c r="Q30" s="133">
        <f>+J30-C30</f>
        <v>0</v>
      </c>
      <c r="R30" s="36"/>
      <c r="S30" s="36">
        <v>0</v>
      </c>
      <c r="T30" s="36">
        <f>D30-M30</f>
        <v>0</v>
      </c>
      <c r="U30" s="36">
        <v>0</v>
      </c>
      <c r="V30" s="135">
        <f>ROUND(SUM(Q30:U30),0)</f>
        <v>0</v>
      </c>
      <c r="W30" s="32"/>
    </row>
    <row r="31" spans="1:24" ht="3" customHeight="1">
      <c r="A31" s="107"/>
      <c r="B31" s="35"/>
      <c r="C31" s="133"/>
      <c r="D31" s="36"/>
      <c r="E31" s="135"/>
      <c r="F31" s="36"/>
      <c r="G31" s="133"/>
      <c r="H31" s="36"/>
      <c r="I31" s="36"/>
      <c r="J31" s="136"/>
      <c r="K31" s="137"/>
      <c r="L31" s="134"/>
      <c r="M31" s="36"/>
      <c r="N31" s="36"/>
      <c r="O31" s="136"/>
      <c r="P31" s="37"/>
      <c r="Q31" s="133"/>
      <c r="R31" s="36"/>
      <c r="S31" s="36"/>
      <c r="T31" s="36"/>
      <c r="U31" s="36"/>
      <c r="V31" s="135"/>
      <c r="W31" s="32"/>
    </row>
    <row r="32" spans="1:24" s="34" customFormat="1" ht="12" customHeight="1">
      <c r="A32" s="38" t="s">
        <v>75</v>
      </c>
      <c r="B32" s="35"/>
      <c r="C32" s="39">
        <f>SUM(C28:C30)</f>
        <v>95688.75</v>
      </c>
      <c r="D32" s="40">
        <f>SUM(D28:D30)</f>
        <v>51395.96</v>
      </c>
      <c r="E32" s="41">
        <f>SUM(E28:E30)</f>
        <v>44292.79</v>
      </c>
      <c r="F32" s="36"/>
      <c r="G32" s="39">
        <f t="shared" ref="G32:V32" si="9">SUM(G28:G30)</f>
        <v>247.67923999999994</v>
      </c>
      <c r="H32" s="40">
        <f t="shared" si="9"/>
        <v>0</v>
      </c>
      <c r="I32" s="40">
        <f t="shared" si="9"/>
        <v>0</v>
      </c>
      <c r="J32" s="42">
        <f t="shared" si="9"/>
        <v>247.67923999999994</v>
      </c>
      <c r="K32" s="40">
        <f t="shared" si="9"/>
        <v>0</v>
      </c>
      <c r="L32" s="39">
        <f t="shared" si="9"/>
        <v>0</v>
      </c>
      <c r="M32" s="40">
        <f t="shared" si="9"/>
        <v>51645.96</v>
      </c>
      <c r="N32" s="40">
        <f t="shared" si="9"/>
        <v>0</v>
      </c>
      <c r="O32" s="42">
        <f>J32-K32-M32-N32-L32</f>
        <v>-51398.280760000001</v>
      </c>
      <c r="P32" s="37"/>
      <c r="Q32" s="39">
        <f t="shared" si="9"/>
        <v>-95441.070760000002</v>
      </c>
      <c r="R32" s="40">
        <f t="shared" si="9"/>
        <v>0</v>
      </c>
      <c r="S32" s="40">
        <f t="shared" si="9"/>
        <v>0</v>
      </c>
      <c r="T32" s="40">
        <f t="shared" si="9"/>
        <v>-250</v>
      </c>
      <c r="U32" s="40">
        <f t="shared" si="9"/>
        <v>0</v>
      </c>
      <c r="V32" s="41">
        <f t="shared" si="9"/>
        <v>-95690</v>
      </c>
      <c r="W32" s="32"/>
    </row>
    <row r="33" spans="1:22" s="19" customFormat="1" ht="3" customHeight="1">
      <c r="A33" s="24"/>
      <c r="B33" s="18"/>
      <c r="C33" s="25"/>
      <c r="D33" s="26"/>
      <c r="E33" s="27"/>
      <c r="F33" s="22"/>
      <c r="G33" s="28"/>
      <c r="H33" s="29"/>
      <c r="I33" s="29"/>
      <c r="J33" s="24"/>
      <c r="K33" s="29"/>
      <c r="L33" s="28"/>
      <c r="M33" s="29"/>
      <c r="N33" s="29"/>
      <c r="O33" s="24"/>
      <c r="Q33" s="28"/>
      <c r="R33" s="29"/>
      <c r="S33" s="29"/>
      <c r="T33" s="29"/>
      <c r="U33" s="29"/>
      <c r="V33" s="30"/>
    </row>
    <row r="34" spans="1:22" ht="13.5" hidden="1">
      <c r="A34" s="66"/>
      <c r="C34" s="67"/>
      <c r="D34" s="23"/>
      <c r="E34" s="66" t="s">
        <v>53</v>
      </c>
      <c r="F34" s="23"/>
      <c r="G34" s="68">
        <f>+'GM-WeeklyChnge'!C37</f>
        <v>0</v>
      </c>
    </row>
    <row r="35" spans="1:22" ht="6" customHeight="1">
      <c r="C35" s="23"/>
      <c r="D35" s="23"/>
      <c r="E35" s="23"/>
      <c r="F35" s="23"/>
    </row>
    <row r="36" spans="1:22">
      <c r="A36" s="71" t="s">
        <v>80</v>
      </c>
      <c r="C36" s="23"/>
      <c r="D36" s="23"/>
      <c r="E36" s="23"/>
      <c r="F36" s="23"/>
      <c r="M36" s="166"/>
      <c r="T36" s="166"/>
    </row>
    <row r="37" spans="1:22">
      <c r="C37" s="23"/>
      <c r="D37" s="23"/>
      <c r="E37" s="23"/>
      <c r="F37" s="23"/>
      <c r="G37" s="166"/>
    </row>
    <row r="38" spans="1:22">
      <c r="C38" s="23"/>
      <c r="D38" s="23"/>
      <c r="E38" s="23"/>
      <c r="F38" s="23"/>
      <c r="V38" s="166"/>
    </row>
    <row r="39" spans="1:22">
      <c r="C39" s="23"/>
      <c r="D39" s="23"/>
      <c r="E39" s="23"/>
      <c r="F39" s="23"/>
    </row>
    <row r="40" spans="1:22">
      <c r="C40" s="23"/>
      <c r="D40" s="23"/>
      <c r="E40" s="23"/>
      <c r="F40" s="23"/>
    </row>
    <row r="41" spans="1:22">
      <c r="C41" s="23"/>
      <c r="D41" s="23"/>
      <c r="E41" s="23"/>
      <c r="F41" s="23"/>
    </row>
    <row r="42" spans="1:22">
      <c r="C42" s="23"/>
      <c r="D42" s="23"/>
      <c r="E42" s="23"/>
      <c r="F42" s="23"/>
    </row>
    <row r="43" spans="1:22">
      <c r="C43" s="23"/>
      <c r="D43" s="23"/>
      <c r="E43" s="23"/>
      <c r="F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>
      <c r="C46" s="23"/>
      <c r="D46" s="23"/>
      <c r="E46" s="23"/>
    </row>
    <row r="47" spans="1:22">
      <c r="C47" s="23"/>
      <c r="D47" s="23"/>
      <c r="E47" s="23"/>
    </row>
    <row r="48" spans="1:22">
      <c r="C48" s="23"/>
      <c r="D48" s="23"/>
      <c r="E48" s="23"/>
    </row>
    <row r="49" spans="1:6">
      <c r="C49" s="23"/>
      <c r="D49" s="23"/>
      <c r="E49" s="23"/>
    </row>
    <row r="50" spans="1:6" hidden="1">
      <c r="C50" s="23"/>
      <c r="D50" s="23"/>
      <c r="E50" s="23"/>
      <c r="F50" s="23"/>
    </row>
    <row r="51" spans="1:6" hidden="1">
      <c r="A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C57" s="23"/>
      <c r="D57" s="23"/>
      <c r="E57" s="23"/>
      <c r="F57" s="23"/>
    </row>
    <row r="58" spans="1:6" hidden="1">
      <c r="C58" s="23"/>
      <c r="D58" s="23"/>
      <c r="E58" s="23"/>
      <c r="F58" s="23"/>
    </row>
    <row r="59" spans="1:6" hidden="1"/>
    <row r="60" spans="1:6" hidden="1"/>
    <row r="61" spans="1:6" hidden="1"/>
    <row r="62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7"/>
  <sheetViews>
    <sheetView zoomScaleNormal="100" workbookViewId="0">
      <selection activeCell="C35" sqref="C35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January 11,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9">
        <f>+GrossMargin!D10-[1]GrossMargin!D10</f>
        <v>11607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11607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11607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3339</v>
      </c>
      <c r="D10" s="36">
        <f>+GrossMargin!E11-[1]GrossMargin!E11</f>
        <v>13.628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3352.6280000000002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3352.6280000000002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-658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-658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-658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-1217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-1217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-1217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-508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-508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-508</v>
      </c>
    </row>
    <row r="15" spans="1:11" ht="13.5" hidden="1" customHeight="1">
      <c r="A15" s="242" t="s">
        <v>116</v>
      </c>
      <c r="B15" s="249"/>
      <c r="C15" s="244">
        <f>+GrossMargin!D16-[1]GrossMargin!D16</f>
        <v>502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502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502</v>
      </c>
    </row>
    <row r="16" spans="1:11" ht="13.5" hidden="1" customHeight="1">
      <c r="A16" s="242" t="s">
        <v>84</v>
      </c>
      <c r="B16" s="249"/>
      <c r="C16" s="295">
        <f>+GrossMargin!D17-[1]GrossMargin!D17</f>
        <v>834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834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834</v>
      </c>
    </row>
    <row r="17" spans="1:11" ht="13.5" hidden="1" customHeight="1">
      <c r="A17" s="242" t="s">
        <v>82</v>
      </c>
      <c r="B17" s="249"/>
      <c r="C17" s="295">
        <f>+GrossMargin!D18-[1]GrossMargin!D18</f>
        <v>0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0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0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828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828</v>
      </c>
      <c r="I20" s="299">
        <f t="shared" si="2"/>
        <v>0</v>
      </c>
      <c r="J20" s="36">
        <f t="shared" si="2"/>
        <v>0</v>
      </c>
      <c r="K20" s="135">
        <f t="shared" si="2"/>
        <v>828</v>
      </c>
    </row>
    <row r="21" spans="1:11" s="190" customFormat="1" ht="13.5" customHeight="1">
      <c r="A21" s="107" t="s">
        <v>90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-34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>SUM(C22:G22)</f>
        <v>-34</v>
      </c>
      <c r="I22" s="133">
        <f>GrossMargin!J23-[1]GrossMargin!J23</f>
        <v>0</v>
      </c>
      <c r="J22" s="36">
        <f>+GrossMargin!K23-[1]GrossMargin!K23</f>
        <v>0</v>
      </c>
      <c r="K22" s="135">
        <f>SUM(H22:J22)</f>
        <v>-34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>SUM(C23:G23)</f>
        <v>0</v>
      </c>
      <c r="I23" s="133">
        <f>GrossMargin!J24-[1]GrossMargin!J24</f>
        <v>0</v>
      </c>
      <c r="J23" s="246">
        <f>+GrossMargin!K24-[1]GrossMargin!K24</f>
        <v>0</v>
      </c>
      <c r="K23" s="135">
        <f>SUM(H23:J23)</f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>SUM(C24:G24)</f>
        <v>0</v>
      </c>
      <c r="I24" s="133">
        <f>GrossMargin!J25-[1]GrossMargin!J25</f>
        <v>0</v>
      </c>
      <c r="J24" s="246">
        <f>+GrossMargin!K25-[1]GrossMargin!K25</f>
        <v>0</v>
      </c>
      <c r="K24" s="135">
        <f>SUM(H24:J24)</f>
        <v>0</v>
      </c>
    </row>
    <row r="25" spans="1:11" ht="13.5" customHeight="1">
      <c r="A25" s="107" t="s">
        <v>2</v>
      </c>
      <c r="B25" s="168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>SUM(C25:G25)</f>
        <v>0</v>
      </c>
      <c r="I25" s="133">
        <f>GrossMargin!J26-[1]GrossMargin!J26</f>
        <v>0</v>
      </c>
      <c r="J25" s="246">
        <f>+GrossMargin!K26-[1]GrossMargin!K26</f>
        <v>0</v>
      </c>
      <c r="K25" s="135">
        <f>SUM(H25:J25)</f>
        <v>0</v>
      </c>
    </row>
    <row r="26" spans="1:11" ht="3" customHeight="1">
      <c r="A26" s="107"/>
      <c r="B26" s="34"/>
      <c r="C26" s="133"/>
      <c r="D26" s="36"/>
      <c r="E26" s="36"/>
      <c r="F26" s="36"/>
      <c r="G26" s="138"/>
      <c r="H26" s="134"/>
      <c r="I26" s="133"/>
      <c r="J26" s="36"/>
      <c r="K26" s="138"/>
    </row>
    <row r="27" spans="1:11" ht="13.5" customHeight="1">
      <c r="A27" s="38" t="s">
        <v>98</v>
      </c>
      <c r="B27" s="34"/>
      <c r="C27" s="43">
        <f t="shared" ref="C27:K27" si="3">SUM(C9:C13)+SUM(C20:C25)</f>
        <v>13865</v>
      </c>
      <c r="D27" s="44">
        <f t="shared" si="3"/>
        <v>13.628</v>
      </c>
      <c r="E27" s="44">
        <f t="shared" si="3"/>
        <v>0</v>
      </c>
      <c r="F27" s="44">
        <f t="shared" si="3"/>
        <v>0</v>
      </c>
      <c r="G27" s="45">
        <f t="shared" si="3"/>
        <v>0</v>
      </c>
      <c r="H27" s="46">
        <f t="shared" si="3"/>
        <v>13878.628000000001</v>
      </c>
      <c r="I27" s="44">
        <f t="shared" si="3"/>
        <v>0</v>
      </c>
      <c r="J27" s="44">
        <f t="shared" si="3"/>
        <v>0</v>
      </c>
      <c r="K27" s="45">
        <f t="shared" si="3"/>
        <v>13878.628000000001</v>
      </c>
    </row>
    <row r="28" spans="1:11" ht="3" customHeight="1">
      <c r="A28" s="107"/>
      <c r="B28" s="34"/>
      <c r="C28" s="133"/>
      <c r="D28" s="36"/>
      <c r="E28" s="36"/>
      <c r="F28" s="36"/>
      <c r="G28" s="138"/>
      <c r="H28" s="134"/>
      <c r="I28" s="133"/>
      <c r="J28" s="36"/>
      <c r="K28" s="138"/>
    </row>
    <row r="29" spans="1:11" ht="13.5" customHeight="1">
      <c r="A29" s="107" t="s">
        <v>10</v>
      </c>
      <c r="B29" s="34"/>
      <c r="C29" s="133">
        <f>+GrossMargin!D30-[1]GrossMargin!D30</f>
        <v>0</v>
      </c>
      <c r="D29" s="36">
        <f>+GrossMargin!E30-[1]GrossMargin!E30</f>
        <v>0</v>
      </c>
      <c r="E29" s="36">
        <f>+GrossMargin!F30-[1]GrossMargin!F30</f>
        <v>0</v>
      </c>
      <c r="F29" s="36">
        <f>+GrossMargin!G30-[1]GrossMargin!G30</f>
        <v>0</v>
      </c>
      <c r="G29" s="138">
        <f>+GrossMargin!H30-[1]GrossMargin!H30</f>
        <v>0</v>
      </c>
      <c r="H29" s="134">
        <f>SUM(C29:G29)</f>
        <v>0</v>
      </c>
      <c r="I29" s="133">
        <f>GrossMargin!J30-[1]GrossMargin!J30</f>
        <v>0</v>
      </c>
      <c r="J29" s="36">
        <f>+GrossMargin!K30-[1]GrossMargin!K34</f>
        <v>0</v>
      </c>
      <c r="K29" s="135">
        <f>SUM(H29:J29)</f>
        <v>0</v>
      </c>
    </row>
    <row r="30" spans="1:11" ht="3" customHeight="1">
      <c r="A30" s="107"/>
      <c r="B30" s="34"/>
      <c r="C30" s="133"/>
      <c r="D30" s="36"/>
      <c r="E30" s="36"/>
      <c r="F30" s="36"/>
      <c r="G30" s="138"/>
      <c r="H30" s="134"/>
      <c r="I30" s="133"/>
      <c r="J30" s="36"/>
      <c r="K30" s="138"/>
    </row>
    <row r="31" spans="1:11" ht="13.5" customHeight="1">
      <c r="A31" s="38" t="s">
        <v>97</v>
      </c>
      <c r="B31" s="34"/>
      <c r="C31" s="39">
        <f>SUM(C27:C29)</f>
        <v>13865</v>
      </c>
      <c r="D31" s="40">
        <f>SUM(D27:D29)</f>
        <v>13.628</v>
      </c>
      <c r="E31" s="40">
        <f>SUM(E27:E30)</f>
        <v>0</v>
      </c>
      <c r="F31" s="40">
        <f>SUM(F27:F29)</f>
        <v>0</v>
      </c>
      <c r="G31" s="41">
        <f>SUM(G27:G29)</f>
        <v>0</v>
      </c>
      <c r="H31" s="39">
        <f>SUM(C31:G31)</f>
        <v>13878.628000000001</v>
      </c>
      <c r="I31" s="39">
        <f>SUM(I27:I29)</f>
        <v>0</v>
      </c>
      <c r="J31" s="40">
        <f>SUM(J27:J29)</f>
        <v>0</v>
      </c>
      <c r="K31" s="41">
        <f>SUM(H31:J31)</f>
        <v>13878.628000000001</v>
      </c>
    </row>
    <row r="32" spans="1:11" ht="3" customHeight="1">
      <c r="A32" s="103"/>
      <c r="B32" s="32"/>
      <c r="C32" s="104"/>
      <c r="D32" s="105"/>
      <c r="E32" s="105"/>
      <c r="F32" s="105"/>
      <c r="G32" s="182"/>
      <c r="H32" s="104"/>
      <c r="I32" s="104"/>
      <c r="J32" s="105"/>
      <c r="K32" s="182"/>
    </row>
    <row r="33" spans="1:11" ht="13.5">
      <c r="A33" s="163" t="s">
        <v>60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E34" s="187"/>
    </row>
    <row r="36" spans="1:11">
      <c r="G36" s="166"/>
    </row>
    <row r="37" spans="1:11" ht="15.75">
      <c r="D37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59"/>
  <sheetViews>
    <sheetView topLeftCell="B1" zoomScaleNormal="100" workbookViewId="0">
      <selection activeCell="E42" sqref="E42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120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January 11,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-4389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-4389</v>
      </c>
      <c r="J10" s="137"/>
      <c r="K10" s="36">
        <v>0</v>
      </c>
      <c r="L10" s="36">
        <f>+I10+K10</f>
        <v>-4389</v>
      </c>
      <c r="M10" s="253">
        <v>40000</v>
      </c>
      <c r="N10" s="135">
        <f t="shared" ref="N10:N22" si="1">L10-M10</f>
        <v>-44389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3083-D12</f>
        <v>4040</v>
      </c>
      <c r="E11" s="140">
        <f>1.05124+13.628</f>
        <v>14.67924</v>
      </c>
      <c r="F11" s="140">
        <v>0</v>
      </c>
      <c r="G11" s="140">
        <v>0</v>
      </c>
      <c r="H11" s="138">
        <v>0</v>
      </c>
      <c r="I11" s="136">
        <f t="shared" si="0"/>
        <v>4054.6792399999999</v>
      </c>
      <c r="J11" s="137"/>
      <c r="K11" s="36">
        <v>0</v>
      </c>
      <c r="L11" s="36">
        <f t="shared" ref="L11:L22" si="2">+I11+K11</f>
        <v>4054.6792399999999</v>
      </c>
      <c r="M11" s="253">
        <v>13750</v>
      </c>
      <c r="N11" s="135">
        <f t="shared" si="1"/>
        <v>-9695.3207600000005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-957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-957</v>
      </c>
      <c r="J12" s="137"/>
      <c r="K12" s="36">
        <v>0</v>
      </c>
      <c r="L12" s="36">
        <f t="shared" si="2"/>
        <v>-957</v>
      </c>
      <c r="M12" s="253">
        <f>1875+3125</f>
        <v>5000</v>
      </c>
      <c r="N12" s="135">
        <f t="shared" si="1"/>
        <v>-5957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-4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-4</v>
      </c>
      <c r="J13" s="137"/>
      <c r="K13" s="36">
        <v>0</v>
      </c>
      <c r="L13" s="36">
        <f t="shared" si="2"/>
        <v>-4</v>
      </c>
      <c r="M13" s="253">
        <v>8509.2510000000002</v>
      </c>
      <c r="N13" s="135">
        <f t="shared" si="1"/>
        <v>-8513.2510000000002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269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269</v>
      </c>
      <c r="J15" s="246"/>
      <c r="K15" s="246">
        <v>0</v>
      </c>
      <c r="L15" s="36">
        <f t="shared" si="2"/>
        <v>269</v>
      </c>
      <c r="M15" s="255">
        <v>0</v>
      </c>
      <c r="N15" s="247">
        <f>L15-M15</f>
        <v>269</v>
      </c>
    </row>
    <row r="16" spans="1:16" ht="13.5" hidden="1" customHeight="1">
      <c r="A16" s="12" t="s">
        <v>51</v>
      </c>
      <c r="B16" s="242" t="s">
        <v>116</v>
      </c>
      <c r="C16" s="243"/>
      <c r="D16" s="244">
        <v>809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809</v>
      </c>
      <c r="J16" s="246"/>
      <c r="K16" s="246">
        <v>0</v>
      </c>
      <c r="L16" s="36">
        <f>+I16+K16</f>
        <v>809</v>
      </c>
      <c r="M16" s="255">
        <v>0</v>
      </c>
      <c r="N16" s="247">
        <f>L16-M16</f>
        <v>809</v>
      </c>
    </row>
    <row r="17" spans="1:16" ht="13.5" hidden="1" customHeight="1">
      <c r="B17" s="242" t="s">
        <v>84</v>
      </c>
      <c r="C17" s="243"/>
      <c r="D17" s="244">
        <v>999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999</v>
      </c>
      <c r="J17" s="246"/>
      <c r="K17" s="246">
        <v>0</v>
      </c>
      <c r="L17" s="36">
        <f t="shared" si="2"/>
        <v>999</v>
      </c>
      <c r="M17" s="255">
        <v>0</v>
      </c>
      <c r="N17" s="247">
        <f>L17-M17</f>
        <v>999</v>
      </c>
      <c r="P17" s="166"/>
    </row>
    <row r="18" spans="1:16" ht="13.5" hidden="1" customHeight="1">
      <c r="B18" s="242" t="s">
        <v>82</v>
      </c>
      <c r="C18" s="243"/>
      <c r="D18" s="244">
        <v>0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0</v>
      </c>
      <c r="J18" s="246"/>
      <c r="K18" s="246">
        <v>0</v>
      </c>
      <c r="L18" s="36">
        <f t="shared" si="2"/>
        <v>0</v>
      </c>
      <c r="M18" s="255">
        <v>0</v>
      </c>
      <c r="N18" s="247">
        <f t="shared" si="1"/>
        <v>0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2077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2077</v>
      </c>
      <c r="J21" s="137"/>
      <c r="K21" s="36">
        <f>SUM(K15:K20)</f>
        <v>0</v>
      </c>
      <c r="L21" s="36">
        <f t="shared" si="2"/>
        <v>2077</v>
      </c>
      <c r="M21" s="253">
        <v>20000</v>
      </c>
      <c r="N21" s="135">
        <f>L21-M21</f>
        <v>-17923</v>
      </c>
    </row>
    <row r="22" spans="1:16" s="190" customFormat="1" ht="13.5" customHeight="1">
      <c r="A22" s="12"/>
      <c r="B22" s="107" t="s">
        <v>90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-34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-34</v>
      </c>
      <c r="J23" s="137"/>
      <c r="K23" s="36">
        <v>0</v>
      </c>
      <c r="L23" s="36">
        <f>+I23+K23</f>
        <v>-34</v>
      </c>
      <c r="M23" s="253">
        <v>3000</v>
      </c>
      <c r="N23" s="135">
        <f>L23-M23</f>
        <v>-3034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>SUM(D24:H24)</f>
        <v>0</v>
      </c>
      <c r="J24" s="137"/>
      <c r="K24" s="36">
        <v>0</v>
      </c>
      <c r="L24" s="36">
        <f>+I24+K24</f>
        <v>0</v>
      </c>
      <c r="M24" s="138">
        <v>1413</v>
      </c>
      <c r="N24" s="135">
        <f>L24-M24</f>
        <v>-1413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140">
        <v>0</v>
      </c>
      <c r="H25" s="138">
        <v>0</v>
      </c>
      <c r="I25" s="136">
        <f>SUM(D25:H25)</f>
        <v>0</v>
      </c>
      <c r="J25" s="137"/>
      <c r="K25" s="36">
        <v>0</v>
      </c>
      <c r="L25" s="36">
        <f>+I25+K25</f>
        <v>0</v>
      </c>
      <c r="M25" s="253">
        <f>2126.499-3240+255</f>
        <v>-858.5010000000002</v>
      </c>
      <c r="N25" s="135">
        <f>L25-M25</f>
        <v>858.5010000000002</v>
      </c>
    </row>
    <row r="26" spans="1:16" s="190" customFormat="1" ht="12" customHeight="1">
      <c r="A26" s="188"/>
      <c r="B26" s="107" t="s">
        <v>2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>SUM(D26:H26)</f>
        <v>0</v>
      </c>
      <c r="J26" s="137"/>
      <c r="K26" s="133">
        <v>0</v>
      </c>
      <c r="L26" s="36">
        <f>+I26+K26</f>
        <v>0</v>
      </c>
      <c r="M26" s="138">
        <v>0</v>
      </c>
      <c r="N26" s="135">
        <f>L26-M26</f>
        <v>0</v>
      </c>
    </row>
    <row r="27" spans="1:16" ht="3" customHeight="1">
      <c r="B27" s="107"/>
      <c r="C27" s="34"/>
      <c r="D27" s="133"/>
      <c r="E27" s="36"/>
      <c r="F27" s="36"/>
      <c r="G27" s="36"/>
      <c r="H27" s="138"/>
      <c r="I27" s="136"/>
      <c r="J27" s="36"/>
      <c r="K27" s="133"/>
      <c r="L27" s="36"/>
      <c r="M27" s="138"/>
      <c r="N27" s="135"/>
    </row>
    <row r="28" spans="1:16" ht="12" customHeight="1">
      <c r="B28" s="263" t="s">
        <v>76</v>
      </c>
      <c r="C28" s="34"/>
      <c r="D28" s="43">
        <f t="shared" ref="D28:N28" si="4">SUM(D10:D14)+SUM(D21:D26)</f>
        <v>733</v>
      </c>
      <c r="E28" s="44">
        <f t="shared" si="4"/>
        <v>14.67924</v>
      </c>
      <c r="F28" s="44">
        <f t="shared" si="4"/>
        <v>0</v>
      </c>
      <c r="G28" s="44">
        <f t="shared" si="4"/>
        <v>0</v>
      </c>
      <c r="H28" s="45">
        <f t="shared" si="4"/>
        <v>0</v>
      </c>
      <c r="I28" s="46">
        <f t="shared" si="4"/>
        <v>747.67923999999994</v>
      </c>
      <c r="J28" s="44">
        <f t="shared" si="4"/>
        <v>0</v>
      </c>
      <c r="K28" s="44">
        <f t="shared" si="4"/>
        <v>0</v>
      </c>
      <c r="L28" s="44">
        <f t="shared" si="4"/>
        <v>747.67923999999994</v>
      </c>
      <c r="M28" s="45">
        <f t="shared" si="4"/>
        <v>96188.75</v>
      </c>
      <c r="N28" s="43">
        <f t="shared" si="4"/>
        <v>-95441.070760000002</v>
      </c>
    </row>
    <row r="29" spans="1:16" ht="3" customHeight="1">
      <c r="B29" s="107"/>
      <c r="C29" s="34"/>
      <c r="D29" s="133"/>
      <c r="E29" s="36"/>
      <c r="F29" s="36"/>
      <c r="G29" s="36"/>
      <c r="H29" s="138"/>
      <c r="I29" s="136"/>
      <c r="J29" s="36"/>
      <c r="K29" s="133"/>
      <c r="L29" s="36"/>
      <c r="M29" s="138"/>
      <c r="N29" s="135"/>
    </row>
    <row r="30" spans="1:16" ht="13.5" customHeight="1">
      <c r="B30" s="107" t="s">
        <v>10</v>
      </c>
      <c r="C30" s="34"/>
      <c r="D30" s="133">
        <v>0</v>
      </c>
      <c r="E30" s="140">
        <v>0</v>
      </c>
      <c r="F30" s="140">
        <v>0</v>
      </c>
      <c r="G30" s="140">
        <v>-500</v>
      </c>
      <c r="H30" s="138">
        <v>0</v>
      </c>
      <c r="I30" s="136">
        <f>SUM(D30:H30)</f>
        <v>-500</v>
      </c>
      <c r="J30" s="36"/>
      <c r="K30" s="133">
        <v>0</v>
      </c>
      <c r="L30" s="36">
        <f>SUM(I30:K30)</f>
        <v>-500</v>
      </c>
      <c r="M30" s="138">
        <f>-2000/4</f>
        <v>-500</v>
      </c>
      <c r="N30" s="135">
        <f>L30-M30</f>
        <v>0</v>
      </c>
    </row>
    <row r="31" spans="1:16" ht="3" customHeight="1">
      <c r="B31" s="107"/>
      <c r="C31" s="34"/>
      <c r="D31" s="133"/>
      <c r="E31" s="36"/>
      <c r="F31" s="36"/>
      <c r="G31" s="36"/>
      <c r="H31" s="138"/>
      <c r="I31" s="136"/>
      <c r="J31" s="36"/>
      <c r="K31" s="133"/>
      <c r="L31" s="36"/>
      <c r="M31" s="138"/>
      <c r="N31" s="135"/>
    </row>
    <row r="32" spans="1:16" ht="12" customHeight="1">
      <c r="B32" s="38" t="s">
        <v>77</v>
      </c>
      <c r="C32" s="34"/>
      <c r="D32" s="39">
        <f>+D28+D30</f>
        <v>733</v>
      </c>
      <c r="E32" s="40">
        <f>+E28+E30</f>
        <v>14.67924</v>
      </c>
      <c r="F32" s="40">
        <f>+F28+F30</f>
        <v>0</v>
      </c>
      <c r="G32" s="40">
        <f>+G28+G30</f>
        <v>-500</v>
      </c>
      <c r="H32" s="41">
        <f>+H28+H30</f>
        <v>0</v>
      </c>
      <c r="I32" s="42">
        <f>SUM(I28:I30)</f>
        <v>247.67923999999994</v>
      </c>
      <c r="J32" s="40">
        <f>SUM(J28:J30)</f>
        <v>0</v>
      </c>
      <c r="K32" s="39">
        <f>+K28+K30</f>
        <v>0</v>
      </c>
      <c r="L32" s="40">
        <f>+L28+L30</f>
        <v>247.67923999999994</v>
      </c>
      <c r="M32" s="41">
        <f>+M28+M30</f>
        <v>95688.75</v>
      </c>
      <c r="N32" s="41">
        <f>SUM(N28:N30)</f>
        <v>-95441.070760000002</v>
      </c>
    </row>
    <row r="33" spans="2:14" ht="3" customHeight="1">
      <c r="B33" s="24"/>
      <c r="D33" s="25"/>
      <c r="E33" s="26"/>
      <c r="F33" s="26"/>
      <c r="G33" s="26"/>
      <c r="H33" s="27"/>
      <c r="I33" s="170"/>
      <c r="J33" s="26"/>
      <c r="K33" s="25"/>
      <c r="L33" s="26"/>
      <c r="M33" s="27"/>
      <c r="N33" s="27"/>
    </row>
    <row r="34" spans="2:14">
      <c r="B34" s="163" t="s">
        <v>60</v>
      </c>
      <c r="C34" s="59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B35" s="70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 t="s">
        <v>63</v>
      </c>
      <c r="M39" s="23"/>
      <c r="N39" s="23"/>
    </row>
    <row r="40" spans="2:14">
      <c r="D40" s="23"/>
    </row>
    <row r="41" spans="2:14">
      <c r="D41" s="23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9"/>
  <sheetViews>
    <sheetView topLeftCell="B2" zoomScaleNormal="100" workbookViewId="0">
      <selection activeCell="H40" sqref="H40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5">
      <c r="A3" s="11">
        <v>36861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January 11,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90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413.92599999999999</v>
      </c>
      <c r="E18" s="173">
        <v>413.92599999999999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29" t="s">
        <v>2</v>
      </c>
      <c r="C19" s="50"/>
      <c r="D19" s="159">
        <f>+E19+250</f>
        <v>1495.539</v>
      </c>
      <c r="E19" s="142">
        <v>1245.539</v>
      </c>
      <c r="F19" s="143">
        <f>E19-D19</f>
        <v>-250</v>
      </c>
      <c r="G19" s="52"/>
      <c r="H19" s="251" t="s">
        <v>127</v>
      </c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>
      <c r="B20" s="129"/>
      <c r="C20" s="50"/>
      <c r="D20" s="141"/>
      <c r="E20" s="142"/>
      <c r="F20" s="143"/>
      <c r="G20" s="52"/>
      <c r="H20" s="144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>
      <c r="B21" s="51" t="s">
        <v>96</v>
      </c>
      <c r="C21" s="50"/>
      <c r="D21" s="56">
        <f>SUM(D9:D20)</f>
        <v>23683.96</v>
      </c>
      <c r="E21" s="57">
        <f>SUM(E9:E20)</f>
        <v>23433.96</v>
      </c>
      <c r="F21" s="183">
        <f>SUM(F9:F20)</f>
        <v>-250</v>
      </c>
      <c r="G21" s="52"/>
      <c r="H21" s="53"/>
      <c r="I21" s="54"/>
      <c r="J21" s="54"/>
      <c r="K21" s="5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>
      <c r="B22" s="129"/>
      <c r="C22" s="50"/>
      <c r="D22" s="141"/>
      <c r="E22" s="142"/>
      <c r="F22" s="143"/>
      <c r="G22" s="52"/>
      <c r="H22" s="144"/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3.5" customHeight="1">
      <c r="B23" s="129" t="s">
        <v>23</v>
      </c>
      <c r="C23" s="50"/>
      <c r="D23" s="141">
        <f>+E23</f>
        <v>27654</v>
      </c>
      <c r="E23" s="142">
        <v>27654</v>
      </c>
      <c r="F23" s="143">
        <f>E23-D23</f>
        <v>0</v>
      </c>
      <c r="G23" s="52"/>
      <c r="H23" s="251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10</v>
      </c>
      <c r="C24" s="50"/>
      <c r="D24" s="141">
        <v>0</v>
      </c>
      <c r="E24" s="142">
        <v>0</v>
      </c>
      <c r="F24" s="143">
        <f>E24-D24</f>
        <v>0</v>
      </c>
      <c r="G24" s="52"/>
      <c r="H24" s="144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50" customFormat="1" ht="13.5" customHeight="1">
      <c r="B26" s="51" t="s">
        <v>7</v>
      </c>
      <c r="D26" s="47">
        <f>SUM(D21:D24)</f>
        <v>51337.96</v>
      </c>
      <c r="E26" s="48">
        <f>SUM(E21:E24)</f>
        <v>51087.96</v>
      </c>
      <c r="F26" s="49">
        <f>SUM(F21:F24)</f>
        <v>-250</v>
      </c>
      <c r="G26" s="52"/>
      <c r="H26" s="53"/>
      <c r="I26" s="54"/>
      <c r="J26" s="54"/>
      <c r="K26" s="55"/>
      <c r="L26" s="31"/>
    </row>
    <row r="27" spans="1:37" ht="3" customHeight="1">
      <c r="B27" s="147"/>
      <c r="C27" s="50"/>
      <c r="D27" s="148"/>
      <c r="E27" s="149"/>
      <c r="F27" s="150"/>
      <c r="G27" s="50"/>
      <c r="H27" s="148"/>
      <c r="I27" s="149"/>
      <c r="J27" s="149"/>
      <c r="K27" s="150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ht="3" customHeight="1">
      <c r="A28" s="65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idden="1">
      <c r="B29" s="85"/>
      <c r="C29" s="31"/>
      <c r="D29" s="326" t="s">
        <v>49</v>
      </c>
      <c r="E29" s="327"/>
      <c r="F29" s="328"/>
      <c r="G29" s="31"/>
      <c r="H29" s="91"/>
      <c r="I29" s="92"/>
      <c r="J29" s="92"/>
      <c r="K29" s="93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idden="1">
      <c r="B30" s="94" t="s">
        <v>9</v>
      </c>
      <c r="C30" s="31"/>
      <c r="D30" s="88" t="s">
        <v>6</v>
      </c>
      <c r="E30" s="89" t="s">
        <v>8</v>
      </c>
      <c r="F30" s="90" t="s">
        <v>12</v>
      </c>
      <c r="G30" s="31"/>
      <c r="H30" s="314" t="s">
        <v>39</v>
      </c>
      <c r="I30" s="315"/>
      <c r="J30" s="315"/>
      <c r="K30" s="31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50" customFormat="1" ht="12" hidden="1">
      <c r="B31" s="124"/>
      <c r="D31" s="151">
        <v>0</v>
      </c>
      <c r="E31" s="152">
        <v>0</v>
      </c>
      <c r="F31" s="153">
        <f>E31-D31</f>
        <v>0</v>
      </c>
      <c r="H31" s="125"/>
      <c r="I31" s="126"/>
      <c r="J31" s="126"/>
      <c r="K31" s="127"/>
    </row>
    <row r="32" spans="1:37" s="50" customFormat="1" ht="12" hidden="1">
      <c r="B32" s="129"/>
      <c r="D32" s="141">
        <v>0</v>
      </c>
      <c r="E32" s="142">
        <v>0</v>
      </c>
      <c r="F32" s="143">
        <f>E32-D32</f>
        <v>0</v>
      </c>
      <c r="H32" s="144"/>
      <c r="I32" s="145"/>
      <c r="J32" s="145"/>
      <c r="K32" s="146"/>
    </row>
    <row r="33" spans="2:37" s="50" customFormat="1" ht="12" hidden="1">
      <c r="B33" s="147"/>
      <c r="D33" s="154">
        <v>0</v>
      </c>
      <c r="E33" s="155">
        <v>0</v>
      </c>
      <c r="F33" s="156">
        <f>E33-D33</f>
        <v>0</v>
      </c>
      <c r="H33" s="148"/>
      <c r="I33" s="149"/>
      <c r="J33" s="149"/>
      <c r="K33" s="150"/>
    </row>
    <row r="34" spans="2:37">
      <c r="D34" s="69"/>
      <c r="E34" s="69"/>
      <c r="F34" s="1"/>
      <c r="G34" s="1"/>
      <c r="H34" s="1"/>
      <c r="I34" s="1"/>
      <c r="J34" s="1"/>
      <c r="K34" s="1"/>
      <c r="L34" s="1"/>
      <c r="M34" s="1" t="s">
        <v>63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>
      <c r="D35" s="6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26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</sheetData>
  <mergeCells count="7">
    <mergeCell ref="H30:K30"/>
    <mergeCell ref="D6:F6"/>
    <mergeCell ref="H7:K7"/>
    <mergeCell ref="B2:K2"/>
    <mergeCell ref="B3:K3"/>
    <mergeCell ref="B4:K4"/>
    <mergeCell ref="D29:F29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4" sqref="A4:J4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5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January 11,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90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+Expenses!D19-[1]Expenses!D19</f>
        <v>0</v>
      </c>
      <c r="D16" s="142">
        <f>+Expenses!E19-[1]Expenses!E19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101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91</v>
      </c>
      <c r="B20" s="50"/>
      <c r="C20" s="141">
        <f>+Expenses!D16-[1]Expenses!D16</f>
        <v>0</v>
      </c>
      <c r="D20" s="142">
        <f>+Expenses!E16-[1]Expenses!E16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92</v>
      </c>
      <c r="B21" s="50"/>
      <c r="C21" s="141">
        <f>+Expenses!D17-[1]Expenses!D17</f>
        <v>0</v>
      </c>
      <c r="D21" s="142">
        <f>+Expenses!E17-[1]Expenses!E17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93</v>
      </c>
      <c r="B22" s="50"/>
      <c r="C22" s="141">
        <f>+Expenses!D18-[1]Expenses!D18</f>
        <v>0</v>
      </c>
      <c r="D22" s="142">
        <f>+Expenses!E18-[1]Expenses!E18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96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0</v>
      </c>
      <c r="D27" s="48">
        <f>+D18+D24</f>
        <v>0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+Expenses!D23-[1]Expenses!D23</f>
        <v>0</v>
      </c>
      <c r="D29" s="142">
        <f>+Expenses!E23-[1]Expenses!E23</f>
        <v>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+Expenses!D24-[1]Expenses!D24</f>
        <v>0</v>
      </c>
      <c r="D30" s="142">
        <f>+Expenses!E24-[1]Expenses!E24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0</v>
      </c>
      <c r="D32" s="48">
        <f>SUM(D27:D30)</f>
        <v>0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17" t="s">
        <v>49</v>
      </c>
      <c r="D35" s="318"/>
      <c r="E35" s="319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0" t="s">
        <v>39</v>
      </c>
      <c r="H36" s="321"/>
      <c r="I36" s="321"/>
      <c r="J36" s="322"/>
    </row>
    <row r="37" spans="1:33" s="50" customFormat="1" ht="12" hidden="1">
      <c r="A37" s="124"/>
      <c r="C37" s="141" t="e">
        <f>Expenses!D31-[1]Expenses!D29</f>
        <v>#VALUE!</v>
      </c>
      <c r="D37" s="142">
        <f>Expenses!E31-[1]Expenses!E29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Expenses!D32-[1]Expenses!D30</f>
        <v>#VALUE!</v>
      </c>
      <c r="D38" s="142" t="e">
        <f>Expenses!E32-[1]Expenses!E30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Expenses!D33-[1]Expenses!D31</f>
        <v>0</v>
      </c>
      <c r="D39" s="155">
        <f>Expenses!E33-[1]Expenses!E31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7"/>
  <sheetViews>
    <sheetView topLeftCell="B2" zoomScaleNormal="100" workbookViewId="0">
      <selection activeCell="I19" sqref="I19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5">
      <c r="A3" s="10" t="s">
        <v>31</v>
      </c>
      <c r="B3" s="324" t="s">
        <v>122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January 11,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90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>E17-D17</f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>L17-K17</f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>E18-D18</f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>E19-D19</f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29" t="s">
        <v>2</v>
      </c>
      <c r="C20" s="50"/>
      <c r="D20" s="141">
        <v>0</v>
      </c>
      <c r="E20" s="142">
        <v>0</v>
      </c>
      <c r="F20" s="158">
        <f>E20-D20</f>
        <v>0</v>
      </c>
      <c r="G20" s="145"/>
      <c r="H20" s="145"/>
      <c r="I20" s="146"/>
      <c r="J20" s="50"/>
      <c r="K20" s="159">
        <f>L20</f>
        <v>520</v>
      </c>
      <c r="L20" s="142">
        <v>520</v>
      </c>
      <c r="M20" s="158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62" t="s">
        <v>96</v>
      </c>
      <c r="C22" s="50"/>
      <c r="D22" s="56">
        <f>SUM(D10:D21)</f>
        <v>1383.4870000000001</v>
      </c>
      <c r="E22" s="57">
        <f>SUM(E10:E21)</f>
        <v>1383.4870000000001</v>
      </c>
      <c r="F22" s="57">
        <f>SUM(F10:F21)</f>
        <v>0</v>
      </c>
      <c r="G22" s="54"/>
      <c r="H22" s="54"/>
      <c r="I22" s="55"/>
      <c r="J22" s="50"/>
      <c r="K22" s="56">
        <f>SUM(K10:K21)</f>
        <v>22348</v>
      </c>
      <c r="L22" s="57">
        <f>SUM(L10:L21)</f>
        <v>22348</v>
      </c>
      <c r="M22" s="57">
        <f>SUM(M10:M21)</f>
        <v>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69</v>
      </c>
      <c r="C24" s="50"/>
      <c r="D24" s="141">
        <f>-(D22)</f>
        <v>-1383.4870000000001</v>
      </c>
      <c r="E24" s="142">
        <f>-(E22)</f>
        <v>-1383.4870000000001</v>
      </c>
      <c r="F24" s="158">
        <f>E24-D24</f>
        <v>0</v>
      </c>
      <c r="G24" s="145"/>
      <c r="H24" s="145"/>
      <c r="I24" s="146"/>
      <c r="J24" s="50"/>
      <c r="K24" s="141"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94</v>
      </c>
      <c r="C25" s="50"/>
      <c r="D25" s="141">
        <v>0</v>
      </c>
      <c r="E25" s="142">
        <v>0</v>
      </c>
      <c r="F25" s="158">
        <f>E25-D25</f>
        <v>0</v>
      </c>
      <c r="G25" s="145"/>
      <c r="H25" s="145"/>
      <c r="I25" s="146"/>
      <c r="J25" s="50"/>
      <c r="K25" s="141">
        <f>-K22</f>
        <v>-22348</v>
      </c>
      <c r="L25" s="142">
        <f>-L22</f>
        <v>-22348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3" customHeight="1">
      <c r="B26" s="129"/>
      <c r="C26" s="50"/>
      <c r="D26" s="141"/>
      <c r="E26" s="142"/>
      <c r="F26" s="158"/>
      <c r="G26" s="145"/>
      <c r="H26" s="145"/>
      <c r="I26" s="146"/>
      <c r="J26" s="50"/>
      <c r="K26" s="141"/>
      <c r="L26" s="142"/>
      <c r="M26" s="158"/>
      <c r="N26" s="145"/>
      <c r="O26" s="145"/>
      <c r="P26" s="79"/>
      <c r="Q26" s="1"/>
      <c r="R26" s="1"/>
      <c r="S26" s="1"/>
      <c r="T26" s="1"/>
    </row>
    <row r="27" spans="2:20" s="50" customFormat="1" ht="11.25" customHeight="1">
      <c r="B27" s="51" t="s">
        <v>7</v>
      </c>
      <c r="D27" s="47">
        <f>SUM(D22:D25)</f>
        <v>0</v>
      </c>
      <c r="E27" s="48">
        <f>SUM(E22:E25)</f>
        <v>0</v>
      </c>
      <c r="F27" s="48">
        <f>SUM(F22:F25)</f>
        <v>0</v>
      </c>
      <c r="G27" s="54"/>
      <c r="H27" s="54"/>
      <c r="I27" s="55"/>
      <c r="K27" s="47">
        <f>SUM(K22:K25)</f>
        <v>0</v>
      </c>
      <c r="L27" s="48">
        <f>SUM(L22:L25)</f>
        <v>0</v>
      </c>
      <c r="M27" s="48">
        <f>SUM(M22:M25)</f>
        <v>0</v>
      </c>
      <c r="N27" s="54"/>
      <c r="O27" s="54"/>
      <c r="P27" s="80"/>
    </row>
    <row r="28" spans="2:20" ht="3" customHeight="1">
      <c r="B28" s="147"/>
      <c r="C28" s="50"/>
      <c r="D28" s="154"/>
      <c r="E28" s="155"/>
      <c r="F28" s="155"/>
      <c r="G28" s="149"/>
      <c r="H28" s="149"/>
      <c r="I28" s="150"/>
      <c r="J28" s="50"/>
      <c r="K28" s="154"/>
      <c r="L28" s="155"/>
      <c r="M28" s="155"/>
      <c r="N28" s="149"/>
      <c r="O28" s="149"/>
      <c r="P28" s="82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/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 t="s">
        <v>63</v>
      </c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5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2001-01-12T20:10:26Z</cp:lastPrinted>
  <dcterms:created xsi:type="dcterms:W3CDTF">1999-10-18T12:36:30Z</dcterms:created>
  <dcterms:modified xsi:type="dcterms:W3CDTF">2023-09-17T00:01:54Z</dcterms:modified>
</cp:coreProperties>
</file>