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EEE00E-66BE-4677-88EB-E773128B2DDD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E11" i="2"/>
  <c r="I11" i="2"/>
  <c r="L11" i="2"/>
  <c r="N11" i="2"/>
  <c r="I12" i="2"/>
  <c r="L12" i="2"/>
  <c r="M12" i="2"/>
  <c r="N12" i="2"/>
  <c r="I13" i="2"/>
  <c r="L13" i="2"/>
  <c r="N13" i="2"/>
  <c r="F14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G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<sst xmlns="http://schemas.openxmlformats.org/spreadsheetml/2006/main" count="427" uniqueCount="133">
  <si>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</si>
  <si>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</si>
  <si>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</si>
  <si>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</si>
  <si>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</si>
  <si>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</si>
  <si>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</si>
  <si>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</si>
  <si>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</si>
  <si>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</si>
  <si>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</si>
  <si>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</si>
  <si>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</si>
  <si>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</si>
  <si>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</si>
  <si>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</si>
  <si>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</si>
  <si>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</si>
  <si>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</si>
  <si>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</si>
  <si>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</si>
  <si>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</si>
  <si>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</si>
  <si>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</si>
  <si>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</si>
  <si>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</si>
  <si>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</si>
  <si>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</si>
  <si>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</si>
  <si>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</si>
  <si>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</si>
  <si>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</si>
  <si>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</si>
  <si>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</si>
  <si>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</si>
  <si>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</si>
  <si>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</si>
  <si>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</si>
  <si>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</si>
  <si>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</si>
  <si>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</si>
  <si>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</si>
  <si>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</si>
  <si>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</si>
  <si>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</si>
  <si>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</si>
  <si>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</si>
  <si>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</si>
  <si>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</si>
  <si>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</si>
  <si>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</si>
  <si>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</si>
  <si>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</si>
  <si>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</si>
  <si>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</si>
  <si>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</si>
  <si>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</si>
  <si>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</si>
  <si>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</si>
  <si>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</si>
  <si>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</si>
  <si>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</si>
  <si>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</si>
  <si>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</si>
  <si>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</si>
  <si>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</si>
  <si>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</si>
  <si>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</si>
  <si>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</si>
  <si>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</si>
  <si>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</si>
  <si>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</si>
  <si>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</si>
  <si>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</si>
  <si>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</si>
  <si>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</si>
  <si>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</si>
  <si>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</si>
  <si>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</si>
  <si>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</si>
  <si>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</si>
  <si>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</si>
  <si>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</si>
  <si>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</si>
  <si>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</si>
  <si>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</si>
  <si>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</si>
  <si>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</si>
  <si>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</si>
  <si>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</si>
  <si>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</si>
  <si>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</si>
  <si>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</si>
  <si>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</si>
  <si>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</si>
  <si>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</si>
  <si>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</si>
  <si>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</si>
  <si>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</si>
  <si>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</si>
  <si>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</si>
  <si>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</si>
  <si>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</si>
  <si>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</si>
  <si>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</si>
  <si>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</si>
  <si>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</si>
  <si>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</si>
  <si>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</si>
  <si>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</si>
  <si>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</si>
  <si>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</si>
  <si>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</si>
  <si>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</si>
  <si>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</si>
  <si>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</si>
  <si>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</si>
  <si>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</si>
  <si>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</si>
  <si>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</si>
  <si>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</si>
  <si>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</si>
  <si>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</si>
  <si>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</si>
  <si>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</si>
  <si>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</si>
  <si>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</si>
  <si>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</si>
  <si>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</si>
  <si>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</si>
  <si>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</si>
  <si>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Envera Service Fee</t>
  </si>
  <si>
    <t>Results based on activity through March 2,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</si>
</sst>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0B260FA2-7F75-2EC9-961B-6B2B2C157D82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29570A49-9747-3D80-89E6-FB2E9B1258B2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24A0E35C-4782-EA25-87FF-5F2784772559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3C8E237E-AC32-505E-801A-C0EB5F2D884C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D82769AA-BE7C-59F7-D47A-5EAAE3F1B086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DD3B8F62-C47B-BE34-26A4-977C377DE8CD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5F2568A9-E6BD-0130-4984-4E33B9790446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BA1E600B-68E5-66CC-F39D-F9C8247D652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9CFA6391-FD00-0510-A11E-FC898C68D6BA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729FD4A5-F144-30F4-30FE-83F8351B1628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2DA5F83E-6558-DC76-4019-198392457B9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E4EC911E-E45D-88DB-C128-DAED5EFDBD0A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77F52EC7-1BCB-5088-9B59-FDB483E557B0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27A9D7C6-32F1-DB3B-90EE-D03B00C63029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60D3480E-A738-8231-94A5-ABFE59BCD997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1656DBE0-F8C0-BDEB-910C-CC778D1780BA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D15B91EF-023D-10ED-1038-D49BF292D366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338F7F28-97CA-342D-87F7-BB937AB48D68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5414363F-2EC4-960F-1DED-D21CD326B73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43796A35-FA1C-FD80-0B0C-BC5E348D4D1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9E1358C-B7A4-DAC2-8B18-B8DFE608673D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>
        <row r="8">
          <cell r="C8">
            <v>9598</v>
          </cell>
          <cell r="G8">
            <v>16841.212</v>
          </cell>
        </row>
        <row r="9">
          <cell r="C9">
            <v>-1591.0340000000001</v>
          </cell>
          <cell r="G9">
            <v>8166.1699999999992</v>
          </cell>
        </row>
        <row r="10">
          <cell r="C10">
            <v>-4589</v>
          </cell>
          <cell r="G10">
            <v>2123.4380000000001</v>
          </cell>
        </row>
        <row r="11">
          <cell r="C11">
            <v>4807</v>
          </cell>
          <cell r="G11">
            <v>4048.2690000000002</v>
          </cell>
        </row>
        <row r="12">
          <cell r="C12">
            <v>114.292</v>
          </cell>
          <cell r="G12">
            <v>1965.9789999999998</v>
          </cell>
        </row>
        <row r="13">
          <cell r="C13">
            <v>7376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 refreshError="1"/>
      <sheetData sheetId="3" refreshError="1"/>
      <sheetData sheetId="4">
        <row r="10">
          <cell r="D10">
            <v>8609</v>
          </cell>
          <cell r="E10">
            <v>989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-1705</v>
          </cell>
          <cell r="E11">
            <v>113.96599999999999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-4589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4807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114.292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1876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2341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3173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-14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6858.77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11508</v>
      </c>
      <c r="H9" s="36">
        <f>GrossMargin!J10</f>
        <v>0</v>
      </c>
      <c r="I9" s="36">
        <f>+'Mgmt Summary'!I9</f>
        <v>0</v>
      </c>
      <c r="J9" s="136">
        <f>SUM(G9:I9)</f>
        <v>11508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-5333.2119999999995</v>
      </c>
      <c r="P9" s="37"/>
      <c r="Q9" s="133">
        <f>+'Mgmt Summary'!Q9</f>
        <v>-28492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-28583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-2477.0340000000001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-2477.0340000000001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-10643.204000000002</v>
      </c>
      <c r="P10" s="37"/>
      <c r="Q10" s="133">
        <f>+'Mgmt Summary'!Q10</f>
        <v>-16227.034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-16227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-5131</v>
      </c>
      <c r="H11" s="36">
        <f>GrossMargin!J12</f>
        <v>0</v>
      </c>
      <c r="I11" s="36">
        <f>+'Mgmt Summary'!I11</f>
        <v>0</v>
      </c>
      <c r="J11" s="136">
        <f t="shared" si="1"/>
        <v>-5131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-7254.4380000000001</v>
      </c>
      <c r="P11" s="37"/>
      <c r="Q11" s="133">
        <f>+'Mgmt Summary'!Q11</f>
        <v>-10131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-10131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4420</v>
      </c>
      <c r="H12" s="36">
        <f>GrossMargin!J13</f>
        <v>0</v>
      </c>
      <c r="I12" s="36">
        <f>+'Mgmt Summary'!I12</f>
        <v>0</v>
      </c>
      <c r="J12" s="136">
        <f t="shared" si="1"/>
        <v>4420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371.73099999999977</v>
      </c>
      <c r="P12" s="37"/>
      <c r="Q12" s="133">
        <f>+'Mgmt Summary'!Q12</f>
        <v>-4089.2510000000002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-4089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8356</v>
      </c>
      <c r="H14" s="36">
        <f>GrossMargin!J15</f>
        <v>0</v>
      </c>
      <c r="I14" s="36">
        <f>+'Mgmt Summary'!I14</f>
        <v>0</v>
      </c>
      <c r="J14" s="136">
        <f t="shared" si="1"/>
        <v>8356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2810.6059999999998</v>
      </c>
      <c r="P14" s="37"/>
      <c r="Q14" s="133">
        <f>+'Mgmt Summary'!Q14</f>
        <v>-11644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-11644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1568</v>
      </c>
      <c r="H21" s="36">
        <f>GrossMargin!J22</f>
        <v>0</v>
      </c>
      <c r="I21" s="36">
        <f>+'Mgmt Summary'!I16</f>
        <v>0</v>
      </c>
      <c r="J21" s="136">
        <f>SUM(G21:I21)</f>
        <v>1568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-1066.0640000000001</v>
      </c>
      <c r="P21" s="37"/>
      <c r="Q21" s="133">
        <f>+'Mgmt Summary'!Q16</f>
        <v>-1432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-1432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904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-2650.4989999999998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-2650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A3" sqref="A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March 2,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11508</v>
      </c>
      <c r="D8" s="226">
        <f>+'Mgmt Summary'!C9</f>
        <v>40000</v>
      </c>
      <c r="E8" s="227">
        <f t="shared" ref="E8:E13" si="0">-D8+C8</f>
        <v>-28492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-5333.2119999999995</v>
      </c>
      <c r="L8" s="226">
        <f t="shared" ref="K8:L13" si="2">D8-H8</f>
        <v>23249.788</v>
      </c>
      <c r="M8" s="227">
        <f t="shared" ref="M8:M13" si="3">K8-L8</f>
        <v>-28583</v>
      </c>
      <c r="N8" s="290"/>
      <c r="O8" s="225">
        <f>+C8-'[1]QTD Mgmt Summary'!C8</f>
        <v>1910</v>
      </c>
      <c r="P8" s="226">
        <f>-G8+'[1]QTD Mgmt Summary'!G8</f>
        <v>0</v>
      </c>
      <c r="Q8" s="227">
        <f>+O8+P8</f>
        <v>1910</v>
      </c>
    </row>
    <row r="9" spans="1:22" s="32" customFormat="1" ht="13.5" customHeight="1">
      <c r="A9" s="223" t="s">
        <v>1</v>
      </c>
      <c r="B9" s="224"/>
      <c r="C9" s="225">
        <f>+'Mgmt Summary'!J10</f>
        <v>-2477.0340000000001</v>
      </c>
      <c r="D9" s="226">
        <f>+'Mgmt Summary'!C10</f>
        <v>13750</v>
      </c>
      <c r="E9" s="227">
        <f t="shared" si="0"/>
        <v>-16227.034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-10643.204</v>
      </c>
      <c r="L9" s="226">
        <f t="shared" si="2"/>
        <v>5583.8300000000008</v>
      </c>
      <c r="M9" s="227">
        <f t="shared" si="3"/>
        <v>-16227.034</v>
      </c>
      <c r="N9" s="290"/>
      <c r="O9" s="225">
        <f>+C9-'[1]QTD Mgmt Summary'!C9</f>
        <v>-886</v>
      </c>
      <c r="P9" s="226">
        <f>-G9+'[1]QTD Mgmt Summary'!G9</f>
        <v>0</v>
      </c>
      <c r="Q9" s="227">
        <f t="shared" ref="Q9:Q16" si="4">+O9+P9</f>
        <v>-886</v>
      </c>
    </row>
    <row r="10" spans="1:22" s="32" customFormat="1" ht="13.5" customHeight="1">
      <c r="A10" s="223" t="s">
        <v>44</v>
      </c>
      <c r="B10" s="224"/>
      <c r="C10" s="225">
        <f>+'Mgmt Summary'!J11</f>
        <v>-5131</v>
      </c>
      <c r="D10" s="226">
        <f>+'Mgmt Summary'!C11</f>
        <v>5000</v>
      </c>
      <c r="E10" s="227">
        <f t="shared" si="0"/>
        <v>-10131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-7254.4380000000001</v>
      </c>
      <c r="L10" s="226">
        <f t="shared" si="2"/>
        <v>2876.5619999999999</v>
      </c>
      <c r="M10" s="227">
        <f t="shared" si="3"/>
        <v>-10131</v>
      </c>
      <c r="N10" s="290"/>
      <c r="O10" s="225">
        <f>+C10-'[1]QTD Mgmt Summary'!C10</f>
        <v>-542</v>
      </c>
      <c r="P10" s="226">
        <f>-G10+'[1]QTD Mgmt Summary'!G10</f>
        <v>0</v>
      </c>
      <c r="Q10" s="227">
        <f t="shared" si="4"/>
        <v>-542</v>
      </c>
    </row>
    <row r="11" spans="1:22" s="32" customFormat="1" ht="13.5" customHeight="1">
      <c r="A11" s="223" t="s">
        <v>64</v>
      </c>
      <c r="B11" s="224"/>
      <c r="C11" s="225">
        <f>+'Mgmt Summary'!J12</f>
        <v>4420</v>
      </c>
      <c r="D11" s="226">
        <f>+'Mgmt Summary'!C12</f>
        <v>8509.2510000000002</v>
      </c>
      <c r="E11" s="227">
        <f t="shared" si="0"/>
        <v>-4089.2510000000002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371.73099999999977</v>
      </c>
      <c r="L11" s="226">
        <f t="shared" si="2"/>
        <v>4460.982</v>
      </c>
      <c r="M11" s="227">
        <f t="shared" si="3"/>
        <v>-4089.2510000000002</v>
      </c>
      <c r="N11" s="290"/>
      <c r="O11" s="225">
        <f>+C11-'[1]QTD Mgmt Summary'!C11</f>
        <v>-387</v>
      </c>
      <c r="P11" s="226">
        <f>-G11+'[1]QTD Mgmt Summary'!G11</f>
        <v>0</v>
      </c>
      <c r="Q11" s="227">
        <f t="shared" si="4"/>
        <v>-387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0</v>
      </c>
      <c r="P12" s="226">
        <f>-G12+'[1]QTD Mgmt Summary'!G12</f>
        <v>0</v>
      </c>
      <c r="Q12" s="227">
        <f t="shared" si="4"/>
        <v>0</v>
      </c>
    </row>
    <row r="13" spans="1:22" s="32" customFormat="1" ht="13.5" customHeight="1">
      <c r="A13" s="223" t="s">
        <v>50</v>
      </c>
      <c r="B13" s="224"/>
      <c r="C13" s="225">
        <f>+'Mgmt Summary'!J14</f>
        <v>8356</v>
      </c>
      <c r="D13" s="226">
        <f>+'Mgmt Summary'!C14</f>
        <v>20000</v>
      </c>
      <c r="E13" s="227">
        <f t="shared" si="0"/>
        <v>-11644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2810.6059999999998</v>
      </c>
      <c r="L13" s="226">
        <f t="shared" si="2"/>
        <v>14454.606</v>
      </c>
      <c r="M13" s="227">
        <f t="shared" si="3"/>
        <v>-11644</v>
      </c>
      <c r="N13" s="290"/>
      <c r="O13" s="225">
        <f>+C13-'[1]QTD Mgmt Summary'!C13</f>
        <v>980</v>
      </c>
      <c r="P13" s="294">
        <f>(-G13+'[1]QTD Mgmt Summary'!G13)*0</f>
        <v>0</v>
      </c>
      <c r="Q13" s="227">
        <f t="shared" si="4"/>
        <v>980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1568</v>
      </c>
      <c r="D15" s="226">
        <f>+'Mgmt Summary'!C16</f>
        <v>3000</v>
      </c>
      <c r="E15" s="227">
        <f t="shared" si="5"/>
        <v>-1432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-1066.0640000000003</v>
      </c>
      <c r="L15" s="226">
        <f t="shared" si="7"/>
        <v>365.93599999999969</v>
      </c>
      <c r="M15" s="227">
        <f t="shared" si="6"/>
        <v>-1432</v>
      </c>
      <c r="N15" s="290"/>
      <c r="O15" s="225">
        <f>+C15-'[1]QTD Mgmt Summary'!C15</f>
        <v>486</v>
      </c>
      <c r="P15" s="226">
        <f>-G15+'[1]QTD Mgmt Summary'!G15</f>
        <v>0</v>
      </c>
      <c r="Q15" s="227">
        <f t="shared" si="4"/>
        <v>486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17694.258000000002</v>
      </c>
      <c r="D21" s="235">
        <f>SUM(D8:D20)</f>
        <v>96188.75</v>
      </c>
      <c r="E21" s="236">
        <f>SUM(E8:E20)</f>
        <v>-78494.491999999998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-29340.474999999991</v>
      </c>
      <c r="L21" s="235">
        <f>SUM(L8:L20)</f>
        <v>48845.016999999993</v>
      </c>
      <c r="M21" s="236">
        <f>SUM(M8:M20)</f>
        <v>-78185.491999999998</v>
      </c>
      <c r="N21" s="291"/>
      <c r="O21" s="234">
        <f>SUM(O8:O20)</f>
        <v>1561</v>
      </c>
      <c r="P21" s="235">
        <f>SUM(P8:P20)</f>
        <v>0</v>
      </c>
      <c r="Q21" s="236">
        <f>SUM(Q8:Q20)</f>
        <v>1561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17194.258000000002</v>
      </c>
      <c r="D28" s="235">
        <f>SUM(D21:D26)</f>
        <v>95688.75</v>
      </c>
      <c r="E28" s="236">
        <f>SUM(E21:E26)</f>
        <v>-78494.491999999998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-33196.133999999991</v>
      </c>
      <c r="L28" s="235">
        <f>SUM(L21:L26)</f>
        <v>44989.357999999993</v>
      </c>
      <c r="M28" s="236">
        <f>SUM(M21:M26)</f>
        <v>-78185.491999999998</v>
      </c>
      <c r="N28" s="291"/>
      <c r="O28" s="234">
        <f>SUM(O21:O26)</f>
        <v>1561</v>
      </c>
      <c r="P28" s="235">
        <f>SUM(P21:P26)</f>
        <v>0</v>
      </c>
      <c r="Q28" s="236">
        <f>SUM(Q21:Q26)</f>
        <v>1561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17194.258000000002</v>
      </c>
      <c r="D32" s="240">
        <f>+D28-D30</f>
        <v>95688.75</v>
      </c>
      <c r="E32" s="264">
        <f>+E28-E30</f>
        <v>-78494.491999999998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-33504.133999999991</v>
      </c>
      <c r="L32" s="240">
        <f>SUM(L28:L30)</f>
        <v>44681.357999999993</v>
      </c>
      <c r="M32" s="264">
        <f>SUM(M28:M30)</f>
        <v>-78185.491999999998</v>
      </c>
      <c r="N32" s="291"/>
      <c r="O32" s="239">
        <f>SUM(O28:O30)</f>
        <v>1561</v>
      </c>
      <c r="P32" s="240">
        <f>SUM(P28:P30)</f>
        <v>0</v>
      </c>
      <c r="Q32" s="264">
        <f>SUM(Q28:Q30)</f>
        <v>1561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7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0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0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1554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1561</v>
      </c>
      <c r="G42" s="279" t="s">
        <v>106</v>
      </c>
      <c r="H42" s="280"/>
      <c r="I42" s="285">
        <f>SUM(I38:I41)</f>
        <v>-308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17194.258000000002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17194.258000000002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132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11508</v>
      </c>
      <c r="H9" s="36">
        <f>GrossMargin!J10</f>
        <v>0</v>
      </c>
      <c r="I9" s="36">
        <f>GrossMargin!K10</f>
        <v>0</v>
      </c>
      <c r="J9" s="136">
        <f t="shared" ref="J9:J15" si="1">SUM(G9:I9)</f>
        <v>11508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-5333.2119999999995</v>
      </c>
      <c r="P9" s="37"/>
      <c r="Q9" s="133">
        <f t="shared" ref="Q9:Q15" si="3">+J9-C9</f>
        <v>-28492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-28583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-2477.0340000000001</v>
      </c>
      <c r="H10" s="36">
        <f>GrossMargin!J11</f>
        <v>0</v>
      </c>
      <c r="I10" s="36">
        <f>GrossMargin!K11</f>
        <v>0</v>
      </c>
      <c r="J10" s="136">
        <f t="shared" si="1"/>
        <v>-2477.0340000000001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-10643.204000000002</v>
      </c>
      <c r="P10" s="37"/>
      <c r="Q10" s="133">
        <f t="shared" si="3"/>
        <v>-16227.034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-16227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-5131</v>
      </c>
      <c r="H11" s="36">
        <f>GrossMargin!J12</f>
        <v>0</v>
      </c>
      <c r="I11" s="36">
        <f>GrossMargin!K12</f>
        <v>0</v>
      </c>
      <c r="J11" s="136">
        <f t="shared" si="1"/>
        <v>-5131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-7254.4380000000001</v>
      </c>
      <c r="P11" s="37"/>
      <c r="Q11" s="133">
        <f t="shared" si="3"/>
        <v>-10131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-10131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4420</v>
      </c>
      <c r="H12" s="36">
        <f>GrossMargin!J13</f>
        <v>0</v>
      </c>
      <c r="I12" s="36">
        <f>GrossMargin!K13</f>
        <v>0</v>
      </c>
      <c r="J12" s="136">
        <f t="shared" si="1"/>
        <v>4420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371.73099999999977</v>
      </c>
      <c r="P12" s="37"/>
      <c r="Q12" s="133">
        <f t="shared" si="3"/>
        <v>-4089.2510000000002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-4089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8356</v>
      </c>
      <c r="H14" s="140">
        <f>GrossMargin!J15</f>
        <v>0</v>
      </c>
      <c r="I14" s="140">
        <f>+GrossMargin!K21</f>
        <v>0</v>
      </c>
      <c r="J14" s="179">
        <f t="shared" si="1"/>
        <v>8356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2810.6059999999998</v>
      </c>
      <c r="P14" s="181"/>
      <c r="Q14" s="139">
        <f t="shared" si="3"/>
        <v>-11644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-11644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1568</v>
      </c>
      <c r="H16" s="140">
        <f>GrossMargin!J18</f>
        <v>0</v>
      </c>
      <c r="I16" s="140">
        <f>+GrossMargin!K23</f>
        <v>0</v>
      </c>
      <c r="J16" s="179">
        <f>SUM(G16:I16)</f>
        <v>1568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-1066.0640000000001</v>
      </c>
      <c r="P16" s="181"/>
      <c r="Q16" s="139">
        <f>+J16-C16</f>
        <v>-1432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-1432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17694.258000000002</v>
      </c>
      <c r="H22" s="44">
        <f t="shared" si="5"/>
        <v>0</v>
      </c>
      <c r="I22" s="45">
        <f t="shared" si="5"/>
        <v>0</v>
      </c>
      <c r="J22" s="46">
        <f t="shared" si="5"/>
        <v>17694.258000000002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-29340.474999999991</v>
      </c>
      <c r="P22" s="180"/>
      <c r="Q22" s="43">
        <f t="shared" ref="Q22:V22" si="6">SUM(Q9:Q21)</f>
        <v>-78494.491999999998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-78185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17194.258000000002</v>
      </c>
      <c r="H29" s="44">
        <f t="shared" si="7"/>
        <v>0</v>
      </c>
      <c r="I29" s="45">
        <f t="shared" si="7"/>
        <v>0</v>
      </c>
      <c r="J29" s="46">
        <f t="shared" si="7"/>
        <v>17194.258000000002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-33196.133999999991</v>
      </c>
      <c r="P29" s="180"/>
      <c r="Q29" s="43">
        <f t="shared" ref="Q29:V29" si="8">SUM(Q22:Q28)</f>
        <v>-78494.491999999998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-78185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17194.258000000002</v>
      </c>
      <c r="H33" s="40">
        <f t="shared" si="9"/>
        <v>0</v>
      </c>
      <c r="I33" s="40">
        <f t="shared" si="9"/>
        <v>0</v>
      </c>
      <c r="J33" s="42">
        <f t="shared" si="9"/>
        <v>17194.258000000002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-33504.133999999991</v>
      </c>
      <c r="P33" s="37"/>
      <c r="Q33" s="39">
        <f t="shared" si="9"/>
        <v>-78494.491999999998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-78185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A5" sqref="A5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March 2,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1910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1910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1910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-1856</v>
      </c>
      <c r="D10" s="140">
        <f>+GrossMargin!E11-[1]GrossMargin!E11</f>
        <v>0</v>
      </c>
      <c r="E10" s="36">
        <f>+GrossMargin!F11-[1]GrossMargin!F11</f>
        <v>0</v>
      </c>
      <c r="F10" s="36">
        <f>+GrossMargin!G11-[1]GrossMargin!G11</f>
        <v>970</v>
      </c>
      <c r="G10" s="138">
        <f>+GrossMargin!H11-[1]GrossMargin!H11</f>
        <v>0</v>
      </c>
      <c r="H10" s="300">
        <f t="shared" si="0"/>
        <v>-886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-886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-542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-542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-542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-387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-387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-387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0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0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95">
        <f>+GrossMargin!D15-[1]GrossMargin!D15</f>
        <v>-468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-468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-468</v>
      </c>
    </row>
    <row r="15" spans="1:11" ht="13.5" hidden="1" customHeight="1">
      <c r="A15" s="242" t="s">
        <v>115</v>
      </c>
      <c r="B15" s="249"/>
      <c r="C15" s="244">
        <f>+GrossMargin!D16-[1]GrossMargin!D16</f>
        <v>199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199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199</v>
      </c>
    </row>
    <row r="16" spans="1:11" ht="13.5" hidden="1" customHeight="1">
      <c r="A16" s="242" t="s">
        <v>84</v>
      </c>
      <c r="B16" s="249"/>
      <c r="C16" s="295">
        <f>+GrossMargin!D17-[1]GrossMargin!D17</f>
        <v>1247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1247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1247</v>
      </c>
    </row>
    <row r="17" spans="1:11" ht="13.5" hidden="1" customHeight="1">
      <c r="A17" s="242" t="s">
        <v>82</v>
      </c>
      <c r="B17" s="249"/>
      <c r="C17" s="295">
        <f>+GrossMargin!D18-[1]GrossMargin!D18</f>
        <v>2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2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2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980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980</v>
      </c>
      <c r="I20" s="299">
        <f t="shared" si="2"/>
        <v>0</v>
      </c>
      <c r="J20" s="36">
        <f t="shared" si="2"/>
        <v>0</v>
      </c>
      <c r="K20" s="135">
        <f t="shared" si="2"/>
        <v>980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-98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584</v>
      </c>
      <c r="G22" s="138">
        <f>+GrossMargin!H23-[1]GrossMargin!H23</f>
        <v>0</v>
      </c>
      <c r="H22" s="300">
        <f t="shared" si="3"/>
        <v>486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486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7</v>
      </c>
      <c r="D28" s="44">
        <f t="shared" si="5"/>
        <v>0</v>
      </c>
      <c r="E28" s="44">
        <f t="shared" si="5"/>
        <v>0</v>
      </c>
      <c r="F28" s="44">
        <f t="shared" si="5"/>
        <v>1554</v>
      </c>
      <c r="G28" s="45">
        <f t="shared" si="5"/>
        <v>0</v>
      </c>
      <c r="H28" s="46">
        <f t="shared" si="5"/>
        <v>1561</v>
      </c>
      <c r="I28" s="44">
        <f t="shared" si="5"/>
        <v>0</v>
      </c>
      <c r="J28" s="44">
        <f t="shared" si="5"/>
        <v>0</v>
      </c>
      <c r="K28" s="45">
        <f t="shared" si="5"/>
        <v>1561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7</v>
      </c>
      <c r="D32" s="40">
        <f>SUM(D28:D30)</f>
        <v>0</v>
      </c>
      <c r="E32" s="40">
        <f>SUM(E28:E31)</f>
        <v>0</v>
      </c>
      <c r="F32" s="40">
        <f>SUM(F28:F30)</f>
        <v>1554</v>
      </c>
      <c r="G32" s="41">
        <f>SUM(G28:G30)</f>
        <v>0</v>
      </c>
      <c r="H32" s="39">
        <f>SUM(C32:G32)</f>
        <v>1561</v>
      </c>
      <c r="I32" s="39">
        <f>SUM(I28:I30)</f>
        <v>0</v>
      </c>
      <c r="J32" s="40">
        <f>SUM(J28:J30)</f>
        <v>0</v>
      </c>
      <c r="K32" s="41">
        <f>SUM(H32:J32)</f>
        <v>1561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2" zoomScaleNormal="100" workbookViewId="0">
      <selection activeCell="B6" sqref="B6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March 2,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10519</v>
      </c>
      <c r="E10" s="140">
        <v>989</v>
      </c>
      <c r="F10" s="140">
        <v>0</v>
      </c>
      <c r="G10" s="140">
        <v>0</v>
      </c>
      <c r="H10" s="138">
        <v>0</v>
      </c>
      <c r="I10" s="136">
        <f t="shared" ref="I10:I20" si="0">SUM(D10:H10)</f>
        <v>11508</v>
      </c>
      <c r="J10" s="137"/>
      <c r="K10" s="36">
        <v>0</v>
      </c>
      <c r="L10" s="36">
        <f>+I10+K10</f>
        <v>11508</v>
      </c>
      <c r="M10" s="253">
        <v>40000</v>
      </c>
      <c r="N10" s="135">
        <f t="shared" ref="N10:N22" si="1">L10-M10</f>
        <v>-28492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-3561</v>
      </c>
      <c r="E11" s="140">
        <f>48.339+65.627</f>
        <v>113.96599999999999</v>
      </c>
      <c r="F11" s="140">
        <v>0</v>
      </c>
      <c r="G11" s="140">
        <v>970</v>
      </c>
      <c r="H11" s="138">
        <v>0</v>
      </c>
      <c r="I11" s="136">
        <f t="shared" si="0"/>
        <v>-2477.0340000000001</v>
      </c>
      <c r="J11" s="137"/>
      <c r="K11" s="36">
        <v>0</v>
      </c>
      <c r="L11" s="36">
        <f t="shared" ref="L11:L22" si="2">+I11+K11</f>
        <v>-2477.0340000000001</v>
      </c>
      <c r="M11" s="253">
        <v>13750</v>
      </c>
      <c r="N11" s="135">
        <f t="shared" si="1"/>
        <v>-16227.034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-5131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-5131</v>
      </c>
      <c r="J12" s="137"/>
      <c r="K12" s="36">
        <v>0</v>
      </c>
      <c r="L12" s="36">
        <f t="shared" si="2"/>
        <v>-5131</v>
      </c>
      <c r="M12" s="253">
        <f>1875+3125</f>
        <v>5000</v>
      </c>
      <c r="N12" s="135">
        <f t="shared" si="1"/>
        <v>-10131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4420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4420</v>
      </c>
      <c r="J13" s="137"/>
      <c r="K13" s="36">
        <v>0</v>
      </c>
      <c r="L13" s="36">
        <f t="shared" si="2"/>
        <v>4420</v>
      </c>
      <c r="M13" s="253">
        <v>8509.2510000000002</v>
      </c>
      <c r="N13" s="135">
        <f t="shared" si="1"/>
        <v>-4089.2510000000002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1408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1408</v>
      </c>
      <c r="J15" s="246"/>
      <c r="K15" s="246">
        <v>0</v>
      </c>
      <c r="L15" s="36">
        <f t="shared" si="2"/>
        <v>1408</v>
      </c>
      <c r="M15" s="255">
        <v>0</v>
      </c>
      <c r="N15" s="247">
        <f>L15-M15</f>
        <v>1408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2540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2540</v>
      </c>
      <c r="J16" s="246"/>
      <c r="K16" s="246">
        <v>0</v>
      </c>
      <c r="L16" s="36">
        <f>+I16+K16</f>
        <v>2540</v>
      </c>
      <c r="M16" s="255">
        <v>0</v>
      </c>
      <c r="N16" s="247">
        <f>L16-M16</f>
        <v>2540</v>
      </c>
    </row>
    <row r="17" spans="1:16" ht="13.5" hidden="1" customHeight="1">
      <c r="B17" s="242" t="s">
        <v>84</v>
      </c>
      <c r="C17" s="243"/>
      <c r="D17" s="244">
        <v>4420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4420</v>
      </c>
      <c r="J17" s="246"/>
      <c r="K17" s="246">
        <v>0</v>
      </c>
      <c r="L17" s="36">
        <f t="shared" si="2"/>
        <v>4420</v>
      </c>
      <c r="M17" s="255">
        <v>0</v>
      </c>
      <c r="N17" s="247">
        <f>L17-M17</f>
        <v>4420</v>
      </c>
      <c r="P17" s="166"/>
    </row>
    <row r="18" spans="1:16" ht="13.5" hidden="1" customHeight="1">
      <c r="B18" s="242" t="s">
        <v>82</v>
      </c>
      <c r="C18" s="243"/>
      <c r="D18" s="244">
        <v>-12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-12</v>
      </c>
      <c r="J18" s="246"/>
      <c r="K18" s="246">
        <v>0</v>
      </c>
      <c r="L18" s="36">
        <f t="shared" si="2"/>
        <v>-12</v>
      </c>
      <c r="M18" s="255">
        <v>0</v>
      </c>
      <c r="N18" s="247">
        <f t="shared" si="1"/>
        <v>-12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8356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8356</v>
      </c>
      <c r="J21" s="137"/>
      <c r="K21" s="36">
        <f>SUM(K15:K20)</f>
        <v>0</v>
      </c>
      <c r="L21" s="36">
        <f t="shared" si="2"/>
        <v>8356</v>
      </c>
      <c r="M21" s="253">
        <v>20000</v>
      </c>
      <c r="N21" s="135">
        <f>L21-M21</f>
        <v>-11644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v>946</v>
      </c>
      <c r="E23" s="140">
        <v>0</v>
      </c>
      <c r="F23" s="140">
        <v>0</v>
      </c>
      <c r="G23" s="140">
        <f>38+38+546</f>
        <v>622</v>
      </c>
      <c r="H23" s="138">
        <v>0</v>
      </c>
      <c r="I23" s="136">
        <f t="shared" si="4"/>
        <v>1568</v>
      </c>
      <c r="J23" s="137"/>
      <c r="K23" s="36">
        <v>0</v>
      </c>
      <c r="L23" s="36">
        <f>+I23+K23</f>
        <v>1568</v>
      </c>
      <c r="M23" s="253">
        <v>3000</v>
      </c>
      <c r="N23" s="135">
        <f>L23-M23</f>
        <v>-1432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15549</v>
      </c>
      <c r="E29" s="40">
        <f t="shared" si="5"/>
        <v>1102.9659999999999</v>
      </c>
      <c r="F29" s="40">
        <f t="shared" si="5"/>
        <v>114.292</v>
      </c>
      <c r="G29" s="40">
        <f t="shared" si="5"/>
        <v>928</v>
      </c>
      <c r="H29" s="41">
        <f t="shared" si="5"/>
        <v>0</v>
      </c>
      <c r="I29" s="42">
        <f t="shared" si="5"/>
        <v>17694.258000000002</v>
      </c>
      <c r="J29" s="40">
        <f t="shared" si="5"/>
        <v>0</v>
      </c>
      <c r="K29" s="39">
        <f t="shared" si="5"/>
        <v>0</v>
      </c>
      <c r="L29" s="40">
        <f t="shared" si="5"/>
        <v>17694.258000000002</v>
      </c>
      <c r="M29" s="41">
        <f t="shared" si="5"/>
        <v>96188.75</v>
      </c>
      <c r="N29" s="41">
        <f t="shared" si="5"/>
        <v>-78494.491999999998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15549</v>
      </c>
      <c r="E33" s="40">
        <f>+E29+E31</f>
        <v>1102.9659999999999</v>
      </c>
      <c r="F33" s="40">
        <f>+F29+F31</f>
        <v>114.292</v>
      </c>
      <c r="G33" s="40">
        <f>+G29+G31</f>
        <v>428</v>
      </c>
      <c r="H33" s="41">
        <f>+H29+H31</f>
        <v>0</v>
      </c>
      <c r="I33" s="42">
        <f>SUM(I29:I31)</f>
        <v>17194.258000000002</v>
      </c>
      <c r="J33" s="40">
        <f>SUM(J29:J31)</f>
        <v>0</v>
      </c>
      <c r="K33" s="39">
        <f>+K29+K31</f>
        <v>0</v>
      </c>
      <c r="L33" s="40">
        <f>+L29+L31</f>
        <v>17194.258000000002</v>
      </c>
      <c r="M33" s="41">
        <f>+M29+M31</f>
        <v>95688.75</v>
      </c>
      <c r="N33" s="41">
        <f>SUM(N29:N31)</f>
        <v>-78494.491999999998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B6" sqref="B6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March 2,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131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G38" sqref="G38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March 2,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0</v>
      </c>
      <c r="D9" s="142">
        <f>+Expenses!E9-[1]Expenses!E9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B6" sqref="B6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March 2,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2001-03-05T13:26:06Z</cp:lastPrinted>
  <dcterms:created xsi:type="dcterms:W3CDTF">1999-10-18T12:36:30Z</dcterms:created>
  <dcterms:modified xsi:type="dcterms:W3CDTF">2023-09-17T00:02:25Z</dcterms:modified>
</cp:coreProperties>
</file>