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0E1C78-47A7-4A32-B9A9-B704A6CB5B9E}" xr6:coauthVersionLast="47" xr6:coauthVersionMax="47" xr10:uidLastSave="{00000000-0000-0000-0000-000000000000}"/>
  <bookViews>
    <workbookView xWindow="-120" yWindow="-120" windowWidth="38640" windowHeight="15720" tabRatio="675"/>
  </bookViews>
  <sheets>
    <sheet name="Summary Volume Stats" sheetId="13" r:id="rId1"/>
    <sheet name="Summary Bal. Sheet" sheetId="1" r:id="rId2"/>
    <sheet name="Summary Bal. Sheet (2)" sheetId="8" r:id="rId3"/>
    <sheet name="Summary Expense Info" sheetId="7" r:id="rId4"/>
  </sheets>
  <externalReferences>
    <externalReference r:id="rId5"/>
  </externalReferences>
  <definedNames>
    <definedName name="_xlnm.Print_Area" localSheetId="1">'Summary Bal. Sheet'!$A$1:$Z$98</definedName>
    <definedName name="_xlnm.Print_Area" localSheetId="2">'Summary Bal. Sheet (2)'!$A$1:$X$50</definedName>
    <definedName name="_xlnm.Print_Area" localSheetId="3">'Summary Expense Info'!$B$4:$W$54</definedName>
    <definedName name="_xlnm.Print_Area" localSheetId="0">'Summary Volume Stats'!$A$1:$W$55</definedName>
    <definedName name="_xlnm.Print_Titles" localSheetId="1">'Summary Bal. Sheet'!$1:$3</definedName>
  </definedNames>
  <calcPr calcId="0" fullCalcOnLoad="1"/>
</workbook>
</file>

<file path=xl/calcChain.xml><?xml version="1.0" encoding="utf-8"?>
<calcChain xmlns="http://schemas.openxmlformats.org/spreadsheetml/2006/main">
  <c r="D7" i="1" l="1"/>
  <c r="R7" i="1"/>
  <c r="D8" i="1"/>
  <c r="R8" i="1"/>
  <c r="D9" i="1"/>
  <c r="R9" i="1"/>
  <c r="D10" i="1"/>
  <c r="R10" i="1"/>
  <c r="D11" i="1"/>
  <c r="R11" i="1"/>
  <c r="D12" i="1"/>
  <c r="R12" i="1"/>
  <c r="D13" i="1"/>
  <c r="R13" i="1"/>
  <c r="D14" i="1"/>
  <c r="R14" i="1"/>
  <c r="D15" i="1"/>
  <c r="F15" i="1"/>
  <c r="H15" i="1"/>
  <c r="J15" i="1"/>
  <c r="L15" i="1"/>
  <c r="N15" i="1"/>
  <c r="R15" i="1"/>
  <c r="T15" i="1"/>
  <c r="V15" i="1"/>
  <c r="F54" i="1"/>
  <c r="F55" i="1"/>
  <c r="F57" i="1"/>
  <c r="F58" i="1"/>
  <c r="F60" i="1"/>
  <c r="F61" i="1"/>
  <c r="D62" i="1"/>
  <c r="F62" i="1"/>
  <c r="D66" i="1"/>
  <c r="F66" i="1"/>
  <c r="F67" i="1"/>
  <c r="D68" i="1"/>
  <c r="F68" i="1"/>
  <c r="D76" i="1"/>
  <c r="F76" i="1"/>
  <c r="H76" i="1"/>
  <c r="J76" i="1"/>
  <c r="L76" i="1"/>
  <c r="N76" i="1"/>
  <c r="P76" i="1"/>
  <c r="R76" i="1"/>
  <c r="T76" i="1"/>
  <c r="V76" i="1"/>
  <c r="X76" i="1"/>
  <c r="Z76" i="1"/>
  <c r="D77" i="1"/>
  <c r="F77" i="1"/>
  <c r="H77" i="1"/>
  <c r="J77" i="1"/>
  <c r="L77" i="1"/>
  <c r="N77" i="1"/>
  <c r="P77" i="1"/>
  <c r="R77" i="1"/>
  <c r="T77" i="1"/>
  <c r="Z77" i="1"/>
  <c r="D78" i="1"/>
  <c r="F78" i="1"/>
  <c r="H78" i="1"/>
  <c r="J78" i="1"/>
  <c r="L78" i="1"/>
  <c r="N78" i="1"/>
  <c r="P78" i="1"/>
  <c r="R78" i="1"/>
  <c r="T78" i="1"/>
  <c r="V78" i="1"/>
  <c r="X78" i="1"/>
  <c r="Z78" i="1"/>
  <c r="H102" i="1"/>
  <c r="H103" i="1"/>
  <c r="H104" i="1"/>
  <c r="F126" i="1"/>
  <c r="H126" i="1"/>
  <c r="J126" i="1"/>
  <c r="L126" i="1"/>
  <c r="N126" i="1"/>
  <c r="P126" i="1"/>
  <c r="R126" i="1"/>
  <c r="T126" i="1"/>
  <c r="V126" i="1"/>
  <c r="P15" i="8"/>
  <c r="R15" i="8"/>
  <c r="T15" i="8"/>
  <c r="V15" i="8"/>
  <c r="D17" i="8"/>
  <c r="D28" i="8"/>
  <c r="F28" i="8"/>
  <c r="H28" i="8"/>
  <c r="J28" i="8"/>
  <c r="L28" i="8"/>
  <c r="N28" i="8"/>
  <c r="P28" i="8"/>
  <c r="R28" i="8"/>
  <c r="T28" i="8"/>
  <c r="V28" i="8"/>
  <c r="W28" i="8"/>
  <c r="X28" i="8"/>
  <c r="G11" i="7"/>
  <c r="G12" i="7"/>
  <c r="I12" i="7"/>
  <c r="J12" i="7"/>
  <c r="K12" i="7"/>
  <c r="L12" i="7"/>
  <c r="M12" i="7"/>
  <c r="G13" i="7"/>
  <c r="I13" i="7"/>
  <c r="J13" i="7"/>
  <c r="K13" i="7"/>
  <c r="L13" i="7"/>
  <c r="M13" i="7"/>
  <c r="G14" i="7"/>
  <c r="I14" i="7"/>
  <c r="J14" i="7"/>
  <c r="K14" i="7"/>
  <c r="L14" i="7"/>
  <c r="M14" i="7"/>
  <c r="G15" i="7"/>
  <c r="I15" i="7"/>
  <c r="J15" i="7"/>
  <c r="K15" i="7"/>
  <c r="L15" i="7"/>
  <c r="M15" i="7"/>
  <c r="G16" i="7"/>
  <c r="I16" i="7"/>
  <c r="J16" i="7"/>
  <c r="K16" i="7"/>
  <c r="L16" i="7"/>
  <c r="M16" i="7"/>
  <c r="G17" i="7"/>
  <c r="I17" i="7"/>
  <c r="J17" i="7"/>
  <c r="K17" i="7"/>
  <c r="L17" i="7"/>
  <c r="M17" i="7"/>
  <c r="G18" i="7"/>
  <c r="I18" i="7"/>
  <c r="J18" i="7"/>
  <c r="K18" i="7"/>
  <c r="L18" i="7"/>
  <c r="M18" i="7"/>
  <c r="G19" i="7"/>
  <c r="I19" i="7"/>
  <c r="J19" i="7"/>
  <c r="K19" i="7"/>
  <c r="L19" i="7"/>
  <c r="M19" i="7"/>
  <c r="G20" i="7"/>
  <c r="I20" i="7"/>
  <c r="J20" i="7"/>
  <c r="K20" i="7"/>
  <c r="L20" i="7"/>
  <c r="M20" i="7"/>
  <c r="G21" i="7"/>
  <c r="I21" i="7"/>
  <c r="J21" i="7"/>
  <c r="K21" i="7"/>
  <c r="L21" i="7"/>
  <c r="M21" i="7"/>
  <c r="G22" i="7"/>
  <c r="G23" i="7"/>
  <c r="I23" i="7"/>
  <c r="J23" i="7"/>
  <c r="K23" i="7"/>
  <c r="L23" i="7"/>
  <c r="M23" i="7"/>
  <c r="G24" i="7"/>
  <c r="I24" i="7"/>
  <c r="J24" i="7"/>
  <c r="K24" i="7"/>
  <c r="L24" i="7"/>
  <c r="M24" i="7"/>
  <c r="G25" i="7"/>
  <c r="I25" i="7"/>
  <c r="J25" i="7"/>
  <c r="K25" i="7"/>
  <c r="L25" i="7"/>
  <c r="M25" i="7"/>
  <c r="G26" i="7"/>
  <c r="I26" i="7"/>
  <c r="J26" i="7"/>
  <c r="K26" i="7"/>
  <c r="L26" i="7"/>
  <c r="M26" i="7"/>
  <c r="G27" i="7"/>
  <c r="I27" i="7"/>
  <c r="J27" i="7"/>
  <c r="K27" i="7"/>
  <c r="L27" i="7"/>
  <c r="M27" i="7"/>
  <c r="G28" i="7"/>
  <c r="G29" i="7"/>
  <c r="K29" i="7"/>
  <c r="M29" i="7"/>
  <c r="E31" i="7"/>
  <c r="F31" i="7"/>
  <c r="G31" i="7"/>
  <c r="I31" i="7"/>
  <c r="J31" i="7"/>
  <c r="K31" i="7"/>
  <c r="L31" i="7"/>
  <c r="M31" i="7"/>
  <c r="E57" i="7"/>
  <c r="F57" i="7"/>
  <c r="I57" i="7"/>
  <c r="J57" i="7"/>
  <c r="E58" i="7"/>
  <c r="F58" i="7"/>
  <c r="I58" i="7"/>
  <c r="J58" i="7"/>
  <c r="Q26" i="13"/>
  <c r="S26" i="13"/>
  <c r="Q28" i="13"/>
  <c r="S28" i="13"/>
  <c r="Q29" i="13"/>
  <c r="S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Q30" i="13"/>
  <c r="S30" i="13"/>
  <c r="Q35" i="13"/>
  <c r="S35" i="13"/>
  <c r="Q37" i="13"/>
  <c r="S37" i="13"/>
  <c r="Q38" i="13"/>
  <c r="S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Q39" i="13"/>
  <c r="S39" i="13"/>
  <c r="Q45" i="13"/>
  <c r="S45" i="13"/>
  <c r="D47" i="13"/>
  <c r="E47" i="13"/>
  <c r="F47" i="13"/>
  <c r="G47" i="13"/>
  <c r="H47" i="13"/>
  <c r="I47" i="13"/>
  <c r="D48" i="13"/>
  <c r="E48" i="13"/>
  <c r="F48" i="13"/>
  <c r="G48" i="13"/>
  <c r="H48" i="13"/>
  <c r="I48" i="13"/>
  <c r="Q48" i="13"/>
  <c r="S48" i="13"/>
  <c r="D49" i="13"/>
  <c r="E49" i="13"/>
  <c r="F49" i="13"/>
  <c r="G49" i="13"/>
  <c r="H49" i="13"/>
  <c r="I49" i="13"/>
  <c r="D50" i="13"/>
  <c r="E50" i="13"/>
  <c r="F50" i="13"/>
  <c r="G50" i="13"/>
  <c r="H50" i="13"/>
  <c r="I50" i="13"/>
</calcChain>
</file>

<file path=xl/sharedStrings.xml><?xml version="1.0" encoding="utf-8"?>
<sst xmlns="http://schemas.openxmlformats.org/spreadsheetml/2006/main" count="287" uniqueCount="174">
  <si>
    <t>ENRON NORTH AMERICA - ENERGY OPERATIONS</t>
  </si>
  <si>
    <t>TRANSACTION COUNTS AND VOLUMETRIC INFORMATION FOR THE YEAR 2000</t>
  </si>
  <si>
    <t>% Increase</t>
  </si>
  <si>
    <t>Feb</t>
  </si>
  <si>
    <t>New Deals</t>
  </si>
  <si>
    <t>Active Deals</t>
  </si>
  <si>
    <t>Mar</t>
  </si>
  <si>
    <t>Apr</t>
  </si>
  <si>
    <t>Natural Gas - Houston</t>
  </si>
  <si>
    <t>Natural Gas - Calgary</t>
  </si>
  <si>
    <t>Power</t>
  </si>
  <si>
    <t>Total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</si>
  <si>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</si>
  <si>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</si>
  <si>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</si>
  <si>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</si>
  <si>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</si>
  <si>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</si>
  <si>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 xml:space="preserve">Coal </t>
  </si>
  <si>
    <t>Ton / day</t>
  </si>
  <si>
    <t>Pulp and Paper</t>
  </si>
  <si>
    <t>MT / day</t>
  </si>
  <si>
    <t>(a)  Financial Deals include Gas, Liquids, FX / Int, Weather and Pulp &amp; Paper.</t>
  </si>
  <si>
    <t>GENERAL LEDGER BALANCES AS OF JUNE 30, 2000</t>
  </si>
  <si>
    <t>ALL AMOUNTS IN MILLIONS</t>
  </si>
  <si>
    <t>A/R Balances as of June 30, 2000</t>
  </si>
  <si>
    <t>A/P Balances as of June 30, 2000</t>
  </si>
  <si>
    <t xml:space="preserve">Total </t>
  </si>
  <si>
    <t xml:space="preserve">Current </t>
  </si>
  <si>
    <t>1 - 30 Days</t>
  </si>
  <si>
    <t>31 - 60 Days</t>
  </si>
  <si>
    <t>61 - 90 Days</t>
  </si>
  <si>
    <t>Over 90 Days</t>
  </si>
  <si>
    <t>June 2000 Collection Rate %</t>
  </si>
  <si>
    <t>Current Month</t>
  </si>
  <si>
    <t>Greater Than 31 Days</t>
  </si>
  <si>
    <t>Natural Gas - Houston A/R</t>
  </si>
  <si>
    <t>Natural Gas - Houston A/P</t>
  </si>
  <si>
    <t>Coal</t>
  </si>
  <si>
    <t>Interest Rate / FX</t>
  </si>
  <si>
    <t>Non ENA Intercompany</t>
  </si>
  <si>
    <t>NOTES:</t>
  </si>
  <si>
    <t>The "Over 90 Days" balance for Natural Gas consists of the following: $4.7 million from North American Energy</t>
  </si>
  <si>
    <t>Conservation Inc. which is in bankruptcy, $7.9 million which is currently being actively pursued for collection and</t>
  </si>
  <si>
    <t>$12.1 million of accounts that are currently being reconciled with counterparties in order to collect outstanding balances.</t>
  </si>
  <si>
    <t>The "Over 90 Days" balance for Power consists of the following:  $9.3 million from Tennessee Valley Authority which</t>
  </si>
  <si>
    <t>is in litigation, $1.5 million that will be cleared after net-out entries between A/R and A/P are recorded in the July</t>
  </si>
  <si>
    <t>general ledger and $.2 million which is being actively pursued for collection.</t>
  </si>
  <si>
    <t>Interest Rate / FX consists of balances that will be cleared after net-out entries between A/R and A/P are recorded in the</t>
  </si>
  <si>
    <t>July general ledger.</t>
  </si>
  <si>
    <t>Gross Revenues</t>
  </si>
  <si>
    <t>April</t>
  </si>
  <si>
    <t>May</t>
  </si>
  <si>
    <t>Flash to Actual Adjustment</t>
  </si>
  <si>
    <t>Adj as a % of May Gross Revenue</t>
  </si>
  <si>
    <t>Imbalances</t>
  </si>
  <si>
    <t>March 2000</t>
  </si>
  <si>
    <t>April 2000</t>
  </si>
  <si>
    <t>May 2000</t>
  </si>
  <si>
    <t>Unaccounted For Balances</t>
  </si>
  <si>
    <t>Imbalance Receivable</t>
  </si>
  <si>
    <t>Imbalance Payable</t>
  </si>
  <si>
    <t>Net Imbalance Rec/(Pay)</t>
  </si>
  <si>
    <t xml:space="preserve">   Off-System</t>
  </si>
  <si>
    <t xml:space="preserve">   On-System</t>
  </si>
  <si>
    <t>Totals</t>
  </si>
  <si>
    <t>FLASH-TO-ACTUAL ADJUSTMENTS</t>
  </si>
  <si>
    <t>DETAIL OF GROSS REVENUES BY COMMODITY</t>
  </si>
  <si>
    <t>Gross Revenues June</t>
  </si>
  <si>
    <t>Flash to Actual Inc./(Loss) Adjustment</t>
  </si>
  <si>
    <t>Adj as % of Gross Revenues</t>
  </si>
  <si>
    <t>January</t>
  </si>
  <si>
    <t>February</t>
  </si>
  <si>
    <t>March</t>
  </si>
  <si>
    <t>June</t>
  </si>
  <si>
    <t>VOLUMETRIC IMBALANCES AND UNACCOUNTED FOR</t>
  </si>
  <si>
    <t>AMOUNTS IN  MMBtu's</t>
  </si>
  <si>
    <t>Unaccounted For</t>
  </si>
  <si>
    <t>Rec./(Pay.) per 3rd Party Pipeline Statement</t>
  </si>
  <si>
    <t>Rec./(Pay.) per General Ledger</t>
  </si>
  <si>
    <t>Favorable/ (Unfavorable) Difference to General Ledger</t>
  </si>
  <si>
    <t xml:space="preserve"> Asset / (Liability)</t>
  </si>
  <si>
    <t>Natural Gas Houston</t>
  </si>
  <si>
    <t xml:space="preserve">Off-System </t>
  </si>
  <si>
    <t xml:space="preserve">On-System </t>
  </si>
  <si>
    <t>Totals in MMBtu's</t>
  </si>
  <si>
    <t>(a) Includes SO2 activity</t>
  </si>
  <si>
    <t>(b) Includes Activity for Gas, Weather and Pulp and Paper.  Revenue represents the absolute dollar value of the receivables and payables recorded during the month.</t>
  </si>
  <si>
    <t>(c) Physical transactions only.</t>
  </si>
  <si>
    <t>(d) Flash-to-Actual adjustments for Natural Gas - Houston are recorded on a two-month lag along with adjustments from any previous production months.</t>
  </si>
  <si>
    <t>(e) Flash-to-Actual adjustments for Power are recorded on a one-month lag.</t>
  </si>
  <si>
    <t>TOT_OPS_EXPENSES</t>
  </si>
  <si>
    <t>ACTUAL</t>
  </si>
  <si>
    <t>PLAN2000</t>
  </si>
  <si>
    <t>M.MTD</t>
  </si>
  <si>
    <t>M.YTD</t>
  </si>
  <si>
    <t>ena</t>
  </si>
  <si>
    <t>TOTAL_HEADCOUNT</t>
  </si>
  <si>
    <t>YTD BUDGET COMPARISON</t>
  </si>
  <si>
    <t>AS OF JUNE 2000</t>
  </si>
  <si>
    <t>YTD EXPENSES AS OF JUNE 2000</t>
  </si>
  <si>
    <t>APRIL HEADCOUNT</t>
  </si>
  <si>
    <t>Group</t>
  </si>
  <si>
    <t>Owner</t>
  </si>
  <si>
    <t>Actual</t>
  </si>
  <si>
    <t>Plan</t>
  </si>
  <si>
    <t>Actual Greater than / (Less than)  Plan</t>
  </si>
  <si>
    <t>Adj Plan</t>
  </si>
  <si>
    <t>Actual Greater than / (Less than) Adj Plan</t>
  </si>
  <si>
    <t>Support Groups</t>
  </si>
  <si>
    <t>Natural Gas Operations</t>
  </si>
  <si>
    <t>Price</t>
  </si>
  <si>
    <t>LOGISTICS</t>
  </si>
  <si>
    <t xml:space="preserve"> </t>
  </si>
  <si>
    <t>Logistics</t>
  </si>
  <si>
    <t>Superty</t>
  </si>
  <si>
    <t>NAT_GAS</t>
  </si>
  <si>
    <t>Natural Gas</t>
  </si>
  <si>
    <t>TX_NAT_GAS</t>
  </si>
  <si>
    <t>Gas Assets Operations</t>
  </si>
  <si>
    <t>Herod</t>
  </si>
  <si>
    <t>PWR</t>
  </si>
  <si>
    <t>Power Operations</t>
  </si>
  <si>
    <t>Albrecht / Reeves</t>
  </si>
  <si>
    <t>FINANC</t>
  </si>
  <si>
    <t>Risk Mgmt &amp; Controls</t>
  </si>
  <si>
    <t>Moscoso / Perez</t>
  </si>
  <si>
    <t>MERCH_ASSET</t>
  </si>
  <si>
    <t>Merchant Assets</t>
  </si>
  <si>
    <t>Hall</t>
  </si>
  <si>
    <t>EQUITIES</t>
  </si>
  <si>
    <t>Financial Products Operations</t>
  </si>
  <si>
    <t>Glover</t>
  </si>
  <si>
    <t>EMRG_PRDTS</t>
  </si>
  <si>
    <t>Emerging Products Operations</t>
  </si>
  <si>
    <t>Earnest / Hall</t>
  </si>
  <si>
    <t>ENRON_ONLINE</t>
  </si>
  <si>
    <t>EOL Product Controls</t>
  </si>
  <si>
    <t>Thomas</t>
  </si>
  <si>
    <t>GBL_GRP</t>
  </si>
  <si>
    <t>Global Data Group</t>
  </si>
  <si>
    <t>Solmonson</t>
  </si>
  <si>
    <t>0120236.TOTAL</t>
  </si>
  <si>
    <t>Global Facilities on Co 012</t>
  </si>
  <si>
    <t>ENT_ACT</t>
  </si>
  <si>
    <t>Strategic Operations</t>
  </si>
  <si>
    <t>4442788.TOTAL</t>
  </si>
  <si>
    <t>Hedstrom</t>
  </si>
  <si>
    <t>ENG_OP_MGT</t>
  </si>
  <si>
    <t>Energy Ops Mgmt</t>
  </si>
  <si>
    <t>Beck</t>
  </si>
  <si>
    <t>CAP_WO_RC</t>
  </si>
  <si>
    <t>Capital WO RC's</t>
  </si>
  <si>
    <t>Management and Controls</t>
  </si>
  <si>
    <t>4131805.TOTAL</t>
  </si>
  <si>
    <t>Less:  Non-ENA Billings</t>
  </si>
  <si>
    <t>Total Energy Operations Expenses within ENA</t>
  </si>
  <si>
    <t>check:</t>
  </si>
  <si>
    <t>ENGY_OPS_W_ONLINETRD</t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</si>
  <si>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</si>
  <si>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Financial </t>
    </r>
    <r>
      <rPr>
        <vertAlign val="superscript"/>
        <sz val="10"/>
        <rFont val="Times New Roman"/>
        <family val="1"/>
      </rPr>
      <t>(a)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</si>
  <si>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</si>
  <si>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</si>
  <si>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</si>
  <si>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r>
      <t xml:space="preserve">Power </t>
    </r>
    <r>
      <rPr>
        <vertAlign val="superscript"/>
        <sz val="10"/>
        <rFont val="Times New Roman"/>
        <family val="1"/>
      </rPr>
      <t>(a)</t>
    </r>
  </si>
  <si>
    <r>
      <t xml:space="preserve">Power A/R </t>
    </r>
    <r>
      <rPr>
        <vertAlign val="superscript"/>
        <sz val="10"/>
        <rFont val="Times New Roman"/>
        <family val="1"/>
      </rPr>
      <t>(a)</t>
    </r>
  </si>
  <si>
    <r>
      <t xml:space="preserve">Power A/P </t>
    </r>
    <r>
      <rPr>
        <vertAlign val="superscript"/>
        <sz val="10"/>
        <rFont val="Times New Roman"/>
        <family val="1"/>
      </rPr>
      <t>(a)</t>
    </r>
  </si>
  <si>
    <r>
      <t>Financial</t>
    </r>
    <r>
      <rPr>
        <vertAlign val="superscript"/>
        <sz val="10"/>
        <rFont val="Times New Roman"/>
        <family val="1"/>
      </rPr>
      <t xml:space="preserve"> (b)</t>
    </r>
  </si>
  <si>
    <r>
      <t xml:space="preserve">Pulp and Paper </t>
    </r>
    <r>
      <rPr>
        <vertAlign val="superscript"/>
        <sz val="10"/>
        <rFont val="Times New Roman"/>
        <family val="1"/>
      </rPr>
      <t>(c)</t>
    </r>
  </si>
  <si>
    <r>
      <t xml:space="preserve">Financial </t>
    </r>
    <r>
      <rPr>
        <vertAlign val="superscript"/>
        <sz val="10"/>
        <rFont val="Times New Roman"/>
        <family val="1"/>
      </rPr>
      <t>(b)</t>
    </r>
  </si>
  <si>
    <r>
      <t>Pulp and Paper</t>
    </r>
    <r>
      <rPr>
        <vertAlign val="superscript"/>
        <sz val="10"/>
        <rFont val="Times New Roman"/>
        <family val="1"/>
      </rPr>
      <t xml:space="preserve"> (c)</t>
    </r>
  </si>
  <si>
    <r>
      <t xml:space="preserve">Gas </t>
    </r>
    <r>
      <rPr>
        <b/>
        <vertAlign val="superscript"/>
        <sz val="10"/>
        <rFont val="Times New Roman"/>
        <family val="1"/>
      </rPr>
      <t>(d)</t>
    </r>
  </si>
  <si>
    <r>
      <t xml:space="preserve">Power </t>
    </r>
    <r>
      <rPr>
        <b/>
        <vertAlign val="superscript"/>
        <sz val="10"/>
        <rFont val="Times New Roman"/>
        <family val="1"/>
      </rPr>
      <t>(e)</t>
    </r>
  </si>
  <si>
    <r>
      <t xml:space="preserve">Energy Ops Calgary </t>
    </r>
    <r>
      <rPr>
        <vertAlign val="superscript"/>
        <sz val="10"/>
        <rFont val="Times New Roman"/>
        <family val="1"/>
      </rPr>
      <t>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</si>
</sst>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3" formatCode="_(&quot;$&quot;* #,##0.0_);_(&quot;$&quot;* \(#,##0.0\);_(&quot;$&quot;* &quot;-&quot;??_);_(@_)"/>
    <numFmt numFmtId="174" formatCode="_(&quot;$&quot;* #,##0_);_(&quot;$&quot;* \(#,##0\);_(&quot;$&quot;* &quot;-&quot;??_);_(@_)"/>
    <numFmt numFmtId="175" formatCode="0.0%"/>
    <numFmt numFmtId="176" formatCode="0.000%"/>
    <numFmt numFmtId="177" formatCode="_(* #,##0.0_);_(* \(#,##0.0\);_(* &quot;-&quot;_);_(@_)"/>
    <numFmt numFmtId="180" formatCode="&quot;$&quot;#,##0.0"/>
    <numFmt numFmtId="181" formatCode="&quot;$&quot;#,##0.0_);\(&quot;$&quot;#,##0.0\)"/>
    <numFmt numFmtId="183" formatCode="#,##0.0_);\(#,##0.0\)"/>
    <numFmt numFmtId="184" formatCode="0_);\(0\)"/>
  </numFmts>
  <fonts count="19" x14ac:knownFonts="1">
    <font>
      <sz val="10"/>
      <name val="Times New Roman"/>
    </font>
    <font>
      <sz val="10"/>
      <name val="Times New Roman"/>
    </font>
    <font>
      <sz val="10"/>
      <name val="Arial"/>
    </font>
    <font>
      <b/>
      <sz val="10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vertAlign val="superscript"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sz val="10"/>
      <name val="Times New Roman"/>
      <family val="1"/>
    </font>
    <font>
      <b/>
      <sz val="10"/>
      <color indexed="48"/>
      <name val="Times New Roman"/>
      <family val="1"/>
    </font>
    <font>
      <b/>
      <vertAlign val="superscript"/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44" fontId="1" fillId="0" borderId="0" xfId="2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" fontId="8" fillId="0" borderId="0" xfId="2" quotePrefix="1" applyNumberFormat="1" applyFont="1" applyAlignment="1">
      <alignment horizontal="center"/>
    </xf>
    <xf numFmtId="17" fontId="1" fillId="0" borderId="1" xfId="2" applyNumberFormat="1" applyFont="1" applyBorder="1" applyAlignment="1">
      <alignment horizontal="center" wrapText="1"/>
    </xf>
    <xf numFmtId="44" fontId="1" fillId="0" borderId="0" xfId="2" applyFont="1" applyBorder="1" applyAlignment="1">
      <alignment horizontal="center" wrapText="1"/>
    </xf>
    <xf numFmtId="44" fontId="1" fillId="0" borderId="1" xfId="2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4" fontId="1" fillId="0" borderId="0" xfId="2" applyBorder="1"/>
    <xf numFmtId="165" fontId="1" fillId="0" borderId="0" xfId="1" applyNumberFormat="1"/>
    <xf numFmtId="165" fontId="1" fillId="0" borderId="0" xfId="1" applyNumberFormat="1" applyBorder="1"/>
    <xf numFmtId="9" fontId="1" fillId="0" borderId="0" xfId="4"/>
    <xf numFmtId="0" fontId="0" fillId="0" borderId="0" xfId="0" applyAlignment="1">
      <alignment horizontal="right"/>
    </xf>
    <xf numFmtId="165" fontId="1" fillId="0" borderId="2" xfId="1" applyNumberFormat="1" applyBorder="1"/>
    <xf numFmtId="41" fontId="1" fillId="0" borderId="2" xfId="1" applyNumberFormat="1" applyBorder="1"/>
    <xf numFmtId="9" fontId="1" fillId="0" borderId="2" xfId="4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164" fontId="1" fillId="0" borderId="3" xfId="1" applyNumberFormat="1" applyBorder="1"/>
    <xf numFmtId="164" fontId="1" fillId="0" borderId="0" xfId="1" applyNumberFormat="1" applyFont="1"/>
    <xf numFmtId="0" fontId="12" fillId="0" borderId="0" xfId="0" applyFont="1"/>
    <xf numFmtId="0" fontId="1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44" fontId="3" fillId="0" borderId="1" xfId="2" applyFont="1" applyBorder="1" applyAlignment="1">
      <alignment horizontal="center" wrapText="1"/>
    </xf>
    <xf numFmtId="181" fontId="1" fillId="0" borderId="0" xfId="2" applyNumberFormat="1"/>
    <xf numFmtId="180" fontId="1" fillId="0" borderId="0" xfId="2" applyNumberFormat="1"/>
    <xf numFmtId="184" fontId="14" fillId="0" borderId="0" xfId="1" applyNumberFormat="1" applyFont="1" applyBorder="1" applyAlignment="1">
      <alignment horizontal="left"/>
    </xf>
    <xf numFmtId="175" fontId="1" fillId="0" borderId="0" xfId="4" applyNumberFormat="1"/>
    <xf numFmtId="183" fontId="1" fillId="0" borderId="0" xfId="2" applyNumberFormat="1"/>
    <xf numFmtId="183" fontId="1" fillId="0" borderId="0" xfId="1" applyNumberFormat="1"/>
    <xf numFmtId="177" fontId="1" fillId="0" borderId="0" xfId="1" applyNumberFormat="1"/>
    <xf numFmtId="43" fontId="1" fillId="0" borderId="0" xfId="1"/>
    <xf numFmtId="41" fontId="1" fillId="0" borderId="0" xfId="1" applyNumberFormat="1"/>
    <xf numFmtId="177" fontId="1" fillId="0" borderId="0" xfId="1" applyNumberFormat="1" applyFont="1"/>
    <xf numFmtId="175" fontId="13" fillId="0" borderId="0" xfId="4" applyNumberFormat="1" applyFont="1"/>
    <xf numFmtId="181" fontId="1" fillId="0" borderId="2" xfId="2" applyNumberFormat="1" applyBorder="1"/>
    <xf numFmtId="181" fontId="1" fillId="0" borderId="2" xfId="1" applyNumberFormat="1" applyBorder="1"/>
    <xf numFmtId="9" fontId="1" fillId="0" borderId="0" xfId="4" applyBorder="1"/>
    <xf numFmtId="43" fontId="1" fillId="0" borderId="0" xfId="1" applyBorder="1"/>
    <xf numFmtId="44" fontId="3" fillId="0" borderId="4" xfId="2" applyFont="1" applyBorder="1"/>
    <xf numFmtId="44" fontId="3" fillId="0" borderId="5" xfId="2" applyFont="1" applyBorder="1"/>
    <xf numFmtId="44" fontId="1" fillId="0" borderId="5" xfId="2" applyBorder="1"/>
    <xf numFmtId="0" fontId="0" fillId="0" borderId="5" xfId="0" applyBorder="1"/>
    <xf numFmtId="0" fontId="0" fillId="0" borderId="6" xfId="0" applyBorder="1"/>
    <xf numFmtId="165" fontId="14" fillId="0" borderId="7" xfId="1" applyNumberFormat="1" applyFont="1" applyBorder="1" applyAlignment="1">
      <alignment horizontal="right"/>
    </xf>
    <xf numFmtId="44" fontId="13" fillId="0" borderId="0" xfId="2" applyFont="1" applyBorder="1"/>
    <xf numFmtId="0" fontId="0" fillId="0" borderId="8" xfId="0" applyBorder="1"/>
    <xf numFmtId="44" fontId="1" fillId="0" borderId="0" xfId="2" applyFont="1" applyBorder="1"/>
    <xf numFmtId="43" fontId="1" fillId="0" borderId="0" xfId="1" applyFont="1" applyBorder="1"/>
    <xf numFmtId="44" fontId="1" fillId="0" borderId="0" xfId="2" applyFont="1" applyBorder="1" applyAlignment="1">
      <alignment horizontal="left"/>
    </xf>
    <xf numFmtId="0" fontId="0" fillId="0" borderId="0" xfId="0" applyBorder="1" applyAlignment="1">
      <alignment horizontal="right"/>
    </xf>
    <xf numFmtId="165" fontId="14" fillId="0" borderId="9" xfId="1" applyNumberFormat="1" applyFont="1" applyBorder="1" applyAlignment="1">
      <alignment horizontal="right"/>
    </xf>
    <xf numFmtId="43" fontId="1" fillId="0" borderId="1" xfId="1" applyFont="1" applyBorder="1"/>
    <xf numFmtId="43" fontId="1" fillId="0" borderId="1" xfId="1" applyBorder="1"/>
    <xf numFmtId="44" fontId="1" fillId="0" borderId="1" xfId="2" applyBorder="1"/>
    <xf numFmtId="0" fontId="0" fillId="0" borderId="1" xfId="0" applyBorder="1"/>
    <xf numFmtId="0" fontId="0" fillId="0" borderId="10" xfId="0" applyBorder="1"/>
    <xf numFmtId="0" fontId="3" fillId="0" borderId="0" xfId="0" applyFont="1" applyBorder="1" applyAlignment="1">
      <alignment horizontal="center" wrapText="1"/>
    </xf>
    <xf numFmtId="176" fontId="1" fillId="0" borderId="0" xfId="4" applyNumberFormat="1" applyBorder="1"/>
    <xf numFmtId="7" fontId="1" fillId="0" borderId="0" xfId="2" applyNumberFormat="1"/>
    <xf numFmtId="39" fontId="1" fillId="0" borderId="0" xfId="1" applyNumberFormat="1"/>
    <xf numFmtId="176" fontId="1" fillId="0" borderId="0" xfId="4" applyNumberFormat="1"/>
    <xf numFmtId="7" fontId="1" fillId="0" borderId="2" xfId="2" applyNumberFormat="1" applyBorder="1"/>
    <xf numFmtId="44" fontId="1" fillId="0" borderId="2" xfId="2" applyBorder="1"/>
    <xf numFmtId="175" fontId="1" fillId="0" borderId="2" xfId="4" applyNumberFormat="1" applyBorder="1"/>
    <xf numFmtId="165" fontId="1" fillId="0" borderId="0" xfId="1" quotePrefix="1" applyNumberFormat="1" applyFont="1" applyBorder="1" applyAlignment="1">
      <alignment horizontal="center"/>
    </xf>
    <xf numFmtId="165" fontId="3" fillId="0" borderId="0" xfId="1" quotePrefix="1" applyNumberFormat="1" applyFont="1" applyBorder="1" applyAlignment="1">
      <alignment horizontal="center"/>
    </xf>
    <xf numFmtId="17" fontId="0" fillId="0" borderId="1" xfId="0" quotePrefix="1" applyNumberFormat="1" applyBorder="1" applyAlignment="1">
      <alignment horizontal="center" wrapText="1"/>
    </xf>
    <xf numFmtId="17" fontId="1" fillId="0" borderId="1" xfId="2" quotePrefix="1" applyNumberFormat="1" applyFont="1" applyBorder="1" applyAlignment="1">
      <alignment horizontal="center" wrapText="1"/>
    </xf>
    <xf numFmtId="181" fontId="1" fillId="0" borderId="0" xfId="1" applyNumberFormat="1"/>
    <xf numFmtId="181" fontId="1" fillId="0" borderId="0" xfId="1" applyNumberFormat="1" applyBorder="1"/>
    <xf numFmtId="181" fontId="0" fillId="0" borderId="0" xfId="0" applyNumberFormat="1"/>
    <xf numFmtId="183" fontId="1" fillId="0" borderId="0" xfId="2" applyNumberFormat="1" applyBorder="1"/>
    <xf numFmtId="183" fontId="0" fillId="0" borderId="0" xfId="0" applyNumberFormat="1"/>
    <xf numFmtId="183" fontId="1" fillId="0" borderId="0" xfId="1" applyNumberFormat="1" applyBorder="1"/>
    <xf numFmtId="181" fontId="1" fillId="0" borderId="0" xfId="2" applyNumberFormat="1" applyBorder="1"/>
    <xf numFmtId="17" fontId="1" fillId="0" borderId="0" xfId="1" applyNumberFormat="1" applyBorder="1"/>
    <xf numFmtId="17" fontId="0" fillId="0" borderId="0" xfId="0" applyNumberFormat="1"/>
    <xf numFmtId="7" fontId="3" fillId="0" borderId="1" xfId="2" applyNumberFormat="1" applyFont="1" applyBorder="1" applyAlignment="1">
      <alignment horizontal="center" wrapText="1"/>
    </xf>
    <xf numFmtId="175" fontId="3" fillId="0" borderId="1" xfId="4" applyNumberFormat="1" applyFont="1" applyBorder="1" applyAlignment="1">
      <alignment horizontal="center" wrapText="1"/>
    </xf>
    <xf numFmtId="0" fontId="0" fillId="0" borderId="0" xfId="0" applyAlignment="1"/>
    <xf numFmtId="173" fontId="1" fillId="0" borderId="0" xfId="2" applyNumberFormat="1" applyBorder="1"/>
    <xf numFmtId="10" fontId="1" fillId="0" borderId="0" xfId="4" applyNumberFormat="1" applyBorder="1"/>
    <xf numFmtId="164" fontId="1" fillId="0" borderId="0" xfId="1" applyNumberFormat="1" applyBorder="1"/>
    <xf numFmtId="173" fontId="1" fillId="0" borderId="2" xfId="2" applyNumberFormat="1" applyBorder="1"/>
    <xf numFmtId="10" fontId="1" fillId="0" borderId="2" xfId="4" applyNumberFormat="1" applyBorder="1"/>
    <xf numFmtId="7" fontId="1" fillId="0" borderId="0" xfId="2" applyNumberFormat="1" applyBorder="1"/>
    <xf numFmtId="175" fontId="1" fillId="0" borderId="0" xfId="4" applyNumberFormat="1" applyBorder="1"/>
    <xf numFmtId="0" fontId="13" fillId="0" borderId="3" xfId="0" applyFont="1" applyBorder="1" applyAlignment="1">
      <alignment horizontal="center"/>
    </xf>
    <xf numFmtId="0" fontId="0" fillId="0" borderId="0" xfId="0" applyAlignment="1">
      <alignment horizontal="left" indent="2"/>
    </xf>
    <xf numFmtId="164" fontId="1" fillId="0" borderId="2" xfId="1" applyNumberFormat="1" applyBorder="1"/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0" fillId="0" borderId="0" xfId="0" applyNumberFormat="1"/>
    <xf numFmtId="0" fontId="17" fillId="0" borderId="0" xfId="3" applyFont="1"/>
    <xf numFmtId="38" fontId="17" fillId="0" borderId="0" xfId="3" applyNumberFormat="1" applyFont="1"/>
    <xf numFmtId="14" fontId="17" fillId="0" borderId="0" xfId="3" applyNumberFormat="1" applyFont="1"/>
    <xf numFmtId="0" fontId="3" fillId="0" borderId="0" xfId="0" applyFont="1" applyAlignment="1">
      <alignment horizontal="center" wrapText="1"/>
    </xf>
    <xf numFmtId="174" fontId="0" fillId="0" borderId="0" xfId="0" applyNumberFormat="1"/>
    <xf numFmtId="174" fontId="1" fillId="0" borderId="0" xfId="2" applyNumberFormat="1"/>
    <xf numFmtId="41" fontId="0" fillId="0" borderId="0" xfId="0" applyNumberFormat="1" applyBorder="1"/>
    <xf numFmtId="41" fontId="13" fillId="0" borderId="0" xfId="1" applyNumberFormat="1" applyFont="1" applyBorder="1"/>
    <xf numFmtId="41" fontId="0" fillId="0" borderId="0" xfId="0" applyNumberFormat="1"/>
    <xf numFmtId="165" fontId="0" fillId="0" borderId="0" xfId="0" applyNumberFormat="1"/>
    <xf numFmtId="0" fontId="0" fillId="0" borderId="0" xfId="0" quotePrefix="1"/>
    <xf numFmtId="41" fontId="0" fillId="0" borderId="0" xfId="0" applyNumberFormat="1" applyBorder="1" applyAlignment="1"/>
    <xf numFmtId="174" fontId="1" fillId="0" borderId="2" xfId="2" applyNumberFormat="1" applyBorder="1"/>
    <xf numFmtId="165" fontId="0" fillId="0" borderId="2" xfId="0" applyNumberFormat="1" applyBorder="1"/>
    <xf numFmtId="43" fontId="0" fillId="0" borderId="0" xfId="0" applyNumberFormat="1"/>
    <xf numFmtId="0" fontId="18" fillId="0" borderId="0" xfId="0" applyFont="1"/>
    <xf numFmtId="17" fontId="8" fillId="0" borderId="0" xfId="2" applyNumberFormat="1" applyFont="1" applyAlignment="1">
      <alignment horizontal="center"/>
    </xf>
    <xf numFmtId="17" fontId="8" fillId="0" borderId="0" xfId="2" quotePrefix="1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44" fontId="1" fillId="0" borderId="0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165" fontId="3" fillId="0" borderId="1" xfId="1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7" fontId="3" fillId="0" borderId="1" xfId="2" applyNumberFormat="1" applyFont="1" applyBorder="1" applyAlignment="1">
      <alignment horizontal="center"/>
    </xf>
    <xf numFmtId="7" fontId="3" fillId="0" borderId="0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Monthly Headcount Comparison - Budget vs Actual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62894083764821"/>
          <c:y val="0.352977505631371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Volume Stats'!#REF!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C99-4678-BB59-23806FCFF96E}"/>
              </c:ext>
            </c:extLst>
          </c:dPt>
          <c:cat>
            <c:numRef>
              <c:f>('Summary Volume Stats'!#REF!,'Summary Volume Stats'!#REF!,'Summary Volume Stats'!#REF!,'Summary Volume Stats'!#REF!)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Volume Stats'!#REF!,'Summary Volume Stats'!#REF!,'Summary Volume Stats'!#REF!,'Summary Volume Stats'!#REF!)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9-4678-BB59-23806FCF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ENA A/R Balances as of May 31, 2000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4FA-4B2C-A7DC-156C88F53FB5}"/>
              </c:ext>
            </c:extLst>
          </c:dPt>
          <c:dPt>
            <c:idx val="4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4FA-4B2C-A7DC-156C88F53FB5}"/>
              </c:ext>
            </c:extLst>
          </c:dPt>
          <c:dLbls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FA-4B2C-A7DC-156C88F53FB5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A-4B2C-A7DC-156C88F53FB5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FA-4B2C-A7DC-156C88F53FB5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FA-4B2C-A7DC-156C88F53FB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2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('Summary Bal. Sheet (2)'!#REF!,'Summary Bal. Sheet (2)'!#REF!,'Summary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A-4B2C-A7DC-156C88F53F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May 31, 2000 - Houston Gas and 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7-4A11-93D6-BA31477C4008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7-4A11-93D6-BA31477C4008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7-4A11-93D6-BA31477C4008}"/>
            </c:ext>
          </c:extLst>
        </c:ser>
        <c:ser>
          <c:idx val="3"/>
          <c:order val="3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7-4A11-93D6-BA31477C4008}"/>
            </c:ext>
          </c:extLst>
        </c:ser>
        <c:ser>
          <c:idx val="4"/>
          <c:order val="4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27-4A11-93D6-BA31477C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859280"/>
        <c:axId val="1"/>
      </c:barChart>
      <c:catAx>
        <c:axId val="79185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185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May 31, 2000 - All Others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3-4596-9733-D8653950A2F2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3-4596-9733-D8653950A2F2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3-4596-9733-D8653950A2F2}"/>
            </c:ext>
          </c:extLst>
        </c:ser>
        <c:ser>
          <c:idx val="3"/>
          <c:order val="3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3-4596-9733-D8653950A2F2}"/>
            </c:ext>
          </c:extLst>
        </c:ser>
        <c:ser>
          <c:idx val="4"/>
          <c:order val="4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3-4596-9733-D8653950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860240"/>
        <c:axId val="1"/>
      </c:barChart>
      <c:catAx>
        <c:axId val="79186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2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186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Imbalances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E-4C03-953E-B231B8BF30C2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E-4C03-953E-B231B8BF30C2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E-4C03-953E-B231B8BF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58320"/>
        <c:axId val="1"/>
      </c:lineChart>
      <c:dateAx>
        <c:axId val="791858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150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185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Unaccounted For 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756-9282-3EF28E420944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756-9282-3EF28E420944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756-9282-3EF28E420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96912"/>
        <c:axId val="1"/>
      </c:lineChart>
      <c:dateAx>
        <c:axId val="788396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8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839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410354724918382"/>
          <c:y val="4.22537148516122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59285354333665E-2"/>
          <c:y val="0.24413257469820412"/>
          <c:w val="0.40384741789180778"/>
          <c:h val="0.59155200792257157"/>
        </c:manualLayout>
      </c:layout>
      <c:pieChart>
        <c:varyColors val="1"/>
        <c:ser>
          <c:idx val="0"/>
          <c:order val="0"/>
          <c:tx>
            <c:strRef>
              <c:f>'Summary Bal. Sheet (2)'!$D$7:$D$8</c:f>
              <c:strCache>
                <c:ptCount val="2"/>
                <c:pt idx="0">
                  <c:v>Gross Revenues June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6BD-4C9C-8684-D81570386BA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BD-4C9C-8684-D81570386BA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BD-4C9C-8684-D81570386BA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BD-4C9C-8684-D81570386BA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BD-4C9C-8684-D81570386BA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BD-4C9C-8684-D81570386BA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6BD-4C9C-8684-D81570386BAC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BD-4C9C-8684-D81570386BAC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8.9743870642623957E-2"/>
                  <c:y val="0.1924891454351224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BD-4C9C-8684-D81570386BA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9.6154147117097091E-2"/>
                  <c:y val="0.1314560017605714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BD-4C9C-8684-D81570386BA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22115453836932333"/>
                  <c:y val="0.136150858966306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BD-4C9C-8684-D81570386BA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2692410019813012"/>
                  <c:y val="0.1267611445548367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BD-4C9C-8684-D81570386BAC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'Summary Bal. Sheet (2)'!$B$9:$B$16</c:f>
              <c:strCache>
                <c:ptCount val="8"/>
                <c:pt idx="0">
                  <c:v>Natural Gas - Houston</c:v>
                </c:pt>
                <c:pt idx="1">
                  <c:v>Natural Gas - Calgary</c:v>
                </c:pt>
                <c:pt idx="2">
                  <c:v>Power (a)</c:v>
                </c:pt>
                <c:pt idx="3">
                  <c:v>Financial (b)</c:v>
                </c:pt>
                <c:pt idx="4">
                  <c:v>Coal</c:v>
                </c:pt>
                <c:pt idx="5">
                  <c:v>Pulp and Paper (c)</c:v>
                </c:pt>
                <c:pt idx="6">
                  <c:v>Interest Rate / FX</c:v>
                </c:pt>
                <c:pt idx="7">
                  <c:v>Non ENA Intercompany</c:v>
                </c:pt>
              </c:strCache>
            </c:strRef>
          </c:cat>
          <c:val>
            <c:numRef>
              <c:f>'Summary Bal. Sheet (2)'!$D$9:$D$16</c:f>
              <c:numCache>
                <c:formatCode>#,##0.0_);\(#,##0.0\)</c:formatCode>
                <c:ptCount val="8"/>
                <c:pt idx="0" formatCode="&quot;$&quot;#,##0.0_);\(&quot;$&quot;#,##0.0\)">
                  <c:v>2352.20274763</c:v>
                </c:pt>
                <c:pt idx="1">
                  <c:v>515.80006414000002</c:v>
                </c:pt>
                <c:pt idx="2">
                  <c:v>1938.0203174600001</c:v>
                </c:pt>
                <c:pt idx="3">
                  <c:v>1073.7228150000001</c:v>
                </c:pt>
                <c:pt idx="4">
                  <c:v>17.56902071</c:v>
                </c:pt>
                <c:pt idx="5">
                  <c:v>2.786403</c:v>
                </c:pt>
                <c:pt idx="6">
                  <c:v>342.04739691000003</c:v>
                </c:pt>
                <c:pt idx="7">
                  <c:v>41.391401389999999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BD-4C9C-8684-D81570386B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820709449836765"/>
          <c:y val="0.23943771749246942"/>
          <c:w val="0.35897548257049583"/>
          <c:h val="0.64319543718565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Off-System Imbalances</a:t>
            </a:r>
          </a:p>
        </c:rich>
      </c:tx>
      <c:layout>
        <c:manualLayout>
          <c:xMode val="edge"/>
          <c:yMode val="edge"/>
          <c:x val="0.35763137727721173"/>
          <c:y val="3.8793185094762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5115680519114"/>
          <c:y val="0.21551769497090301"/>
          <c:w val="0.51708485759189204"/>
          <c:h val="0.59482883811969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Bal. Sheet (2)'!$D$24</c:f>
              <c:strCache>
                <c:ptCount val="1"/>
                <c:pt idx="0">
                  <c:v>Rec./(Pay.) per 3rd Party Pipeline Statement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(2)'!$D$26,'Summary Bal. Sheet (2)'!$J$26,'Summary Bal. Sheet (2)'!$P$26)</c:f>
              <c:numCache>
                <c:formatCode>_(* #,##0.0_);_(* \(#,##0.0\);_(* "-"??_);_(@_)</c:formatCode>
                <c:ptCount val="3"/>
                <c:pt idx="0">
                  <c:v>12.136839999999999</c:v>
                </c:pt>
                <c:pt idx="1">
                  <c:v>6.866079</c:v>
                </c:pt>
                <c:pt idx="2">
                  <c:v>-1.4358839999999999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447-BE85-90C8F7CE187E}"/>
            </c:ext>
          </c:extLst>
        </c:ser>
        <c:ser>
          <c:idx val="1"/>
          <c:order val="1"/>
          <c:tx>
            <c:strRef>
              <c:f>'Summary Bal. Sheet (2)'!$F$24</c:f>
              <c:strCache>
                <c:ptCount val="1"/>
                <c:pt idx="0">
                  <c:v>Rec./(Pay.) per General Ledger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(2)'!$F$26,'Summary Bal. Sheet (2)'!$L$26,'Summary Bal. Sheet (2)'!$R$26)</c:f>
              <c:numCache>
                <c:formatCode>_(* #,##0.0_);_(* \(#,##0.0\);_(* "-"??_);_(@_)</c:formatCode>
                <c:ptCount val="3"/>
                <c:pt idx="0">
                  <c:v>-1.775558</c:v>
                </c:pt>
                <c:pt idx="1">
                  <c:v>-3.114862</c:v>
                </c:pt>
                <c:pt idx="2">
                  <c:v>1.4434290000000001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447-BE85-90C8F7CE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399792"/>
        <c:axId val="1"/>
      </c:barChart>
      <c:dateAx>
        <c:axId val="78839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(in millions)</a:t>
                </a:r>
              </a:p>
            </c:rich>
          </c:tx>
          <c:layout>
            <c:manualLayout>
              <c:xMode val="edge"/>
              <c:yMode val="edge"/>
              <c:x val="1.1389534308191455E-2"/>
              <c:y val="0.3620697275511170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839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64996535312561"/>
          <c:y val="0.38793185094762539"/>
          <c:w val="0.29840579887461616"/>
          <c:h val="0.318966188556936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On-System Imbalances</a:t>
            </a:r>
          </a:p>
        </c:rich>
      </c:tx>
      <c:layout>
        <c:manualLayout>
          <c:xMode val="edge"/>
          <c:yMode val="edge"/>
          <c:x val="0.35461074775309304"/>
          <c:y val="3.9130434782608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5208414617534"/>
          <c:y val="0.19130434782608696"/>
          <c:w val="0.5082754051127667"/>
          <c:h val="0.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Bal. Sheet (2)'!$D$24</c:f>
              <c:strCache>
                <c:ptCount val="1"/>
                <c:pt idx="0">
                  <c:v>Rec./(Pay.) per 3rd Party Pipeline Statement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(2)'!$D$27,'Summary Bal. Sheet (2)'!$J$27,'Summary Bal. Sheet (2)'!$P$27)</c:f>
              <c:numCache>
                <c:formatCode>_(* #,##0.0_);_(* \(#,##0.0\);_(* "-"??_);_(@_)</c:formatCode>
                <c:ptCount val="3"/>
                <c:pt idx="0">
                  <c:v>8.2257879999999997</c:v>
                </c:pt>
                <c:pt idx="1">
                  <c:v>8.5630769999999998</c:v>
                </c:pt>
                <c:pt idx="2">
                  <c:v>-0.58588799999999996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F-4948-ACFA-A9CC3A9B6D3E}"/>
            </c:ext>
          </c:extLst>
        </c:ser>
        <c:ser>
          <c:idx val="1"/>
          <c:order val="1"/>
          <c:tx>
            <c:strRef>
              <c:f>'Summary Bal. Sheet (2)'!$F$24</c:f>
              <c:strCache>
                <c:ptCount val="1"/>
                <c:pt idx="0">
                  <c:v>Rec./(Pay.) per General Ledger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(2)'!$F$27,'Summary Bal. Sheet (2)'!$L$27,'Summary Bal. Sheet (2)'!$R$27)</c:f>
              <c:numCache>
                <c:formatCode>_(* #,##0.0_);_(* \(#,##0.0\);_(* "-"??_);_(@_)</c:formatCode>
                <c:ptCount val="3"/>
                <c:pt idx="0">
                  <c:v>6.1400639999999997</c:v>
                </c:pt>
                <c:pt idx="1">
                  <c:v>5.0084759999999999</c:v>
                </c:pt>
                <c:pt idx="2">
                  <c:v>-2.1451699999999998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F-4948-ACFA-A9CC3A9B6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400272"/>
        <c:axId val="1"/>
      </c:barChart>
      <c:dateAx>
        <c:axId val="788400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(in millions)</a:t>
                </a:r>
              </a:p>
            </c:rich>
          </c:tx>
          <c:layout>
            <c:manualLayout>
              <c:xMode val="edge"/>
              <c:yMode val="edge"/>
              <c:x val="1.1820358258436435E-2"/>
              <c:y val="0.326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840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39634907918944"/>
          <c:y val="0.31739130434782609"/>
          <c:w val="0.29550895646091085"/>
          <c:h val="0.404347826086956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June 2000 YTD Expenses Variance to Plan</a:t>
            </a:r>
          </a:p>
        </c:rich>
      </c:tx>
      <c:layout>
        <c:manualLayout>
          <c:xMode val="edge"/>
          <c:yMode val="edge"/>
          <c:x val="0.24768968750874348"/>
          <c:y val="4.5751779998276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7130131132066"/>
          <c:y val="0.18300711999310659"/>
          <c:w val="0.54898385962758822"/>
          <c:h val="0.7451004171147911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'Summary Expense Info'!$G$9</c:f>
              <c:strCache>
                <c:ptCount val="1"/>
                <c:pt idx="0">
                  <c:v>Actual Greater than / (Less than)  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CC-469B-9183-D7BF1DADAFF9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CC-469B-9183-D7BF1DADAFF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CC-469B-9183-D7BF1DADAFF9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CC-469B-9183-D7BF1DADAFF9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CC-469B-9183-D7BF1DADAFF9}"/>
              </c:ext>
            </c:extLst>
          </c:dPt>
          <c:dPt>
            <c:idx val="5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CC-469B-9183-D7BF1DADAFF9}"/>
              </c:ext>
            </c:extLst>
          </c:dPt>
          <c:dPt>
            <c:idx val="6"/>
            <c:invertIfNegative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0CC-469B-9183-D7BF1DADAFF9}"/>
              </c:ext>
            </c:extLst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CC-469B-9183-D7BF1DADAFF9}"/>
              </c:ext>
            </c:extLst>
          </c:dPt>
          <c:dPt>
            <c:idx val="8"/>
            <c:invertIfNegative val="0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0CC-469B-9183-D7BF1DADAFF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0CC-469B-9183-D7BF1DADAFF9}"/>
              </c:ext>
            </c:extLst>
          </c:dPt>
          <c:cat>
            <c:strRef>
              <c:f>'Summary Expense Info'!$C$11:$C$28</c:f>
              <c:strCache>
                <c:ptCount val="10"/>
                <c:pt idx="0">
                  <c:v>Natural Gas Operations</c:v>
                </c:pt>
                <c:pt idx="1">
                  <c:v>Gas Assets Operations</c:v>
                </c:pt>
                <c:pt idx="2">
                  <c:v>Power Operations</c:v>
                </c:pt>
                <c:pt idx="3">
                  <c:v>Merchant Assets</c:v>
                </c:pt>
                <c:pt idx="4">
                  <c:v>Financial Products Operations</c:v>
                </c:pt>
                <c:pt idx="5">
                  <c:v>Emerging Products Operations</c:v>
                </c:pt>
                <c:pt idx="6">
                  <c:v>EOL Product Controls</c:v>
                </c:pt>
                <c:pt idx="7">
                  <c:v>Global Data Group</c:v>
                </c:pt>
                <c:pt idx="8">
                  <c:v>Energy Ops Calgary (a)</c:v>
                </c:pt>
                <c:pt idx="9">
                  <c:v>Management and Controls</c:v>
                </c:pt>
              </c:strCache>
            </c:strRef>
          </c:cat>
          <c:val>
            <c:numRef>
              <c:f>'Summary Expense Info'!$G$11:$G$28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306128.80899999989</c:v>
                </c:pt>
                <c:pt idx="1">
                  <c:v>128692.33367916662</c:v>
                </c:pt>
                <c:pt idx="2">
                  <c:v>-92726.725000000093</c:v>
                </c:pt>
                <c:pt idx="3">
                  <c:v>-248813</c:v>
                </c:pt>
                <c:pt idx="4">
                  <c:v>-166820</c:v>
                </c:pt>
                <c:pt idx="5">
                  <c:v>-372707.01616666652</c:v>
                </c:pt>
                <c:pt idx="6">
                  <c:v>-257305.25</c:v>
                </c:pt>
                <c:pt idx="7">
                  <c:v>-269084.6189499998</c:v>
                </c:pt>
                <c:pt idx="8">
                  <c:v>59078</c:v>
                </c:pt>
                <c:pt idx="9">
                  <c:v>-690786.13500000001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C-469B-9183-D7BF1DAD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394512"/>
        <c:axId val="1"/>
      </c:barChart>
      <c:catAx>
        <c:axId val="78839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20000"/>
          <c:min val="-7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8394512"/>
        <c:crosses val="autoZero"/>
        <c:crossBetween val="between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10045245029862"/>
          <c:y val="0.22222293142020086"/>
          <c:w val="0.28650672808847194"/>
          <c:h val="0.62745298283350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APRIL HEADCOUNT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Expense Info'!$J$9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Info'!$J$12:$J$26</c:f>
            </c:numRef>
          </c:val>
          <c:extLst>
            <c:ext xmlns:c16="http://schemas.microsoft.com/office/drawing/2014/chart" uri="{C3380CC4-5D6E-409C-BE32-E72D297353CC}">
              <c16:uniqueId val="{00000000-3B82-42BF-AC2E-54CF5454D249}"/>
            </c:ext>
          </c:extLst>
        </c:ser>
        <c:ser>
          <c:idx val="1"/>
          <c:order val="1"/>
          <c:tx>
            <c:strRef>
              <c:f>'Summary Expense Info'!$L$9</c:f>
              <c:strCache>
                <c:ptCount val="1"/>
                <c:pt idx="0">
                  <c:v>Adj Plan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Info'!$L$12:$L$26</c:f>
            </c:numRef>
          </c:val>
          <c:extLst>
            <c:ext xmlns:c16="http://schemas.microsoft.com/office/drawing/2014/chart" uri="{C3380CC4-5D6E-409C-BE32-E72D297353CC}">
              <c16:uniqueId val="{00000001-3B82-42BF-AC2E-54CF5454D249}"/>
            </c:ext>
          </c:extLst>
        </c:ser>
        <c:ser>
          <c:idx val="2"/>
          <c:order val="2"/>
          <c:tx>
            <c:strRef>
              <c:f>'Summary Expense Info'!$I$9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Info'!$I$12:$I$26</c:f>
            </c:numRef>
          </c:val>
          <c:extLst>
            <c:ext xmlns:c16="http://schemas.microsoft.com/office/drawing/2014/chart" uri="{C3380CC4-5D6E-409C-BE32-E72D297353CC}">
              <c16:uniqueId val="{00000002-3B82-42BF-AC2E-54CF5454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394992"/>
        <c:axId val="1"/>
      </c:barChart>
      <c:catAx>
        <c:axId val="78839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839499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40473494542304783"/>
          <c:y val="3.8328699907104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0210999133815"/>
          <c:y val="0.20209678132836983"/>
          <c:w val="0.58686567086341934"/>
          <c:h val="0.65507232568506091"/>
        </c:manualLayout>
      </c:layout>
      <c:lineChart>
        <c:grouping val="standard"/>
        <c:varyColors val="0"/>
        <c:ser>
          <c:idx val="0"/>
          <c:order val="0"/>
          <c:tx>
            <c:strRef>
              <c:f>'Summary Volume Stats'!$B$26</c:f>
              <c:strCache>
                <c:ptCount val="1"/>
                <c:pt idx="0">
                  <c:v>Natural Gas - Houston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Volume Stats'!$D$24:$I$24</c:f>
              <c:numCache>
                <c:formatCode>mmm\-yy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'Summary Volume Stats'!$D$26:$I$26</c:f>
              <c:numCache>
                <c:formatCode>_(* #,##0_);_(* \(#,##0\);_(* "-"??_);_(@_)</c:formatCode>
                <c:ptCount val="6"/>
                <c:pt idx="0">
                  <c:v>8698</c:v>
                </c:pt>
                <c:pt idx="1">
                  <c:v>10541</c:v>
                </c:pt>
                <c:pt idx="2">
                  <c:v>16886</c:v>
                </c:pt>
                <c:pt idx="3">
                  <c:v>14536</c:v>
                </c:pt>
                <c:pt idx="4">
                  <c:v>15918</c:v>
                </c:pt>
                <c:pt idx="5">
                  <c:v>16455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9-490B-9135-0A7A7691239B}"/>
            </c:ext>
          </c:extLst>
        </c:ser>
        <c:ser>
          <c:idx val="1"/>
          <c:order val="1"/>
          <c:tx>
            <c:strRef>
              <c:f>'Summary Volume Stats'!$B$27</c:f>
              <c:strCache>
                <c:ptCount val="1"/>
                <c:pt idx="0">
                  <c:v>Natural Gas - Calgary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'Summary Volume Stats'!$D$27:$I$27</c:f>
              <c:numCache>
                <c:formatCode>_(* #,##0_);_(* \(#,##0\);_(* "-"??_);_(@_)</c:formatCode>
                <c:ptCount val="6"/>
                <c:pt idx="0">
                  <c:v>3264</c:v>
                </c:pt>
                <c:pt idx="1">
                  <c:v>3731</c:v>
                </c:pt>
                <c:pt idx="2">
                  <c:v>4386</c:v>
                </c:pt>
                <c:pt idx="3">
                  <c:v>3507</c:v>
                </c:pt>
                <c:pt idx="4">
                  <c:v>5329</c:v>
                </c:pt>
                <c:pt idx="5">
                  <c:v>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9-490B-9135-0A7A7691239B}"/>
            </c:ext>
          </c:extLst>
        </c:ser>
        <c:ser>
          <c:idx val="2"/>
          <c:order val="2"/>
          <c:tx>
            <c:strRef>
              <c:f>'Summary Volume Stats'!$B$28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'Summary Volume Stats'!$D$28:$I$28</c:f>
              <c:numCache>
                <c:formatCode>_(* #,##0_);_(* \(#,##0\);_(* "-"??_);_(@_)</c:formatCode>
                <c:ptCount val="6"/>
                <c:pt idx="0">
                  <c:v>12413</c:v>
                </c:pt>
                <c:pt idx="1">
                  <c:v>12595</c:v>
                </c:pt>
                <c:pt idx="2">
                  <c:v>15886</c:v>
                </c:pt>
                <c:pt idx="3">
                  <c:v>15208</c:v>
                </c:pt>
                <c:pt idx="4">
                  <c:v>16350</c:v>
                </c:pt>
                <c:pt idx="5">
                  <c:v>15453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9-490B-9135-0A7A7691239B}"/>
            </c:ext>
          </c:extLst>
        </c:ser>
        <c:ser>
          <c:idx val="3"/>
          <c:order val="3"/>
          <c:tx>
            <c:strRef>
              <c:f>'Summary Volume Stats'!$B$29</c:f>
              <c:strCache>
                <c:ptCount val="1"/>
                <c:pt idx="0">
                  <c:v>Financial (a)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'Summary Volume Stats'!$D$29:$I$29</c:f>
              <c:numCache>
                <c:formatCode>_(* #,##0_);_(* \(#,##0\);_(* "-"??_);_(@_)</c:formatCode>
                <c:ptCount val="6"/>
                <c:pt idx="0">
                  <c:v>8846</c:v>
                </c:pt>
                <c:pt idx="1">
                  <c:v>10406</c:v>
                </c:pt>
                <c:pt idx="2">
                  <c:v>14613</c:v>
                </c:pt>
                <c:pt idx="3">
                  <c:v>12550</c:v>
                </c:pt>
                <c:pt idx="4">
                  <c:v>22084</c:v>
                </c:pt>
                <c:pt idx="5">
                  <c:v>28888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9-490B-9135-0A7A7691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84464"/>
        <c:axId val="1"/>
      </c:lineChart>
      <c:dateAx>
        <c:axId val="79618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618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4604463856779"/>
          <c:y val="0.39722470812817517"/>
          <c:w val="0.23609538483011122"/>
          <c:h val="0.268300899349732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YTD Expenses as of June 2000</a:t>
            </a:r>
          </a:p>
        </c:rich>
      </c:tx>
      <c:layout>
        <c:manualLayout>
          <c:xMode val="edge"/>
          <c:yMode val="edge"/>
          <c:x val="0.30787589498806683"/>
          <c:y val="3.7671295870504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2482100238662"/>
          <c:y val="0.3801376219660042"/>
          <c:w val="0.27923627684964203"/>
          <c:h val="0.40068560153173416"/>
        </c:manualLayout>
      </c:layout>
      <c:pieChart>
        <c:varyColors val="1"/>
        <c:ser>
          <c:idx val="0"/>
          <c:order val="0"/>
          <c:tx>
            <c:strRef>
              <c:f>'Summary Expense Info'!$C$8:$G$8</c:f>
              <c:strCache>
                <c:ptCount val="1"/>
                <c:pt idx="0">
                  <c:v>YTD EXPENSES AS OF JUNE 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82-4519-A6A5-5D98FEEC5DC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B82-4519-A6A5-5D98FEEC5DC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B82-4519-A6A5-5D98FEEC5DC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B82-4519-A6A5-5D98FEEC5DC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B82-4519-A6A5-5D98FEEC5DC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B82-4519-A6A5-5D98FEEC5DC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B82-4519-A6A5-5D98FEEC5DC8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B82-4519-A6A5-5D98FEEC5DC8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B82-4519-A6A5-5D98FEEC5DC8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B82-4519-A6A5-5D98FEEC5DC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'Summary Expense Info'!$C$11:$C$28</c:f>
              <c:strCache>
                <c:ptCount val="10"/>
                <c:pt idx="0">
                  <c:v>Natural Gas Operations</c:v>
                </c:pt>
                <c:pt idx="1">
                  <c:v>Gas Assets Operations</c:v>
                </c:pt>
                <c:pt idx="2">
                  <c:v>Power Operations</c:v>
                </c:pt>
                <c:pt idx="3">
                  <c:v>Merchant Assets</c:v>
                </c:pt>
                <c:pt idx="4">
                  <c:v>Financial Products Operations</c:v>
                </c:pt>
                <c:pt idx="5">
                  <c:v>Emerging Products Operations</c:v>
                </c:pt>
                <c:pt idx="6">
                  <c:v>EOL Product Controls</c:v>
                </c:pt>
                <c:pt idx="7">
                  <c:v>Global Data Group</c:v>
                </c:pt>
                <c:pt idx="8">
                  <c:v>Energy Ops Calgary (a)</c:v>
                </c:pt>
                <c:pt idx="9">
                  <c:v>Management and Controls</c:v>
                </c:pt>
              </c:strCache>
            </c:strRef>
          </c:cat>
          <c:val>
            <c:numRef>
              <c:f>'Summary Expense Info'!$E$11:$E$28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8210339</c:v>
                </c:pt>
                <c:pt idx="1">
                  <c:v>2791515</c:v>
                </c:pt>
                <c:pt idx="2">
                  <c:v>1557534</c:v>
                </c:pt>
                <c:pt idx="3">
                  <c:v>364321</c:v>
                </c:pt>
                <c:pt idx="4">
                  <c:v>780759</c:v>
                </c:pt>
                <c:pt idx="5">
                  <c:v>542084</c:v>
                </c:pt>
                <c:pt idx="6">
                  <c:v>748398</c:v>
                </c:pt>
                <c:pt idx="7">
                  <c:v>1555988</c:v>
                </c:pt>
                <c:pt idx="8">
                  <c:v>618678</c:v>
                </c:pt>
                <c:pt idx="9">
                  <c:v>3585832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82-4519-A6A5-5D98FEEC5D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267303102625295"/>
          <c:y val="0.21575378544016455"/>
          <c:w val="0.41766109785202865"/>
          <c:h val="0.643836693059538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071435712973663"/>
          <c:y val="3.5947827141503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76400847286198E-2"/>
          <c:y val="0.19281107284988017"/>
          <c:w val="0.60000139509252948"/>
          <c:h val="0.67320476283178499"/>
        </c:manualLayout>
      </c:layout>
      <c:lineChart>
        <c:grouping val="standard"/>
        <c:varyColors val="0"/>
        <c:ser>
          <c:idx val="0"/>
          <c:order val="0"/>
          <c:tx>
            <c:strRef>
              <c:f>'[1]YTD HC'!$H$33</c:f>
              <c:strCache>
                <c:ptCount val="1"/>
                <c:pt idx="0">
                  <c:v>Adjusted Plan (b)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'[1]YTD HC'!$D$34:$D$39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'[1]YTD HC'!$H$34:$H$39</c:f>
              <c:numCache>
                <c:formatCode>General</c:formatCode>
                <c:ptCount val="6"/>
                <c:pt idx="0">
                  <c:v>432.2</c:v>
                </c:pt>
                <c:pt idx="1">
                  <c:v>430.95</c:v>
                </c:pt>
                <c:pt idx="2">
                  <c:v>433.2</c:v>
                </c:pt>
                <c:pt idx="3">
                  <c:v>429</c:v>
                </c:pt>
                <c:pt idx="4">
                  <c:v>435</c:v>
                </c:pt>
                <c:pt idx="5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F-40B2-958E-AA59936912EF}"/>
            </c:ext>
          </c:extLst>
        </c:ser>
        <c:ser>
          <c:idx val="1"/>
          <c:order val="1"/>
          <c:tx>
            <c:strRef>
              <c:f>'[1]YTD HC'!$I$33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'[1]YTD HC'!$D$34:$D$39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'[1]YTD HC'!$I$34:$I$39</c:f>
              <c:numCache>
                <c:formatCode>General</c:formatCode>
                <c:ptCount val="6"/>
                <c:pt idx="0">
                  <c:v>418</c:v>
                </c:pt>
                <c:pt idx="1">
                  <c:v>417</c:v>
                </c:pt>
                <c:pt idx="2">
                  <c:v>410</c:v>
                </c:pt>
                <c:pt idx="3">
                  <c:v>419</c:v>
                </c:pt>
                <c:pt idx="4">
                  <c:v>429</c:v>
                </c:pt>
                <c:pt idx="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F-40B2-958E-AA599369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81104"/>
        <c:axId val="1"/>
      </c:lineChart>
      <c:dateAx>
        <c:axId val="796181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618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38258552498489"/>
          <c:y val="0.44117787855481055"/>
          <c:w val="0.27857207629296016"/>
          <c:h val="0.12745138713805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8505929274032152"/>
          <c:y val="3.8195742299966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23773113398806"/>
          <c:y val="0.21528509296344583"/>
          <c:w val="0.58319659871349661"/>
          <c:h val="0.61807655721763477"/>
        </c:manualLayout>
      </c:layout>
      <c:lineChart>
        <c:grouping val="standard"/>
        <c:varyColors val="0"/>
        <c:ser>
          <c:idx val="0"/>
          <c:order val="0"/>
          <c:tx>
            <c:strRef>
              <c:f>'Summary Volume Stats'!$B$35</c:f>
              <c:strCache>
                <c:ptCount val="1"/>
                <c:pt idx="0">
                  <c:v>Natural Gas - Houston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Volume Stats'!$D$33:$I$33</c:f>
              <c:numCache>
                <c:formatCode>mmm\-yy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'Summary Volume Stats'!$D$35:$I$35</c:f>
              <c:numCache>
                <c:formatCode>_(* #,##0_);_(* \(#,##0\);_(* "-"??_);_(@_)</c:formatCode>
                <c:ptCount val="6"/>
                <c:pt idx="0">
                  <c:v>12808</c:v>
                </c:pt>
                <c:pt idx="1">
                  <c:v>15431</c:v>
                </c:pt>
                <c:pt idx="2">
                  <c:v>15300</c:v>
                </c:pt>
                <c:pt idx="3">
                  <c:v>16154</c:v>
                </c:pt>
                <c:pt idx="4">
                  <c:v>15394</c:v>
                </c:pt>
                <c:pt idx="5">
                  <c:v>15460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A-4666-8B57-7A3BBD709612}"/>
            </c:ext>
          </c:extLst>
        </c:ser>
        <c:ser>
          <c:idx val="1"/>
          <c:order val="1"/>
          <c:tx>
            <c:strRef>
              <c:f>'Summary Volume Stats'!$B$36</c:f>
              <c:strCache>
                <c:ptCount val="1"/>
                <c:pt idx="0">
                  <c:v>Natural Gas - Calgary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'Summary Volume Stats'!$D$36:$I$36</c:f>
              <c:numCache>
                <c:formatCode>_(* #,##0_);_(* \(#,##0\);_(* "-"??_);_(@_)</c:formatCode>
                <c:ptCount val="6"/>
                <c:pt idx="0">
                  <c:v>4087</c:v>
                </c:pt>
                <c:pt idx="1">
                  <c:v>4767</c:v>
                </c:pt>
                <c:pt idx="2">
                  <c:v>4411</c:v>
                </c:pt>
                <c:pt idx="3">
                  <c:v>4624</c:v>
                </c:pt>
                <c:pt idx="4">
                  <c:v>5532</c:v>
                </c:pt>
                <c:pt idx="5">
                  <c:v>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A-4666-8B57-7A3BBD709612}"/>
            </c:ext>
          </c:extLst>
        </c:ser>
        <c:ser>
          <c:idx val="2"/>
          <c:order val="2"/>
          <c:tx>
            <c:strRef>
              <c:f>'Summary Volume Stats'!$B$37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'Summary Volume Stats'!$D$37:$I$37</c:f>
              <c:numCache>
                <c:formatCode>_(* #,##0_);_(* \(#,##0\);_(* "-"??_);_(@_)</c:formatCode>
                <c:ptCount val="6"/>
                <c:pt idx="0">
                  <c:v>11788</c:v>
                </c:pt>
                <c:pt idx="1">
                  <c:v>10536</c:v>
                </c:pt>
                <c:pt idx="2">
                  <c:v>13715</c:v>
                </c:pt>
                <c:pt idx="3">
                  <c:v>14000</c:v>
                </c:pt>
                <c:pt idx="4">
                  <c:v>18028</c:v>
                </c:pt>
                <c:pt idx="5">
                  <c:v>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A-4666-8B57-7A3BBD709612}"/>
            </c:ext>
          </c:extLst>
        </c:ser>
        <c:ser>
          <c:idx val="3"/>
          <c:order val="3"/>
          <c:tx>
            <c:strRef>
              <c:f>'Summary Volume Stats'!$B$38</c:f>
              <c:strCache>
                <c:ptCount val="1"/>
                <c:pt idx="0">
                  <c:v>Financial (a)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'Summary Volume Stats'!$D$38:$I$38</c:f>
              <c:numCache>
                <c:formatCode>_(* #,##0_);_(* \(#,##0\);_(* "-"??_);_(@_)</c:formatCode>
                <c:ptCount val="6"/>
                <c:pt idx="0">
                  <c:v>13469</c:v>
                </c:pt>
                <c:pt idx="1">
                  <c:v>16360</c:v>
                </c:pt>
                <c:pt idx="2">
                  <c:v>17948</c:v>
                </c:pt>
                <c:pt idx="3">
                  <c:v>16663</c:v>
                </c:pt>
                <c:pt idx="4">
                  <c:v>18199</c:v>
                </c:pt>
                <c:pt idx="5">
                  <c:v>21573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A-4666-8B57-7A3BBD70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85904"/>
        <c:axId val="1"/>
      </c:lineChart>
      <c:dateAx>
        <c:axId val="79618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618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0354971515619"/>
          <c:y val="0.35070636111787146"/>
          <c:w val="0.26169078147400493"/>
          <c:h val="0.208340412545270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ENA A/R Balances as of June 30, 2000</a:t>
            </a:r>
          </a:p>
        </c:rich>
      </c:tx>
      <c:layout>
        <c:manualLayout>
          <c:xMode val="edge"/>
          <c:yMode val="edge"/>
          <c:x val="0.14706382196469031"/>
          <c:y val="1.89400697382369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706892036867444"/>
          <c:y val="0.2424328926494326"/>
          <c:w val="0.37354210779031344"/>
          <c:h val="0.48107777135121782"/>
        </c:manualLayout>
      </c:layout>
      <c:pieChart>
        <c:varyColors val="1"/>
        <c:ser>
          <c:idx val="0"/>
          <c:order val="0"/>
          <c:tx>
            <c:strRef>
              <c:f>'Summary Bal. Sheet'!$D$4:$L$4</c:f>
              <c:strCache>
                <c:ptCount val="9"/>
                <c:pt idx="0">
                  <c:v>A/R Balances as of June 30, 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6C5-4572-AF49-8C4A22396A5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5-4572-AF49-8C4A22396A5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6C5-4572-AF49-8C4A22396A5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5-4572-AF49-8C4A22396A5D}"/>
              </c:ext>
            </c:extLst>
          </c:dPt>
          <c:dPt>
            <c:idx val="4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6C5-4572-AF49-8C4A22396A5D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32942296120090631"/>
                  <c:y val="0.1818246694870744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C5-4572-AF49-8C4A22396A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7942466066890101"/>
                  <c:y val="0.155308571853542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C5-4572-AF49-8C4A22396A5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825018945477717"/>
                  <c:y val="0.1401565160629532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C5-4572-AF49-8C4A22396A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001699467994709"/>
                  <c:y val="0.170460627644132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C5-4572-AF49-8C4A22396A5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('Summary Bal. Sheet'!$F$5,'Summary Bal. Sheet'!$H$5,'Summary Bal. Sheet'!$J$5,'Summary Bal. Sheet'!$L$5,'Summary Bal. Sheet'!$N$5)</c:f>
              <c:strCache>
                <c:ptCount val="5"/>
                <c:pt idx="0">
                  <c:v>Current </c:v>
                </c:pt>
                <c:pt idx="1">
                  <c:v>1 - 30 Days</c:v>
                </c:pt>
                <c:pt idx="2">
                  <c:v>31 - 60 Days</c:v>
                </c:pt>
                <c:pt idx="3">
                  <c:v>61 - 90 Days</c:v>
                </c:pt>
                <c:pt idx="4">
                  <c:v>Over 90 Days</c:v>
                </c:pt>
              </c:strCache>
            </c:strRef>
          </c:cat>
          <c:val>
            <c:numRef>
              <c:f>('Summary Bal. Sheet'!$F$15,'Summary Bal. Sheet'!$H$15,'Summary Bal. Sheet'!$J$15,'Summary Bal. Sheet'!$L$15,'Summary Bal. Sheet'!$N$15)</c:f>
              <c:numCache>
                <c:formatCode>"$"#,##0.0_);\("$"#,##0.0\)</c:formatCode>
                <c:ptCount val="5"/>
                <c:pt idx="0">
                  <c:v>2177.8549913599995</c:v>
                </c:pt>
                <c:pt idx="1">
                  <c:v>107.01702175999999</c:v>
                </c:pt>
                <c:pt idx="2">
                  <c:v>11.185672790000002</c:v>
                </c:pt>
                <c:pt idx="3">
                  <c:v>11.93726335</c:v>
                </c:pt>
                <c:pt idx="4">
                  <c:v>36.205677260000002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5-4572-AF49-8C4A22396A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4706382196469032E-2"/>
          <c:y val="0.79927094295359813"/>
          <c:w val="0.92650207837754905"/>
          <c:h val="0.109852404481774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June 30, 2000 - Houston Gas </a:t>
            </a:r>
          </a:p>
        </c:rich>
      </c:tx>
      <c:layout>
        <c:manualLayout>
          <c:xMode val="edge"/>
          <c:yMode val="edge"/>
          <c:x val="0.23629467865415893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45259157473427"/>
          <c:y val="0.21896145463133451"/>
          <c:w val="0.37132020931367832"/>
          <c:h val="0.66995668954363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Bal. Sheet'!$F$5</c:f>
              <c:strCache>
                <c:ptCount val="1"/>
                <c:pt idx="0">
                  <c:v>Current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Sheet'!$F$7</c:f>
              <c:numCache>
                <c:formatCode>"$"#,##0.0_);\("$"#,##0.0\)</c:formatCode>
                <c:ptCount val="1"/>
                <c:pt idx="0">
                  <c:v>2052.6270398699999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3-4F5A-BEF0-DF28D3BBD640}"/>
            </c:ext>
          </c:extLst>
        </c:ser>
        <c:ser>
          <c:idx val="1"/>
          <c:order val="1"/>
          <c:tx>
            <c:strRef>
              <c:f>'Summary Bal. Sheet'!$H$5</c:f>
              <c:strCache>
                <c:ptCount val="1"/>
                <c:pt idx="0">
                  <c:v>1 - 30 Days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Sheet'!$H$7</c:f>
              <c:numCache>
                <c:formatCode>"$"#,##0.0_);\("$"#,##0.0\)</c:formatCode>
                <c:ptCount val="1"/>
                <c:pt idx="0">
                  <c:v>91.016889370000001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3-4F5A-BEF0-DF28D3BBD640}"/>
            </c:ext>
          </c:extLst>
        </c:ser>
        <c:ser>
          <c:idx val="2"/>
          <c:order val="2"/>
          <c:tx>
            <c:strRef>
              <c:f>'Summary Bal. Sheet'!$J$5</c:f>
              <c:strCache>
                <c:ptCount val="1"/>
                <c:pt idx="0">
                  <c:v>31 - 60 Days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Sheet'!$J$7</c:f>
              <c:numCache>
                <c:formatCode>"$"#,##0.0_);\("$"#,##0.0\)</c:formatCode>
                <c:ptCount val="1"/>
                <c:pt idx="0">
                  <c:v>12.743778000000001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3-4F5A-BEF0-DF28D3BBD640}"/>
            </c:ext>
          </c:extLst>
        </c:ser>
        <c:ser>
          <c:idx val="3"/>
          <c:order val="3"/>
          <c:tx>
            <c:strRef>
              <c:f>'Summary Bal. Sheet'!$L$5</c:f>
              <c:strCache>
                <c:ptCount val="1"/>
                <c:pt idx="0">
                  <c:v>61 - 90 Days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Sheet'!$L$7</c:f>
              <c:numCache>
                <c:formatCode>"$"#,##0.0_);\("$"#,##0.0\)</c:formatCode>
                <c:ptCount val="1"/>
                <c:pt idx="0">
                  <c:v>10.6970192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3-4F5A-BEF0-DF28D3BBD640}"/>
            </c:ext>
          </c:extLst>
        </c:ser>
        <c:ser>
          <c:idx val="4"/>
          <c:order val="4"/>
          <c:tx>
            <c:strRef>
              <c:f>'Summary Bal. Sheet'!$N$5</c:f>
              <c:strCache>
                <c:ptCount val="1"/>
                <c:pt idx="0">
                  <c:v>Over 90 Days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Sheet'!$N$7</c:f>
              <c:numCache>
                <c:formatCode>"$"#,##0.0_);\("$"#,##0.0\)</c:formatCode>
                <c:ptCount val="1"/>
                <c:pt idx="0">
                  <c:v>24.694082909999999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3-4F5A-BEF0-DF28D3BB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538320"/>
        <c:axId val="1"/>
      </c:barChart>
      <c:catAx>
        <c:axId val="78953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53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35923588171208"/>
          <c:y val="0.30393157135394194"/>
          <c:w val="0.18566010465683916"/>
          <c:h val="0.38563360666414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June 30, 2000 - All Others</a:t>
            </a:r>
          </a:p>
        </c:rich>
      </c:tx>
      <c:layout>
        <c:manualLayout>
          <c:xMode val="edge"/>
          <c:yMode val="edge"/>
          <c:x val="0.3300390853869033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1700147327762"/>
          <c:y val="0.24183802451819036"/>
          <c:w val="0.57650604185609289"/>
          <c:h val="0.40524209513858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Bal. Sheet'!$F$5</c:f>
              <c:strCache>
                <c:ptCount val="1"/>
                <c:pt idx="0">
                  <c:v>Current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Sheet'!$F$8:$F$14</c:f>
              <c:numCache>
                <c:formatCode>#,##0.0_);\(#,##0.0\)</c:formatCode>
                <c:ptCount val="7"/>
                <c:pt idx="0">
                  <c:v>5.8445898900000008</c:v>
                </c:pt>
                <c:pt idx="1">
                  <c:v>23.581571199999996</c:v>
                </c:pt>
                <c:pt idx="2">
                  <c:v>7.4120881199999999</c:v>
                </c:pt>
                <c:pt idx="3">
                  <c:v>14.191274380000001</c:v>
                </c:pt>
                <c:pt idx="4">
                  <c:v>4.1046379999999996</c:v>
                </c:pt>
                <c:pt idx="5">
                  <c:v>19.984582530000001</c:v>
                </c:pt>
                <c:pt idx="6">
                  <c:v>50.10920737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1-4915-954D-8460CAC65751}"/>
            </c:ext>
          </c:extLst>
        </c:ser>
        <c:ser>
          <c:idx val="1"/>
          <c:order val="1"/>
          <c:tx>
            <c:strRef>
              <c:f>'Summary Bal. Sheet'!$H$5</c:f>
              <c:strCache>
                <c:ptCount val="1"/>
                <c:pt idx="0">
                  <c:v>1 - 30 Days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Sheet'!$H$8:$H$14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0.29908518999999761</c:v>
                </c:pt>
                <c:pt idx="2">
                  <c:v>9.9655308599999994</c:v>
                </c:pt>
                <c:pt idx="3">
                  <c:v>4.2026915999999996</c:v>
                </c:pt>
                <c:pt idx="4">
                  <c:v>-0.235347</c:v>
                </c:pt>
                <c:pt idx="5">
                  <c:v>1.7681717399999999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1-4915-954D-8460CAC65751}"/>
            </c:ext>
          </c:extLst>
        </c:ser>
        <c:ser>
          <c:idx val="2"/>
          <c:order val="2"/>
          <c:tx>
            <c:strRef>
              <c:f>'Summary Bal. Sheet'!$J$5</c:f>
              <c:strCache>
                <c:ptCount val="1"/>
                <c:pt idx="0">
                  <c:v>31 - 60 Days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Sheet'!$J$8:$J$14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0.20369773000000002</c:v>
                </c:pt>
                <c:pt idx="2">
                  <c:v>0.52884503000000005</c:v>
                </c:pt>
                <c:pt idx="3">
                  <c:v>1.95984471</c:v>
                </c:pt>
                <c:pt idx="4">
                  <c:v>-1.4017999999999999E-2</c:v>
                </c:pt>
                <c:pt idx="5">
                  <c:v>-4.2364746799999997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1-4915-954D-8460CAC65751}"/>
            </c:ext>
          </c:extLst>
        </c:ser>
        <c:ser>
          <c:idx val="3"/>
          <c:order val="3"/>
          <c:tx>
            <c:strRef>
              <c:f>'Summary Bal. Sheet'!$L$5</c:f>
              <c:strCache>
                <c:ptCount val="1"/>
                <c:pt idx="0">
                  <c:v>61 - 90 Days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Sheet'!$L$8:$L$14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0.28488648999999999</c:v>
                </c:pt>
                <c:pt idx="2">
                  <c:v>1.1583749699999999</c:v>
                </c:pt>
                <c:pt idx="3">
                  <c:v>-3.678331E-2</c:v>
                </c:pt>
                <c:pt idx="4">
                  <c:v>-0.16623399999999999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1-4915-954D-8460CAC65751}"/>
            </c:ext>
          </c:extLst>
        </c:ser>
        <c:ser>
          <c:idx val="4"/>
          <c:order val="4"/>
          <c:tx>
            <c:strRef>
              <c:f>'Summary Bal. Sheet'!$N$5</c:f>
              <c:strCache>
                <c:ptCount val="1"/>
                <c:pt idx="0">
                  <c:v>Over 90 Days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Sheet'!$N$8:$N$14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10.999754320000001</c:v>
                </c:pt>
                <c:pt idx="2">
                  <c:v>-3.2042479999999998E-2</c:v>
                </c:pt>
                <c:pt idx="3">
                  <c:v>-5.3729769999999996E-2</c:v>
                </c:pt>
                <c:pt idx="4">
                  <c:v>0.429537</c:v>
                </c:pt>
                <c:pt idx="5">
                  <c:v>0.16807527999999999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1-4915-954D-8460CAC6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535440"/>
        <c:axId val="1"/>
      </c:barChart>
      <c:catAx>
        <c:axId val="78953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2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53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30937014420755"/>
          <c:y val="0.26471459440504624"/>
          <c:w val="0.12606643175722917"/>
          <c:h val="0.33007622265320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Gross Revenue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Sheet'!$B$54</c:f>
              <c:strCache>
                <c:ptCount val="1"/>
                <c:pt idx="0">
                  <c:v>Natural Gas - Houston</c:v>
                </c:pt>
              </c:strCache>
            </c:strRef>
          </c:tx>
          <c:cat>
            <c:multiLvlStrRef>
              <c:f>('Summary Bal. Sheet'!$D$53,'Summary Bal. Sheet'!$F$53)</c:f>
            </c:multiLvlStrRef>
          </c:cat>
          <c:val>
            <c:numRef>
              <c:f>('Summary Bal. Sheet'!$D$54,'Summary Bal. Sheet'!$F$54)</c:f>
            </c:numRef>
          </c:val>
          <c:smooth val="0"/>
          <c:extLst>
            <c:ext xmlns:c16="http://schemas.microsoft.com/office/drawing/2014/chart" uri="{C3380CC4-5D6E-409C-BE32-E72D297353CC}">
              <c16:uniqueId val="{00000000-D490-4E8A-BD75-3FBB5DF45CBD}"/>
            </c:ext>
          </c:extLst>
        </c:ser>
        <c:ser>
          <c:idx val="1"/>
          <c:order val="1"/>
          <c:tx>
            <c:strRef>
              <c:f>'Summary Bal. Sheet'!$B$55</c:f>
              <c:strCache>
                <c:ptCount val="1"/>
                <c:pt idx="0">
                  <c:v>Natural Gas - Calgary</c:v>
                </c:pt>
              </c:strCache>
            </c:strRef>
          </c:tx>
          <c:cat>
            <c:multiLvlStrRef>
              <c:f>('Summary Bal. Sheet'!$D$53,'Summary Bal. Sheet'!$F$53)</c:f>
            </c:multiLvlStrRef>
          </c:cat>
          <c:val>
            <c:numRef>
              <c:f>('Summary Bal. Sheet'!$D$55,'Summary Bal. Sheet'!$F$55)</c:f>
            </c:numRef>
          </c:val>
          <c:smooth val="0"/>
          <c:extLst>
            <c:ext xmlns:c16="http://schemas.microsoft.com/office/drawing/2014/chart" uri="{C3380CC4-5D6E-409C-BE32-E72D297353CC}">
              <c16:uniqueId val="{00000001-D490-4E8A-BD75-3FBB5DF45CBD}"/>
            </c:ext>
          </c:extLst>
        </c:ser>
        <c:ser>
          <c:idx val="2"/>
          <c:order val="2"/>
          <c:tx>
            <c:strRef>
              <c:f>'Summary Bal. Sheet'!$B$56</c:f>
              <c:strCache>
                <c:ptCount val="1"/>
                <c:pt idx="0">
                  <c:v>Power (a)</c:v>
                </c:pt>
              </c:strCache>
            </c:strRef>
          </c:tx>
          <c:val>
            <c:numRef>
              <c:f>('Summary Bal. Sheet'!$D$56,'Summary Bal. Sheet'!$F$56)</c:f>
            </c:numRef>
          </c:val>
          <c:smooth val="0"/>
          <c:extLst>
            <c:ext xmlns:c16="http://schemas.microsoft.com/office/drawing/2014/chart" uri="{C3380CC4-5D6E-409C-BE32-E72D297353CC}">
              <c16:uniqueId val="{00000002-D490-4E8A-BD75-3FBB5DF45CBD}"/>
            </c:ext>
          </c:extLst>
        </c:ser>
        <c:ser>
          <c:idx val="3"/>
          <c:order val="3"/>
          <c:tx>
            <c:strRef>
              <c:f>'Summary Bal. Sheet'!$B$57</c:f>
              <c:strCache>
                <c:ptCount val="1"/>
                <c:pt idx="0">
                  <c:v>Financial (b)</c:v>
                </c:pt>
              </c:strCache>
            </c:strRef>
          </c:tx>
          <c:val>
            <c:numRef>
              <c:f>('Summary Bal. Sheet'!$D$57,'Summary Bal. Sheet'!$F$57)</c:f>
            </c:numRef>
          </c:val>
          <c:smooth val="0"/>
          <c:extLst>
            <c:ext xmlns:c16="http://schemas.microsoft.com/office/drawing/2014/chart" uri="{C3380CC4-5D6E-409C-BE32-E72D297353CC}">
              <c16:uniqueId val="{00000003-D490-4E8A-BD75-3FBB5DF45CBD}"/>
            </c:ext>
          </c:extLst>
        </c:ser>
        <c:ser>
          <c:idx val="4"/>
          <c:order val="4"/>
          <c:tx>
            <c:strRef>
              <c:f>'Summary Bal. Sheet'!$B$58</c:f>
              <c:strCache>
                <c:ptCount val="1"/>
                <c:pt idx="0">
                  <c:v>Coal</c:v>
                </c:pt>
              </c:strCache>
            </c:strRef>
          </c:tx>
          <c:val>
            <c:numRef>
              <c:f>('Summary Bal. Sheet'!$D$58,'Summary Bal. Sheet'!$F$58)</c:f>
            </c:numRef>
          </c:val>
          <c:smooth val="0"/>
          <c:extLst>
            <c:ext xmlns:c16="http://schemas.microsoft.com/office/drawing/2014/chart" uri="{C3380CC4-5D6E-409C-BE32-E72D297353CC}">
              <c16:uniqueId val="{00000004-D490-4E8A-BD75-3FBB5DF45CBD}"/>
            </c:ext>
          </c:extLst>
        </c:ser>
        <c:ser>
          <c:idx val="5"/>
          <c:order val="5"/>
          <c:tx>
            <c:strRef>
              <c:f>'Summary Bal. Sheet'!$B$59</c:f>
              <c:strCache>
                <c:ptCount val="1"/>
                <c:pt idx="0">
                  <c:v>Pulp and Paper (c)</c:v>
                </c:pt>
              </c:strCache>
            </c:strRef>
          </c:tx>
          <c:val>
            <c:numRef>
              <c:f>('Summary Bal. Sheet'!$D$59,'Summary Bal. Sheet'!$F$59)</c:f>
            </c:numRef>
          </c:val>
          <c:smooth val="0"/>
          <c:extLst>
            <c:ext xmlns:c16="http://schemas.microsoft.com/office/drawing/2014/chart" uri="{C3380CC4-5D6E-409C-BE32-E72D297353CC}">
              <c16:uniqueId val="{00000005-D490-4E8A-BD75-3FBB5DF45CBD}"/>
            </c:ext>
          </c:extLst>
        </c:ser>
        <c:ser>
          <c:idx val="6"/>
          <c:order val="6"/>
          <c:tx>
            <c:strRef>
              <c:f>'Summary Bal. Sheet'!$B$60</c:f>
              <c:strCache>
                <c:ptCount val="1"/>
                <c:pt idx="0">
                  <c:v>Interest Rate / FX</c:v>
                </c:pt>
              </c:strCache>
            </c:strRef>
          </c:tx>
          <c:val>
            <c:numRef>
              <c:f>('Summary Bal. Sheet'!$D$60,'Summary Bal. Sheet'!$F$60)</c:f>
            </c:numRef>
          </c:val>
          <c:smooth val="0"/>
          <c:extLst>
            <c:ext xmlns:c16="http://schemas.microsoft.com/office/drawing/2014/chart" uri="{C3380CC4-5D6E-409C-BE32-E72D297353CC}">
              <c16:uniqueId val="{00000006-D490-4E8A-BD75-3FBB5DF45CBD}"/>
            </c:ext>
          </c:extLst>
        </c:ser>
        <c:ser>
          <c:idx val="7"/>
          <c:order val="7"/>
          <c:tx>
            <c:strRef>
              <c:f>'Summary Bal. Sheet'!$B$61</c:f>
              <c:strCache>
                <c:ptCount val="1"/>
                <c:pt idx="0">
                  <c:v>Non ENA Intercompany</c:v>
                </c:pt>
              </c:strCache>
            </c:strRef>
          </c:tx>
          <c:val>
            <c:numRef>
              <c:f>('Summary Bal. Sheet'!$D$61,'Summary Bal. Sheet'!$F$61)</c:f>
            </c:numRef>
          </c:val>
          <c:smooth val="0"/>
          <c:extLst>
            <c:ext xmlns:c16="http://schemas.microsoft.com/office/drawing/2014/chart" uri="{C3380CC4-5D6E-409C-BE32-E72D297353CC}">
              <c16:uniqueId val="{00000007-D490-4E8A-BD75-3FBB5DF45CBD}"/>
            </c:ext>
          </c:extLst>
        </c:ser>
        <c:ser>
          <c:idx val="8"/>
          <c:order val="8"/>
          <c:tx>
            <c:strRef>
              <c:f>'Summary Bal. Sheet'!$B$62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('Summary Bal. Sheet'!$D$62,'Summary Bal. Sheet'!$F$62)</c:f>
            </c:numRef>
          </c:val>
          <c:smooth val="0"/>
          <c:extLst>
            <c:ext xmlns:c16="http://schemas.microsoft.com/office/drawing/2014/chart" uri="{C3380CC4-5D6E-409C-BE32-E72D297353CC}">
              <c16:uniqueId val="{00000008-D490-4E8A-BD75-3FBB5DF4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36400"/>
        <c:axId val="1"/>
      </c:lineChart>
      <c:catAx>
        <c:axId val="78953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536400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Imbalances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Sheet'!$D$73</c:f>
              <c:strCache>
                <c:ptCount val="1"/>
                <c:pt idx="0">
                  <c:v> Imbalance Receivable 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Sheet'!$D$78,'Summary Bal. Sheet'!$J$78,'Summary Bal. Sheet'!$P$78)</c:f>
            </c:numRef>
          </c:val>
          <c:smooth val="0"/>
          <c:extLst>
            <c:ext xmlns:c16="http://schemas.microsoft.com/office/drawing/2014/chart" uri="{C3380CC4-5D6E-409C-BE32-E72D297353CC}">
              <c16:uniqueId val="{00000000-FC89-46C8-8BFF-76DE3D880206}"/>
            </c:ext>
          </c:extLst>
        </c:ser>
        <c:ser>
          <c:idx val="1"/>
          <c:order val="1"/>
          <c:tx>
            <c:strRef>
              <c:f>'Summary Bal. Sheet'!$F$73</c:f>
              <c:strCache>
                <c:ptCount val="1"/>
                <c:pt idx="0">
                  <c:v> Imbalance Payable 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Sheet'!$F$78,'Summary Bal. Sheet'!$L$78,'Summary Bal. Sheet'!$R$78)</c:f>
            </c:numRef>
          </c:val>
          <c:smooth val="0"/>
          <c:extLst>
            <c:ext xmlns:c16="http://schemas.microsoft.com/office/drawing/2014/chart" uri="{C3380CC4-5D6E-409C-BE32-E72D297353CC}">
              <c16:uniqueId val="{00000001-FC89-46C8-8BFF-76DE3D880206}"/>
            </c:ext>
          </c:extLst>
        </c:ser>
        <c:ser>
          <c:idx val="2"/>
          <c:order val="2"/>
          <c:tx>
            <c:strRef>
              <c:f>'Summary Bal. Sheet'!$H$73</c:f>
              <c:strCache>
                <c:ptCount val="1"/>
                <c:pt idx="0">
                  <c:v> Net Imbalance Rec/(Pay) 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Sheet'!$H$78,'Summary Bal. Sheet'!$N$78,'Summary Bal. Sheet'!$T$78)</c:f>
            </c:numRef>
          </c:val>
          <c:smooth val="0"/>
          <c:extLst>
            <c:ext xmlns:c16="http://schemas.microsoft.com/office/drawing/2014/chart" uri="{C3380CC4-5D6E-409C-BE32-E72D297353CC}">
              <c16:uniqueId val="{00000002-FC89-46C8-8BFF-76DE3D88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54960"/>
        <c:axId val="1"/>
      </c:lineChart>
      <c:catAx>
        <c:axId val="79185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150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185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Unaccounted For 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Sheet'!$B$76</c:f>
              <c:strCache>
                <c:ptCount val="1"/>
                <c:pt idx="0">
                  <c:v>   Off-System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Sheet'!$V$76,'Summary Bal. Sheet'!$X$76,'Summary Bal. Sheet'!$Z$76)</c:f>
            </c:numRef>
          </c:val>
          <c:smooth val="0"/>
          <c:extLst>
            <c:ext xmlns:c16="http://schemas.microsoft.com/office/drawing/2014/chart" uri="{C3380CC4-5D6E-409C-BE32-E72D297353CC}">
              <c16:uniqueId val="{00000000-ACE4-477D-B15C-EF4BC5768703}"/>
            </c:ext>
          </c:extLst>
        </c:ser>
        <c:ser>
          <c:idx val="1"/>
          <c:order val="1"/>
          <c:tx>
            <c:strRef>
              <c:f>'Summary Bal. Sheet'!$B$77</c:f>
              <c:strCache>
                <c:ptCount val="1"/>
                <c:pt idx="0">
                  <c:v>   On-System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Sheet'!$V$77,'Summary Bal. Sheet'!$X$77,'Summary Bal. Sheet'!$Z$77)</c:f>
            </c:numRef>
          </c:val>
          <c:smooth val="0"/>
          <c:extLst>
            <c:ext xmlns:c16="http://schemas.microsoft.com/office/drawing/2014/chart" uri="{C3380CC4-5D6E-409C-BE32-E72D297353CC}">
              <c16:uniqueId val="{00000001-ACE4-477D-B15C-EF4BC5768703}"/>
            </c:ext>
          </c:extLst>
        </c:ser>
        <c:ser>
          <c:idx val="2"/>
          <c:order val="2"/>
          <c:tx>
            <c:strRef>
              <c:f>'Summary Bal. Sheet'!$B$78</c:f>
              <c:strCache>
                <c:ptCount val="1"/>
                <c:pt idx="0">
                  <c:v>Totals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Sheet'!$V$78,'Summary Bal. Sheet'!$X$78,'Summary Bal. Sheet'!$Z$78)</c:f>
            </c:numRef>
          </c:val>
          <c:smooth val="0"/>
          <c:extLst>
            <c:ext xmlns:c16="http://schemas.microsoft.com/office/drawing/2014/chart" uri="{C3380CC4-5D6E-409C-BE32-E72D297353CC}">
              <c16:uniqueId val="{00000002-ACE4-477D-B15C-EF4BC576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54480"/>
        <c:axId val="1"/>
      </c:lineChart>
      <c:catAx>
        <c:axId val="791854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8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185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3</xdr:row>
      <xdr:rowOff>0</xdr:rowOff>
    </xdr:from>
    <xdr:to>
      <xdr:col>28</xdr:col>
      <xdr:colOff>428625</xdr:colOff>
      <xdr:row>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750B7F2-CF9C-8F6E-F3E4-DFFAFCC9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</xdr:row>
      <xdr:rowOff>9525</xdr:rowOff>
    </xdr:from>
    <xdr:to>
      <xdr:col>7</xdr:col>
      <xdr:colOff>390525</xdr:colOff>
      <xdr:row>19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DB01D18-4281-67E7-14DE-59635064B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</xdr:row>
      <xdr:rowOff>0</xdr:rowOff>
    </xdr:from>
    <xdr:to>
      <xdr:col>15</xdr:col>
      <xdr:colOff>0</xdr:colOff>
      <xdr:row>19</xdr:row>
      <xdr:rowOff>152400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E133DB7-FB65-DCE9-BB0B-B11D6C7D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9525</xdr:rowOff>
    </xdr:from>
    <xdr:to>
      <xdr:col>7</xdr:col>
      <xdr:colOff>66675</xdr:colOff>
      <xdr:row>50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CDCBE44-296B-9F88-4B5D-7961FFA6F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16</xdr:row>
      <xdr:rowOff>0</xdr:rowOff>
    </xdr:from>
    <xdr:to>
      <xdr:col>9</xdr:col>
      <xdr:colOff>304800</xdr:colOff>
      <xdr:row>34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F1B81ECD-9431-4F55-68B3-10A37E6F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16</xdr:row>
      <xdr:rowOff>0</xdr:rowOff>
    </xdr:from>
    <xdr:to>
      <xdr:col>25</xdr:col>
      <xdr:colOff>323850</xdr:colOff>
      <xdr:row>34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4462EF8-72B5-6F25-2662-38266130A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52</xdr:row>
      <xdr:rowOff>0</xdr:rowOff>
    </xdr:from>
    <xdr:to>
      <xdr:col>22</xdr:col>
      <xdr:colOff>28575</xdr:colOff>
      <xdr:row>68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BC1A68AD-E32E-6DCE-9D0A-AA84F3205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81</xdr:row>
      <xdr:rowOff>9525</xdr:rowOff>
    </xdr:from>
    <xdr:to>
      <xdr:col>13</xdr:col>
      <xdr:colOff>200025</xdr:colOff>
      <xdr:row>97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50E74121-E2E1-411A-9561-E3794176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733425</xdr:colOff>
      <xdr:row>81</xdr:row>
      <xdr:rowOff>0</xdr:rowOff>
    </xdr:from>
    <xdr:to>
      <xdr:col>25</xdr:col>
      <xdr:colOff>485775</xdr:colOff>
      <xdr:row>96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D6BBCAE-8AA5-3836-C949-30C95C287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5</xdr:col>
      <xdr:colOff>781050</xdr:colOff>
      <xdr:row>0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78E2D55-C5B9-29F5-10A2-49B8B8A83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0</xdr:rowOff>
    </xdr:from>
    <xdr:to>
      <xdr:col>7</xdr:col>
      <xdr:colOff>304800</xdr:colOff>
      <xdr:row>0</xdr:row>
      <xdr:rowOff>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E661039-402B-3FBA-3FBB-796A838AB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0</xdr:row>
      <xdr:rowOff>0</xdr:rowOff>
    </xdr:from>
    <xdr:to>
      <xdr:col>19</xdr:col>
      <xdr:colOff>323850</xdr:colOff>
      <xdr:row>0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1D39D69D-1EF3-014E-2A31-92BEE52CD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50</xdr:row>
      <xdr:rowOff>0</xdr:rowOff>
    </xdr:from>
    <xdr:to>
      <xdr:col>11</xdr:col>
      <xdr:colOff>0</xdr:colOff>
      <xdr:row>50</xdr:row>
      <xdr:rowOff>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2627A284-9E41-A58D-CC94-4A6A6A10D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19</xdr:col>
      <xdr:colOff>485775</xdr:colOff>
      <xdr:row>50</xdr:row>
      <xdr:rowOff>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54C07F27-A5D0-8A11-E9D7-0E86D5362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161925</xdr:colOff>
      <xdr:row>6</xdr:row>
      <xdr:rowOff>314325</xdr:rowOff>
    </xdr:from>
    <xdr:to>
      <xdr:col>11</xdr:col>
      <xdr:colOff>600075</xdr:colOff>
      <xdr:row>17</xdr:row>
      <xdr:rowOff>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9DB3D564-0568-F6D6-ABD6-1B962566D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847725</xdr:colOff>
      <xdr:row>30</xdr:row>
      <xdr:rowOff>9525</xdr:rowOff>
    </xdr:from>
    <xdr:to>
      <xdr:col>9</xdr:col>
      <xdr:colOff>771525</xdr:colOff>
      <xdr:row>43</xdr:row>
      <xdr:rowOff>28575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2488EAAF-3C32-F0DE-C2D3-06E3446A1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342900</xdr:colOff>
      <xdr:row>30</xdr:row>
      <xdr:rowOff>9525</xdr:rowOff>
    </xdr:from>
    <xdr:to>
      <xdr:col>20</xdr:col>
      <xdr:colOff>0</xdr:colOff>
      <xdr:row>43</xdr:row>
      <xdr:rowOff>9525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31D8099F-FC8F-168C-5C7C-A6C1AB12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7</xdr:col>
      <xdr:colOff>0</xdr:colOff>
      <xdr:row>51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F89DFD6-00AB-4E77-4CE4-AFFD7EC14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32</xdr:row>
      <xdr:rowOff>47625</xdr:rowOff>
    </xdr:from>
    <xdr:to>
      <xdr:col>14</xdr:col>
      <xdr:colOff>485775</xdr:colOff>
      <xdr:row>54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7A1972CD-79D2-03C0-D729-C8BE10339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</xdr:row>
      <xdr:rowOff>123825</xdr:rowOff>
    </xdr:from>
    <xdr:to>
      <xdr:col>22</xdr:col>
      <xdr:colOff>257175</xdr:colOff>
      <xdr:row>31</xdr:row>
      <xdr:rowOff>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0664F82D-890D-4B06-5A26-EAAEDE8B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33</xdr:row>
      <xdr:rowOff>0</xdr:rowOff>
    </xdr:from>
    <xdr:to>
      <xdr:col>22</xdr:col>
      <xdr:colOff>257175</xdr:colOff>
      <xdr:row>51</xdr:row>
      <xdr:rowOff>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A9718F4-266D-A797-8115-9C3572E3B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e%20YTD%20Budget%20Comp%20for%20Sal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Capital HC"/>
      <sheetName val="YTD HC"/>
    </sheetNames>
    <sheetDataSet>
      <sheetData sheetId="0"/>
      <sheetData sheetId="1"/>
      <sheetData sheetId="2"/>
      <sheetData sheetId="3"/>
      <sheetData sheetId="4"/>
      <sheetData sheetId="5"/>
      <sheetData sheetId="6">
        <row r="180">
          <cell r="B180">
            <v>1537887079.8700004</v>
          </cell>
        </row>
      </sheetData>
      <sheetData sheetId="7">
        <row r="47">
          <cell r="J47">
            <v>9207203268.6599998</v>
          </cell>
        </row>
      </sheetData>
      <sheetData sheetId="8"/>
      <sheetData sheetId="9"/>
      <sheetData sheetId="10">
        <row r="9">
          <cell r="G9">
            <v>34999672</v>
          </cell>
        </row>
      </sheetData>
      <sheetData sheetId="11"/>
      <sheetData sheetId="12"/>
      <sheetData sheetId="13">
        <row r="9">
          <cell r="J9">
            <v>3802548563.3000002</v>
          </cell>
        </row>
      </sheetData>
      <sheetData sheetId="14"/>
      <sheetData sheetId="15"/>
      <sheetData sheetId="16"/>
      <sheetData sheetId="17"/>
      <sheetData sheetId="18">
        <row r="20">
          <cell r="I20">
            <v>61</v>
          </cell>
          <cell r="J20">
            <v>61</v>
          </cell>
        </row>
        <row r="34">
          <cell r="I34">
            <v>106</v>
          </cell>
          <cell r="J34">
            <v>118</v>
          </cell>
        </row>
        <row r="48">
          <cell r="I48">
            <v>60</v>
          </cell>
          <cell r="J48">
            <v>65</v>
          </cell>
        </row>
        <row r="57">
          <cell r="I57">
            <v>39</v>
          </cell>
          <cell r="J57">
            <v>43</v>
          </cell>
        </row>
        <row r="60">
          <cell r="I60">
            <v>17</v>
          </cell>
          <cell r="J60">
            <v>16</v>
          </cell>
        </row>
        <row r="63">
          <cell r="I63">
            <v>8</v>
          </cell>
          <cell r="J63">
            <v>6</v>
          </cell>
        </row>
        <row r="70">
          <cell r="I70">
            <v>20</v>
          </cell>
          <cell r="J70">
            <v>10</v>
          </cell>
        </row>
        <row r="75">
          <cell r="I75">
            <v>9</v>
          </cell>
          <cell r="J75">
            <v>8</v>
          </cell>
        </row>
        <row r="86">
          <cell r="I86">
            <v>4</v>
          </cell>
          <cell r="J86">
            <v>3</v>
          </cell>
        </row>
        <row r="94">
          <cell r="I94">
            <v>3</v>
          </cell>
          <cell r="J94">
            <v>0</v>
          </cell>
        </row>
        <row r="99">
          <cell r="I99">
            <v>2</v>
          </cell>
          <cell r="J99">
            <v>3</v>
          </cell>
        </row>
        <row r="100">
          <cell r="I100">
            <v>2</v>
          </cell>
          <cell r="J100">
            <v>3</v>
          </cell>
        </row>
        <row r="108">
          <cell r="F108">
            <v>0</v>
          </cell>
          <cell r="I108">
            <v>0</v>
          </cell>
        </row>
        <row r="109">
          <cell r="F109">
            <v>7</v>
          </cell>
          <cell r="I109">
            <v>7</v>
          </cell>
          <cell r="J109">
            <v>9</v>
          </cell>
        </row>
        <row r="110">
          <cell r="F110">
            <v>0</v>
          </cell>
          <cell r="I110">
            <v>0</v>
          </cell>
          <cell r="J110">
            <v>0</v>
          </cell>
        </row>
        <row r="111">
          <cell r="F111">
            <v>2.95</v>
          </cell>
          <cell r="I111">
            <v>2.95</v>
          </cell>
          <cell r="J111">
            <v>0</v>
          </cell>
        </row>
        <row r="112">
          <cell r="F112">
            <v>2.95</v>
          </cell>
          <cell r="I112">
            <v>2.95</v>
          </cell>
          <cell r="J112">
            <v>0</v>
          </cell>
        </row>
        <row r="113">
          <cell r="F113">
            <v>1</v>
          </cell>
          <cell r="I113">
            <v>1</v>
          </cell>
          <cell r="J113">
            <v>0</v>
          </cell>
        </row>
        <row r="114">
          <cell r="F114">
            <v>1.2</v>
          </cell>
          <cell r="I114">
            <v>1.2</v>
          </cell>
          <cell r="J114">
            <v>0</v>
          </cell>
        </row>
        <row r="115">
          <cell r="F115">
            <v>5</v>
          </cell>
          <cell r="I115">
            <v>5</v>
          </cell>
          <cell r="J115">
            <v>0</v>
          </cell>
        </row>
        <row r="116">
          <cell r="F116">
            <v>0</v>
          </cell>
          <cell r="I116">
            <v>0</v>
          </cell>
          <cell r="J116">
            <v>0</v>
          </cell>
        </row>
        <row r="117">
          <cell r="F117">
            <v>0</v>
          </cell>
          <cell r="I117">
            <v>0</v>
          </cell>
          <cell r="J117">
            <v>0</v>
          </cell>
        </row>
        <row r="118">
          <cell r="F118">
            <v>0</v>
          </cell>
          <cell r="I118">
            <v>0</v>
          </cell>
          <cell r="J118">
            <v>0</v>
          </cell>
        </row>
        <row r="119">
          <cell r="F119">
            <v>0</v>
          </cell>
          <cell r="I119">
            <v>0</v>
          </cell>
          <cell r="J119">
            <v>0</v>
          </cell>
        </row>
        <row r="121">
          <cell r="F121">
            <v>0</v>
          </cell>
          <cell r="I121">
            <v>0</v>
          </cell>
          <cell r="J121">
            <v>0</v>
          </cell>
        </row>
        <row r="122">
          <cell r="F122">
            <v>0</v>
          </cell>
          <cell r="I122">
            <v>0</v>
          </cell>
          <cell r="J122">
            <v>0</v>
          </cell>
        </row>
        <row r="131">
          <cell r="I131">
            <v>9</v>
          </cell>
          <cell r="J131">
            <v>13</v>
          </cell>
        </row>
      </sheetData>
      <sheetData sheetId="19"/>
      <sheetData sheetId="20"/>
      <sheetData sheetId="21"/>
      <sheetData sheetId="22">
        <row r="33">
          <cell r="H33" t="str">
            <v>Adjusted Plan (b)</v>
          </cell>
          <cell r="I33" t="str">
            <v>Actual</v>
          </cell>
        </row>
        <row r="34">
          <cell r="D34">
            <v>36526</v>
          </cell>
          <cell r="H34">
            <v>432.2</v>
          </cell>
          <cell r="I34">
            <v>418</v>
          </cell>
        </row>
        <row r="35">
          <cell r="D35">
            <v>36557</v>
          </cell>
          <cell r="H35">
            <v>430.95</v>
          </cell>
          <cell r="I35">
            <v>417</v>
          </cell>
        </row>
        <row r="36">
          <cell r="D36">
            <v>36586</v>
          </cell>
          <cell r="H36">
            <v>433.2</v>
          </cell>
          <cell r="I36">
            <v>410</v>
          </cell>
        </row>
        <row r="37">
          <cell r="D37">
            <v>36617</v>
          </cell>
          <cell r="H37">
            <v>429</v>
          </cell>
          <cell r="I37">
            <v>419</v>
          </cell>
        </row>
        <row r="38">
          <cell r="D38">
            <v>36647</v>
          </cell>
          <cell r="H38">
            <v>435</v>
          </cell>
          <cell r="I38">
            <v>429</v>
          </cell>
        </row>
        <row r="39">
          <cell r="D39">
            <v>36678</v>
          </cell>
          <cell r="H39">
            <v>442</v>
          </cell>
          <cell r="I39">
            <v>440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5"/>
  <sheetViews>
    <sheetView tabSelected="1" zoomScale="90" workbookViewId="0">
      <selection activeCell="D27" sqref="D27"/>
    </sheetView>
  </sheetViews>
  <sheetFormatPr defaultRowHeight="12.75" x14ac:dyDescent="0.2"/>
  <cols>
    <col min="1" max="1" width="1.5" customWidth="1"/>
    <col min="2" max="2" width="27.5" customWidth="1"/>
    <col min="3" max="3" width="14" bestFit="1" customWidth="1"/>
    <col min="4" max="4" width="11.6640625" bestFit="1" customWidth="1"/>
    <col min="5" max="5" width="13.1640625" customWidth="1"/>
    <col min="6" max="6" width="13.5" bestFit="1" customWidth="1"/>
    <col min="7" max="7" width="12.33203125" customWidth="1"/>
    <col min="8" max="8" width="13.83203125" customWidth="1"/>
    <col min="9" max="9" width="12.1640625" customWidth="1"/>
    <col min="10" max="10" width="11.6640625" bestFit="1" customWidth="1"/>
    <col min="11" max="11" width="13.33203125" bestFit="1" customWidth="1"/>
    <col min="12" max="12" width="11.83203125" bestFit="1" customWidth="1"/>
    <col min="13" max="13" width="11.5" customWidth="1"/>
    <col min="14" max="14" width="13.1640625" customWidth="1"/>
    <col min="15" max="15" width="11.6640625" customWidth="1"/>
    <col min="16" max="16" width="1.83203125" customWidth="1"/>
    <col min="17" max="17" width="13.5" hidden="1" customWidth="1"/>
    <col min="18" max="18" width="0.83203125" hidden="1" customWidth="1"/>
    <col min="19" max="19" width="13.1640625" hidden="1" customWidth="1"/>
    <col min="20" max="20" width="11.5" hidden="1" customWidth="1"/>
    <col min="21" max="23" width="0" hidden="1" customWidth="1"/>
    <col min="24" max="24" width="4.5" customWidth="1"/>
  </cols>
  <sheetData>
    <row r="1" spans="1:20" x14ac:dyDescent="0.2">
      <c r="A1" s="1" t="s">
        <v>0</v>
      </c>
    </row>
    <row r="2" spans="1:20" x14ac:dyDescent="0.2">
      <c r="A2" s="1" t="s">
        <v>1</v>
      </c>
    </row>
    <row r="3" spans="1:20" x14ac:dyDescent="0.2">
      <c r="A3" s="1"/>
    </row>
    <row r="4" spans="1:20" x14ac:dyDescent="0.2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7" x14ac:dyDescent="0.2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7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7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7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7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7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7" ht="14.25" x14ac:dyDescent="0.2">
      <c r="B23" s="3" t="s">
        <v>159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122" t="s">
        <v>2</v>
      </c>
      <c r="R23" s="122"/>
      <c r="S23" s="123"/>
      <c r="T23" s="2"/>
      <c r="AA23" t="s">
        <v>3</v>
      </c>
    </row>
    <row r="24" spans="2:27" x14ac:dyDescent="0.2">
      <c r="D24" s="6">
        <v>36526</v>
      </c>
      <c r="E24" s="6">
        <v>36557</v>
      </c>
      <c r="F24" s="6">
        <v>36586</v>
      </c>
      <c r="G24" s="6">
        <v>36617</v>
      </c>
      <c r="H24" s="6">
        <v>36647</v>
      </c>
      <c r="I24" s="6">
        <v>36678</v>
      </c>
      <c r="J24" s="6">
        <v>36708</v>
      </c>
      <c r="K24" s="6">
        <v>36739</v>
      </c>
      <c r="L24" s="6">
        <v>36770</v>
      </c>
      <c r="M24" s="6">
        <v>36800</v>
      </c>
      <c r="N24" s="6">
        <v>36831</v>
      </c>
      <c r="O24" s="6">
        <v>36861</v>
      </c>
      <c r="P24" s="7"/>
      <c r="Q24" s="8" t="s">
        <v>4</v>
      </c>
      <c r="R24" s="8"/>
      <c r="S24" s="8" t="s">
        <v>5</v>
      </c>
      <c r="T24" s="2"/>
      <c r="AA24" t="s">
        <v>6</v>
      </c>
    </row>
    <row r="25" spans="2:27" x14ac:dyDescent="0.2">
      <c r="D25" s="2"/>
      <c r="E25" s="2"/>
      <c r="F25" s="9"/>
      <c r="G25" s="10"/>
      <c r="H25" s="10"/>
      <c r="I25" s="10"/>
      <c r="J25" s="2"/>
      <c r="K25" s="2"/>
      <c r="L25" s="2"/>
      <c r="M25" s="10"/>
      <c r="N25" s="10"/>
      <c r="O25" s="10"/>
      <c r="P25" s="10"/>
      <c r="Q25" s="2"/>
      <c r="R25" s="2"/>
      <c r="S25" s="2"/>
      <c r="T25" s="2"/>
      <c r="AA25" t="s">
        <v>7</v>
      </c>
    </row>
    <row r="26" spans="2:27" x14ac:dyDescent="0.2">
      <c r="B26" t="s">
        <v>8</v>
      </c>
      <c r="D26" s="11">
        <v>8698</v>
      </c>
      <c r="E26" s="11">
        <v>10541</v>
      </c>
      <c r="F26" s="11">
        <v>16886</v>
      </c>
      <c r="G26" s="11">
        <v>14536</v>
      </c>
      <c r="H26" s="11">
        <v>15918</v>
      </c>
      <c r="I26" s="11">
        <v>16455</v>
      </c>
      <c r="J26" s="11"/>
      <c r="K26" s="11"/>
      <c r="L26" s="11"/>
      <c r="M26" s="11"/>
      <c r="N26" s="11"/>
      <c r="O26" s="11"/>
      <c r="P26" s="12"/>
      <c r="Q26" s="13">
        <f>+J26/D26</f>
        <v>0</v>
      </c>
      <c r="R26" s="13"/>
      <c r="S26" s="13">
        <f>+K26/E26</f>
        <v>0</v>
      </c>
      <c r="T26" s="2"/>
    </row>
    <row r="27" spans="2:27" x14ac:dyDescent="0.2">
      <c r="B27" t="s">
        <v>9</v>
      </c>
      <c r="D27" s="11">
        <v>3264</v>
      </c>
      <c r="E27" s="11">
        <v>3731</v>
      </c>
      <c r="F27" s="11">
        <v>4386</v>
      </c>
      <c r="G27" s="11">
        <v>3507</v>
      </c>
      <c r="H27" s="11">
        <v>5329</v>
      </c>
      <c r="I27" s="11">
        <v>4863</v>
      </c>
      <c r="J27" s="11"/>
      <c r="K27" s="11"/>
      <c r="L27" s="11"/>
      <c r="M27" s="11"/>
      <c r="N27" s="11"/>
      <c r="O27" s="11"/>
      <c r="P27" s="12"/>
      <c r="Q27" s="13"/>
      <c r="R27" s="13"/>
      <c r="S27" s="13"/>
      <c r="T27" s="2"/>
    </row>
    <row r="28" spans="2:27" x14ac:dyDescent="0.2">
      <c r="B28" t="s">
        <v>10</v>
      </c>
      <c r="D28" s="11">
        <v>12413</v>
      </c>
      <c r="E28" s="11">
        <v>12595</v>
      </c>
      <c r="F28" s="11">
        <v>15886</v>
      </c>
      <c r="G28" s="11">
        <v>15208</v>
      </c>
      <c r="H28" s="11">
        <v>16350</v>
      </c>
      <c r="I28" s="11">
        <v>15453</v>
      </c>
      <c r="J28" s="11"/>
      <c r="K28" s="11"/>
      <c r="L28" s="11"/>
      <c r="M28" s="11"/>
      <c r="N28" s="11"/>
      <c r="O28" s="11"/>
      <c r="P28" s="12"/>
      <c r="Q28" s="13">
        <f>+J28/D28</f>
        <v>0</v>
      </c>
      <c r="R28" s="13"/>
      <c r="S28" s="13">
        <f>+K28/E28</f>
        <v>0</v>
      </c>
      <c r="T28" s="2"/>
    </row>
    <row r="29" spans="2:27" ht="15.75" x14ac:dyDescent="0.2">
      <c r="B29" t="s">
        <v>160</v>
      </c>
      <c r="D29" s="11">
        <v>8846</v>
      </c>
      <c r="E29" s="11">
        <v>10406</v>
      </c>
      <c r="F29" s="11">
        <v>14613</v>
      </c>
      <c r="G29" s="11">
        <v>12550</v>
      </c>
      <c r="H29" s="11">
        <v>22084</v>
      </c>
      <c r="I29" s="11">
        <v>28888</v>
      </c>
      <c r="J29" s="11"/>
      <c r="K29" s="11"/>
      <c r="L29" s="11"/>
      <c r="M29" s="11"/>
      <c r="N29" s="11"/>
      <c r="O29" s="11"/>
      <c r="P29" s="12"/>
      <c r="Q29" s="13">
        <f>+J29/D29</f>
        <v>0</v>
      </c>
      <c r="R29" s="13"/>
      <c r="S29" s="13">
        <f>+K29/E29</f>
        <v>0</v>
      </c>
      <c r="T29" s="2"/>
    </row>
    <row r="30" spans="2:27" ht="13.5" thickBot="1" x14ac:dyDescent="0.25">
      <c r="B30" s="14" t="s">
        <v>11</v>
      </c>
      <c r="D30" s="15">
        <f t="shared" ref="D30:O30" si="0">SUM(D26:D29)</f>
        <v>33221</v>
      </c>
      <c r="E30" s="15">
        <f t="shared" si="0"/>
        <v>37273</v>
      </c>
      <c r="F30" s="16">
        <f t="shared" si="0"/>
        <v>51771</v>
      </c>
      <c r="G30" s="15">
        <f t="shared" si="0"/>
        <v>45801</v>
      </c>
      <c r="H30" s="15">
        <f t="shared" si="0"/>
        <v>59681</v>
      </c>
      <c r="I30" s="16">
        <f t="shared" si="0"/>
        <v>65659</v>
      </c>
      <c r="J30" s="15">
        <f t="shared" si="0"/>
        <v>0</v>
      </c>
      <c r="K30" s="15">
        <f t="shared" si="0"/>
        <v>0</v>
      </c>
      <c r="L30" s="16">
        <f t="shared" si="0"/>
        <v>0</v>
      </c>
      <c r="M30" s="15">
        <f t="shared" si="0"/>
        <v>0</v>
      </c>
      <c r="N30" s="15">
        <f t="shared" si="0"/>
        <v>0</v>
      </c>
      <c r="O30" s="16">
        <f t="shared" si="0"/>
        <v>0</v>
      </c>
      <c r="P30" s="12"/>
      <c r="Q30" s="17">
        <f>+J30/D30</f>
        <v>0</v>
      </c>
      <c r="R30" s="17"/>
      <c r="S30" s="17">
        <f>+K30/E30</f>
        <v>0</v>
      </c>
    </row>
    <row r="31" spans="2:27" ht="13.5" thickTop="1" x14ac:dyDescent="0.2">
      <c r="G31" s="18"/>
      <c r="H31" s="18"/>
      <c r="I31" s="18"/>
      <c r="M31" s="18"/>
      <c r="N31" s="18"/>
      <c r="O31" s="18"/>
      <c r="P31" s="18"/>
    </row>
    <row r="32" spans="2:27" ht="14.25" x14ac:dyDescent="0.2">
      <c r="B32" s="3" t="s">
        <v>161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122" t="s">
        <v>2</v>
      </c>
      <c r="R32" s="122"/>
      <c r="S32" s="123"/>
      <c r="T32" s="2"/>
      <c r="AA32" t="s">
        <v>3</v>
      </c>
    </row>
    <row r="33" spans="2:27" x14ac:dyDescent="0.2">
      <c r="D33" s="6">
        <v>36526</v>
      </c>
      <c r="E33" s="6">
        <v>36557</v>
      </c>
      <c r="F33" s="6">
        <v>36586</v>
      </c>
      <c r="G33" s="6">
        <v>36617</v>
      </c>
      <c r="H33" s="6">
        <v>36647</v>
      </c>
      <c r="I33" s="6">
        <v>36678</v>
      </c>
      <c r="J33" s="6">
        <v>36708</v>
      </c>
      <c r="K33" s="6">
        <v>36739</v>
      </c>
      <c r="L33" s="6">
        <v>36770</v>
      </c>
      <c r="M33" s="6">
        <v>36800</v>
      </c>
      <c r="N33" s="6">
        <v>36831</v>
      </c>
      <c r="O33" s="6">
        <v>36861</v>
      </c>
      <c r="P33" s="7"/>
      <c r="Q33" s="8" t="s">
        <v>4</v>
      </c>
      <c r="R33" s="8"/>
      <c r="S33" s="8" t="s">
        <v>5</v>
      </c>
      <c r="T33" s="2"/>
      <c r="AA33" t="s">
        <v>6</v>
      </c>
    </row>
    <row r="34" spans="2:27" x14ac:dyDescent="0.2">
      <c r="D34" s="2"/>
      <c r="E34" s="2"/>
      <c r="F34" s="9"/>
      <c r="G34" s="10"/>
      <c r="H34" s="10"/>
      <c r="I34" s="10"/>
      <c r="J34" s="2"/>
      <c r="K34" s="2"/>
      <c r="L34" s="2"/>
      <c r="M34" s="10"/>
      <c r="N34" s="10"/>
      <c r="O34" s="10"/>
      <c r="P34" s="10"/>
      <c r="Q34" s="2"/>
      <c r="R34" s="2"/>
      <c r="S34" s="2"/>
      <c r="T34" s="2"/>
      <c r="AA34" t="s">
        <v>7</v>
      </c>
    </row>
    <row r="35" spans="2:27" x14ac:dyDescent="0.2">
      <c r="B35" t="s">
        <v>8</v>
      </c>
      <c r="D35" s="11">
        <v>12808</v>
      </c>
      <c r="E35" s="11">
        <v>15431</v>
      </c>
      <c r="F35" s="11">
        <v>15300</v>
      </c>
      <c r="G35" s="11">
        <v>16154</v>
      </c>
      <c r="H35" s="11">
        <v>15394</v>
      </c>
      <c r="I35" s="11">
        <v>15460</v>
      </c>
      <c r="J35" s="11"/>
      <c r="K35" s="11"/>
      <c r="L35" s="11"/>
      <c r="M35" s="11"/>
      <c r="N35" s="11"/>
      <c r="O35" s="11"/>
      <c r="P35" s="12"/>
      <c r="Q35" s="13">
        <f>+J35/D35</f>
        <v>0</v>
      </c>
      <c r="R35" s="13"/>
      <c r="S35" s="13">
        <f>+K35/E35</f>
        <v>0</v>
      </c>
      <c r="T35" s="2"/>
    </row>
    <row r="36" spans="2:27" x14ac:dyDescent="0.2">
      <c r="B36" t="s">
        <v>9</v>
      </c>
      <c r="D36" s="11">
        <v>4087</v>
      </c>
      <c r="E36" s="11">
        <v>4767</v>
      </c>
      <c r="F36" s="11">
        <v>4411</v>
      </c>
      <c r="G36" s="11">
        <v>4624</v>
      </c>
      <c r="H36" s="11">
        <v>5532</v>
      </c>
      <c r="I36" s="11">
        <v>5341</v>
      </c>
      <c r="J36" s="11"/>
      <c r="K36" s="11"/>
      <c r="L36" s="11"/>
      <c r="M36" s="11"/>
      <c r="N36" s="11"/>
      <c r="O36" s="11"/>
      <c r="P36" s="12"/>
      <c r="Q36" s="13"/>
      <c r="R36" s="13"/>
      <c r="S36" s="13"/>
      <c r="T36" s="2"/>
    </row>
    <row r="37" spans="2:27" x14ac:dyDescent="0.2">
      <c r="B37" t="s">
        <v>10</v>
      </c>
      <c r="D37" s="11">
        <v>11788</v>
      </c>
      <c r="E37" s="11">
        <v>10536</v>
      </c>
      <c r="F37" s="11">
        <v>13715</v>
      </c>
      <c r="G37" s="11">
        <v>14000</v>
      </c>
      <c r="H37" s="11">
        <v>18028</v>
      </c>
      <c r="I37" s="11">
        <v>16712</v>
      </c>
      <c r="J37" s="11"/>
      <c r="K37" s="11"/>
      <c r="L37" s="11"/>
      <c r="M37" s="11"/>
      <c r="N37" s="11"/>
      <c r="O37" s="11"/>
      <c r="P37" s="12"/>
      <c r="Q37" s="13">
        <f>+J37/D37</f>
        <v>0</v>
      </c>
      <c r="R37" s="13"/>
      <c r="S37" s="13">
        <f>+K37/E37</f>
        <v>0</v>
      </c>
      <c r="T37" s="2"/>
    </row>
    <row r="38" spans="2:27" ht="15.75" x14ac:dyDescent="0.2">
      <c r="B38" t="s">
        <v>160</v>
      </c>
      <c r="D38" s="11">
        <v>13469</v>
      </c>
      <c r="E38" s="11">
        <v>16360</v>
      </c>
      <c r="F38" s="11">
        <v>17948</v>
      </c>
      <c r="G38" s="11">
        <v>16663</v>
      </c>
      <c r="H38" s="11">
        <v>18199</v>
      </c>
      <c r="I38" s="11">
        <v>21573</v>
      </c>
      <c r="J38" s="11"/>
      <c r="K38" s="11"/>
      <c r="L38" s="11"/>
      <c r="M38" s="11"/>
      <c r="N38" s="11"/>
      <c r="O38" s="11"/>
      <c r="P38" s="12"/>
      <c r="Q38" s="13">
        <f>+J38/D38</f>
        <v>0</v>
      </c>
      <c r="R38" s="13"/>
      <c r="S38" s="13">
        <f>+K38/E38</f>
        <v>0</v>
      </c>
      <c r="T38" s="2"/>
    </row>
    <row r="39" spans="2:27" ht="13.5" thickBot="1" x14ac:dyDescent="0.25">
      <c r="B39" s="14" t="s">
        <v>11</v>
      </c>
      <c r="D39" s="15">
        <f t="shared" ref="D39:O39" si="1">SUM(D35:D38)</f>
        <v>42152</v>
      </c>
      <c r="E39" s="15">
        <f t="shared" si="1"/>
        <v>47094</v>
      </c>
      <c r="F39" s="16">
        <f t="shared" si="1"/>
        <v>51374</v>
      </c>
      <c r="G39" s="15">
        <f t="shared" si="1"/>
        <v>51441</v>
      </c>
      <c r="H39" s="15">
        <f t="shared" si="1"/>
        <v>57153</v>
      </c>
      <c r="I39" s="16">
        <f t="shared" si="1"/>
        <v>59086</v>
      </c>
      <c r="J39" s="15">
        <f t="shared" si="1"/>
        <v>0</v>
      </c>
      <c r="K39" s="15">
        <f t="shared" si="1"/>
        <v>0</v>
      </c>
      <c r="L39" s="16">
        <f t="shared" si="1"/>
        <v>0</v>
      </c>
      <c r="M39" s="15">
        <f t="shared" si="1"/>
        <v>0</v>
      </c>
      <c r="N39" s="15">
        <f t="shared" si="1"/>
        <v>0</v>
      </c>
      <c r="O39" s="16">
        <f t="shared" si="1"/>
        <v>0</v>
      </c>
      <c r="P39" s="12"/>
      <c r="Q39" s="17">
        <f>+J39/D39</f>
        <v>0</v>
      </c>
      <c r="R39" s="17"/>
      <c r="S39" s="17">
        <f>+K39/E39</f>
        <v>0</v>
      </c>
    </row>
    <row r="40" spans="2:27" ht="13.5" thickTop="1" x14ac:dyDescent="0.2">
      <c r="G40" s="18"/>
      <c r="H40" s="18"/>
      <c r="I40" s="18"/>
      <c r="M40" s="18"/>
      <c r="N40" s="18"/>
      <c r="O40" s="18"/>
      <c r="P40" s="18"/>
    </row>
    <row r="41" spans="2:27" ht="14.25" x14ac:dyDescent="0.2">
      <c r="B41" s="3" t="s">
        <v>12</v>
      </c>
      <c r="G41" s="18"/>
      <c r="H41" s="18"/>
      <c r="I41" s="18"/>
      <c r="M41" s="18"/>
      <c r="N41" s="18"/>
      <c r="O41" s="18"/>
      <c r="P41" s="18"/>
    </row>
    <row r="42" spans="2:27" x14ac:dyDescent="0.2">
      <c r="C42" s="19" t="s">
        <v>13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122" t="s">
        <v>2</v>
      </c>
      <c r="R42" s="122"/>
      <c r="S42" s="123"/>
      <c r="T42" s="2"/>
      <c r="AA42" t="s">
        <v>3</v>
      </c>
    </row>
    <row r="43" spans="2:27" x14ac:dyDescent="0.2">
      <c r="C43" s="20" t="s">
        <v>14</v>
      </c>
      <c r="D43" s="6">
        <v>36526</v>
      </c>
      <c r="E43" s="6">
        <v>36557</v>
      </c>
      <c r="F43" s="6">
        <v>36586</v>
      </c>
      <c r="G43" s="6">
        <v>36617</v>
      </c>
      <c r="H43" s="6">
        <v>36647</v>
      </c>
      <c r="I43" s="6">
        <v>36678</v>
      </c>
      <c r="J43" s="6">
        <v>36708</v>
      </c>
      <c r="K43" s="6">
        <v>36739</v>
      </c>
      <c r="L43" s="6">
        <v>36770</v>
      </c>
      <c r="M43" s="6">
        <v>36800</v>
      </c>
      <c r="N43" s="6">
        <v>36831</v>
      </c>
      <c r="O43" s="6">
        <v>36861</v>
      </c>
      <c r="P43" s="7"/>
      <c r="Q43" s="8" t="s">
        <v>4</v>
      </c>
      <c r="R43" s="8"/>
      <c r="S43" s="8" t="s">
        <v>5</v>
      </c>
      <c r="T43" s="2"/>
      <c r="AA43" t="s">
        <v>6</v>
      </c>
    </row>
    <row r="44" spans="2:27" x14ac:dyDescent="0.2">
      <c r="D44" s="2"/>
      <c r="E44" s="2"/>
      <c r="F44" s="9"/>
      <c r="G44" s="10"/>
      <c r="H44" s="10"/>
      <c r="I44" s="10"/>
      <c r="J44" s="2"/>
      <c r="K44" s="2"/>
      <c r="L44" s="2"/>
      <c r="M44" s="10"/>
      <c r="N44" s="10"/>
      <c r="O44" s="10"/>
      <c r="P44" s="10"/>
      <c r="Q44" s="2"/>
      <c r="R44" s="2"/>
      <c r="S44" s="2"/>
      <c r="T44" s="2"/>
      <c r="AA44" t="s">
        <v>7</v>
      </c>
    </row>
    <row r="45" spans="2:27" ht="15.95" customHeight="1" x14ac:dyDescent="0.2">
      <c r="B45" t="s">
        <v>8</v>
      </c>
      <c r="C45" t="s">
        <v>15</v>
      </c>
      <c r="D45" s="21">
        <v>16.419323161290322</v>
      </c>
      <c r="E45" s="21">
        <v>16.598812448275861</v>
      </c>
      <c r="F45" s="21">
        <v>17.548291741935483</v>
      </c>
      <c r="G45" s="21">
        <v>17.5065566</v>
      </c>
      <c r="H45" s="21">
        <v>18.191837225806452</v>
      </c>
      <c r="I45" s="21">
        <v>20.283385766666665</v>
      </c>
      <c r="J45" s="21"/>
      <c r="K45" s="21"/>
      <c r="L45" s="21"/>
      <c r="M45" s="21"/>
      <c r="N45" s="21"/>
      <c r="O45" s="21"/>
      <c r="P45" s="12"/>
      <c r="Q45" s="13">
        <f>+J45/D45</f>
        <v>0</v>
      </c>
      <c r="R45" s="13"/>
      <c r="S45" s="13">
        <f>+K45/E45</f>
        <v>0</v>
      </c>
      <c r="T45" s="2"/>
    </row>
    <row r="46" spans="2:27" ht="15.95" customHeight="1" x14ac:dyDescent="0.2">
      <c r="B46" t="s">
        <v>9</v>
      </c>
      <c r="C46" t="s">
        <v>15</v>
      </c>
      <c r="D46" s="21">
        <v>4.016</v>
      </c>
      <c r="E46" s="21">
        <v>4.569</v>
      </c>
      <c r="F46" s="21">
        <v>5.657</v>
      </c>
      <c r="G46" s="21">
        <v>6.016</v>
      </c>
      <c r="H46" s="21">
        <v>6.3609999999999998</v>
      </c>
      <c r="I46" s="21">
        <v>6.3</v>
      </c>
      <c r="J46" s="21"/>
      <c r="K46" s="21"/>
      <c r="L46" s="21"/>
      <c r="M46" s="21"/>
      <c r="N46" s="21"/>
      <c r="O46" s="21"/>
      <c r="P46" s="12"/>
      <c r="Q46" s="13"/>
      <c r="R46" s="13"/>
      <c r="S46" s="13"/>
      <c r="T46" s="2"/>
    </row>
    <row r="47" spans="2:27" ht="15.95" customHeight="1" x14ac:dyDescent="0.2">
      <c r="B47" s="22" t="s">
        <v>16</v>
      </c>
      <c r="C47" t="s">
        <v>15</v>
      </c>
      <c r="D47" s="23">
        <f t="shared" ref="D47:I47" si="2">+D46+D45</f>
        <v>20.43532316129032</v>
      </c>
      <c r="E47" s="23">
        <f t="shared" si="2"/>
        <v>21.167812448275861</v>
      </c>
      <c r="F47" s="23">
        <f t="shared" si="2"/>
        <v>23.205291741935483</v>
      </c>
      <c r="G47" s="23">
        <f t="shared" si="2"/>
        <v>23.522556600000001</v>
      </c>
      <c r="H47" s="23">
        <f t="shared" si="2"/>
        <v>24.552837225806453</v>
      </c>
      <c r="I47" s="23">
        <f t="shared" si="2"/>
        <v>26.583385766666666</v>
      </c>
      <c r="J47" s="21"/>
      <c r="K47" s="21"/>
      <c r="L47" s="21"/>
      <c r="M47" s="21"/>
      <c r="N47" s="21"/>
      <c r="O47" s="21"/>
      <c r="P47" s="12"/>
      <c r="Q47" s="13"/>
      <c r="R47" s="13"/>
      <c r="S47" s="13"/>
      <c r="T47" s="2"/>
    </row>
    <row r="48" spans="2:27" ht="15.95" customHeight="1" x14ac:dyDescent="0.2">
      <c r="B48" t="s">
        <v>10</v>
      </c>
      <c r="C48" t="s">
        <v>17</v>
      </c>
      <c r="D48" s="21">
        <f>(26553036/1000000)/31</f>
        <v>0.85654954838709674</v>
      </c>
      <c r="E48" s="21">
        <f>(36333988/1000000)/29</f>
        <v>1.2528961379310344</v>
      </c>
      <c r="F48" s="21">
        <f>(39454678/1000000)/31</f>
        <v>1.2727315483870969</v>
      </c>
      <c r="G48" s="21">
        <f>(39502670/1000000)/30</f>
        <v>1.3167556666666667</v>
      </c>
      <c r="H48" s="21">
        <f>(47.9)/31</f>
        <v>1.5451612903225806</v>
      </c>
      <c r="I48" s="21">
        <f>(+'[1]Pwr Volumes &amp; Imbal'!G9/1000000)/30</f>
        <v>1.1666557333333332</v>
      </c>
      <c r="J48" s="21"/>
      <c r="K48" s="21"/>
      <c r="L48" s="21"/>
      <c r="M48" s="21"/>
      <c r="N48" s="21"/>
      <c r="O48" s="21"/>
      <c r="P48" s="12"/>
      <c r="Q48" s="13">
        <f>+J48/D48</f>
        <v>0</v>
      </c>
      <c r="R48" s="13"/>
      <c r="S48" s="13">
        <f>+K48/E48</f>
        <v>0</v>
      </c>
      <c r="T48" s="2"/>
    </row>
    <row r="49" spans="2:20" ht="15.95" customHeight="1" x14ac:dyDescent="0.2">
      <c r="B49" t="s">
        <v>18</v>
      </c>
      <c r="C49" t="s">
        <v>19</v>
      </c>
      <c r="D49" s="21">
        <f>(1563132.72/1000000)/31</f>
        <v>5.0423636129032258E-2</v>
      </c>
      <c r="E49" s="21">
        <f>(1794973.2/1000000)/29</f>
        <v>6.1895627586206897E-2</v>
      </c>
      <c r="F49" s="21">
        <f>(1742704.26/1000000)/31</f>
        <v>5.6216266451612901E-2</v>
      </c>
      <c r="G49" s="21">
        <f>(1636786.3/1000000)/30</f>
        <v>5.4559543333333335E-2</v>
      </c>
      <c r="H49" s="21">
        <f>(1552402.87/1000000)/31</f>
        <v>5.0077511935483876E-2</v>
      </c>
      <c r="I49" s="21">
        <f>(1663588/1000000)/30</f>
        <v>5.5452933333333336E-2</v>
      </c>
      <c r="J49" s="21"/>
      <c r="K49" s="21"/>
      <c r="L49" s="21"/>
      <c r="M49" s="21"/>
      <c r="N49" s="21"/>
      <c r="O49" s="21"/>
      <c r="P49" s="12"/>
      <c r="Q49" s="13"/>
      <c r="R49" s="13"/>
      <c r="S49" s="13"/>
      <c r="T49" s="2"/>
    </row>
    <row r="50" spans="2:20" ht="15.95" customHeight="1" x14ac:dyDescent="0.2">
      <c r="B50" t="s">
        <v>20</v>
      </c>
      <c r="C50" t="s">
        <v>21</v>
      </c>
      <c r="D50" s="21">
        <f>(9537/1000000)/31</f>
        <v>3.0764516129032257E-4</v>
      </c>
      <c r="E50" s="21">
        <f>(7801/1000000)/29</f>
        <v>2.6899999999999998E-4</v>
      </c>
      <c r="F50" s="21">
        <f>(6547/1000000)/31</f>
        <v>2.1119354838709678E-4</v>
      </c>
      <c r="G50" s="21">
        <f>(6608/1000000)/30</f>
        <v>2.2026666666666666E-4</v>
      </c>
      <c r="H50" s="21">
        <f>(7641/1000000)/31</f>
        <v>2.4648387096774192E-4</v>
      </c>
      <c r="I50" s="24">
        <f>+(7261.48/1000000)/30</f>
        <v>2.4204933333333333E-4</v>
      </c>
      <c r="J50" s="21"/>
      <c r="K50" s="21"/>
      <c r="L50" s="21"/>
      <c r="M50" s="21"/>
      <c r="N50" s="21"/>
      <c r="O50" s="21"/>
      <c r="P50" s="12"/>
      <c r="Q50" s="13"/>
      <c r="R50" s="13"/>
      <c r="S50" s="13"/>
      <c r="T50" s="2"/>
    </row>
    <row r="53" spans="2:20" x14ac:dyDescent="0.2">
      <c r="B53" s="25" t="s">
        <v>162</v>
      </c>
    </row>
    <row r="54" spans="2:20" x14ac:dyDescent="0.2">
      <c r="B54" s="25" t="s">
        <v>163</v>
      </c>
    </row>
    <row r="55" spans="2:20" x14ac:dyDescent="0.2">
      <c r="B55" s="26" t="s">
        <v>22</v>
      </c>
    </row>
  </sheetData>
  <mergeCells count="3">
    <mergeCell ref="Q32:S32"/>
    <mergeCell ref="Q42:S42"/>
    <mergeCell ref="Q23:S23"/>
  </mergeCells>
  <pageMargins left="0" right="0" top="0.75" bottom="0.5" header="0.5" footer="0.25"/>
  <pageSetup scale="71" orientation="landscape" r:id="rId1"/>
  <headerFooter alignWithMargins="0">
    <oddFooter>&amp;R&amp;7Page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2"/>
  <sheetViews>
    <sheetView zoomScale="90" workbookViewId="0">
      <selection activeCell="I9" sqref="I9"/>
    </sheetView>
  </sheetViews>
  <sheetFormatPr defaultRowHeight="12.75" x14ac:dyDescent="0.2"/>
  <cols>
    <col min="1" max="1" width="1.5" customWidth="1"/>
    <col min="2" max="2" width="23.6640625" customWidth="1"/>
    <col min="3" max="3" width="1.33203125" customWidth="1"/>
    <col min="4" max="4" width="14.6640625" customWidth="1"/>
    <col min="5" max="5" width="1.1640625" customWidth="1"/>
    <col min="6" max="6" width="13.83203125" customWidth="1"/>
    <col min="7" max="7" width="1" customWidth="1"/>
    <col min="8" max="8" width="14.33203125" customWidth="1"/>
    <col min="9" max="9" width="4.1640625" customWidth="1"/>
    <col min="10" max="10" width="13.6640625" customWidth="1"/>
    <col min="11" max="11" width="3.83203125" bestFit="1" customWidth="1"/>
    <col min="12" max="12" width="13.5" customWidth="1"/>
    <col min="13" max="13" width="3.83203125" bestFit="1" customWidth="1"/>
    <col min="14" max="14" width="14.33203125" customWidth="1"/>
    <col min="15" max="15" width="4.6640625" bestFit="1" customWidth="1"/>
    <col min="16" max="16" width="11.33203125" customWidth="1"/>
    <col min="17" max="17" width="1.33203125" customWidth="1"/>
    <col min="18" max="18" width="13.1640625" customWidth="1"/>
    <col min="19" max="19" width="1.5" customWidth="1"/>
    <col min="20" max="20" width="15" customWidth="1"/>
    <col min="21" max="21" width="1.33203125" customWidth="1"/>
    <col min="22" max="22" width="10.5" customWidth="1"/>
    <col min="23" max="23" width="1.1640625" customWidth="1"/>
    <col min="24" max="24" width="9.6640625" customWidth="1"/>
    <col min="25" max="25" width="1.1640625" customWidth="1"/>
    <col min="26" max="26" width="10.5" customWidth="1"/>
  </cols>
  <sheetData>
    <row r="1" spans="1:32" x14ac:dyDescent="0.2">
      <c r="A1" s="1" t="s">
        <v>0</v>
      </c>
    </row>
    <row r="2" spans="1:32" x14ac:dyDescent="0.2">
      <c r="A2" s="1" t="s">
        <v>23</v>
      </c>
    </row>
    <row r="3" spans="1:32" x14ac:dyDescent="0.2">
      <c r="A3" s="1" t="s">
        <v>24</v>
      </c>
    </row>
    <row r="4" spans="1:32" x14ac:dyDescent="0.2">
      <c r="D4" s="127" t="s">
        <v>25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R4" s="125" t="s">
        <v>26</v>
      </c>
      <c r="S4" s="125"/>
      <c r="T4" s="125"/>
      <c r="U4" s="125"/>
      <c r="V4" s="125"/>
    </row>
    <row r="5" spans="1:32" ht="38.25" x14ac:dyDescent="0.2">
      <c r="D5" s="28" t="s">
        <v>27</v>
      </c>
      <c r="E5" s="29"/>
      <c r="F5" s="28" t="s">
        <v>28</v>
      </c>
      <c r="G5" s="30"/>
      <c r="H5" s="28" t="s">
        <v>29</v>
      </c>
      <c r="I5" s="30"/>
      <c r="J5" s="28" t="s">
        <v>30</v>
      </c>
      <c r="K5" s="30"/>
      <c r="L5" s="28" t="s">
        <v>31</v>
      </c>
      <c r="M5" s="30"/>
      <c r="N5" s="28" t="s">
        <v>32</v>
      </c>
      <c r="O5" s="9"/>
      <c r="P5" s="28" t="s">
        <v>33</v>
      </c>
      <c r="Q5" s="1"/>
      <c r="R5" s="31" t="s">
        <v>11</v>
      </c>
      <c r="S5" s="31"/>
      <c r="T5" s="31" t="s">
        <v>34</v>
      </c>
      <c r="U5" s="31"/>
      <c r="V5" s="31" t="s">
        <v>35</v>
      </c>
    </row>
    <row r="6" spans="1:32" x14ac:dyDescent="0.2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R6" s="7"/>
      <c r="S6" s="7"/>
      <c r="T6" s="7"/>
      <c r="U6" s="7"/>
      <c r="V6" s="7"/>
    </row>
    <row r="7" spans="1:32" x14ac:dyDescent="0.2">
      <c r="B7" t="s">
        <v>8</v>
      </c>
      <c r="D7" s="32">
        <f t="shared" ref="D7:D14" si="0">SUM(F7:N7)</f>
        <v>2191.7788093499998</v>
      </c>
      <c r="E7" s="33"/>
      <c r="F7" s="32">
        <v>2052.6270398699999</v>
      </c>
      <c r="G7" s="32"/>
      <c r="H7" s="32">
        <v>91.016889370000001</v>
      </c>
      <c r="I7" s="32"/>
      <c r="J7" s="32">
        <v>12.743778000000001</v>
      </c>
      <c r="K7" s="32"/>
      <c r="L7" s="32">
        <v>10.6970192</v>
      </c>
      <c r="M7" s="32"/>
      <c r="N7" s="32">
        <v>24.694082909999999</v>
      </c>
      <c r="O7" s="34">
        <v>-1</v>
      </c>
      <c r="P7" s="35">
        <v>0.97799999999999998</v>
      </c>
      <c r="R7" s="32">
        <f t="shared" ref="R7:R14" si="1">SUM(T7:V7)</f>
        <v>-1934.8859977699999</v>
      </c>
      <c r="S7" s="32"/>
      <c r="T7" s="32">
        <v>-1904.75757516</v>
      </c>
      <c r="U7" s="32"/>
      <c r="V7" s="32">
        <v>-30.128422609999994</v>
      </c>
      <c r="AC7" t="s">
        <v>36</v>
      </c>
      <c r="AF7" t="s">
        <v>37</v>
      </c>
    </row>
    <row r="8" spans="1:32" x14ac:dyDescent="0.2">
      <c r="B8" t="s">
        <v>9</v>
      </c>
      <c r="D8" s="36">
        <f t="shared" si="0"/>
        <v>5.8445898900000008</v>
      </c>
      <c r="E8" s="37"/>
      <c r="F8" s="36">
        <v>5.8445898900000008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4"/>
      <c r="P8" s="35"/>
      <c r="R8" s="38">
        <f t="shared" si="1"/>
        <v>-3.6389672799999997</v>
      </c>
      <c r="S8" s="39"/>
      <c r="T8" s="38">
        <v>-3.6389672799999997</v>
      </c>
      <c r="U8" s="39"/>
      <c r="V8" s="40">
        <v>0</v>
      </c>
      <c r="AC8" t="s">
        <v>9</v>
      </c>
      <c r="AF8" t="s">
        <v>9</v>
      </c>
    </row>
    <row r="9" spans="1:32" ht="15.75" x14ac:dyDescent="0.2">
      <c r="B9" t="s">
        <v>164</v>
      </c>
      <c r="D9" s="36">
        <f t="shared" si="0"/>
        <v>35.368994929999999</v>
      </c>
      <c r="E9" s="37"/>
      <c r="F9" s="36">
        <v>23.581571199999996</v>
      </c>
      <c r="G9" s="36"/>
      <c r="H9" s="36">
        <v>0.29908518999999761</v>
      </c>
      <c r="I9" s="36"/>
      <c r="J9" s="36">
        <v>0.20369773000000002</v>
      </c>
      <c r="K9" s="36"/>
      <c r="L9" s="36">
        <v>0.28488648999999999</v>
      </c>
      <c r="M9" s="36"/>
      <c r="N9" s="36">
        <v>10.999754320000001</v>
      </c>
      <c r="O9" s="34">
        <v>-2</v>
      </c>
      <c r="P9" s="35">
        <v>0.99</v>
      </c>
      <c r="R9" s="38">
        <f t="shared" si="1"/>
        <v>-23.88094284999999</v>
      </c>
      <c r="S9" s="39"/>
      <c r="T9" s="41">
        <v>-23.88094284999999</v>
      </c>
      <c r="U9" s="39"/>
      <c r="V9" s="38">
        <v>0</v>
      </c>
      <c r="AC9" t="s">
        <v>165</v>
      </c>
      <c r="AF9" t="s">
        <v>166</v>
      </c>
    </row>
    <row r="10" spans="1:32" ht="15.75" x14ac:dyDescent="0.2">
      <c r="B10" t="s">
        <v>167</v>
      </c>
      <c r="D10" s="36">
        <f t="shared" si="0"/>
        <v>19.0327965</v>
      </c>
      <c r="E10" s="37"/>
      <c r="F10" s="36">
        <v>7.4120881199999999</v>
      </c>
      <c r="G10" s="36"/>
      <c r="H10" s="36">
        <v>9.9655308599999994</v>
      </c>
      <c r="I10" s="36"/>
      <c r="J10" s="36">
        <v>0.52884503000000005</v>
      </c>
      <c r="K10" s="36"/>
      <c r="L10" s="36">
        <v>1.1583749699999999</v>
      </c>
      <c r="M10" s="36"/>
      <c r="N10" s="36">
        <v>-3.2042479999999998E-2</v>
      </c>
      <c r="O10" s="34"/>
      <c r="P10" s="42">
        <v>0.99</v>
      </c>
      <c r="R10" s="38">
        <f t="shared" si="1"/>
        <v>-18.156037000000001</v>
      </c>
      <c r="S10" s="39"/>
      <c r="T10" s="38">
        <v>-17.206049420000003</v>
      </c>
      <c r="U10" s="39"/>
      <c r="V10" s="38">
        <v>-0.94998757999999994</v>
      </c>
      <c r="AC10" t="s">
        <v>167</v>
      </c>
      <c r="AF10" t="s">
        <v>167</v>
      </c>
    </row>
    <row r="11" spans="1:32" x14ac:dyDescent="0.2">
      <c r="B11" t="s">
        <v>38</v>
      </c>
      <c r="D11" s="36">
        <f t="shared" si="0"/>
        <v>20.263297609999999</v>
      </c>
      <c r="E11" s="37"/>
      <c r="F11" s="36">
        <v>14.191274380000001</v>
      </c>
      <c r="G11" s="36"/>
      <c r="H11" s="36">
        <v>4.2026915999999996</v>
      </c>
      <c r="I11" s="36"/>
      <c r="J11" s="36">
        <v>1.95984471</v>
      </c>
      <c r="K11" s="36"/>
      <c r="L11" s="36">
        <v>-3.678331E-2</v>
      </c>
      <c r="M11" s="36"/>
      <c r="N11" s="36">
        <v>-5.3729769999999996E-2</v>
      </c>
      <c r="O11" s="34"/>
      <c r="P11" s="35"/>
      <c r="R11" s="38">
        <f t="shared" si="1"/>
        <v>-21.265662859999999</v>
      </c>
      <c r="S11" s="39"/>
      <c r="T11" s="38">
        <v>-21.265662859999999</v>
      </c>
      <c r="U11" s="39"/>
      <c r="V11" s="40">
        <v>0</v>
      </c>
      <c r="AC11" t="s">
        <v>38</v>
      </c>
      <c r="AF11" t="s">
        <v>38</v>
      </c>
    </row>
    <row r="12" spans="1:32" ht="15.75" x14ac:dyDescent="0.2">
      <c r="B12" t="s">
        <v>168</v>
      </c>
      <c r="D12" s="36">
        <f t="shared" si="0"/>
        <v>4.1185759999999991</v>
      </c>
      <c r="E12" s="37"/>
      <c r="F12" s="36">
        <v>4.1046379999999996</v>
      </c>
      <c r="G12" s="36"/>
      <c r="H12" s="36">
        <v>-0.235347</v>
      </c>
      <c r="I12" s="36"/>
      <c r="J12" s="36">
        <v>-1.4017999999999999E-2</v>
      </c>
      <c r="K12" s="36"/>
      <c r="L12" s="36">
        <v>-0.16623399999999999</v>
      </c>
      <c r="M12" s="36"/>
      <c r="N12" s="36">
        <v>0.429537</v>
      </c>
      <c r="O12" s="34"/>
      <c r="P12" s="35"/>
      <c r="R12" s="38">
        <f t="shared" si="1"/>
        <v>-1.2822610000000001</v>
      </c>
      <c r="S12" s="39"/>
      <c r="T12" s="38">
        <v>-0.58148200000000005</v>
      </c>
      <c r="U12" s="39"/>
      <c r="V12" s="38">
        <v>-0.70077900000000004</v>
      </c>
      <c r="AC12" t="s">
        <v>168</v>
      </c>
      <c r="AF12" t="s">
        <v>168</v>
      </c>
    </row>
    <row r="13" spans="1:32" x14ac:dyDescent="0.2">
      <c r="B13" t="s">
        <v>39</v>
      </c>
      <c r="D13" s="36">
        <f t="shared" si="0"/>
        <v>14.68435487</v>
      </c>
      <c r="E13" s="37"/>
      <c r="F13" s="36">
        <v>19.984582530000001</v>
      </c>
      <c r="G13" s="36"/>
      <c r="H13" s="36">
        <v>1.7681717399999999</v>
      </c>
      <c r="I13" s="36"/>
      <c r="J13" s="36">
        <v>-4.2364746799999997</v>
      </c>
      <c r="K13" s="34">
        <v>-3</v>
      </c>
      <c r="L13" s="36">
        <v>0</v>
      </c>
      <c r="M13" s="34"/>
      <c r="N13" s="36">
        <v>0.16807527999999999</v>
      </c>
      <c r="O13" s="34"/>
      <c r="P13" s="35">
        <v>1</v>
      </c>
      <c r="R13" s="38">
        <f t="shared" si="1"/>
        <v>-30.008359079999998</v>
      </c>
      <c r="S13" s="39"/>
      <c r="T13" s="38">
        <v>-30.008359079999998</v>
      </c>
      <c r="U13" s="39"/>
      <c r="V13" s="40">
        <v>0</v>
      </c>
      <c r="AC13" t="s">
        <v>39</v>
      </c>
      <c r="AF13" t="s">
        <v>39</v>
      </c>
    </row>
    <row r="14" spans="1:32" x14ac:dyDescent="0.2">
      <c r="B14" t="s">
        <v>40</v>
      </c>
      <c r="D14" s="36">
        <f t="shared" si="0"/>
        <v>50.10920737</v>
      </c>
      <c r="E14" s="37"/>
      <c r="F14" s="36">
        <v>50.10920737</v>
      </c>
      <c r="G14" s="36"/>
      <c r="H14" s="36">
        <v>0</v>
      </c>
      <c r="I14" s="36"/>
      <c r="J14" s="36">
        <v>0</v>
      </c>
      <c r="K14" s="36"/>
      <c r="L14" s="36">
        <v>0</v>
      </c>
      <c r="M14" s="36"/>
      <c r="N14" s="36">
        <v>0</v>
      </c>
      <c r="O14" s="34"/>
      <c r="P14" s="35"/>
      <c r="R14" s="38">
        <f t="shared" si="1"/>
        <v>-47.187774060000002</v>
      </c>
      <c r="S14" s="39"/>
      <c r="T14" s="38">
        <v>-45.524732410000006</v>
      </c>
      <c r="U14" s="39"/>
      <c r="V14" s="38">
        <v>-1.66304165</v>
      </c>
      <c r="AC14" t="s">
        <v>40</v>
      </c>
      <c r="AF14" t="s">
        <v>40</v>
      </c>
    </row>
    <row r="15" spans="1:32" ht="13.5" thickBot="1" x14ac:dyDescent="0.25">
      <c r="B15" s="14" t="s">
        <v>11</v>
      </c>
      <c r="D15" s="43">
        <f>SUM(D7:D14)-0.3</f>
        <v>2340.9006265199996</v>
      </c>
      <c r="E15" s="43"/>
      <c r="F15" s="43">
        <f>SUM(F7:F14)</f>
        <v>2177.8549913599995</v>
      </c>
      <c r="G15" s="43"/>
      <c r="H15" s="43">
        <f>SUM(H7:H14)</f>
        <v>107.01702175999999</v>
      </c>
      <c r="I15" s="44"/>
      <c r="J15" s="43">
        <f>SUM(J7:J14)</f>
        <v>11.185672790000002</v>
      </c>
      <c r="K15" s="44"/>
      <c r="L15" s="43">
        <f>SUM(L7:L14)</f>
        <v>11.93726335</v>
      </c>
      <c r="M15" s="43"/>
      <c r="N15" s="43">
        <f>SUM(N7:N14)</f>
        <v>36.205677260000002</v>
      </c>
      <c r="O15" s="10"/>
      <c r="P15" s="45"/>
      <c r="R15" s="43">
        <f>SUM(R7:R14)</f>
        <v>-2080.3060019</v>
      </c>
      <c r="S15" s="43"/>
      <c r="T15" s="43">
        <f>SUM(T7:T14)</f>
        <v>-2046.8637710600001</v>
      </c>
      <c r="U15" s="43"/>
      <c r="V15" s="43">
        <f>SUM(V7:V14)</f>
        <v>-33.442230839999993</v>
      </c>
    </row>
    <row r="16" spans="1:32" ht="13.5" thickTop="1" x14ac:dyDescent="0.2">
      <c r="B16" s="14"/>
      <c r="D16" s="10"/>
      <c r="E16" s="10"/>
      <c r="F16" s="10"/>
      <c r="G16" s="10"/>
      <c r="H16" s="10"/>
      <c r="I16" s="46"/>
      <c r="J16" s="10"/>
      <c r="K16" s="10"/>
      <c r="L16" s="10"/>
      <c r="M16" s="10"/>
      <c r="N16" s="10"/>
      <c r="O16" s="2"/>
    </row>
    <row r="17" spans="4:15" x14ac:dyDescent="0.2">
      <c r="D17" s="2"/>
      <c r="E17" s="2"/>
      <c r="F17" s="2"/>
      <c r="G17" s="2"/>
      <c r="H17" s="2"/>
      <c r="I17" s="2"/>
      <c r="J17" s="2"/>
      <c r="K17" s="2"/>
      <c r="L17" s="2"/>
      <c r="M17" s="10"/>
      <c r="N17" s="2"/>
      <c r="O17" s="2"/>
    </row>
    <row r="18" spans="4:15" x14ac:dyDescent="0.2">
      <c r="D18" s="2"/>
      <c r="E18" s="2"/>
      <c r="F18" s="2"/>
      <c r="G18" s="2"/>
      <c r="H18" s="2"/>
      <c r="I18" s="2"/>
      <c r="J18" s="2"/>
      <c r="K18" s="2"/>
      <c r="L18" s="2"/>
      <c r="M18" s="10"/>
      <c r="N18" s="2"/>
      <c r="O18" s="2"/>
    </row>
    <row r="19" spans="4:15" x14ac:dyDescent="0.2">
      <c r="D19" s="2"/>
      <c r="E19" s="2"/>
      <c r="F19" s="2"/>
      <c r="G19" s="2"/>
      <c r="H19" s="2"/>
      <c r="I19" s="2"/>
      <c r="J19" s="2"/>
      <c r="K19" s="2"/>
      <c r="L19" s="2"/>
      <c r="M19" s="10"/>
      <c r="N19" s="2"/>
      <c r="O19" s="2"/>
    </row>
    <row r="20" spans="4:15" x14ac:dyDescent="0.2">
      <c r="D20" s="2"/>
      <c r="E20" s="2"/>
      <c r="F20" s="2"/>
      <c r="G20" s="2"/>
      <c r="H20" s="2"/>
      <c r="I20" s="2"/>
      <c r="J20" s="2"/>
      <c r="K20" s="2"/>
      <c r="L20" s="2"/>
      <c r="M20" s="10"/>
      <c r="N20" s="2"/>
      <c r="O20" s="2"/>
    </row>
    <row r="21" spans="4:15" x14ac:dyDescent="0.2">
      <c r="D21" s="2"/>
      <c r="E21" s="2"/>
      <c r="F21" s="2"/>
      <c r="G21" s="2"/>
      <c r="H21" s="2"/>
      <c r="I21" s="2"/>
      <c r="J21" s="2"/>
      <c r="K21" s="2"/>
      <c r="L21" s="2"/>
      <c r="M21" s="10"/>
      <c r="N21" s="2"/>
      <c r="O21" s="2"/>
    </row>
    <row r="22" spans="4:15" x14ac:dyDescent="0.2">
      <c r="D22" s="2"/>
      <c r="E22" s="2"/>
      <c r="F22" s="2"/>
      <c r="G22" s="2"/>
      <c r="H22" s="2"/>
      <c r="I22" s="2"/>
      <c r="J22" s="2"/>
      <c r="K22" s="2"/>
      <c r="L22" s="2"/>
      <c r="M22" s="10"/>
      <c r="N22" s="2"/>
      <c r="O22" s="2"/>
    </row>
    <row r="23" spans="4:15" x14ac:dyDescent="0.2">
      <c r="D23" s="2"/>
      <c r="E23" s="2"/>
      <c r="F23" s="2"/>
      <c r="G23" s="2"/>
      <c r="H23" s="2"/>
      <c r="I23" s="2"/>
      <c r="J23" s="2"/>
      <c r="K23" s="2"/>
      <c r="L23" s="2"/>
      <c r="M23" s="10"/>
      <c r="N23" s="2"/>
      <c r="O23" s="2"/>
    </row>
    <row r="24" spans="4:15" x14ac:dyDescent="0.2">
      <c r="D24" s="2"/>
      <c r="E24" s="2"/>
      <c r="F24" s="2"/>
      <c r="G24" s="2"/>
      <c r="H24" s="2"/>
      <c r="I24" s="2"/>
      <c r="J24" s="2"/>
      <c r="K24" s="2"/>
      <c r="L24" s="2"/>
      <c r="M24" s="10"/>
      <c r="N24" s="2"/>
      <c r="O24" s="2"/>
    </row>
    <row r="25" spans="4:15" x14ac:dyDescent="0.2">
      <c r="D25" s="2"/>
      <c r="E25" s="2"/>
      <c r="F25" s="2"/>
      <c r="G25" s="2"/>
      <c r="H25" s="2"/>
      <c r="I25" s="2"/>
      <c r="J25" s="2"/>
      <c r="K25" s="2"/>
      <c r="L25" s="2"/>
      <c r="M25" s="10"/>
      <c r="N25" s="2"/>
      <c r="O25" s="2"/>
    </row>
    <row r="26" spans="4:15" x14ac:dyDescent="0.2">
      <c r="D26" s="2"/>
      <c r="E26" s="2"/>
      <c r="F26" s="2"/>
      <c r="G26" s="2"/>
      <c r="H26" s="2"/>
      <c r="I26" s="2"/>
      <c r="J26" s="2"/>
      <c r="K26" s="2"/>
      <c r="L26" s="2"/>
      <c r="M26" s="10"/>
      <c r="N26" s="2"/>
      <c r="O26" s="2"/>
    </row>
    <row r="27" spans="4:15" x14ac:dyDescent="0.2">
      <c r="D27" s="2"/>
      <c r="E27" s="2"/>
      <c r="F27" s="2"/>
      <c r="G27" s="2"/>
      <c r="H27" s="2"/>
      <c r="I27" s="2"/>
      <c r="J27" s="2"/>
      <c r="K27" s="2"/>
      <c r="L27" s="2"/>
      <c r="M27" s="10"/>
      <c r="N27" s="2"/>
      <c r="O27" s="2"/>
    </row>
    <row r="28" spans="4:15" x14ac:dyDescent="0.2">
      <c r="D28" s="2"/>
      <c r="E28" s="2"/>
      <c r="F28" s="2"/>
      <c r="G28" s="2"/>
      <c r="H28" s="2"/>
      <c r="I28" s="2"/>
      <c r="J28" s="2"/>
      <c r="K28" s="2"/>
      <c r="L28" s="2"/>
      <c r="M28" s="10"/>
      <c r="N28" s="2"/>
      <c r="O28" s="2"/>
    </row>
    <row r="29" spans="4:15" x14ac:dyDescent="0.2">
      <c r="D29" s="2"/>
      <c r="E29" s="2"/>
      <c r="F29" s="2"/>
      <c r="G29" s="2"/>
      <c r="H29" s="2"/>
      <c r="I29" s="2"/>
      <c r="J29" s="2"/>
      <c r="K29" s="2"/>
      <c r="L29" s="2"/>
      <c r="M29" s="10"/>
      <c r="N29" s="2"/>
      <c r="O29" s="2"/>
    </row>
    <row r="30" spans="4:15" x14ac:dyDescent="0.2">
      <c r="D30" s="2"/>
      <c r="E30" s="2"/>
      <c r="F30" s="2"/>
      <c r="G30" s="2"/>
      <c r="H30" s="2"/>
      <c r="I30" s="2"/>
      <c r="J30" s="2"/>
      <c r="K30" s="2"/>
      <c r="L30" s="2"/>
      <c r="M30" s="10"/>
      <c r="N30" s="2"/>
      <c r="O30" s="2"/>
    </row>
    <row r="31" spans="4:15" x14ac:dyDescent="0.2">
      <c r="D31" s="2"/>
      <c r="E31" s="2"/>
      <c r="F31" s="2"/>
      <c r="G31" s="2"/>
      <c r="H31" s="2"/>
      <c r="I31" s="2"/>
      <c r="J31" s="2"/>
      <c r="K31" s="2"/>
      <c r="L31" s="2"/>
      <c r="M31" s="10"/>
      <c r="N31" s="2"/>
      <c r="O31" s="2"/>
    </row>
    <row r="32" spans="4:15" x14ac:dyDescent="0.2">
      <c r="D32" s="2"/>
      <c r="E32" s="2"/>
      <c r="F32" s="2"/>
      <c r="G32" s="2"/>
      <c r="H32" s="2"/>
      <c r="I32" s="2"/>
      <c r="J32" s="2"/>
      <c r="K32" s="2"/>
      <c r="L32" s="2"/>
      <c r="M32" s="10"/>
      <c r="N32" s="2"/>
      <c r="O32" s="2"/>
    </row>
    <row r="33" spans="2:25" x14ac:dyDescent="0.2">
      <c r="D33" s="2"/>
      <c r="E33" s="2"/>
      <c r="F33" s="2"/>
      <c r="G33" s="2"/>
      <c r="H33" s="2"/>
      <c r="I33" s="2"/>
      <c r="J33" s="2"/>
      <c r="K33" s="2"/>
      <c r="L33" s="2"/>
      <c r="M33" s="10"/>
      <c r="N33" s="2"/>
      <c r="O33" s="2"/>
    </row>
    <row r="34" spans="2:25" x14ac:dyDescent="0.2">
      <c r="D34" s="2"/>
      <c r="E34" s="2"/>
      <c r="F34" s="2"/>
      <c r="G34" s="2"/>
      <c r="H34" s="2"/>
      <c r="I34" s="2"/>
      <c r="J34" s="2"/>
      <c r="K34" s="2"/>
      <c r="L34" s="2"/>
      <c r="M34" s="10"/>
      <c r="N34" s="2"/>
      <c r="O34" s="2"/>
    </row>
    <row r="35" spans="2:25" x14ac:dyDescent="0.2">
      <c r="D35" s="2"/>
      <c r="E35" s="2"/>
      <c r="F35" s="2"/>
      <c r="G35" s="2"/>
      <c r="H35" s="2"/>
      <c r="I35" s="2"/>
      <c r="J35" s="2"/>
      <c r="K35" s="2"/>
      <c r="L35" s="2"/>
      <c r="M35" s="10"/>
      <c r="N35" s="2"/>
      <c r="O35" s="2"/>
    </row>
    <row r="36" spans="2:25" x14ac:dyDescent="0.2">
      <c r="D36" s="2"/>
      <c r="E36" s="2"/>
      <c r="F36" s="2"/>
      <c r="G36" s="2"/>
      <c r="H36" s="2"/>
      <c r="I36" s="47" t="s">
        <v>41</v>
      </c>
      <c r="J36" s="48"/>
      <c r="K36" s="49"/>
      <c r="L36" s="49"/>
      <c r="M36" s="49"/>
      <c r="N36" s="49"/>
      <c r="O36" s="49"/>
      <c r="P36" s="50"/>
      <c r="Q36" s="50"/>
      <c r="R36" s="50"/>
      <c r="S36" s="50"/>
      <c r="T36" s="50"/>
      <c r="U36" s="50"/>
      <c r="V36" s="50"/>
      <c r="W36" s="50"/>
      <c r="X36" s="50"/>
      <c r="Y36" s="51"/>
    </row>
    <row r="37" spans="2:25" x14ac:dyDescent="0.2">
      <c r="D37" s="2"/>
      <c r="E37" s="2"/>
      <c r="F37" s="2"/>
      <c r="G37" s="2"/>
      <c r="H37" s="2"/>
      <c r="I37" s="52">
        <v>-1</v>
      </c>
      <c r="J37" s="53" t="s">
        <v>42</v>
      </c>
      <c r="K37" s="10"/>
      <c r="L37" s="10"/>
      <c r="M37" s="10"/>
      <c r="N37" s="10"/>
      <c r="O37" s="10"/>
      <c r="P37" s="18"/>
      <c r="Q37" s="18"/>
      <c r="R37" s="18"/>
      <c r="S37" s="18"/>
      <c r="T37" s="18"/>
      <c r="U37" s="18"/>
      <c r="V37" s="18"/>
      <c r="W37" s="18"/>
      <c r="X37" s="18"/>
      <c r="Y37" s="54"/>
    </row>
    <row r="38" spans="2:25" x14ac:dyDescent="0.2">
      <c r="D38" s="2"/>
      <c r="E38" s="2"/>
      <c r="F38" s="2"/>
      <c r="G38" s="2"/>
      <c r="H38" s="2"/>
      <c r="I38" s="52"/>
      <c r="J38" s="55" t="s">
        <v>43</v>
      </c>
      <c r="K38" s="10"/>
      <c r="L38" s="10"/>
      <c r="M38" s="10"/>
      <c r="N38" s="10"/>
      <c r="O38" s="10"/>
      <c r="P38" s="18"/>
      <c r="Q38" s="18"/>
      <c r="R38" s="18"/>
      <c r="S38" s="18"/>
      <c r="T38" s="18"/>
      <c r="U38" s="18"/>
      <c r="V38" s="18"/>
      <c r="W38" s="18"/>
      <c r="X38" s="18"/>
      <c r="Y38" s="54"/>
    </row>
    <row r="39" spans="2:25" x14ac:dyDescent="0.2">
      <c r="B39" s="18"/>
      <c r="C39" s="18"/>
      <c r="D39" s="126"/>
      <c r="E39" s="126"/>
      <c r="F39" s="126"/>
      <c r="G39" s="126"/>
      <c r="H39" s="126"/>
      <c r="I39" s="52"/>
      <c r="J39" s="55" t="s">
        <v>44</v>
      </c>
      <c r="K39" s="10"/>
      <c r="L39" s="10"/>
      <c r="M39" s="10"/>
      <c r="N39" s="10"/>
      <c r="O39" s="10"/>
      <c r="P39" s="18"/>
      <c r="Q39" s="18"/>
      <c r="R39" s="18"/>
      <c r="S39" s="18"/>
      <c r="T39" s="18"/>
      <c r="U39" s="18"/>
      <c r="V39" s="18"/>
      <c r="W39" s="18"/>
      <c r="X39" s="18"/>
      <c r="Y39" s="54"/>
    </row>
    <row r="40" spans="2:25" x14ac:dyDescent="0.2">
      <c r="B40" s="18"/>
      <c r="C40" s="18"/>
      <c r="D40" s="7"/>
      <c r="E40" s="7"/>
      <c r="F40" s="7"/>
      <c r="G40" s="7"/>
      <c r="H40" s="7"/>
      <c r="I40" s="52"/>
      <c r="J40" s="53"/>
      <c r="K40" s="10"/>
      <c r="L40" s="10"/>
      <c r="M40" s="7"/>
      <c r="N40" s="10"/>
      <c r="O40" s="10"/>
      <c r="P40" s="18"/>
      <c r="Q40" s="18"/>
      <c r="R40" s="18"/>
      <c r="S40" s="18"/>
      <c r="T40" s="18"/>
      <c r="U40" s="18"/>
      <c r="V40" s="18"/>
      <c r="W40" s="18"/>
      <c r="X40" s="18"/>
      <c r="Y40" s="54"/>
    </row>
    <row r="41" spans="2:25" x14ac:dyDescent="0.2">
      <c r="B41" s="18"/>
      <c r="C41" s="18"/>
      <c r="D41" s="7"/>
      <c r="E41" s="7"/>
      <c r="F41" s="7"/>
      <c r="G41" s="7"/>
      <c r="H41" s="7"/>
      <c r="I41" s="52">
        <v>-2</v>
      </c>
      <c r="J41" s="53" t="s">
        <v>45</v>
      </c>
      <c r="K41" s="10"/>
      <c r="L41" s="10"/>
      <c r="M41" s="7"/>
      <c r="N41" s="10"/>
      <c r="O41" s="10"/>
      <c r="P41" s="18"/>
      <c r="Q41" s="18"/>
      <c r="R41" s="18"/>
      <c r="S41" s="18"/>
      <c r="T41" s="18"/>
      <c r="U41" s="18"/>
      <c r="V41" s="18"/>
      <c r="W41" s="18"/>
      <c r="X41" s="18"/>
      <c r="Y41" s="54"/>
    </row>
    <row r="42" spans="2:25" x14ac:dyDescent="0.2">
      <c r="B42" s="18"/>
      <c r="C42" s="18"/>
      <c r="D42" s="10"/>
      <c r="E42" s="10"/>
      <c r="F42" s="10"/>
      <c r="G42" s="10"/>
      <c r="H42" s="10"/>
      <c r="I42" s="52"/>
      <c r="J42" s="55" t="s">
        <v>46</v>
      </c>
      <c r="K42" s="10"/>
      <c r="L42" s="10"/>
      <c r="M42" s="10"/>
      <c r="N42" s="10"/>
      <c r="O42" s="10"/>
      <c r="P42" s="18"/>
      <c r="Q42" s="18"/>
      <c r="R42" s="18"/>
      <c r="S42" s="18"/>
      <c r="T42" s="18"/>
      <c r="U42" s="18"/>
      <c r="V42" s="18"/>
      <c r="W42" s="18"/>
      <c r="X42" s="18"/>
      <c r="Y42" s="54"/>
    </row>
    <row r="43" spans="2:25" x14ac:dyDescent="0.2">
      <c r="B43" s="18"/>
      <c r="C43" s="18"/>
      <c r="D43" s="46"/>
      <c r="E43" s="46"/>
      <c r="F43" s="46"/>
      <c r="G43" s="46"/>
      <c r="H43" s="46"/>
      <c r="I43" s="52"/>
      <c r="J43" s="55" t="s">
        <v>47</v>
      </c>
      <c r="K43" s="10"/>
      <c r="L43" s="10"/>
      <c r="M43" s="10"/>
      <c r="N43" s="10"/>
      <c r="O43" s="10"/>
      <c r="P43" s="18"/>
      <c r="Q43" s="18"/>
      <c r="R43" s="18"/>
      <c r="S43" s="18"/>
      <c r="T43" s="18"/>
      <c r="U43" s="18"/>
      <c r="V43" s="18"/>
      <c r="W43" s="18"/>
      <c r="X43" s="18"/>
      <c r="Y43" s="54"/>
    </row>
    <row r="44" spans="2:25" x14ac:dyDescent="0.2">
      <c r="B44" s="18"/>
      <c r="C44" s="18"/>
      <c r="D44" s="46"/>
      <c r="E44" s="46"/>
      <c r="F44" s="46"/>
      <c r="G44" s="46"/>
      <c r="H44" s="46"/>
      <c r="I44" s="52"/>
      <c r="J44" s="56"/>
      <c r="K44" s="7"/>
      <c r="L44" s="7"/>
      <c r="M44" s="46"/>
      <c r="N44" s="10"/>
      <c r="O44" s="10"/>
      <c r="P44" s="18"/>
      <c r="Q44" s="18"/>
      <c r="R44" s="18"/>
      <c r="S44" s="18"/>
      <c r="T44" s="18"/>
      <c r="U44" s="18"/>
      <c r="V44" s="18"/>
      <c r="W44" s="18"/>
      <c r="X44" s="18"/>
      <c r="Y44" s="54"/>
    </row>
    <row r="45" spans="2:25" x14ac:dyDescent="0.2">
      <c r="B45" s="18"/>
      <c r="C45" s="18"/>
      <c r="D45" s="46"/>
      <c r="E45" s="46"/>
      <c r="F45" s="46"/>
      <c r="G45" s="46"/>
      <c r="H45" s="46"/>
      <c r="I45" s="52">
        <v>-3</v>
      </c>
      <c r="J45" s="56" t="s">
        <v>48</v>
      </c>
      <c r="K45" s="7"/>
      <c r="L45" s="7"/>
      <c r="M45" s="46"/>
      <c r="N45" s="10"/>
      <c r="O45" s="10"/>
      <c r="P45" s="18"/>
      <c r="Q45" s="18"/>
      <c r="R45" s="18"/>
      <c r="S45" s="18"/>
      <c r="T45" s="18"/>
      <c r="U45" s="18"/>
      <c r="V45" s="18"/>
      <c r="W45" s="18"/>
      <c r="X45" s="18"/>
      <c r="Y45" s="54"/>
    </row>
    <row r="46" spans="2:25" x14ac:dyDescent="0.2">
      <c r="B46" s="18"/>
      <c r="C46" s="18"/>
      <c r="D46" s="46"/>
      <c r="E46" s="46"/>
      <c r="F46" s="46"/>
      <c r="G46" s="46"/>
      <c r="H46" s="46"/>
      <c r="I46" s="52"/>
      <c r="J46" s="56" t="s">
        <v>49</v>
      </c>
      <c r="K46" s="10"/>
      <c r="L46" s="10"/>
      <c r="M46" s="46"/>
      <c r="N46" s="10"/>
      <c r="O46" s="10"/>
      <c r="P46" s="18"/>
      <c r="Q46" s="18"/>
      <c r="R46" s="18"/>
      <c r="S46" s="18"/>
      <c r="T46" s="18"/>
      <c r="U46" s="18"/>
      <c r="V46" s="18"/>
      <c r="W46" s="18"/>
      <c r="X46" s="18"/>
      <c r="Y46" s="54"/>
    </row>
    <row r="47" spans="2:25" x14ac:dyDescent="0.2">
      <c r="B47" s="18"/>
      <c r="C47" s="18"/>
      <c r="D47" s="46"/>
      <c r="E47" s="46"/>
      <c r="F47" s="46"/>
      <c r="G47" s="46"/>
      <c r="H47" s="46"/>
      <c r="I47" s="52"/>
      <c r="J47" s="56"/>
      <c r="K47" s="46"/>
      <c r="L47" s="46"/>
      <c r="M47" s="46"/>
      <c r="N47" s="10"/>
      <c r="O47" s="10"/>
      <c r="P47" s="18"/>
      <c r="Q47" s="18"/>
      <c r="R47" s="18"/>
      <c r="S47" s="18"/>
      <c r="T47" s="18"/>
      <c r="U47" s="18"/>
      <c r="V47" s="18"/>
      <c r="W47" s="18"/>
      <c r="X47" s="18"/>
      <c r="Y47" s="54"/>
    </row>
    <row r="48" spans="2:25" x14ac:dyDescent="0.2">
      <c r="B48" s="18"/>
      <c r="C48" s="18"/>
      <c r="D48" s="46"/>
      <c r="E48" s="46"/>
      <c r="F48" s="46"/>
      <c r="G48" s="46"/>
      <c r="H48" s="46"/>
      <c r="I48" s="52"/>
      <c r="J48" s="57"/>
      <c r="K48" s="7"/>
      <c r="L48" s="7"/>
      <c r="M48" s="46"/>
      <c r="N48" s="10"/>
      <c r="O48" s="10"/>
      <c r="P48" s="18"/>
      <c r="Q48" s="18"/>
      <c r="R48" s="18"/>
      <c r="S48" s="18"/>
      <c r="T48" s="18"/>
      <c r="U48" s="18"/>
      <c r="V48" s="18"/>
      <c r="W48" s="18"/>
      <c r="X48" s="18"/>
      <c r="Y48" s="54"/>
    </row>
    <row r="49" spans="2:25" x14ac:dyDescent="0.2">
      <c r="B49" s="18"/>
      <c r="C49" s="18"/>
      <c r="D49" s="46"/>
      <c r="E49" s="46"/>
      <c r="F49" s="46"/>
      <c r="G49" s="46"/>
      <c r="H49" s="46"/>
      <c r="I49" s="52"/>
      <c r="J49" s="56"/>
      <c r="K49" s="46"/>
      <c r="L49" s="46"/>
      <c r="M49" s="46"/>
      <c r="N49" s="10"/>
      <c r="O49" s="10"/>
      <c r="P49" s="18"/>
      <c r="Q49" s="18"/>
      <c r="R49" s="18"/>
      <c r="S49" s="18"/>
      <c r="T49" s="18"/>
      <c r="U49" s="18"/>
      <c r="V49" s="18"/>
      <c r="W49" s="18"/>
      <c r="X49" s="18"/>
      <c r="Y49" s="54"/>
    </row>
    <row r="50" spans="2:25" x14ac:dyDescent="0.2">
      <c r="B50" s="58"/>
      <c r="C50" s="18"/>
      <c r="D50" s="10"/>
      <c r="E50" s="10"/>
      <c r="F50" s="10"/>
      <c r="G50" s="10"/>
      <c r="H50" s="10"/>
      <c r="I50" s="59"/>
      <c r="J50" s="60"/>
      <c r="K50" s="61"/>
      <c r="L50" s="61"/>
      <c r="M50" s="61"/>
      <c r="N50" s="62"/>
      <c r="O50" s="62"/>
      <c r="P50" s="63"/>
      <c r="Q50" s="63"/>
      <c r="R50" s="63"/>
      <c r="S50" s="63"/>
      <c r="T50" s="63"/>
      <c r="U50" s="63"/>
      <c r="V50" s="63"/>
      <c r="W50" s="63"/>
      <c r="X50" s="63"/>
      <c r="Y50" s="64"/>
    </row>
    <row r="51" spans="2:25" x14ac:dyDescent="0.2">
      <c r="B51" s="14"/>
      <c r="D51" s="12"/>
      <c r="E51" s="12"/>
      <c r="F51" s="12"/>
      <c r="G51" s="12"/>
      <c r="H51" s="12"/>
      <c r="I51" s="12"/>
      <c r="J51" s="10"/>
      <c r="K51" s="10"/>
      <c r="L51" s="10"/>
      <c r="M51" s="2"/>
      <c r="N51" s="2"/>
      <c r="O51" s="2"/>
    </row>
    <row r="52" spans="2:25" hidden="1" x14ac:dyDescent="0.2">
      <c r="D52" s="128" t="s">
        <v>50</v>
      </c>
      <c r="E52" s="128"/>
      <c r="F52" s="128"/>
      <c r="G52" s="28"/>
      <c r="H52" s="65"/>
      <c r="K52" s="9"/>
      <c r="O52" s="2"/>
    </row>
    <row r="53" spans="2:25" hidden="1" x14ac:dyDescent="0.2">
      <c r="D53" s="28" t="s">
        <v>51</v>
      </c>
      <c r="E53" s="28"/>
      <c r="F53" s="28" t="s">
        <v>52</v>
      </c>
      <c r="G53" s="28"/>
      <c r="H53" s="65"/>
      <c r="K53" s="9"/>
      <c r="O53" s="2"/>
    </row>
    <row r="54" spans="2:25" hidden="1" x14ac:dyDescent="0.2">
      <c r="B54" t="s">
        <v>8</v>
      </c>
      <c r="D54" s="32">
        <v>1308.8024777500002</v>
      </c>
      <c r="E54" s="2"/>
      <c r="F54" s="32">
        <f>+'[1]Gas AR and AP'!B180/1000000</f>
        <v>1537.8870798700004</v>
      </c>
      <c r="G54" s="2"/>
      <c r="H54" s="66"/>
      <c r="J54" s="67"/>
      <c r="K54" s="2"/>
      <c r="O54" s="2"/>
    </row>
    <row r="55" spans="2:25" hidden="1" x14ac:dyDescent="0.2">
      <c r="B55" t="s">
        <v>9</v>
      </c>
      <c r="D55" s="37">
        <v>395.78154174999997</v>
      </c>
      <c r="E55" s="39"/>
      <c r="F55" s="37">
        <f>(444795859.85+1345631.36)/1000000</f>
        <v>446.14149121000003</v>
      </c>
      <c r="G55" s="2"/>
      <c r="H55" s="66"/>
      <c r="J55" s="68"/>
      <c r="K55" s="2"/>
      <c r="O55" s="2"/>
    </row>
    <row r="56" spans="2:25" ht="15.75" hidden="1" x14ac:dyDescent="0.2">
      <c r="B56" t="s">
        <v>164</v>
      </c>
      <c r="D56" s="37">
        <v>1029.0897199999999</v>
      </c>
      <c r="E56" s="39"/>
      <c r="F56" s="37">
        <v>1171.32</v>
      </c>
      <c r="G56" s="2"/>
      <c r="H56" s="66"/>
      <c r="J56" s="68"/>
      <c r="K56" s="69"/>
      <c r="O56" s="2"/>
    </row>
    <row r="57" spans="2:25" ht="15.75" hidden="1" x14ac:dyDescent="0.2">
      <c r="B57" t="s">
        <v>169</v>
      </c>
      <c r="D57" s="37">
        <v>1049.448803</v>
      </c>
      <c r="E57" s="39"/>
      <c r="F57" s="37">
        <f>1517643882/1000000</f>
        <v>1517.6438820000001</v>
      </c>
      <c r="G57" s="2"/>
      <c r="H57" s="10"/>
      <c r="J57" s="68"/>
      <c r="K57" s="2"/>
      <c r="O57" s="2"/>
    </row>
    <row r="58" spans="2:25" hidden="1" x14ac:dyDescent="0.2">
      <c r="B58" t="s">
        <v>38</v>
      </c>
      <c r="D58" s="37">
        <v>18.227136359999999</v>
      </c>
      <c r="E58" s="39"/>
      <c r="F58" s="37">
        <f>17568473.63/1000000</f>
        <v>17.56847363</v>
      </c>
      <c r="G58" s="2"/>
      <c r="H58" s="10"/>
      <c r="J58" s="68"/>
      <c r="K58" s="2"/>
      <c r="O58" s="2"/>
    </row>
    <row r="59" spans="2:25" ht="15.75" hidden="1" x14ac:dyDescent="0.2">
      <c r="B59" t="s">
        <v>170</v>
      </c>
      <c r="D59" s="37">
        <v>6.6079999999999997</v>
      </c>
      <c r="E59" s="39"/>
      <c r="F59" s="37">
        <v>7.641</v>
      </c>
      <c r="G59" s="2"/>
      <c r="H59" s="10"/>
      <c r="J59" s="68"/>
      <c r="K59" s="2"/>
      <c r="O59" s="2"/>
    </row>
    <row r="60" spans="2:25" ht="12.75" hidden="1" customHeight="1" x14ac:dyDescent="0.2">
      <c r="B60" t="s">
        <v>39</v>
      </c>
      <c r="D60" s="37">
        <v>125.289664</v>
      </c>
      <c r="E60" s="39"/>
      <c r="F60" s="37">
        <f>310360597/1000000</f>
        <v>310.36059699999998</v>
      </c>
      <c r="G60" s="2"/>
      <c r="H60" s="10"/>
      <c r="J60" s="68"/>
      <c r="K60" s="2"/>
      <c r="O60" s="2"/>
    </row>
    <row r="61" spans="2:25" hidden="1" x14ac:dyDescent="0.2">
      <c r="B61" t="s">
        <v>40</v>
      </c>
      <c r="D61" s="37">
        <v>27.093425570000001</v>
      </c>
      <c r="E61" s="39"/>
      <c r="F61" s="37">
        <f>(27093425.57)/1000000</f>
        <v>27.093425570000001</v>
      </c>
      <c r="G61" s="2"/>
      <c r="H61" s="10"/>
      <c r="J61" s="68"/>
      <c r="K61" s="2"/>
      <c r="O61" s="2"/>
    </row>
    <row r="62" spans="2:25" ht="13.5" hidden="1" thickBot="1" x14ac:dyDescent="0.25">
      <c r="B62" s="14" t="s">
        <v>11</v>
      </c>
      <c r="D62" s="70">
        <f>SUM(D54:D61)</f>
        <v>3960.34076843</v>
      </c>
      <c r="E62" s="70"/>
      <c r="F62" s="70">
        <f>SUM(F54:F61)</f>
        <v>5035.6559492800006</v>
      </c>
      <c r="G62" s="71"/>
      <c r="H62" s="66"/>
      <c r="K62" s="2"/>
      <c r="O62" s="2"/>
    </row>
    <row r="63" spans="2:25" ht="13.5" hidden="1" thickTop="1" x14ac:dyDescent="0.2">
      <c r="B63" s="14"/>
      <c r="D63" s="10"/>
      <c r="E63" s="10"/>
      <c r="F63" s="10"/>
      <c r="G63" s="10"/>
      <c r="H63" s="10"/>
      <c r="K63" s="66"/>
      <c r="O63" s="2"/>
    </row>
    <row r="64" spans="2:25" hidden="1" x14ac:dyDescent="0.2">
      <c r="H64" s="18"/>
      <c r="K64" s="2"/>
      <c r="O64" s="2"/>
    </row>
    <row r="65" spans="2:26" ht="38.25" hidden="1" x14ac:dyDescent="0.2">
      <c r="B65" s="14"/>
      <c r="D65" s="28" t="s">
        <v>53</v>
      </c>
      <c r="E65" s="28"/>
      <c r="F65" s="28" t="s">
        <v>54</v>
      </c>
      <c r="K65" s="2"/>
      <c r="O65" s="2"/>
    </row>
    <row r="66" spans="2:26" hidden="1" x14ac:dyDescent="0.2">
      <c r="B66" t="s">
        <v>8</v>
      </c>
      <c r="D66" s="32">
        <f>-2493459/1000000</f>
        <v>-2.4934590000000001</v>
      </c>
      <c r="E66" s="2"/>
      <c r="F66" s="35">
        <f>+D66/F54</f>
        <v>-1.6213537603884255E-3</v>
      </c>
      <c r="K66" s="2"/>
      <c r="O66" s="2"/>
    </row>
    <row r="67" spans="2:26" ht="15.75" hidden="1" x14ac:dyDescent="0.2">
      <c r="B67" t="s">
        <v>164</v>
      </c>
      <c r="D67" s="37">
        <v>-0.36</v>
      </c>
      <c r="E67" s="2"/>
      <c r="F67" s="35">
        <f>+D67/F56</f>
        <v>-3.0734555885667453E-4</v>
      </c>
      <c r="K67" s="2"/>
      <c r="O67" s="2"/>
    </row>
    <row r="68" spans="2:26" ht="13.5" hidden="1" thickBot="1" x14ac:dyDescent="0.25">
      <c r="B68" s="14" t="s">
        <v>11</v>
      </c>
      <c r="D68" s="70">
        <f>SUM(D66:D67)</f>
        <v>-2.853459</v>
      </c>
      <c r="E68" s="71"/>
      <c r="F68" s="72">
        <f>SUM(F66:F67)</f>
        <v>-1.9286993192451001E-3</v>
      </c>
      <c r="K68" s="2"/>
      <c r="O68" s="2"/>
    </row>
    <row r="69" spans="2:26" ht="13.5" hidden="1" thickTop="1" x14ac:dyDescent="0.2">
      <c r="B69" s="14"/>
      <c r="D69" s="10"/>
      <c r="E69" s="10"/>
      <c r="F69" s="10"/>
      <c r="G69" s="10"/>
      <c r="H69" s="2"/>
      <c r="K69" s="2"/>
      <c r="O69" s="2"/>
    </row>
    <row r="70" spans="2:26" hidden="1" x14ac:dyDescent="0.2">
      <c r="B70" s="14"/>
      <c r="D70" s="12"/>
      <c r="E70" s="12"/>
      <c r="F70" s="12"/>
      <c r="G70" s="12"/>
      <c r="H70" s="12"/>
      <c r="I70" s="12"/>
      <c r="J70" s="2"/>
      <c r="K70" s="2"/>
      <c r="L70" s="2"/>
      <c r="M70" s="2"/>
      <c r="N70" s="2"/>
      <c r="O70" s="2"/>
    </row>
    <row r="71" spans="2:26" hidden="1" x14ac:dyDescent="0.2">
      <c r="B71" s="14"/>
      <c r="D71" s="124" t="s">
        <v>55</v>
      </c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Y71" s="73"/>
      <c r="Z71" s="73"/>
    </row>
    <row r="72" spans="2:26" hidden="1" x14ac:dyDescent="0.2">
      <c r="B72" s="14"/>
      <c r="D72" s="130" t="s">
        <v>56</v>
      </c>
      <c r="E72" s="130"/>
      <c r="F72" s="130"/>
      <c r="G72" s="130"/>
      <c r="H72" s="130"/>
      <c r="I72" s="74"/>
      <c r="J72" s="130" t="s">
        <v>57</v>
      </c>
      <c r="K72" s="130"/>
      <c r="L72" s="130"/>
      <c r="M72" s="130"/>
      <c r="N72" s="130"/>
      <c r="O72" s="1"/>
      <c r="P72" s="130" t="s">
        <v>58</v>
      </c>
      <c r="Q72" s="130"/>
      <c r="R72" s="130"/>
      <c r="S72" s="130"/>
      <c r="T72" s="130"/>
      <c r="U72" s="1"/>
      <c r="V72" s="129" t="s">
        <v>59</v>
      </c>
      <c r="W72" s="129"/>
      <c r="X72" s="129"/>
      <c r="Y72" s="129"/>
      <c r="Z72" s="129"/>
    </row>
    <row r="73" spans="2:26" ht="38.25" hidden="1" x14ac:dyDescent="0.2">
      <c r="D73" s="8" t="s">
        <v>60</v>
      </c>
      <c r="E73" s="8"/>
      <c r="F73" s="8" t="s">
        <v>61</v>
      </c>
      <c r="G73" s="8"/>
      <c r="H73" s="8" t="s">
        <v>62</v>
      </c>
      <c r="I73" s="7"/>
      <c r="J73" s="8" t="s">
        <v>60</v>
      </c>
      <c r="K73" s="8"/>
      <c r="L73" s="8" t="s">
        <v>61</v>
      </c>
      <c r="M73" s="8"/>
      <c r="N73" s="8" t="s">
        <v>62</v>
      </c>
      <c r="P73" s="8" t="s">
        <v>60</v>
      </c>
      <c r="Q73" s="8"/>
      <c r="R73" s="8" t="s">
        <v>61</v>
      </c>
      <c r="S73" s="8"/>
      <c r="T73" s="8" t="s">
        <v>62</v>
      </c>
      <c r="V73" s="75">
        <v>36586</v>
      </c>
      <c r="W73" s="8"/>
      <c r="X73" s="76">
        <v>36617</v>
      </c>
      <c r="Y73" s="8"/>
      <c r="Z73" s="76">
        <v>36647</v>
      </c>
    </row>
    <row r="74" spans="2:26" hidden="1" x14ac:dyDescent="0.2"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P74" s="7"/>
      <c r="Q74" s="7"/>
      <c r="R74" s="7"/>
      <c r="S74" s="7"/>
      <c r="T74" s="7"/>
      <c r="W74" s="7"/>
      <c r="X74" s="7"/>
      <c r="Y74" s="7"/>
      <c r="Z74" s="7"/>
    </row>
    <row r="75" spans="2:26" hidden="1" x14ac:dyDescent="0.2">
      <c r="B75" t="s">
        <v>8</v>
      </c>
      <c r="D75" s="2"/>
      <c r="E75" s="10"/>
      <c r="F75" s="2"/>
      <c r="G75" s="2"/>
      <c r="H75" s="2"/>
      <c r="I75" s="10"/>
      <c r="J75" s="2"/>
      <c r="K75" s="10"/>
      <c r="L75" s="2"/>
      <c r="M75" s="2"/>
      <c r="N75" s="2"/>
      <c r="P75" s="2"/>
      <c r="Q75" s="10"/>
      <c r="R75" s="2"/>
      <c r="S75" s="2"/>
      <c r="T75" s="2"/>
      <c r="W75" s="10"/>
      <c r="X75" s="10"/>
      <c r="Y75" s="10"/>
      <c r="Z75" s="10"/>
    </row>
    <row r="76" spans="2:26" hidden="1" x14ac:dyDescent="0.2">
      <c r="B76" t="s">
        <v>63</v>
      </c>
      <c r="D76" s="77">
        <f>46043181.92/1000000</f>
        <v>46.043181920000002</v>
      </c>
      <c r="E76" s="78"/>
      <c r="F76" s="77">
        <f>-94053201.12/1000000</f>
        <v>-94.053201120000011</v>
      </c>
      <c r="G76" s="77"/>
      <c r="H76" s="77">
        <f>+D76+F76</f>
        <v>-48.010019200000009</v>
      </c>
      <c r="I76" s="78"/>
      <c r="J76" s="77">
        <f>67549135.69/1000000</f>
        <v>67.54913569</v>
      </c>
      <c r="K76" s="78"/>
      <c r="L76" s="77">
        <f>-94053201.12/1000000</f>
        <v>-94.053201120000011</v>
      </c>
      <c r="M76" s="77"/>
      <c r="N76" s="77">
        <f>+J76+L76</f>
        <v>-26.504065430000011</v>
      </c>
      <c r="O76" s="77"/>
      <c r="P76" s="77">
        <f>76063100.47/1000000</f>
        <v>76.063100469999995</v>
      </c>
      <c r="Q76" s="78"/>
      <c r="R76" s="77">
        <f>-101962672.41/1000000</f>
        <v>-101.96267241</v>
      </c>
      <c r="S76" s="77"/>
      <c r="T76" s="77">
        <f>+P76+R76</f>
        <v>-25.899571940000001</v>
      </c>
      <c r="U76" s="79"/>
      <c r="V76" s="77">
        <f>4791057/1000000</f>
        <v>4.7910570000000003</v>
      </c>
      <c r="W76" s="78"/>
      <c r="X76" s="78">
        <f>-3869550/1000000</f>
        <v>-3.8695499999999998</v>
      </c>
      <c r="Y76" s="78"/>
      <c r="Z76" s="78">
        <f>470335/1000000</f>
        <v>0.470335</v>
      </c>
    </row>
    <row r="77" spans="2:26" hidden="1" x14ac:dyDescent="0.2">
      <c r="B77" t="s">
        <v>64</v>
      </c>
      <c r="D77" s="36">
        <f>(7911961+5157872)/1000000</f>
        <v>13.069832999999999</v>
      </c>
      <c r="E77" s="80"/>
      <c r="F77" s="36">
        <f>(-5595042-3186273)/1000000</f>
        <v>-8.7813149999999993</v>
      </c>
      <c r="G77" s="36"/>
      <c r="H77" s="36">
        <f>+D77+F77</f>
        <v>4.2885179999999998</v>
      </c>
      <c r="I77" s="80"/>
      <c r="J77" s="36">
        <f>(8549590+4647579)/1000000</f>
        <v>13.197169000000001</v>
      </c>
      <c r="K77" s="80"/>
      <c r="L77" s="36">
        <f>(-4285337-3192825)/1000000</f>
        <v>-7.4781620000000002</v>
      </c>
      <c r="M77" s="36"/>
      <c r="N77" s="36">
        <f>+J77+L77</f>
        <v>5.7190070000000004</v>
      </c>
      <c r="O77" s="81"/>
      <c r="P77" s="36">
        <f>(3237030+3925034)/1000000</f>
        <v>7.162064</v>
      </c>
      <c r="Q77" s="80"/>
      <c r="R77" s="36">
        <f>(-2160397.87-2510570)/1000000</f>
        <v>-4.6709678700000001</v>
      </c>
      <c r="S77" s="36"/>
      <c r="T77" s="36">
        <f>+P77+R77</f>
        <v>2.4910961299999999</v>
      </c>
      <c r="U77" s="81"/>
      <c r="V77" s="37">
        <v>0.6</v>
      </c>
      <c r="W77" s="82"/>
      <c r="X77" s="82">
        <v>-1.7</v>
      </c>
      <c r="Y77" s="82"/>
      <c r="Z77" s="82">
        <f>+(997436+2208050)/1000000</f>
        <v>3.2054860000000001</v>
      </c>
    </row>
    <row r="78" spans="2:26" ht="13.5" hidden="1" thickBot="1" x14ac:dyDescent="0.25">
      <c r="B78" s="14" t="s">
        <v>65</v>
      </c>
      <c r="D78" s="43">
        <f>SUM(D75:D77)</f>
        <v>59.113014919999998</v>
      </c>
      <c r="E78" s="83"/>
      <c r="F78" s="43">
        <f>SUM(F75:F77)</f>
        <v>-102.83451612000002</v>
      </c>
      <c r="G78" s="83"/>
      <c r="H78" s="43">
        <f>SUM(H75:H77)</f>
        <v>-43.721501200000006</v>
      </c>
      <c r="I78" s="83"/>
      <c r="J78" s="43">
        <f>SUM(J75:J77)</f>
        <v>80.746304690000002</v>
      </c>
      <c r="K78" s="83"/>
      <c r="L78" s="43">
        <f>SUM(L75:L77)</f>
        <v>-101.53136312000001</v>
      </c>
      <c r="M78" s="83"/>
      <c r="N78" s="43">
        <f>SUM(N75:N77)</f>
        <v>-20.78505843000001</v>
      </c>
      <c r="O78" s="79"/>
      <c r="P78" s="43">
        <f>SUM(P75:P77)</f>
        <v>83.225164469999996</v>
      </c>
      <c r="Q78" s="83"/>
      <c r="R78" s="43">
        <f>SUM(R75:R77)</f>
        <v>-106.63364027999999</v>
      </c>
      <c r="S78" s="83"/>
      <c r="T78" s="43">
        <f>SUM(T75:T77)</f>
        <v>-23.408475810000002</v>
      </c>
      <c r="U78" s="79"/>
      <c r="V78" s="43">
        <f>SUM(V75:V77)</f>
        <v>5.391057</v>
      </c>
      <c r="W78" s="83"/>
      <c r="X78" s="43">
        <f>SUM(X75:X77)</f>
        <v>-5.5695499999999996</v>
      </c>
      <c r="Y78" s="83"/>
      <c r="Z78" s="43">
        <f>SUM(Z75:Z77)</f>
        <v>3.675821</v>
      </c>
    </row>
    <row r="79" spans="2:26" ht="13.5" hidden="1" thickTop="1" x14ac:dyDescent="0.2">
      <c r="B79" s="14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T79" s="10"/>
      <c r="U79" s="10"/>
      <c r="V79" s="10"/>
      <c r="W79" s="10"/>
      <c r="X79" s="10"/>
      <c r="Y79" s="10"/>
      <c r="Z79" s="10"/>
    </row>
    <row r="80" spans="2:26" hidden="1" x14ac:dyDescent="0.2">
      <c r="B80" s="14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T80" s="10"/>
      <c r="U80" s="10"/>
      <c r="V80" s="10"/>
      <c r="W80" s="10"/>
      <c r="X80" s="10"/>
      <c r="Y80" s="10"/>
      <c r="Z80" s="10"/>
    </row>
    <row r="81" spans="2:26" hidden="1" x14ac:dyDescent="0.2">
      <c r="B81" s="14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T81" s="10"/>
      <c r="U81" s="10"/>
      <c r="V81" s="10"/>
      <c r="W81" s="10"/>
      <c r="X81" s="10"/>
      <c r="Y81" s="10"/>
      <c r="Z81" s="10"/>
    </row>
    <row r="82" spans="2:26" hidden="1" x14ac:dyDescent="0.2">
      <c r="B82" s="14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T82" s="10"/>
      <c r="U82" s="10"/>
      <c r="V82" s="10"/>
      <c r="W82" s="10"/>
      <c r="X82" s="10"/>
      <c r="Y82" s="10"/>
      <c r="Z82" s="10"/>
    </row>
    <row r="83" spans="2:26" hidden="1" x14ac:dyDescent="0.2">
      <c r="B83" s="14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2"/>
    </row>
    <row r="84" spans="2:26" hidden="1" x14ac:dyDescent="0.2">
      <c r="B84" s="1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2"/>
    </row>
    <row r="85" spans="2:26" hidden="1" x14ac:dyDescent="0.2">
      <c r="B85" s="14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2"/>
    </row>
    <row r="86" spans="2:26" hidden="1" x14ac:dyDescent="0.2">
      <c r="B86" s="14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2"/>
    </row>
    <row r="87" spans="2:26" hidden="1" x14ac:dyDescent="0.2">
      <c r="B87" s="14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2"/>
    </row>
    <row r="88" spans="2:26" hidden="1" x14ac:dyDescent="0.2">
      <c r="B88" s="14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2"/>
    </row>
    <row r="89" spans="2:26" hidden="1" x14ac:dyDescent="0.2">
      <c r="B89" s="14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2"/>
    </row>
    <row r="90" spans="2:26" hidden="1" x14ac:dyDescent="0.2">
      <c r="B90" s="14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2"/>
    </row>
    <row r="91" spans="2:26" hidden="1" x14ac:dyDescent="0.2">
      <c r="B91" s="14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2"/>
    </row>
    <row r="92" spans="2:26" hidden="1" x14ac:dyDescent="0.2">
      <c r="B92" s="14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2"/>
    </row>
    <row r="93" spans="2:26" hidden="1" x14ac:dyDescent="0.2">
      <c r="B93" s="14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"/>
    </row>
    <row r="94" spans="2:26" hidden="1" x14ac:dyDescent="0.2">
      <c r="B94" s="14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2"/>
    </row>
    <row r="95" spans="2:26" hidden="1" x14ac:dyDescent="0.2">
      <c r="B95" s="14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2"/>
    </row>
    <row r="96" spans="2:26" hidden="1" x14ac:dyDescent="0.2">
      <c r="B96" s="14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2"/>
    </row>
    <row r="97" spans="2:15" hidden="1" x14ac:dyDescent="0.2">
      <c r="B97" s="14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2"/>
    </row>
    <row r="98" spans="2:15" hidden="1" x14ac:dyDescent="0.2">
      <c r="B98" s="14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2"/>
    </row>
    <row r="99" spans="2:15" hidden="1" x14ac:dyDescent="0.2">
      <c r="B99" s="1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2"/>
    </row>
    <row r="100" spans="2:15" hidden="1" x14ac:dyDescent="0.2">
      <c r="B100" s="14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2"/>
    </row>
    <row r="101" spans="2:15" hidden="1" x14ac:dyDescent="0.2">
      <c r="B101" s="14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2"/>
    </row>
    <row r="102" spans="2:15" hidden="1" x14ac:dyDescent="0.2">
      <c r="B102" s="14"/>
      <c r="D102" s="2"/>
      <c r="E102" s="2"/>
      <c r="F102" s="2"/>
      <c r="G102" s="12"/>
      <c r="H102" s="84">
        <f>+V73</f>
        <v>36586</v>
      </c>
      <c r="I102" s="12"/>
      <c r="J102" s="2"/>
      <c r="K102" s="2"/>
      <c r="L102" s="2"/>
      <c r="M102" s="2"/>
      <c r="N102" s="2"/>
      <c r="O102" s="2"/>
    </row>
    <row r="103" spans="2:15" hidden="1" x14ac:dyDescent="0.2">
      <c r="H103" s="85">
        <f>+X73</f>
        <v>36617</v>
      </c>
    </row>
    <row r="104" spans="2:15" hidden="1" x14ac:dyDescent="0.2">
      <c r="H104" s="85">
        <f>+Z73</f>
        <v>36647</v>
      </c>
    </row>
    <row r="105" spans="2:15" hidden="1" x14ac:dyDescent="0.2">
      <c r="H105" s="85"/>
    </row>
    <row r="106" spans="2:15" hidden="1" x14ac:dyDescent="0.2">
      <c r="H106" s="85"/>
    </row>
    <row r="107" spans="2:15" hidden="1" x14ac:dyDescent="0.2"/>
    <row r="108" spans="2:15" hidden="1" x14ac:dyDescent="0.2"/>
    <row r="109" spans="2:15" hidden="1" x14ac:dyDescent="0.2"/>
    <row r="110" spans="2:15" hidden="1" x14ac:dyDescent="0.2"/>
    <row r="111" spans="2:15" hidden="1" x14ac:dyDescent="0.2"/>
    <row r="112" spans="2:15" hidden="1" x14ac:dyDescent="0.2"/>
    <row r="113" spans="4:28" hidden="1" x14ac:dyDescent="0.2"/>
    <row r="114" spans="4:28" hidden="1" x14ac:dyDescent="0.2"/>
    <row r="115" spans="4:28" hidden="1" x14ac:dyDescent="0.2"/>
    <row r="116" spans="4:28" hidden="1" x14ac:dyDescent="0.2"/>
    <row r="117" spans="4:28" hidden="1" x14ac:dyDescent="0.2"/>
    <row r="118" spans="4:28" hidden="1" x14ac:dyDescent="0.2"/>
    <row r="119" spans="4:28" hidden="1" x14ac:dyDescent="0.2"/>
    <row r="120" spans="4:28" hidden="1" x14ac:dyDescent="0.2"/>
    <row r="121" spans="4:28" hidden="1" x14ac:dyDescent="0.2"/>
    <row r="122" spans="4:28" hidden="1" x14ac:dyDescent="0.2"/>
    <row r="123" spans="4:28" hidden="1" x14ac:dyDescent="0.2"/>
    <row r="124" spans="4:28" hidden="1" x14ac:dyDescent="0.2"/>
    <row r="125" spans="4:28" hidden="1" x14ac:dyDescent="0.2"/>
    <row r="126" spans="4:28" hidden="1" x14ac:dyDescent="0.2">
      <c r="D126" t="s">
        <v>64</v>
      </c>
      <c r="F126" s="32">
        <f>(7957044+1658062)/1000000</f>
        <v>9.6151060000000008</v>
      </c>
      <c r="G126" s="83"/>
      <c r="H126" s="32">
        <f>(-4351793-1455855)/1000000</f>
        <v>-5.8076480000000004</v>
      </c>
      <c r="I126" s="32"/>
      <c r="J126" s="32">
        <f>+F126+H126</f>
        <v>3.8074580000000005</v>
      </c>
      <c r="K126" s="83"/>
      <c r="L126" s="32">
        <f>(7911961+5157872)/1000000</f>
        <v>13.069832999999999</v>
      </c>
      <c r="M126" s="83"/>
      <c r="N126" s="32">
        <f>(-5595042-3186273)/1000000</f>
        <v>-8.7813149999999993</v>
      </c>
      <c r="O126" s="32"/>
      <c r="P126" s="32">
        <f>+L126+N126</f>
        <v>4.2885179999999998</v>
      </c>
      <c r="Q126" s="79"/>
      <c r="R126" s="32">
        <f>(8549590+4647579)/1000000</f>
        <v>13.197169000000001</v>
      </c>
      <c r="S126" s="83"/>
      <c r="T126" s="32">
        <f>(-4285337-3192825)/1000000</f>
        <v>-7.4781620000000002</v>
      </c>
      <c r="U126" s="32"/>
      <c r="V126" s="32">
        <f>+R126+T126</f>
        <v>5.7190070000000004</v>
      </c>
      <c r="W126" s="79"/>
      <c r="X126" s="77">
        <v>-1.2</v>
      </c>
      <c r="Y126" s="77"/>
      <c r="Z126" s="77">
        <v>0.6</v>
      </c>
      <c r="AA126" s="78"/>
      <c r="AB126" s="78">
        <v>-1.7</v>
      </c>
    </row>
    <row r="127" spans="4:28" hidden="1" x14ac:dyDescent="0.2"/>
    <row r="128" spans="4: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</sheetData>
  <mergeCells count="9">
    <mergeCell ref="D71:T71"/>
    <mergeCell ref="R4:V4"/>
    <mergeCell ref="D39:H39"/>
    <mergeCell ref="D4:N4"/>
    <mergeCell ref="D52:F52"/>
    <mergeCell ref="V72:Z72"/>
    <mergeCell ref="D72:H72"/>
    <mergeCell ref="J72:N72"/>
    <mergeCell ref="P72:T72"/>
  </mergeCells>
  <pageMargins left="0" right="0" top="0.75" bottom="0.5" header="0.5" footer="0.25"/>
  <pageSetup scale="71" orientation="landscape" r:id="rId1"/>
  <headerFooter alignWithMargins="0">
    <oddFooter>&amp;L&amp;8(a) Includes SO2 activity.
(b) Includes activity for Gas, Weather and Pulp and Paper. 
(c) Physical transactions only.&amp;R&amp;7Page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Normal="90" workbookViewId="0">
      <selection activeCell="H2" sqref="H2"/>
    </sheetView>
  </sheetViews>
  <sheetFormatPr defaultRowHeight="12.75" x14ac:dyDescent="0.2"/>
  <cols>
    <col min="1" max="1" width="1.5" customWidth="1"/>
    <col min="2" max="2" width="25.83203125" customWidth="1"/>
    <col min="3" max="3" width="1.33203125" customWidth="1"/>
    <col min="4" max="4" width="16.6640625" bestFit="1" customWidth="1"/>
    <col min="5" max="5" width="1.1640625" customWidth="1"/>
    <col min="6" max="6" width="11.33203125" customWidth="1"/>
    <col min="7" max="7" width="1.33203125" customWidth="1"/>
    <col min="8" max="8" width="14.5" customWidth="1"/>
    <col min="9" max="9" width="2.33203125" customWidth="1"/>
    <col min="10" max="10" width="13.6640625" bestFit="1" customWidth="1"/>
    <col min="11" max="11" width="1.1640625" customWidth="1"/>
    <col min="12" max="12" width="11.5" customWidth="1"/>
    <col min="13" max="13" width="1.33203125" customWidth="1"/>
    <col min="14" max="14" width="14.6640625" customWidth="1"/>
    <col min="15" max="15" width="2.1640625" customWidth="1"/>
    <col min="16" max="16" width="16" bestFit="1" customWidth="1"/>
    <col min="17" max="17" width="1.33203125" customWidth="1"/>
    <col min="18" max="18" width="12.6640625" customWidth="1"/>
    <col min="19" max="19" width="1.1640625" customWidth="1"/>
    <col min="20" max="20" width="15.6640625" customWidth="1"/>
    <col min="21" max="21" width="1.5" customWidth="1"/>
    <col min="22" max="22" width="9.5" customWidth="1"/>
    <col min="24" max="24" width="9" customWidth="1"/>
  </cols>
  <sheetData>
    <row r="1" spans="1:22" x14ac:dyDescent="0.2">
      <c r="A1" s="1" t="s">
        <v>0</v>
      </c>
      <c r="C1" s="18"/>
      <c r="D1" s="12"/>
      <c r="E1" s="12"/>
      <c r="F1" s="12"/>
      <c r="G1" s="12"/>
      <c r="H1" s="10"/>
      <c r="I1" s="10"/>
      <c r="J1" s="10"/>
      <c r="K1" s="10"/>
      <c r="L1" s="18"/>
      <c r="M1" s="18"/>
      <c r="N1" s="18"/>
      <c r="O1" s="18"/>
      <c r="P1" s="18"/>
      <c r="Q1" s="18"/>
      <c r="R1" s="18"/>
      <c r="S1" s="18"/>
      <c r="T1" s="18"/>
    </row>
    <row r="2" spans="1:22" x14ac:dyDescent="0.2">
      <c r="A2" s="1" t="s">
        <v>23</v>
      </c>
      <c r="C2" s="18"/>
      <c r="D2" s="12"/>
      <c r="E2" s="12"/>
      <c r="F2" s="12"/>
      <c r="G2" s="12"/>
      <c r="H2" s="10"/>
      <c r="I2" s="10"/>
      <c r="J2" s="10"/>
      <c r="K2" s="10"/>
      <c r="L2" s="18"/>
      <c r="M2" s="18"/>
      <c r="N2" s="18"/>
      <c r="O2" s="18"/>
      <c r="P2" s="18"/>
      <c r="Q2" s="18"/>
      <c r="R2" s="18"/>
      <c r="S2" s="18"/>
      <c r="T2" s="18"/>
    </row>
    <row r="3" spans="1:22" x14ac:dyDescent="0.2">
      <c r="A3" s="1" t="s">
        <v>24</v>
      </c>
      <c r="B3" s="18"/>
      <c r="C3" s="18"/>
      <c r="D3" s="12"/>
      <c r="E3" s="12"/>
      <c r="F3" s="12"/>
      <c r="G3" s="12"/>
      <c r="H3" s="10"/>
      <c r="I3" s="10"/>
      <c r="J3" s="10"/>
      <c r="K3" s="10"/>
      <c r="L3" s="18"/>
      <c r="M3" s="18"/>
      <c r="N3" s="18"/>
      <c r="O3" s="18"/>
      <c r="P3" s="18"/>
      <c r="Q3" s="18"/>
      <c r="R3" s="18"/>
      <c r="S3" s="18"/>
      <c r="T3" s="18"/>
    </row>
    <row r="4" spans="1:22" ht="6.75" customHeight="1" x14ac:dyDescent="0.2">
      <c r="B4" s="58"/>
      <c r="C4" s="18"/>
      <c r="D4" s="12"/>
      <c r="E4" s="12"/>
      <c r="F4" s="12"/>
      <c r="G4" s="12"/>
      <c r="H4" s="10"/>
      <c r="I4" s="10"/>
      <c r="J4" s="10"/>
      <c r="K4" s="10"/>
      <c r="L4" s="18"/>
      <c r="M4" s="18"/>
      <c r="N4" s="18"/>
      <c r="O4" s="18"/>
      <c r="P4" s="18"/>
      <c r="Q4" s="18"/>
      <c r="R4" s="18"/>
      <c r="S4" s="18"/>
      <c r="T4" s="18"/>
    </row>
    <row r="5" spans="1:22" x14ac:dyDescent="0.2">
      <c r="B5" s="58"/>
      <c r="C5" s="18"/>
      <c r="D5" s="12"/>
      <c r="E5" s="12"/>
      <c r="F5" s="12"/>
      <c r="G5" s="12"/>
      <c r="H5" s="10"/>
      <c r="I5" s="10"/>
      <c r="J5" s="10"/>
      <c r="K5" s="10"/>
      <c r="L5" s="18"/>
      <c r="M5" s="18"/>
      <c r="O5" s="18"/>
      <c r="P5" s="131" t="s">
        <v>66</v>
      </c>
      <c r="Q5" s="131"/>
      <c r="R5" s="131"/>
      <c r="S5" s="131"/>
      <c r="T5" s="131"/>
      <c r="U5" s="131"/>
      <c r="V5" s="131"/>
    </row>
    <row r="6" spans="1:22" ht="15.75" x14ac:dyDescent="0.2">
      <c r="A6" s="1" t="s">
        <v>67</v>
      </c>
      <c r="B6" s="14"/>
      <c r="D6" s="12"/>
      <c r="E6" s="12"/>
      <c r="F6" s="12"/>
      <c r="G6" s="12"/>
      <c r="H6" s="10"/>
      <c r="I6" s="10"/>
      <c r="J6" s="10"/>
      <c r="K6" s="2"/>
      <c r="N6" s="14"/>
      <c r="P6" s="133" t="s">
        <v>171</v>
      </c>
      <c r="Q6" s="133"/>
      <c r="R6" s="133"/>
      <c r="S6" s="134"/>
      <c r="T6" s="133" t="s">
        <v>172</v>
      </c>
      <c r="U6" s="133"/>
      <c r="V6" s="133"/>
    </row>
    <row r="7" spans="1:22" ht="38.25" customHeight="1" x14ac:dyDescent="0.2">
      <c r="D7" s="28" t="s">
        <v>68</v>
      </c>
      <c r="E7" s="65"/>
      <c r="F7" s="65"/>
      <c r="G7" s="65"/>
      <c r="I7" s="9"/>
      <c r="N7" s="14"/>
      <c r="P7" s="86" t="s">
        <v>69</v>
      </c>
      <c r="Q7" s="62"/>
      <c r="R7" s="87" t="s">
        <v>70</v>
      </c>
      <c r="S7" s="18"/>
      <c r="T7" s="86" t="s">
        <v>69</v>
      </c>
      <c r="U7" s="62"/>
      <c r="V7" s="87" t="s">
        <v>70</v>
      </c>
    </row>
    <row r="8" spans="1:22" x14ac:dyDescent="0.2">
      <c r="D8" s="65"/>
      <c r="E8" s="65"/>
      <c r="I8" s="9"/>
    </row>
    <row r="9" spans="1:22" ht="15" customHeight="1" x14ac:dyDescent="0.2">
      <c r="B9" t="s">
        <v>8</v>
      </c>
      <c r="D9" s="32">
        <v>2352.20274763</v>
      </c>
      <c r="E9" s="2"/>
      <c r="H9" s="67"/>
      <c r="I9" s="2"/>
      <c r="N9" s="88" t="s">
        <v>71</v>
      </c>
      <c r="P9" s="89">
        <v>0.158999</v>
      </c>
      <c r="Q9" s="10"/>
      <c r="R9" s="90">
        <v>1.2280444047992349E-4</v>
      </c>
      <c r="T9" s="89">
        <v>0.89197199999999999</v>
      </c>
      <c r="U9" s="10"/>
      <c r="V9" s="90">
        <v>1.0947264097094578E-3</v>
      </c>
    </row>
    <row r="10" spans="1:22" ht="15" customHeight="1" x14ac:dyDescent="0.2">
      <c r="B10" t="s">
        <v>9</v>
      </c>
      <c r="D10" s="37">
        <v>515.80006414000002</v>
      </c>
      <c r="E10" s="2"/>
      <c r="H10" s="68"/>
      <c r="I10" s="2"/>
      <c r="N10" s="88" t="s">
        <v>72</v>
      </c>
      <c r="P10" s="91">
        <v>2.1376930000000001</v>
      </c>
      <c r="Q10" s="10"/>
      <c r="R10" s="90">
        <v>1.6515188187814919E-3</v>
      </c>
      <c r="T10" s="91">
        <v>-9.8360000000000003E-2</v>
      </c>
      <c r="U10" s="10"/>
      <c r="V10" s="90">
        <v>-1.0049428496173748E-4</v>
      </c>
    </row>
    <row r="11" spans="1:22" ht="15" customHeight="1" x14ac:dyDescent="0.2">
      <c r="B11" t="s">
        <v>164</v>
      </c>
      <c r="D11" s="37">
        <v>1938.0203174600001</v>
      </c>
      <c r="E11" s="2"/>
      <c r="H11" s="68"/>
      <c r="I11" s="69"/>
      <c r="N11" s="88" t="s">
        <v>73</v>
      </c>
      <c r="P11" s="91">
        <v>-3.0736270000000001</v>
      </c>
      <c r="Q11" s="10"/>
      <c r="R11" s="90">
        <v>-2.1566507773090348E-3</v>
      </c>
      <c r="T11" s="91">
        <v>0.181504</v>
      </c>
      <c r="U11" s="10"/>
      <c r="V11" s="90">
        <v>1.7528500138497207E-4</v>
      </c>
    </row>
    <row r="12" spans="1:22" ht="15" customHeight="1" x14ac:dyDescent="0.2">
      <c r="B12" t="s">
        <v>169</v>
      </c>
      <c r="D12" s="37">
        <v>1073.7228150000001</v>
      </c>
      <c r="E12" s="2"/>
      <c r="H12" s="68"/>
      <c r="I12" s="2"/>
      <c r="N12" s="88" t="s">
        <v>51</v>
      </c>
      <c r="P12" s="91">
        <v>0.83128899999999994</v>
      </c>
      <c r="Q12" s="10"/>
      <c r="R12" s="90">
        <v>6.3807151533402007E-4</v>
      </c>
      <c r="T12" s="91">
        <v>0.29550300000000002</v>
      </c>
      <c r="U12" s="10"/>
      <c r="V12" s="90">
        <v>2.6875366890507672E-4</v>
      </c>
    </row>
    <row r="13" spans="1:22" ht="15" customHeight="1" x14ac:dyDescent="0.2">
      <c r="B13" t="s">
        <v>38</v>
      </c>
      <c r="D13" s="37">
        <v>17.56902071</v>
      </c>
      <c r="E13" s="2"/>
      <c r="H13" s="68"/>
      <c r="I13" s="2"/>
      <c r="N13" s="88" t="s">
        <v>52</v>
      </c>
      <c r="P13" s="91">
        <v>-2.4934590000000001</v>
      </c>
      <c r="Q13" s="10"/>
      <c r="R13" s="90">
        <v>-1.6213537603884257E-3</v>
      </c>
      <c r="T13" s="91">
        <v>8.8342000000000004E-2</v>
      </c>
      <c r="U13" s="10"/>
      <c r="V13" s="90">
        <v>5.5382744074527855E-5</v>
      </c>
    </row>
    <row r="14" spans="1:22" ht="15" customHeight="1" x14ac:dyDescent="0.2">
      <c r="B14" t="s">
        <v>170</v>
      </c>
      <c r="D14" s="37">
        <v>2.786403</v>
      </c>
      <c r="E14" s="2"/>
      <c r="H14" s="68"/>
      <c r="I14" s="2"/>
      <c r="N14" s="88" t="s">
        <v>74</v>
      </c>
      <c r="P14" s="91">
        <v>0.33561999999999997</v>
      </c>
      <c r="Q14" s="10"/>
      <c r="R14" s="90">
        <v>1.4268327861539969E-4</v>
      </c>
      <c r="T14" s="91">
        <v>0.15152599999999999</v>
      </c>
      <c r="U14" s="10"/>
      <c r="V14" s="90">
        <v>7.8185970825420635E-5</v>
      </c>
    </row>
    <row r="15" spans="1:22" ht="15" customHeight="1" thickBot="1" x14ac:dyDescent="0.25">
      <c r="B15" t="s">
        <v>39</v>
      </c>
      <c r="D15" s="37">
        <v>342.04739691000003</v>
      </c>
      <c r="E15" s="2"/>
      <c r="H15" s="68"/>
      <c r="I15" s="2"/>
      <c r="N15" s="88" t="s">
        <v>11</v>
      </c>
      <c r="P15" s="92">
        <f>SUM(P9:P13)</f>
        <v>-2.4391050000000001</v>
      </c>
      <c r="Q15" s="71"/>
      <c r="R15" s="93">
        <f>+P15/('[1]Gas Revenue Support'!J47/1000000)</f>
        <v>-2.6491269159901836E-4</v>
      </c>
      <c r="T15" s="92">
        <f>SUM(T9:T14)</f>
        <v>1.5104869999999999</v>
      </c>
      <c r="U15" s="71"/>
      <c r="V15" s="93">
        <f>+T15/('[1]Pwr Revenue Support'!J9/1000000)</f>
        <v>3.9723016678296942E-4</v>
      </c>
    </row>
    <row r="16" spans="1:22" ht="15" customHeight="1" thickTop="1" x14ac:dyDescent="0.2">
      <c r="B16" t="s">
        <v>40</v>
      </c>
      <c r="D16" s="37">
        <v>41.391401389999999</v>
      </c>
      <c r="E16" s="2"/>
      <c r="H16" s="68"/>
      <c r="I16" s="2"/>
      <c r="N16" s="14"/>
      <c r="P16" s="94"/>
      <c r="Q16" s="10"/>
      <c r="R16" s="95"/>
      <c r="U16" s="2"/>
    </row>
    <row r="17" spans="1:24" ht="13.5" customHeight="1" thickBot="1" x14ac:dyDescent="0.25">
      <c r="B17" s="14" t="s">
        <v>11</v>
      </c>
      <c r="D17" s="70">
        <f>SUM(D9:D16)</f>
        <v>6283.54016624</v>
      </c>
      <c r="E17" s="71"/>
      <c r="I17" s="2"/>
    </row>
    <row r="18" spans="1:24" ht="13.5" thickTop="1" x14ac:dyDescent="0.2">
      <c r="B18" s="14"/>
      <c r="D18" s="10"/>
      <c r="E18" s="10"/>
      <c r="F18" s="10"/>
      <c r="G18" s="10"/>
      <c r="I18" s="66"/>
    </row>
    <row r="19" spans="1:24" ht="7.5" customHeight="1" x14ac:dyDescent="0.2">
      <c r="B19" s="14"/>
      <c r="D19" s="65"/>
      <c r="E19" s="65"/>
      <c r="F19" s="65"/>
      <c r="I19" s="2"/>
    </row>
    <row r="20" spans="1:24" x14ac:dyDescent="0.2">
      <c r="A20" s="1" t="s">
        <v>75</v>
      </c>
      <c r="D20" s="83"/>
      <c r="E20" s="10"/>
      <c r="F20" s="95"/>
      <c r="I20" s="2"/>
    </row>
    <row r="21" spans="1:24" x14ac:dyDescent="0.2">
      <c r="A21" s="1" t="s">
        <v>76</v>
      </c>
      <c r="D21" s="19"/>
      <c r="E21" s="19"/>
      <c r="F21" s="19"/>
      <c r="G21" s="19"/>
      <c r="I21" s="2"/>
    </row>
    <row r="22" spans="1:24" x14ac:dyDescent="0.2">
      <c r="A22" s="1"/>
      <c r="D22" s="127" t="s">
        <v>55</v>
      </c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V22" s="127" t="s">
        <v>77</v>
      </c>
      <c r="W22" s="127"/>
      <c r="X22" s="127"/>
    </row>
    <row r="23" spans="1:24" x14ac:dyDescent="0.2">
      <c r="D23" s="135" t="s">
        <v>51</v>
      </c>
      <c r="E23" s="135"/>
      <c r="F23" s="135"/>
      <c r="G23" s="135"/>
      <c r="H23" s="135"/>
      <c r="J23" s="135" t="s">
        <v>52</v>
      </c>
      <c r="K23" s="135"/>
      <c r="L23" s="135"/>
      <c r="M23" s="135"/>
      <c r="N23" s="135"/>
      <c r="P23" s="135" t="s">
        <v>74</v>
      </c>
      <c r="Q23" s="135"/>
      <c r="R23" s="135"/>
      <c r="S23" s="135"/>
      <c r="T23" s="135"/>
      <c r="V23" s="96" t="s">
        <v>51</v>
      </c>
      <c r="W23" s="96" t="s">
        <v>52</v>
      </c>
      <c r="X23" s="96" t="s">
        <v>74</v>
      </c>
    </row>
    <row r="24" spans="1:24" ht="50.25" customHeight="1" x14ac:dyDescent="0.2">
      <c r="D24" s="29" t="s">
        <v>78</v>
      </c>
      <c r="E24" s="29"/>
      <c r="F24" s="29" t="s">
        <v>79</v>
      </c>
      <c r="G24" s="29"/>
      <c r="H24" s="29" t="s">
        <v>80</v>
      </c>
      <c r="I24" s="63"/>
      <c r="J24" s="29" t="s">
        <v>78</v>
      </c>
      <c r="K24" s="29"/>
      <c r="L24" s="29" t="s">
        <v>79</v>
      </c>
      <c r="M24" s="29"/>
      <c r="N24" s="29" t="s">
        <v>80</v>
      </c>
      <c r="O24" s="63"/>
      <c r="P24" s="29" t="s">
        <v>78</v>
      </c>
      <c r="Q24" s="29"/>
      <c r="R24" s="29" t="s">
        <v>79</v>
      </c>
      <c r="S24" s="29"/>
      <c r="T24" s="29" t="s">
        <v>80</v>
      </c>
      <c r="V24" s="136" t="s">
        <v>81</v>
      </c>
      <c r="W24" s="136"/>
      <c r="X24" s="136"/>
    </row>
    <row r="25" spans="1:24" x14ac:dyDescent="0.2">
      <c r="B25" t="s">
        <v>82</v>
      </c>
      <c r="D25" s="82"/>
      <c r="E25" s="10"/>
      <c r="F25" s="95"/>
      <c r="I25" s="2"/>
    </row>
    <row r="26" spans="1:24" x14ac:dyDescent="0.2">
      <c r="B26" s="97" t="s">
        <v>83</v>
      </c>
      <c r="D26" s="91">
        <v>12.136839999999999</v>
      </c>
      <c r="E26" s="91"/>
      <c r="F26" s="91">
        <v>-1.775558</v>
      </c>
      <c r="G26" s="21"/>
      <c r="H26" s="91">
        <v>13.912398</v>
      </c>
      <c r="I26" s="11"/>
      <c r="J26" s="91">
        <v>6.866079</v>
      </c>
      <c r="K26" s="21"/>
      <c r="L26" s="91">
        <v>-3.114862</v>
      </c>
      <c r="M26" s="21"/>
      <c r="N26" s="91">
        <v>9.9809409999999996</v>
      </c>
      <c r="O26" s="21"/>
      <c r="P26" s="91">
        <v>-1.4358839999999999</v>
      </c>
      <c r="Q26" s="21"/>
      <c r="R26" s="91">
        <v>1.4434290000000001</v>
      </c>
      <c r="S26" s="21"/>
      <c r="T26" s="91">
        <v>-2.8793129999999998</v>
      </c>
      <c r="V26" s="21">
        <v>-1.652795</v>
      </c>
      <c r="W26" s="21">
        <v>-0.302902</v>
      </c>
      <c r="X26" s="21">
        <v>2.2214870000000002</v>
      </c>
    </row>
    <row r="27" spans="1:24" x14ac:dyDescent="0.2">
      <c r="B27" s="97" t="s">
        <v>84</v>
      </c>
      <c r="D27" s="91">
        <v>8.2257879999999997</v>
      </c>
      <c r="E27" s="91"/>
      <c r="F27" s="91">
        <v>6.1400639999999997</v>
      </c>
      <c r="G27" s="21"/>
      <c r="H27" s="91">
        <v>2.0857239999999999</v>
      </c>
      <c r="I27" s="11"/>
      <c r="J27" s="91">
        <v>8.5630769999999998</v>
      </c>
      <c r="K27" s="21"/>
      <c r="L27" s="91">
        <v>5.0084759999999999</v>
      </c>
      <c r="M27" s="21"/>
      <c r="N27" s="91">
        <v>3.5546009999999999</v>
      </c>
      <c r="O27" s="21"/>
      <c r="P27" s="91">
        <v>-0.58588799999999996</v>
      </c>
      <c r="Q27" s="21"/>
      <c r="R27" s="91">
        <v>-2.1451699999999998</v>
      </c>
      <c r="S27" s="21"/>
      <c r="T27" s="91">
        <v>1.5592820000000001</v>
      </c>
      <c r="V27" s="21">
        <v>-0.20360700000000001</v>
      </c>
      <c r="W27" s="21">
        <v>1.4455750000000001</v>
      </c>
      <c r="X27" s="21">
        <v>0.58274300000000001</v>
      </c>
    </row>
    <row r="28" spans="1:24" ht="13.5" thickBot="1" x14ac:dyDescent="0.25">
      <c r="B28" s="14" t="s">
        <v>85</v>
      </c>
      <c r="D28" s="98">
        <f>SUM(D26:D27)</f>
        <v>20.362628000000001</v>
      </c>
      <c r="E28" s="21"/>
      <c r="F28" s="98">
        <f>SUM(F26:F27)</f>
        <v>4.3645059999999996</v>
      </c>
      <c r="G28" s="21"/>
      <c r="H28" s="98">
        <f>SUM(H26:H27)</f>
        <v>15.998121999999999</v>
      </c>
      <c r="I28" s="11"/>
      <c r="J28" s="98">
        <f>SUM(J26:J27)</f>
        <v>15.429155999999999</v>
      </c>
      <c r="K28" s="21"/>
      <c r="L28" s="98">
        <f>SUM(L26:L27)</f>
        <v>1.8936139999999999</v>
      </c>
      <c r="M28" s="21"/>
      <c r="N28" s="98">
        <f>SUM(N26:N27)</f>
        <v>13.535542</v>
      </c>
      <c r="O28" s="21"/>
      <c r="P28" s="98">
        <f>SUM(P26:P27)</f>
        <v>-2.0217719999999999</v>
      </c>
      <c r="Q28" s="21"/>
      <c r="R28" s="98">
        <f>SUM(R26:R27)</f>
        <v>-0.70174099999999973</v>
      </c>
      <c r="S28" s="21"/>
      <c r="T28" s="98">
        <f>SUM(T26:T27)</f>
        <v>-1.3200309999999997</v>
      </c>
      <c r="V28" s="98">
        <f>SUM(V26:V27)</f>
        <v>-1.8564020000000001</v>
      </c>
      <c r="W28" s="98">
        <f>SUM(W26:W27)</f>
        <v>1.142673</v>
      </c>
      <c r="X28" s="98">
        <f>SUM(X26:X27)</f>
        <v>2.8042300000000004</v>
      </c>
    </row>
    <row r="29" spans="1:24" ht="8.25" customHeight="1" thickTop="1" x14ac:dyDescent="0.2">
      <c r="B29" s="14"/>
      <c r="D29" s="91"/>
      <c r="E29" s="21"/>
      <c r="F29" s="91"/>
      <c r="G29" s="21"/>
      <c r="H29" s="91"/>
      <c r="I29" s="11"/>
      <c r="J29" s="91"/>
      <c r="K29" s="21"/>
      <c r="L29" s="91"/>
      <c r="M29" s="21"/>
      <c r="N29" s="91"/>
      <c r="O29" s="21"/>
      <c r="P29" s="91"/>
      <c r="Q29" s="21"/>
      <c r="R29" s="91"/>
      <c r="S29" s="21"/>
      <c r="T29" s="91"/>
      <c r="V29" s="91"/>
      <c r="W29" s="91"/>
      <c r="X29" s="91"/>
    </row>
    <row r="30" spans="1:24" ht="9.75" customHeight="1" x14ac:dyDescent="0.2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4" ht="15" customHeight="1" x14ac:dyDescent="0.2">
      <c r="L31" s="90"/>
    </row>
    <row r="32" spans="1:24" x14ac:dyDescent="0.2">
      <c r="L32" s="90"/>
    </row>
    <row r="33" spans="2:24" x14ac:dyDescent="0.2">
      <c r="L33" s="90"/>
    </row>
    <row r="34" spans="2:24" x14ac:dyDescent="0.2">
      <c r="L34" s="90"/>
      <c r="V34" s="132"/>
      <c r="W34" s="132"/>
      <c r="X34" s="132"/>
    </row>
    <row r="35" spans="2:24" ht="15" customHeight="1" x14ac:dyDescent="0.2">
      <c r="L35" s="90"/>
      <c r="V35" s="99"/>
      <c r="W35" s="99"/>
      <c r="X35" s="99"/>
    </row>
    <row r="36" spans="2:24" ht="15" customHeight="1" x14ac:dyDescent="0.2">
      <c r="L36" s="90"/>
      <c r="R36" s="100"/>
    </row>
    <row r="37" spans="2:24" x14ac:dyDescent="0.2">
      <c r="L37" s="90"/>
      <c r="R37" s="101"/>
    </row>
    <row r="38" spans="2:24" x14ac:dyDescent="0.2">
      <c r="R38" s="101"/>
    </row>
    <row r="39" spans="2:24" x14ac:dyDescent="0.2">
      <c r="B39" s="14"/>
      <c r="D39" s="94"/>
      <c r="E39" s="10"/>
      <c r="F39" s="95"/>
      <c r="I39" s="2"/>
      <c r="R39" s="102"/>
    </row>
    <row r="40" spans="2:24" x14ac:dyDescent="0.2">
      <c r="B40" s="14"/>
      <c r="D40" s="94"/>
      <c r="E40" s="10"/>
      <c r="F40" s="95"/>
      <c r="I40" s="2"/>
    </row>
    <row r="41" spans="2:24" x14ac:dyDescent="0.2">
      <c r="B41" s="14"/>
      <c r="D41" s="94"/>
      <c r="E41" s="10"/>
      <c r="F41" s="95"/>
      <c r="I41" s="2"/>
    </row>
    <row r="42" spans="2:24" x14ac:dyDescent="0.2">
      <c r="B42" s="14"/>
      <c r="D42" s="94"/>
      <c r="E42" s="10"/>
      <c r="F42" s="95"/>
      <c r="I42" s="2"/>
    </row>
    <row r="43" spans="2:24" ht="12.75" customHeight="1" x14ac:dyDescent="0.25">
      <c r="B43" s="103"/>
      <c r="D43" s="94"/>
      <c r="E43" s="10"/>
      <c r="F43" s="95"/>
      <c r="I43" s="2"/>
    </row>
    <row r="44" spans="2:24" ht="11.25" customHeight="1" x14ac:dyDescent="0.25">
      <c r="B44" s="103"/>
      <c r="D44" s="94"/>
      <c r="E44" s="10"/>
      <c r="F44" s="95"/>
      <c r="I44" s="2"/>
    </row>
    <row r="45" spans="2:24" ht="7.5" customHeight="1" x14ac:dyDescent="0.25">
      <c r="B45" s="103"/>
      <c r="D45" s="94"/>
      <c r="E45" s="10"/>
      <c r="F45" s="95"/>
      <c r="I45" s="2"/>
    </row>
    <row r="46" spans="2:24" x14ac:dyDescent="0.2">
      <c r="B46" s="104" t="s">
        <v>86</v>
      </c>
      <c r="D46" s="94"/>
      <c r="E46" s="10"/>
      <c r="F46" s="95"/>
      <c r="I46" s="2"/>
    </row>
    <row r="47" spans="2:24" x14ac:dyDescent="0.2">
      <c r="B47" s="104" t="s">
        <v>87</v>
      </c>
      <c r="D47" s="94"/>
      <c r="E47" s="10"/>
      <c r="F47" s="95"/>
      <c r="I47" s="2"/>
    </row>
    <row r="48" spans="2:24" x14ac:dyDescent="0.2">
      <c r="B48" s="104" t="s">
        <v>88</v>
      </c>
      <c r="D48" s="94"/>
      <c r="E48" s="10"/>
      <c r="F48" s="95"/>
      <c r="I48" s="2"/>
    </row>
    <row r="49" spans="2:10" x14ac:dyDescent="0.2">
      <c r="B49" s="104" t="s">
        <v>89</v>
      </c>
      <c r="D49" s="94"/>
      <c r="E49" s="10"/>
      <c r="F49" s="95"/>
      <c r="I49" s="2"/>
    </row>
    <row r="50" spans="2:10" x14ac:dyDescent="0.2">
      <c r="B50" s="104" t="s">
        <v>90</v>
      </c>
      <c r="D50" s="10"/>
      <c r="E50" s="10"/>
      <c r="F50" s="10"/>
      <c r="G50" s="10"/>
      <c r="I50" s="2"/>
    </row>
    <row r="55" spans="2:10" x14ac:dyDescent="0.2">
      <c r="H55" s="6">
        <v>36617</v>
      </c>
      <c r="I55" s="6">
        <v>36647</v>
      </c>
      <c r="J55" s="6">
        <v>36678</v>
      </c>
    </row>
  </sheetData>
  <mergeCells count="10">
    <mergeCell ref="P5:V5"/>
    <mergeCell ref="V34:X34"/>
    <mergeCell ref="P6:S6"/>
    <mergeCell ref="T6:V6"/>
    <mergeCell ref="V22:X22"/>
    <mergeCell ref="D22:T22"/>
    <mergeCell ref="D23:H23"/>
    <mergeCell ref="J23:N23"/>
    <mergeCell ref="P23:T23"/>
    <mergeCell ref="V24:X24"/>
  </mergeCells>
  <pageMargins left="0.25" right="0.25" top="0.75" bottom="0.1" header="0.5" footer="0.5"/>
  <pageSetup scale="75" orientation="landscape" r:id="rId1"/>
  <headerFooter alignWithMargins="0">
    <oddFooter>&amp;R&amp;7Page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workbookViewId="0">
      <selection activeCell="F6" sqref="F6"/>
    </sheetView>
  </sheetViews>
  <sheetFormatPr defaultRowHeight="12.75" x14ac:dyDescent="0.2"/>
  <cols>
    <col min="2" max="2" width="3.1640625" customWidth="1"/>
    <col min="3" max="3" width="29.6640625" customWidth="1"/>
    <col min="4" max="4" width="17.1640625" bestFit="1" customWidth="1"/>
    <col min="5" max="5" width="15" bestFit="1" customWidth="1"/>
    <col min="6" max="6" width="12.5" bestFit="1" customWidth="1"/>
    <col min="7" max="7" width="12.6640625" customWidth="1"/>
    <col min="8" max="8" width="6.33203125" customWidth="1"/>
    <col min="9" max="9" width="11.33203125" hidden="1" customWidth="1"/>
    <col min="10" max="10" width="12.6640625" hidden="1" customWidth="1"/>
    <col min="11" max="11" width="12.5" hidden="1" customWidth="1"/>
    <col min="12" max="12" width="12.33203125" hidden="1" customWidth="1"/>
    <col min="13" max="13" width="12.83203125" hidden="1" customWidth="1"/>
    <col min="14" max="15" width="0" hidden="1" customWidth="1"/>
  </cols>
  <sheetData>
    <row r="1" spans="1:14" x14ac:dyDescent="0.2">
      <c r="A1" t="s">
        <v>91</v>
      </c>
      <c r="E1" t="s">
        <v>92</v>
      </c>
      <c r="F1" t="s">
        <v>93</v>
      </c>
      <c r="G1" s="105">
        <v>36678</v>
      </c>
      <c r="I1" s="106" t="s">
        <v>93</v>
      </c>
      <c r="J1" s="106"/>
      <c r="K1" s="106" t="s">
        <v>94</v>
      </c>
      <c r="L1" s="106"/>
      <c r="M1" s="106"/>
      <c r="N1" s="107" t="s">
        <v>92</v>
      </c>
    </row>
    <row r="2" spans="1:14" x14ac:dyDescent="0.2">
      <c r="F2" t="s">
        <v>95</v>
      </c>
      <c r="G2" t="s">
        <v>96</v>
      </c>
      <c r="I2" s="106" t="s">
        <v>97</v>
      </c>
      <c r="J2" s="106"/>
      <c r="K2" s="106"/>
      <c r="L2" s="106"/>
      <c r="M2" s="106"/>
      <c r="N2" s="107"/>
    </row>
    <row r="3" spans="1:14" x14ac:dyDescent="0.2">
      <c r="I3" s="108"/>
      <c r="J3" s="106"/>
      <c r="K3" s="106"/>
      <c r="L3" s="106"/>
      <c r="M3" s="106"/>
      <c r="N3" s="107"/>
    </row>
    <row r="4" spans="1:14" x14ac:dyDescent="0.2">
      <c r="B4" s="1" t="s">
        <v>0</v>
      </c>
    </row>
    <row r="5" spans="1:14" x14ac:dyDescent="0.2">
      <c r="B5" s="1" t="s">
        <v>98</v>
      </c>
    </row>
    <row r="6" spans="1:14" x14ac:dyDescent="0.2">
      <c r="B6" s="1" t="s">
        <v>99</v>
      </c>
    </row>
    <row r="7" spans="1:14" ht="6.75" customHeight="1" x14ac:dyDescent="0.2"/>
    <row r="8" spans="1:14" x14ac:dyDescent="0.2">
      <c r="C8" s="129" t="s">
        <v>100</v>
      </c>
      <c r="D8" s="129"/>
      <c r="E8" s="129"/>
      <c r="F8" s="129"/>
      <c r="G8" s="129"/>
      <c r="H8" s="1"/>
      <c r="I8" s="129" t="s">
        <v>101</v>
      </c>
      <c r="J8" s="129"/>
      <c r="K8" s="129"/>
      <c r="L8" s="129"/>
      <c r="M8" s="129"/>
    </row>
    <row r="9" spans="1:14" ht="51" x14ac:dyDescent="0.2">
      <c r="C9" s="27" t="s">
        <v>102</v>
      </c>
      <c r="D9" s="27" t="s">
        <v>103</v>
      </c>
      <c r="E9" s="28" t="s">
        <v>104</v>
      </c>
      <c r="F9" s="28" t="s">
        <v>105</v>
      </c>
      <c r="G9" s="28" t="s">
        <v>106</v>
      </c>
      <c r="H9" s="109"/>
      <c r="I9" s="28" t="s">
        <v>104</v>
      </c>
      <c r="J9" s="28" t="s">
        <v>105</v>
      </c>
      <c r="K9" s="28" t="s">
        <v>106</v>
      </c>
      <c r="L9" s="28" t="s">
        <v>107</v>
      </c>
      <c r="M9" s="28" t="s">
        <v>108</v>
      </c>
    </row>
    <row r="10" spans="1:14" x14ac:dyDescent="0.2">
      <c r="B10" s="1" t="s">
        <v>109</v>
      </c>
    </row>
    <row r="11" spans="1:14" x14ac:dyDescent="0.2">
      <c r="B11" s="1"/>
      <c r="C11" t="s">
        <v>110</v>
      </c>
      <c r="D11" t="s">
        <v>111</v>
      </c>
      <c r="E11" s="110">
        <v>8210339</v>
      </c>
      <c r="F11" s="110">
        <v>7904210.1909999996</v>
      </c>
      <c r="G11" s="110">
        <f>+G12+G13</f>
        <v>306128.80899999989</v>
      </c>
    </row>
    <row r="12" spans="1:14" hidden="1" x14ac:dyDescent="0.2">
      <c r="A12" t="s">
        <v>112</v>
      </c>
      <c r="B12" t="s">
        <v>113</v>
      </c>
      <c r="C12" t="s">
        <v>114</v>
      </c>
      <c r="D12" t="s">
        <v>115</v>
      </c>
      <c r="E12" s="111">
        <v>2957889</v>
      </c>
      <c r="F12" s="111">
        <v>2792397.5775000001</v>
      </c>
      <c r="G12" s="111">
        <f t="shared" ref="G12:G27" si="0">+E12-F12</f>
        <v>165491.42249999987</v>
      </c>
      <c r="I12" s="112">
        <f>+'[1]April HC'!J20</f>
        <v>61</v>
      </c>
      <c r="J12" s="113">
        <f>_xll.HPVAL($A12,$I$1,$I$2,$G$1,$K$1,$G$2)</f>
        <v>53</v>
      </c>
      <c r="K12" s="114">
        <f t="shared" ref="K12:K21" si="1">+I12-J12</f>
        <v>8</v>
      </c>
      <c r="L12" s="112">
        <f>+'[1]April HC'!I20</f>
        <v>61</v>
      </c>
      <c r="M12" s="114">
        <f t="shared" ref="M12:M21" si="2">+I12-L12</f>
        <v>0</v>
      </c>
    </row>
    <row r="13" spans="1:14" hidden="1" x14ac:dyDescent="0.2">
      <c r="A13" t="s">
        <v>116</v>
      </c>
      <c r="B13" t="s">
        <v>113</v>
      </c>
      <c r="C13" t="s">
        <v>117</v>
      </c>
      <c r="D13" t="s">
        <v>111</v>
      </c>
      <c r="E13" s="11">
        <v>5252450</v>
      </c>
      <c r="F13" s="11">
        <v>5111812.6135</v>
      </c>
      <c r="G13" s="115">
        <f t="shared" si="0"/>
        <v>140637.38650000002</v>
      </c>
      <c r="I13" s="112">
        <f>+'[1]April HC'!J34</f>
        <v>118</v>
      </c>
      <c r="J13" s="113">
        <f>_xll.HPVAL($A13,$I$1,$I$2,$G$1,$K$1,$G$2)</f>
        <v>95</v>
      </c>
      <c r="K13" s="114">
        <f t="shared" si="1"/>
        <v>23</v>
      </c>
      <c r="L13" s="112">
        <f>+'[1]April HC'!I34</f>
        <v>106</v>
      </c>
      <c r="M13" s="114">
        <f t="shared" si="2"/>
        <v>12</v>
      </c>
    </row>
    <row r="14" spans="1:14" x14ac:dyDescent="0.2">
      <c r="A14" t="s">
        <v>118</v>
      </c>
      <c r="B14" t="s">
        <v>113</v>
      </c>
      <c r="C14" t="s">
        <v>119</v>
      </c>
      <c r="D14" t="s">
        <v>120</v>
      </c>
      <c r="E14" s="11">
        <v>2791515</v>
      </c>
      <c r="F14" s="11">
        <v>2662822.6663208334</v>
      </c>
      <c r="G14" s="115">
        <f t="shared" si="0"/>
        <v>128692.33367916662</v>
      </c>
      <c r="I14" s="112">
        <f>+'[1]April HC'!J48</f>
        <v>65</v>
      </c>
      <c r="J14" s="113">
        <f>_xll.HPVAL($A14,$I$1,$I$2,$G$1,$K$1,$G$2)</f>
        <v>58</v>
      </c>
      <c r="K14" s="114">
        <f t="shared" si="1"/>
        <v>7</v>
      </c>
      <c r="L14" s="112">
        <f>+'[1]April HC'!I48</f>
        <v>60</v>
      </c>
      <c r="M14" s="114">
        <f t="shared" si="2"/>
        <v>5</v>
      </c>
    </row>
    <row r="15" spans="1:14" x14ac:dyDescent="0.2">
      <c r="A15" t="s">
        <v>121</v>
      </c>
      <c r="B15" t="s">
        <v>113</v>
      </c>
      <c r="C15" t="s">
        <v>122</v>
      </c>
      <c r="D15" t="s">
        <v>123</v>
      </c>
      <c r="E15" s="11">
        <v>1557534</v>
      </c>
      <c r="F15" s="11">
        <v>1650260.7250000001</v>
      </c>
      <c r="G15" s="115">
        <f t="shared" si="0"/>
        <v>-92726.725000000093</v>
      </c>
      <c r="I15" s="112">
        <f>+'[1]April HC'!J57</f>
        <v>43</v>
      </c>
      <c r="J15" s="113">
        <f>_xll.HPVAL($A15,$I$1,$I$2,$G$1,$K$1,$G$2)</f>
        <v>37</v>
      </c>
      <c r="K15" s="114">
        <f t="shared" si="1"/>
        <v>6</v>
      </c>
      <c r="L15" s="112">
        <f>+'[1]April HC'!I57</f>
        <v>39</v>
      </c>
      <c r="M15" s="114">
        <f t="shared" si="2"/>
        <v>4</v>
      </c>
    </row>
    <row r="16" spans="1:14" hidden="1" x14ac:dyDescent="0.2">
      <c r="A16" t="s">
        <v>124</v>
      </c>
      <c r="B16" t="s">
        <v>113</v>
      </c>
      <c r="C16" t="s">
        <v>125</v>
      </c>
      <c r="D16" t="s">
        <v>126</v>
      </c>
      <c r="E16" s="11">
        <v>421129</v>
      </c>
      <c r="F16" s="11">
        <v>513599.30300000001</v>
      </c>
      <c r="G16" s="115">
        <f t="shared" si="0"/>
        <v>-92470.303000000014</v>
      </c>
      <c r="I16" s="112">
        <f>+'[1]April HC'!J75</f>
        <v>8</v>
      </c>
      <c r="J16" s="113">
        <f>_xll.HPVAL($A16,$I$1,$I$2,$G$1,$K$1,$G$2)</f>
        <v>9</v>
      </c>
      <c r="K16" s="114">
        <f t="shared" si="1"/>
        <v>-1</v>
      </c>
      <c r="L16" s="112">
        <f>+'[1]April HC'!I75</f>
        <v>9</v>
      </c>
      <c r="M16" s="114">
        <f t="shared" si="2"/>
        <v>-1</v>
      </c>
    </row>
    <row r="17" spans="1:13" x14ac:dyDescent="0.2">
      <c r="A17" t="s">
        <v>127</v>
      </c>
      <c r="B17" t="s">
        <v>113</v>
      </c>
      <c r="C17" t="s">
        <v>128</v>
      </c>
      <c r="D17" t="s">
        <v>129</v>
      </c>
      <c r="E17" s="11">
        <v>364321</v>
      </c>
      <c r="F17" s="11">
        <v>613134</v>
      </c>
      <c r="G17" s="115">
        <f t="shared" si="0"/>
        <v>-248813</v>
      </c>
      <c r="I17" s="112">
        <f>+'[1]April HC'!J63</f>
        <v>6</v>
      </c>
      <c r="J17" s="113">
        <f>_xll.HPVAL($A17,$I$1,$I$2,$G$1,$K$1,$G$2)</f>
        <v>8</v>
      </c>
      <c r="K17" s="114">
        <f t="shared" si="1"/>
        <v>-2</v>
      </c>
      <c r="L17" s="112">
        <f>+'[1]April HC'!I63</f>
        <v>8</v>
      </c>
      <c r="M17" s="114">
        <f t="shared" si="2"/>
        <v>-2</v>
      </c>
    </row>
    <row r="18" spans="1:13" x14ac:dyDescent="0.2">
      <c r="A18" t="s">
        <v>130</v>
      </c>
      <c r="B18" t="s">
        <v>113</v>
      </c>
      <c r="C18" t="s">
        <v>131</v>
      </c>
      <c r="D18" t="s">
        <v>132</v>
      </c>
      <c r="E18" s="11">
        <v>780759</v>
      </c>
      <c r="F18" s="11">
        <v>947579</v>
      </c>
      <c r="G18" s="115">
        <f t="shared" si="0"/>
        <v>-166820</v>
      </c>
      <c r="I18" s="112">
        <f>+'[1]April HC'!J60</f>
        <v>16</v>
      </c>
      <c r="J18" s="113">
        <f>_xll.HPVAL($A18,$I$1,$I$2,$G$1,$K$1,$G$2)</f>
        <v>17</v>
      </c>
      <c r="K18" s="114">
        <f t="shared" si="1"/>
        <v>-1</v>
      </c>
      <c r="L18" s="112">
        <f>+'[1]April HC'!I60</f>
        <v>17</v>
      </c>
      <c r="M18" s="114">
        <f t="shared" si="2"/>
        <v>-1</v>
      </c>
    </row>
    <row r="19" spans="1:13" x14ac:dyDescent="0.2">
      <c r="A19" t="s">
        <v>133</v>
      </c>
      <c r="B19" t="s">
        <v>113</v>
      </c>
      <c r="C19" t="s">
        <v>134</v>
      </c>
      <c r="D19" t="s">
        <v>135</v>
      </c>
      <c r="E19" s="11">
        <v>542084</v>
      </c>
      <c r="F19" s="11">
        <v>914791.01616666652</v>
      </c>
      <c r="G19" s="115">
        <f t="shared" si="0"/>
        <v>-372707.01616666652</v>
      </c>
      <c r="I19" s="112">
        <f>+'[1]April HC'!J70</f>
        <v>10</v>
      </c>
      <c r="J19" s="113">
        <f>_xll.HPVAL($A19,$I$1,$I$2,$G$1,$K$1,$G$2)</f>
        <v>20</v>
      </c>
      <c r="K19" s="114">
        <f t="shared" si="1"/>
        <v>-10</v>
      </c>
      <c r="L19" s="112">
        <f>+'[1]April HC'!I70</f>
        <v>20</v>
      </c>
      <c r="M19" s="114">
        <f t="shared" si="2"/>
        <v>-10</v>
      </c>
    </row>
    <row r="20" spans="1:13" x14ac:dyDescent="0.2">
      <c r="A20" t="s">
        <v>136</v>
      </c>
      <c r="B20" t="s">
        <v>113</v>
      </c>
      <c r="C20" t="s">
        <v>137</v>
      </c>
      <c r="D20" t="s">
        <v>138</v>
      </c>
      <c r="E20" s="11">
        <v>748398</v>
      </c>
      <c r="F20" s="11">
        <v>1005703.25</v>
      </c>
      <c r="G20" s="115">
        <f t="shared" si="0"/>
        <v>-257305.25</v>
      </c>
      <c r="I20" s="112">
        <f>+'[1]April HC'!J131</f>
        <v>13</v>
      </c>
      <c r="J20" s="113">
        <f>_xll.HPVAL($A20,$I$1,$I$2,$G$1,$K$1,$G$2)</f>
        <v>9</v>
      </c>
      <c r="K20" s="114">
        <f t="shared" si="1"/>
        <v>4</v>
      </c>
      <c r="L20" s="112">
        <f>+'[1]April HC'!I131</f>
        <v>9</v>
      </c>
      <c r="M20" s="114">
        <f t="shared" si="2"/>
        <v>4</v>
      </c>
    </row>
    <row r="21" spans="1:13" ht="12.75" hidden="1" customHeight="1" x14ac:dyDescent="0.2">
      <c r="A21" t="s">
        <v>139</v>
      </c>
      <c r="B21" t="s">
        <v>113</v>
      </c>
      <c r="C21" t="s">
        <v>140</v>
      </c>
      <c r="D21" t="s">
        <v>141</v>
      </c>
      <c r="E21" s="11">
        <v>1556342</v>
      </c>
      <c r="F21" s="11">
        <v>1825072.6189499998</v>
      </c>
      <c r="G21" s="115">
        <f t="shared" si="0"/>
        <v>-268730.6189499998</v>
      </c>
      <c r="I21" s="112">
        <f>+'[1]April HC'!J86+'[1]April HC'!J110+'[1]April HC'!J111+'[1]April HC'!J112+'[1]April HC'!J113+'[1]April HC'!J121</f>
        <v>3</v>
      </c>
      <c r="J21" s="113">
        <f>_xll.HPVAL($A21,$I$1,$I$2,$G$1,$K$1,$G$2)+'[1]April HC'!F110+'[1]April HC'!F111+'[1]April HC'!F112+'[1]April HC'!F113+'[1]April HC'!F121</f>
        <v>41.550000000000004</v>
      </c>
      <c r="K21" s="114">
        <f t="shared" si="1"/>
        <v>-38.550000000000004</v>
      </c>
      <c r="L21" s="112">
        <f>+'[1]April HC'!I86+'[1]April HC'!I110+'[1]April HC'!I111+'[1]April HC'!I112+'[1]April HC'!I113+'[1]April HC'!I121</f>
        <v>10.9</v>
      </c>
      <c r="M21" s="114">
        <f t="shared" si="2"/>
        <v>-7.9</v>
      </c>
    </row>
    <row r="22" spans="1:13" ht="1.5" hidden="1" customHeight="1" x14ac:dyDescent="0.2">
      <c r="A22" s="116" t="s">
        <v>142</v>
      </c>
      <c r="B22" s="116"/>
      <c r="C22" t="s">
        <v>143</v>
      </c>
      <c r="E22" s="11">
        <v>-354</v>
      </c>
      <c r="F22" s="11">
        <v>0</v>
      </c>
      <c r="G22" s="115">
        <f t="shared" si="0"/>
        <v>-354</v>
      </c>
      <c r="I22" s="18"/>
      <c r="J22" s="113"/>
      <c r="L22" s="18"/>
    </row>
    <row r="23" spans="1:13" x14ac:dyDescent="0.2">
      <c r="C23" t="s">
        <v>140</v>
      </c>
      <c r="D23" t="s">
        <v>141</v>
      </c>
      <c r="E23" s="11">
        <v>1555988</v>
      </c>
      <c r="F23" s="11">
        <v>1825072.6189499998</v>
      </c>
      <c r="G23" s="115">
        <f t="shared" si="0"/>
        <v>-269084.6189499998</v>
      </c>
      <c r="I23" s="11">
        <f>+I22+I21</f>
        <v>3</v>
      </c>
      <c r="J23" s="11">
        <f>+J22+J21</f>
        <v>41.550000000000004</v>
      </c>
      <c r="K23" s="114">
        <f>+I23-J23</f>
        <v>-38.550000000000004</v>
      </c>
      <c r="L23" s="11">
        <f>+L22+L21</f>
        <v>10.9</v>
      </c>
      <c r="M23" s="114">
        <f>+I23-L23</f>
        <v>-7.9</v>
      </c>
    </row>
    <row r="24" spans="1:13" hidden="1" x14ac:dyDescent="0.2">
      <c r="A24" t="s">
        <v>144</v>
      </c>
      <c r="B24" t="s">
        <v>113</v>
      </c>
      <c r="C24" t="s">
        <v>145</v>
      </c>
      <c r="E24" s="11">
        <v>780125</v>
      </c>
      <c r="F24" s="11">
        <v>972694.83199999994</v>
      </c>
      <c r="G24" s="115">
        <f t="shared" si="0"/>
        <v>-192569.83199999994</v>
      </c>
      <c r="I24" s="112">
        <f>+'[1]April HC'!J94+'[1]April HC'!J108+'[1]April HC'!J109+'[1]April HC'!J107+'[1]April HC'!J114+'[1]April HC'!J115+'[1]April HC'!J116+'[1]April HC'!J117+'[1]April HC'!J118+'[1]April HC'!J119+'[1]April HC'!J122</f>
        <v>9</v>
      </c>
      <c r="J24" s="113">
        <f>_xll.HPVAL($A24,$I$1,$I$2,$G$1,$K$1,$G$2)+'[1]April HC'!F107+'[1]April HC'!F109+'[1]April HC'!F108+'[1]April HC'!F114+'[1]April HC'!F115+'[1]April HC'!F116+'[1]April HC'!F117+'[1]April HC'!F118+'[1]April HC'!F119+'[1]April HC'!F122</f>
        <v>21.2</v>
      </c>
      <c r="K24" s="114">
        <f>+I24-J24</f>
        <v>-12.2</v>
      </c>
      <c r="L24" s="112">
        <f>+'[1]April HC'!I94+'[1]April HC'!I107+'[1]April HC'!I108+'[1]April HC'!I109+'[1]April HC'!I114+'[1]April HC'!I115+'[1]April HC'!I116+'[1]April HC'!I117+'[1]April HC'!I118+'[1]April HC'!I119+'[1]April HC'!I122</f>
        <v>16.2</v>
      </c>
      <c r="M24" s="114">
        <f>+I24-L24</f>
        <v>-7.1999999999999993</v>
      </c>
    </row>
    <row r="25" spans="1:13" ht="15.75" x14ac:dyDescent="0.2">
      <c r="A25" t="s">
        <v>146</v>
      </c>
      <c r="B25" t="s">
        <v>113</v>
      </c>
      <c r="C25" t="s">
        <v>173</v>
      </c>
      <c r="D25" t="s">
        <v>147</v>
      </c>
      <c r="E25" s="11">
        <v>618678</v>
      </c>
      <c r="F25" s="11">
        <v>559600</v>
      </c>
      <c r="G25" s="115">
        <f t="shared" si="0"/>
        <v>59078</v>
      </c>
      <c r="I25" s="117">
        <f>+'[1]April HC'!J101</f>
        <v>0</v>
      </c>
      <c r="J25" s="113">
        <f>_xll.HPVAL($A25,$I$1,$I$2,$G$1,$K$1,$G$2)</f>
        <v>21.2</v>
      </c>
      <c r="K25" s="114">
        <f>+I25-J25</f>
        <v>-21.2</v>
      </c>
      <c r="L25" s="112">
        <f>+'[1]April HC'!I101</f>
        <v>0</v>
      </c>
      <c r="M25" s="114">
        <f>+I25-L25</f>
        <v>0</v>
      </c>
    </row>
    <row r="26" spans="1:13" hidden="1" x14ac:dyDescent="0.2">
      <c r="A26" t="s">
        <v>148</v>
      </c>
      <c r="B26" t="s">
        <v>113</v>
      </c>
      <c r="C26" t="s">
        <v>149</v>
      </c>
      <c r="D26" t="s">
        <v>150</v>
      </c>
      <c r="E26" s="11">
        <v>2384577</v>
      </c>
      <c r="F26" s="11">
        <v>2790324</v>
      </c>
      <c r="G26" s="115">
        <f t="shared" si="0"/>
        <v>-405747</v>
      </c>
      <c r="I26" s="112">
        <f>+'[1]April HC'!J99</f>
        <v>3</v>
      </c>
      <c r="J26" s="113">
        <f>_xll.HPVAL($A26,$I$1,$I$2,$G$1,$K$1,$G$2)</f>
        <v>2</v>
      </c>
      <c r="K26" s="114">
        <f>+I26-J26</f>
        <v>1</v>
      </c>
      <c r="L26" s="112">
        <f>+'[1]April HC'!I99</f>
        <v>2</v>
      </c>
      <c r="M26" s="114">
        <f>+I26-L26</f>
        <v>1</v>
      </c>
    </row>
    <row r="27" spans="1:13" hidden="1" x14ac:dyDescent="0.2">
      <c r="A27" t="s">
        <v>151</v>
      </c>
      <c r="B27" t="s">
        <v>113</v>
      </c>
      <c r="C27" t="s">
        <v>152</v>
      </c>
      <c r="D27" t="s">
        <v>150</v>
      </c>
      <c r="E27" s="11">
        <v>1</v>
      </c>
      <c r="F27" s="11">
        <v>0</v>
      </c>
      <c r="G27" s="115">
        <f t="shared" si="0"/>
        <v>1</v>
      </c>
      <c r="I27" s="112">
        <f>+'[1]April HC'!J100</f>
        <v>3</v>
      </c>
      <c r="J27" s="113">
        <f>_xll.HPVAL($A27,$I$1,$I$2,$G$1,$K$1,$G$2)</f>
        <v>0</v>
      </c>
      <c r="K27" s="114">
        <f>+I27-J27</f>
        <v>3</v>
      </c>
      <c r="L27" s="112">
        <f>+'[1]April HC'!I100</f>
        <v>2</v>
      </c>
      <c r="M27" s="114">
        <f>+I27-L27</f>
        <v>1</v>
      </c>
    </row>
    <row r="28" spans="1:13" x14ac:dyDescent="0.2">
      <c r="C28" t="s">
        <v>153</v>
      </c>
      <c r="D28" t="s">
        <v>150</v>
      </c>
      <c r="E28" s="11">
        <v>3585832</v>
      </c>
      <c r="F28" s="11">
        <v>4276618.1349999998</v>
      </c>
      <c r="G28" s="11">
        <f>+G26+G24+G16+G27</f>
        <v>-690786.13500000001</v>
      </c>
      <c r="I28" s="112"/>
      <c r="J28" s="113"/>
      <c r="K28" s="114"/>
      <c r="L28" s="112"/>
      <c r="M28" s="114"/>
    </row>
    <row r="29" spans="1:13" x14ac:dyDescent="0.2">
      <c r="A29" t="s">
        <v>154</v>
      </c>
      <c r="B29" t="s">
        <v>113</v>
      </c>
      <c r="C29" t="s">
        <v>155</v>
      </c>
      <c r="E29" s="11">
        <v>-944192</v>
      </c>
      <c r="F29" s="11">
        <v>-1276642.2778864165</v>
      </c>
      <c r="G29" s="115">
        <f>+E29-F29</f>
        <v>332450.27788641653</v>
      </c>
      <c r="I29" s="18">
        <v>0</v>
      </c>
      <c r="J29" s="113">
        <v>0</v>
      </c>
      <c r="K29" s="114">
        <f>+I29-J29</f>
        <v>0</v>
      </c>
      <c r="L29" s="18">
        <v>0</v>
      </c>
      <c r="M29" s="114">
        <f>+I29-L29</f>
        <v>0</v>
      </c>
    </row>
    <row r="30" spans="1:13" ht="8.25" customHeight="1" x14ac:dyDescent="0.2"/>
    <row r="31" spans="1:13" ht="13.5" thickBot="1" x14ac:dyDescent="0.25">
      <c r="C31" t="s">
        <v>156</v>
      </c>
      <c r="E31" s="118">
        <f>+E29+E28+E25+E23+E20+E19+E18+E17+E15+E14+E11</f>
        <v>19811256</v>
      </c>
      <c r="F31" s="118">
        <f>+F29+F28+F25+F23+F20+F19+F18+F17+F15+F14+F11</f>
        <v>21083149.324551083</v>
      </c>
      <c r="G31" s="118">
        <f>+G29+G28+G25+G23+G20+G19+G18+G17+G15+G14+G11</f>
        <v>-1271893.3245510834</v>
      </c>
      <c r="I31" s="119">
        <f>+I29+I26+I25+I24+I23+I20+I19+I18+I17+I16+I15+I14+I13+I12</f>
        <v>355</v>
      </c>
      <c r="J31" s="119">
        <f>+J29+J26+J25+J24+J23+J20+J19+J18+J17+J16+J15+J14+J13+J12</f>
        <v>391.95</v>
      </c>
      <c r="K31" s="119">
        <f>+K29+K26+K25+K24+K23+K20+K19+K18+K17+K16+K15+K14+K13+K12</f>
        <v>-36.950000000000003</v>
      </c>
      <c r="L31" s="119">
        <f>+L29+L26+L25+L24+L23+L20+L19+L18+L17+L16+L15+L14+L13+L12</f>
        <v>358.1</v>
      </c>
      <c r="M31" s="119">
        <f>+M29+M26+M25+M24+M23+M20+M19+M18+M17+M16+M15+M14+M13+M12</f>
        <v>-3.1000000000000014</v>
      </c>
    </row>
    <row r="32" spans="1:13" ht="13.5" thickTop="1" x14ac:dyDescent="0.2">
      <c r="C32" s="26"/>
      <c r="E32" s="110"/>
      <c r="I32" s="110"/>
    </row>
    <row r="33" spans="10:10" x14ac:dyDescent="0.2">
      <c r="J33" s="120"/>
    </row>
    <row r="34" spans="10:10" x14ac:dyDescent="0.2">
      <c r="J34" s="120"/>
    </row>
    <row r="35" spans="10:10" x14ac:dyDescent="0.2">
      <c r="J35" s="120"/>
    </row>
    <row r="36" spans="10:10" x14ac:dyDescent="0.2">
      <c r="J36" s="120"/>
    </row>
    <row r="37" spans="10:10" x14ac:dyDescent="0.2">
      <c r="J37" s="120"/>
    </row>
    <row r="38" spans="10:10" x14ac:dyDescent="0.2">
      <c r="J38" s="120"/>
    </row>
    <row r="39" spans="10:10" x14ac:dyDescent="0.2">
      <c r="J39" s="120"/>
    </row>
    <row r="40" spans="10:10" x14ac:dyDescent="0.2">
      <c r="J40" s="120"/>
    </row>
    <row r="41" spans="10:10" x14ac:dyDescent="0.2">
      <c r="J41" s="120"/>
    </row>
    <row r="42" spans="10:10" x14ac:dyDescent="0.2">
      <c r="J42" s="120"/>
    </row>
    <row r="43" spans="10:10" x14ac:dyDescent="0.2">
      <c r="J43" s="120"/>
    </row>
    <row r="44" spans="10:10" x14ac:dyDescent="0.2">
      <c r="J44" s="120"/>
    </row>
    <row r="45" spans="10:10" x14ac:dyDescent="0.2">
      <c r="J45" s="120"/>
    </row>
    <row r="46" spans="10:10" x14ac:dyDescent="0.2">
      <c r="J46" s="120"/>
    </row>
    <row r="47" spans="10:10" x14ac:dyDescent="0.2">
      <c r="J47" s="120"/>
    </row>
    <row r="48" spans="10:10" x14ac:dyDescent="0.2">
      <c r="J48" s="120"/>
    </row>
    <row r="49" spans="1:16" x14ac:dyDescent="0.2">
      <c r="J49" s="120"/>
    </row>
    <row r="51" spans="1:16" x14ac:dyDescent="0.2">
      <c r="P51" s="121"/>
    </row>
    <row r="56" spans="1:16" x14ac:dyDescent="0.2">
      <c r="C56" t="s">
        <v>157</v>
      </c>
    </row>
    <row r="57" spans="1:16" x14ac:dyDescent="0.2">
      <c r="A57" t="s">
        <v>158</v>
      </c>
      <c r="C57" t="s">
        <v>158</v>
      </c>
      <c r="E57" s="11">
        <f>_xll.HPVAL($A57,E$1,$A$1,$G$1,$F$2,$G$2)</f>
        <v>19811256</v>
      </c>
      <c r="F57" s="11">
        <f>_xll.HPVAL($A57,F$1,$A$1,$G$1,$F$2,$G$2)</f>
        <v>21083149.324551087</v>
      </c>
      <c r="I57" s="113">
        <f>_xll.HPVAL($A57,$E$1,$I$2,$G$1,$K$1,$G$2)</f>
        <v>464</v>
      </c>
      <c r="J57" s="113">
        <f>_xll.HPVAL($A57,$I$1,$I$2,$G$1,$K$1,$G$2)</f>
        <v>392.45</v>
      </c>
    </row>
    <row r="58" spans="1:16" x14ac:dyDescent="0.2">
      <c r="E58" s="115">
        <f>+E57-E31</f>
        <v>0</v>
      </c>
      <c r="F58" s="115">
        <f>+F57-F31</f>
        <v>0</v>
      </c>
      <c r="I58" s="115">
        <f>+I57-I31</f>
        <v>109</v>
      </c>
      <c r="J58" s="115">
        <f>+J57-J31</f>
        <v>0.5</v>
      </c>
    </row>
  </sheetData>
  <mergeCells count="2">
    <mergeCell ref="I8:M8"/>
    <mergeCell ref="C8:G8"/>
  </mergeCells>
  <printOptions horizontalCentered="1" verticalCentered="1"/>
  <pageMargins left="0" right="0" top="0.75" bottom="0.75" header="0.5" footer="0.5"/>
  <pageSetup scale="86" orientation="landscape" r:id="rId1"/>
  <headerFooter alignWithMargins="0">
    <oddFooter>&amp;L&amp;8(a) Includes costs for Risk Mgmt, Logistics, Deal Clearing &amp; Documentation functions only.
(b) Adjusted headcount reflects original budget plus additions to support business growth.&amp;R&amp;8Page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 Volume Stats</vt:lpstr>
      <vt:lpstr>Summary Bal. Sheet</vt:lpstr>
      <vt:lpstr>Summary Bal. Sheet (2)</vt:lpstr>
      <vt:lpstr>Summary Expense Info</vt:lpstr>
      <vt:lpstr>'Summary Bal. Sheet'!Print_Area</vt:lpstr>
      <vt:lpstr>'Summary Bal. Sheet (2)'!Print_Area</vt:lpstr>
      <vt:lpstr>'Summary Expense Info'!Print_Area</vt:lpstr>
      <vt:lpstr>'Summary Volume Stats'!Print_Area</vt:lpstr>
      <vt:lpstr>'Summary Bal. Sheet'!Print_Titles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Jan Havlíček</cp:lastModifiedBy>
  <dcterms:created xsi:type="dcterms:W3CDTF">2000-08-07T18:50:39Z</dcterms:created>
  <dcterms:modified xsi:type="dcterms:W3CDTF">2023-09-17T00:04:29Z</dcterms:modified>
</cp:coreProperties>
</file>