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8FB357-C535-4224-A359-3038023FC40D}" xr6:coauthVersionLast="47" xr6:coauthVersionMax="47" xr10:uidLastSave="{00000000-0000-0000-0000-000000000000}"/>
  <bookViews>
    <workbookView xWindow="-120" yWindow="-120" windowWidth="38640" windowHeight="15720" tabRatio="926" firstSheet="2" activeTab="2"/>
  </bookViews>
  <sheets>
    <sheet name="YTD Mgmt Summary" sheetId="36" state="hidden" r:id="rId1"/>
    <sheet name="Prior ENA Teams QTD Mgmt Summ" sheetId="39" state="hidden" r:id="rId2"/>
    <sheet name="QTD Mgmt Summary" sheetId="37" r:id="rId3"/>
    <sheet name="Mgmt Summary" sheetId="1" r:id="rId4"/>
    <sheet name="GM-WeeklyChnge" sheetId="9" r:id="rId5"/>
    <sheet name="GrossMargin" sheetId="2" r:id="rId6"/>
    <sheet name="Expenses" sheetId="3" r:id="rId7"/>
    <sheet name="Expense Weekly Change" sheetId="19" state="hidden" r:id="rId8"/>
    <sheet name="CapChrg-AllocExp" sheetId="4" r:id="rId9"/>
    <sheet name="IntIncome-Expense" sheetId="38" r:id="rId10"/>
    <sheet name="Headcount" sheetId="8" state="hidden" r:id="rId11"/>
  </sheets>
  <externalReferences>
    <externalReference r:id="rId12"/>
    <externalReference r:id="rId13"/>
    <externalReference r:id="rId14"/>
  </externalReferences>
  <definedNames>
    <definedName name="_xlnm.Criteria">'[3]Mgmt Summary'!$A$5:$A$6</definedName>
    <definedName name="CriteriaAll">'[3]Mgmt Summary'!$A$11:$A$13</definedName>
    <definedName name="CriteriaForUK">'[3]Mgmt Summary'!$A$16:$A$17</definedName>
    <definedName name="DealMakerTable">'[3]Mgmt Summary'!$B$2:$C$105</definedName>
    <definedName name="Hedge_Beta">'[3]Mgmt Summary'!$AS$388:$AT$740</definedName>
    <definedName name="Hedge_Daily_P_L">'[3]Mgmt Summary'!$I$92:$I$129</definedName>
    <definedName name="Hedge_QTD_P_L">'[3]Mgmt Summary'!$J$92:$J$129</definedName>
    <definedName name="HedgeNames">'[3]Mgmt Summary'!$E$92:$E$129</definedName>
    <definedName name="HedgeUsedMarketValue">'[3]Mgmt Summary'!$G$92:$G$129</definedName>
    <definedName name="IndexLivePercentChange">'[3]Mgmt Summary'!$S$60:$S$87</definedName>
    <definedName name="IndexSummaryTable">'[3]Mgmt Summary'!$A$1:$I$26</definedName>
    <definedName name="IndexTags">'[3]Mgmt Summary'!$F$60:$F$87</definedName>
    <definedName name="IndexValues">'[3]Mgmt Summary'!$E$58:$S$87</definedName>
    <definedName name="NAMEECM_Non_SLP_Total">'[3]Mgmt Summary'!$H$4:$H$18</definedName>
    <definedName name="NAMEECM_SLP_Total">'[3]Mgmt Summary'!$G$4:$G$18</definedName>
    <definedName name="NAMEEnron_Asia_Pacific_Total">'[3]Mgmt Summary'!$K$4:$K$18</definedName>
    <definedName name="NAMEEnron_Broadband_Svcs._Total">'[3]Mgmt Summary'!$O$4:$O$18</definedName>
    <definedName name="NAMEEnron_CALME_Total">'[3]Mgmt Summary'!$J$4:$J$18</definedName>
    <definedName name="NAMEEnron_Corp._Total">'[3]Mgmt Summary'!$I$4:$I$18</definedName>
    <definedName name="NAMEEnron_Europe_Total">'[3]Mgmt Summary'!$N$4:$N$18</definedName>
    <definedName name="NAMEEnron_NA_Accrual_Income">'[3]Mgmt Summary'!$F$4:$F$18</definedName>
    <definedName name="NAMEEnron_NA_Funding_Cost">'[3]Mgmt Summary'!$E$4:$E$18</definedName>
    <definedName name="NAMEEnron_NA_Int_l_Total">'[3]Mgmt Summary'!$M$4:$M$18</definedName>
    <definedName name="NAMEEnron_NA_Total">'[3]Mgmt Summary'!$C$4:$C$18</definedName>
    <definedName name="NAMEEnron_Networks_Total">'[3]Mgmt Summary'!$P$4:$P$18</definedName>
    <definedName name="NAMEEnron_South_America_Total">'[3]Mgmt Summary'!$L$4:$L$18</definedName>
    <definedName name="NAMEGrand_Total">'[3]Mgmt Summary'!$Q$4:$Q$18</definedName>
    <definedName name="NAMEPortfolio_Insurance">'[3]Mgmt Summary'!$D$4:$D$18</definedName>
    <definedName name="nr_Mgmt_Summary" localSheetId="1">'Prior ENA Teams QTD Mgmt Summ'!$A$1:$M$27</definedName>
    <definedName name="nr_Mgmt_Summary">'QTD Mgmt Summary'!$A$1:$M$40</definedName>
    <definedName name="PL_Date">'[3]Mgmt Summary'!$V$53</definedName>
    <definedName name="Position">'[3]Mgmt Summary'!$A$1:$AE$346</definedName>
    <definedName name="Pricing_Type_Options">'[3]Mgmt Summary'!$A$5:$B$9</definedName>
    <definedName name="PricingTypeOptions">'[3]Mgmt Summary'!$B$6:$B$10</definedName>
    <definedName name="_xlnm.Print_Area" localSheetId="8">'CapChrg-AllocExp'!$B$2:$P$32</definedName>
    <definedName name="_xlnm.Print_Area" localSheetId="7">'Expense Weekly Change'!$A$2:$J$40</definedName>
    <definedName name="_xlnm.Print_Area" localSheetId="6">Expenses!$B$2:$K$39</definedName>
    <definedName name="_xlnm.Print_Area" localSheetId="4">'GM-WeeklyChnge'!$A$1:$K$39</definedName>
    <definedName name="_xlnm.Print_Area" localSheetId="5">GrossMargin!$B$2:$N$41</definedName>
    <definedName name="_xlnm.Print_Area" localSheetId="10">Headcount!$B$1:$N$19</definedName>
    <definedName name="_xlnm.Print_Area" localSheetId="9">'IntIncome-Expense'!$1:$1048576</definedName>
    <definedName name="_xlnm.Print_Area" localSheetId="3">'Mgmt Summary'!$A$1:$V$43</definedName>
    <definedName name="_xlnm.Print_Area" localSheetId="1">'Prior ENA Teams QTD Mgmt Summ'!$A$1:$Q$27</definedName>
    <definedName name="_xlnm.Print_Area" localSheetId="2">'QTD Mgmt Summary'!$A$1:$Q$40</definedName>
    <definedName name="_xlnm.Print_Area" localSheetId="0">'YTD Mgmt Summary'!$A$1:$V$32</definedName>
    <definedName name="StockPriceTable">'[3]Mgmt Summary'!$F$18:$N$55</definedName>
    <definedName name="SummaryPivotPoint">'[3]Mgmt Summary'!$A$452</definedName>
    <definedName name="Z_83874C97_8BB7_11D2_9732_00104B678AA7_.wvu.Cols" hidden="1">'[3]Mgmt Summary'!$A$1:$A$65536,'[3]Mgmt Summary'!$I$1:$R$65536,'[3]Mgmt Summary'!$W$1:$Y$65536,'[3]Mgmt Summary'!$AM$1:$AO$65536</definedName>
    <definedName name="Z_83874C97_8BB7_11D2_9732_00104B678AA7_.wvu.PrintArea" hidden="1">'[3]Mgmt Summary'!$B$1:$BE$346</definedName>
    <definedName name="Z_83874C97_8BB7_11D2_9732_00104B678AA7_.wvu.PrintTitles" hidden="1">'[3]Mgmt Summary'!$A$51:$IV$53</definedName>
  </definedNames>
  <calcPr calcId="0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E14" i="4"/>
  <c r="F14" i="4"/>
  <c r="K14" i="4"/>
  <c r="L14" i="4"/>
  <c r="M14" i="4"/>
  <c r="D15" i="4"/>
  <c r="E15" i="4"/>
  <c r="F15" i="4"/>
  <c r="K15" i="4"/>
  <c r="L15" i="4"/>
  <c r="M15" i="4"/>
  <c r="F16" i="4"/>
  <c r="M16" i="4"/>
  <c r="D17" i="4"/>
  <c r="E17" i="4"/>
  <c r="F17" i="4"/>
  <c r="K17" i="4"/>
  <c r="L17" i="4"/>
  <c r="M17" i="4"/>
  <c r="D18" i="4"/>
  <c r="E18" i="4"/>
  <c r="F18" i="4"/>
  <c r="M18" i="4"/>
  <c r="D19" i="4"/>
  <c r="F19" i="4"/>
  <c r="M19" i="4"/>
  <c r="F20" i="4"/>
  <c r="M20" i="4"/>
  <c r="D22" i="4"/>
  <c r="E22" i="4"/>
  <c r="F22" i="4"/>
  <c r="K22" i="4"/>
  <c r="L22" i="4"/>
  <c r="M22" i="4"/>
  <c r="F24" i="4"/>
  <c r="K24" i="4"/>
  <c r="M24" i="4"/>
  <c r="D26" i="4"/>
  <c r="E26" i="4"/>
  <c r="F26" i="4"/>
  <c r="K26" i="4"/>
  <c r="L26" i="4"/>
  <c r="M26" i="4"/>
  <c r="D28" i="4"/>
  <c r="E28" i="4"/>
  <c r="F28" i="4"/>
  <c r="M28" i="4"/>
  <c r="F29" i="4"/>
  <c r="K29" i="4"/>
  <c r="L29" i="4"/>
  <c r="M29" i="4"/>
  <c r="D31" i="4"/>
  <c r="E31" i="4"/>
  <c r="F31" i="4"/>
  <c r="K31" i="4"/>
  <c r="L31" i="4"/>
  <c r="M31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8" i="19"/>
  <c r="D18" i="19"/>
  <c r="E18" i="19"/>
  <c r="C20" i="19"/>
  <c r="D20" i="19"/>
  <c r="E20" i="19"/>
  <c r="C21" i="19"/>
  <c r="D21" i="19"/>
  <c r="E21" i="19"/>
  <c r="C22" i="19"/>
  <c r="D22" i="19"/>
  <c r="E22" i="19"/>
  <c r="C24" i="19"/>
  <c r="D24" i="19"/>
  <c r="E24" i="19"/>
  <c r="C27" i="19"/>
  <c r="D27" i="19"/>
  <c r="E27" i="19"/>
  <c r="C29" i="19"/>
  <c r="D29" i="19"/>
  <c r="E29" i="19"/>
  <c r="C30" i="19"/>
  <c r="D30" i="19"/>
  <c r="E30" i="19"/>
  <c r="C32" i="19"/>
  <c r="D32" i="19"/>
  <c r="E32" i="19"/>
  <c r="C37" i="19"/>
  <c r="D37" i="19"/>
  <c r="E37" i="19"/>
  <c r="C38" i="19"/>
  <c r="D38" i="19"/>
  <c r="E38" i="19"/>
  <c r="C39" i="19"/>
  <c r="D39" i="19"/>
  <c r="E39" i="19"/>
  <c r="B4" i="3"/>
  <c r="D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F15" i="3"/>
  <c r="F16" i="3"/>
  <c r="D18" i="3"/>
  <c r="E18" i="3"/>
  <c r="F18" i="3"/>
  <c r="D20" i="3"/>
  <c r="F20" i="3"/>
  <c r="D21" i="3"/>
  <c r="F21" i="3"/>
  <c r="E22" i="3"/>
  <c r="F22" i="3"/>
  <c r="D24" i="3"/>
  <c r="E24" i="3"/>
  <c r="F24" i="3"/>
  <c r="D27" i="3"/>
  <c r="E27" i="3"/>
  <c r="F27" i="3"/>
  <c r="D29" i="3"/>
  <c r="E29" i="3"/>
  <c r="F29" i="3"/>
  <c r="F30" i="3"/>
  <c r="D32" i="3"/>
  <c r="E32" i="3"/>
  <c r="F32" i="3"/>
  <c r="F37" i="3"/>
  <c r="F38" i="3"/>
  <c r="F39" i="3"/>
  <c r="A3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5" i="9"/>
  <c r="D25" i="9"/>
  <c r="E25" i="9"/>
  <c r="F25" i="9"/>
  <c r="G25" i="9"/>
  <c r="H25" i="9"/>
  <c r="I25" i="9"/>
  <c r="J25" i="9"/>
  <c r="K25" i="9"/>
  <c r="C27" i="9"/>
  <c r="D27" i="9"/>
  <c r="E27" i="9"/>
  <c r="F27" i="9"/>
  <c r="G27" i="9"/>
  <c r="H27" i="9"/>
  <c r="I27" i="9"/>
  <c r="J27" i="9"/>
  <c r="K27" i="9"/>
  <c r="C28" i="9"/>
  <c r="D28" i="9"/>
  <c r="E28" i="9"/>
  <c r="F28" i="9"/>
  <c r="G28" i="9"/>
  <c r="H28" i="9"/>
  <c r="I28" i="9"/>
  <c r="J28" i="9"/>
  <c r="K28" i="9"/>
  <c r="C29" i="9"/>
  <c r="D29" i="9"/>
  <c r="E29" i="9"/>
  <c r="F29" i="9"/>
  <c r="G29" i="9"/>
  <c r="H29" i="9"/>
  <c r="I29" i="9"/>
  <c r="J29" i="9"/>
  <c r="K29" i="9"/>
  <c r="C31" i="9"/>
  <c r="D31" i="9"/>
  <c r="E31" i="9"/>
  <c r="F31" i="9"/>
  <c r="G31" i="9"/>
  <c r="H31" i="9"/>
  <c r="I31" i="9"/>
  <c r="J31" i="9"/>
  <c r="K31" i="9"/>
  <c r="C34" i="9"/>
  <c r="D34" i="9"/>
  <c r="E34" i="9"/>
  <c r="F34" i="9"/>
  <c r="G34" i="9"/>
  <c r="H34" i="9"/>
  <c r="I34" i="9"/>
  <c r="J34" i="9"/>
  <c r="K34" i="9"/>
  <c r="C36" i="9"/>
  <c r="D36" i="9"/>
  <c r="E36" i="9"/>
  <c r="F36" i="9"/>
  <c r="G36" i="9"/>
  <c r="H36" i="9"/>
  <c r="I36" i="9"/>
  <c r="J36" i="9"/>
  <c r="K36" i="9"/>
  <c r="C38" i="9"/>
  <c r="D38" i="9"/>
  <c r="E38" i="9"/>
  <c r="F38" i="9"/>
  <c r="G38" i="9"/>
  <c r="H38" i="9"/>
  <c r="I38" i="9"/>
  <c r="J38" i="9"/>
  <c r="K38" i="9"/>
  <c r="B4" i="2"/>
  <c r="I10" i="2"/>
  <c r="L10" i="2"/>
  <c r="N10" i="2"/>
  <c r="E11" i="2"/>
  <c r="I11" i="2"/>
  <c r="L11" i="2"/>
  <c r="M11" i="2"/>
  <c r="N11" i="2"/>
  <c r="I12" i="2"/>
  <c r="L12" i="2"/>
  <c r="M12" i="2"/>
  <c r="N12" i="2"/>
  <c r="I13" i="2"/>
  <c r="L13" i="2"/>
  <c r="M13" i="2"/>
  <c r="N13" i="2"/>
  <c r="I14" i="2"/>
  <c r="L14" i="2"/>
  <c r="M14" i="2"/>
  <c r="N14" i="2"/>
  <c r="I15" i="2"/>
  <c r="L15" i="2"/>
  <c r="N15" i="2"/>
  <c r="D16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D21" i="2"/>
  <c r="E21" i="2"/>
  <c r="F21" i="2"/>
  <c r="G21" i="2"/>
  <c r="H21" i="2"/>
  <c r="I21" i="2"/>
  <c r="K21" i="2"/>
  <c r="L21" i="2"/>
  <c r="M21" i="2"/>
  <c r="N21" i="2"/>
  <c r="I22" i="2"/>
  <c r="L22" i="2"/>
  <c r="N22" i="2"/>
  <c r="I23" i="2"/>
  <c r="L23" i="2"/>
  <c r="N23" i="2"/>
  <c r="I24" i="2"/>
  <c r="L24" i="2"/>
  <c r="N24" i="2"/>
  <c r="D26" i="2"/>
  <c r="E26" i="2"/>
  <c r="F26" i="2"/>
  <c r="G26" i="2"/>
  <c r="H26" i="2"/>
  <c r="I26" i="2"/>
  <c r="J26" i="2"/>
  <c r="K26" i="2"/>
  <c r="L26" i="2"/>
  <c r="M26" i="2"/>
  <c r="N26" i="2"/>
  <c r="F28" i="2"/>
  <c r="I28" i="2"/>
  <c r="L28" i="2"/>
  <c r="M28" i="2"/>
  <c r="N28" i="2"/>
  <c r="I29" i="2"/>
  <c r="L29" i="2"/>
  <c r="N29" i="2"/>
  <c r="I30" i="2"/>
  <c r="L30" i="2"/>
  <c r="N30" i="2"/>
  <c r="D32" i="2"/>
  <c r="E32" i="2"/>
  <c r="F32" i="2"/>
  <c r="G32" i="2"/>
  <c r="H32" i="2"/>
  <c r="I32" i="2"/>
  <c r="J32" i="2"/>
  <c r="K32" i="2"/>
  <c r="L32" i="2"/>
  <c r="M32" i="2"/>
  <c r="N32" i="2"/>
  <c r="D35" i="2"/>
  <c r="E35" i="2"/>
  <c r="F35" i="2"/>
  <c r="G35" i="2"/>
  <c r="H35" i="2"/>
  <c r="I35" i="2"/>
  <c r="J35" i="2"/>
  <c r="K35" i="2"/>
  <c r="L35" i="2"/>
  <c r="M35" i="2"/>
  <c r="N35" i="2"/>
  <c r="I37" i="2"/>
  <c r="L37" i="2"/>
  <c r="M37" i="2"/>
  <c r="N37" i="2"/>
  <c r="D39" i="2"/>
  <c r="E39" i="2"/>
  <c r="F39" i="2"/>
  <c r="G39" i="2"/>
  <c r="H39" i="2"/>
  <c r="I39" i="2"/>
  <c r="J39" i="2"/>
  <c r="K39" i="2"/>
  <c r="L39" i="2"/>
  <c r="M39" i="2"/>
  <c r="N39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A4" i="38"/>
  <c r="E9" i="38"/>
  <c r="I9" i="38"/>
  <c r="C11" i="38"/>
  <c r="D11" i="38"/>
  <c r="E11" i="38"/>
  <c r="G11" i="38"/>
  <c r="H11" i="38"/>
  <c r="I11" i="38"/>
  <c r="E13" i="38"/>
  <c r="G13" i="38"/>
  <c r="H13" i="38"/>
  <c r="I13" i="38"/>
  <c r="C15" i="38"/>
  <c r="D15" i="38"/>
  <c r="E15" i="38"/>
  <c r="G15" i="38"/>
  <c r="H15" i="38"/>
  <c r="I15" i="38"/>
  <c r="E17" i="38"/>
  <c r="G17" i="38"/>
  <c r="H17" i="38"/>
  <c r="I17" i="38"/>
  <c r="C19" i="38"/>
  <c r="D19" i="38"/>
  <c r="E19" i="38"/>
  <c r="G19" i="38"/>
  <c r="H19" i="38"/>
  <c r="I19" i="38"/>
  <c r="E21" i="38"/>
  <c r="G21" i="38"/>
  <c r="H21" i="38"/>
  <c r="I21" i="38"/>
  <c r="C23" i="38"/>
  <c r="D23" i="38"/>
  <c r="E23" i="38"/>
  <c r="G23" i="38"/>
  <c r="H23" i="38"/>
  <c r="I23" i="38"/>
  <c r="E25" i="38"/>
  <c r="G25" i="38"/>
  <c r="I25" i="38"/>
  <c r="E26" i="38"/>
  <c r="G26" i="38"/>
  <c r="I26" i="38"/>
  <c r="E27" i="38"/>
  <c r="G27" i="38"/>
  <c r="I27" i="38"/>
  <c r="E28" i="38"/>
  <c r="G28" i="38"/>
  <c r="I28" i="38"/>
  <c r="E29" i="38"/>
  <c r="G29" i="38"/>
  <c r="H29" i="38"/>
  <c r="I29" i="38"/>
  <c r="C31" i="38"/>
  <c r="D31" i="38"/>
  <c r="E31" i="38"/>
  <c r="G31" i="38"/>
  <c r="H31" i="38"/>
  <c r="I31" i="38"/>
  <c r="C34" i="38"/>
  <c r="D34" i="38"/>
  <c r="E34" i="38"/>
  <c r="G34" i="38"/>
  <c r="H34" i="38"/>
  <c r="I34" i="38"/>
  <c r="E39" i="38"/>
  <c r="E40" i="38"/>
  <c r="E41" i="3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E16" i="1"/>
  <c r="G16" i="1"/>
  <c r="J16" i="1"/>
  <c r="O16" i="1"/>
  <c r="Q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9" i="1"/>
  <c r="D19" i="1"/>
  <c r="E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Q25" i="1"/>
  <c r="R25" i="1"/>
  <c r="S25" i="1"/>
  <c r="T25" i="1"/>
  <c r="U25" i="1"/>
  <c r="V25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D30" i="1"/>
  <c r="E30" i="1"/>
  <c r="J30" i="1"/>
  <c r="L30" i="1"/>
  <c r="M30" i="1"/>
  <c r="O30" i="1"/>
  <c r="Q30" i="1"/>
  <c r="T30" i="1"/>
  <c r="V30" i="1"/>
  <c r="D31" i="1"/>
  <c r="E31" i="1"/>
  <c r="J31" i="1"/>
  <c r="N31" i="1"/>
  <c r="O31" i="1"/>
  <c r="Q31" i="1"/>
  <c r="T31" i="1"/>
  <c r="V31" i="1"/>
  <c r="C32" i="1"/>
  <c r="D32" i="1"/>
  <c r="E32" i="1"/>
  <c r="G32" i="1"/>
  <c r="H32" i="1"/>
  <c r="I32" i="1"/>
  <c r="J32" i="1"/>
  <c r="M32" i="1"/>
  <c r="O32" i="1"/>
  <c r="Q32" i="1"/>
  <c r="T32" i="1"/>
  <c r="V32" i="1"/>
  <c r="D33" i="1"/>
  <c r="E33" i="1"/>
  <c r="J33" i="1"/>
  <c r="L33" i="1"/>
  <c r="O33" i="1"/>
  <c r="Q33" i="1"/>
  <c r="S33" i="1"/>
  <c r="V33" i="1"/>
  <c r="V34" i="1"/>
  <c r="C35" i="1"/>
  <c r="D35" i="1"/>
  <c r="E35" i="1"/>
  <c r="G35" i="1"/>
  <c r="H35" i="1"/>
  <c r="I35" i="1"/>
  <c r="J35" i="1"/>
  <c r="K35" i="1"/>
  <c r="L35" i="1"/>
  <c r="M35" i="1"/>
  <c r="N35" i="1"/>
  <c r="O35" i="1"/>
  <c r="Q35" i="1"/>
  <c r="R35" i="1"/>
  <c r="S35" i="1"/>
  <c r="T35" i="1"/>
  <c r="U35" i="1"/>
  <c r="V35" i="1"/>
  <c r="D37" i="1"/>
  <c r="E37" i="1"/>
  <c r="G37" i="1"/>
  <c r="H37" i="1"/>
  <c r="I37" i="1"/>
  <c r="J37" i="1"/>
  <c r="M37" i="1"/>
  <c r="O37" i="1"/>
  <c r="Q37" i="1"/>
  <c r="T37" i="1"/>
  <c r="V37" i="1"/>
  <c r="C39" i="1"/>
  <c r="D39" i="1"/>
  <c r="E39" i="1"/>
  <c r="G39" i="1"/>
  <c r="H39" i="1"/>
  <c r="I39" i="1"/>
  <c r="J39" i="1"/>
  <c r="K39" i="1"/>
  <c r="L39" i="1"/>
  <c r="M39" i="1"/>
  <c r="N39" i="1"/>
  <c r="O39" i="1"/>
  <c r="Q39" i="1"/>
  <c r="R39" i="1"/>
  <c r="S39" i="1"/>
  <c r="T39" i="1"/>
  <c r="U39" i="1"/>
  <c r="V39" i="1"/>
  <c r="G41" i="1"/>
  <c r="Q3" i="39"/>
  <c r="C8" i="39"/>
  <c r="D8" i="39"/>
  <c r="E8" i="39"/>
  <c r="G8" i="39"/>
  <c r="H8" i="39"/>
  <c r="I8" i="39"/>
  <c r="K8" i="39"/>
  <c r="L8" i="39"/>
  <c r="M8" i="39"/>
  <c r="O8" i="39"/>
  <c r="P8" i="39"/>
  <c r="Q8" i="39"/>
  <c r="C9" i="39"/>
  <c r="D9" i="39"/>
  <c r="E9" i="39"/>
  <c r="G9" i="39"/>
  <c r="H9" i="39"/>
  <c r="I9" i="39"/>
  <c r="K9" i="39"/>
  <c r="L9" i="39"/>
  <c r="M9" i="39"/>
  <c r="O9" i="39"/>
  <c r="P9" i="39"/>
  <c r="Q9" i="39"/>
  <c r="C10" i="39"/>
  <c r="D10" i="39"/>
  <c r="E10" i="39"/>
  <c r="G10" i="39"/>
  <c r="H10" i="39"/>
  <c r="I10" i="39"/>
  <c r="K10" i="39"/>
  <c r="L10" i="39"/>
  <c r="M10" i="39"/>
  <c r="O10" i="39"/>
  <c r="P10" i="39"/>
  <c r="Q10" i="39"/>
  <c r="C11" i="39"/>
  <c r="D11" i="39"/>
  <c r="E11" i="39"/>
  <c r="G11" i="39"/>
  <c r="H11" i="39"/>
  <c r="I11" i="39"/>
  <c r="K11" i="39"/>
  <c r="L11" i="39"/>
  <c r="M11" i="39"/>
  <c r="O11" i="39"/>
  <c r="P11" i="39"/>
  <c r="Q11" i="39"/>
  <c r="C12" i="39"/>
  <c r="D12" i="39"/>
  <c r="E12" i="39"/>
  <c r="G12" i="39"/>
  <c r="H12" i="39"/>
  <c r="I12" i="39"/>
  <c r="K12" i="39"/>
  <c r="L12" i="39"/>
  <c r="M12" i="39"/>
  <c r="O12" i="39"/>
  <c r="P12" i="39"/>
  <c r="Q12" i="39"/>
  <c r="C14" i="39"/>
  <c r="D14" i="39"/>
  <c r="E14" i="39"/>
  <c r="F14" i="39"/>
  <c r="G14" i="39"/>
  <c r="H14" i="39"/>
  <c r="I14" i="39"/>
  <c r="J14" i="39"/>
  <c r="K14" i="39"/>
  <c r="L14" i="39"/>
  <c r="M14" i="39"/>
  <c r="O14" i="39"/>
  <c r="P14" i="39"/>
  <c r="Q14" i="39"/>
  <c r="E16" i="39"/>
  <c r="G16" i="39"/>
  <c r="H16" i="39"/>
  <c r="I16" i="39"/>
  <c r="K16" i="39"/>
  <c r="L16" i="39"/>
  <c r="M16" i="39"/>
  <c r="O16" i="39"/>
  <c r="P16" i="39"/>
  <c r="Q16" i="39"/>
  <c r="E17" i="39"/>
  <c r="G17" i="39"/>
  <c r="H17" i="39"/>
  <c r="I17" i="39"/>
  <c r="K17" i="39"/>
  <c r="L17" i="39"/>
  <c r="M17" i="39"/>
  <c r="O17" i="39"/>
  <c r="P17" i="39"/>
  <c r="Q17" i="39"/>
  <c r="C18" i="39"/>
  <c r="D18" i="39"/>
  <c r="E18" i="39"/>
  <c r="G18" i="39"/>
  <c r="H18" i="39"/>
  <c r="I18" i="39"/>
  <c r="K18" i="39"/>
  <c r="L18" i="39"/>
  <c r="M18" i="39"/>
  <c r="O18" i="39"/>
  <c r="P18" i="39"/>
  <c r="Q18" i="39"/>
  <c r="C19" i="39"/>
  <c r="D19" i="39"/>
  <c r="E19" i="39"/>
  <c r="G19" i="39"/>
  <c r="H19" i="39"/>
  <c r="I19" i="39"/>
  <c r="K19" i="39"/>
  <c r="L19" i="39"/>
  <c r="M19" i="39"/>
  <c r="O19" i="39"/>
  <c r="P19" i="39"/>
  <c r="Q19" i="39"/>
  <c r="C21" i="39"/>
  <c r="D21" i="39"/>
  <c r="E21" i="39"/>
  <c r="G21" i="39"/>
  <c r="H21" i="39"/>
  <c r="I21" i="39"/>
  <c r="K21" i="39"/>
  <c r="L21" i="39"/>
  <c r="M21" i="39"/>
  <c r="O21" i="39"/>
  <c r="P21" i="39"/>
  <c r="Q21" i="39"/>
  <c r="C23" i="39"/>
  <c r="D23" i="39"/>
  <c r="E23" i="39"/>
  <c r="G23" i="39"/>
  <c r="H23" i="39"/>
  <c r="I23" i="39"/>
  <c r="K23" i="39"/>
  <c r="L23" i="39"/>
  <c r="M23" i="39"/>
  <c r="O23" i="39"/>
  <c r="P23" i="39"/>
  <c r="Q23" i="39"/>
  <c r="C25" i="39"/>
  <c r="D25" i="39"/>
  <c r="E25" i="39"/>
  <c r="G25" i="39"/>
  <c r="H25" i="39"/>
  <c r="I25" i="39"/>
  <c r="K25" i="39"/>
  <c r="L25" i="39"/>
  <c r="M25" i="39"/>
  <c r="O25" i="39"/>
  <c r="P25" i="39"/>
  <c r="Q25" i="39"/>
  <c r="Q3" i="37"/>
  <c r="C8" i="37"/>
  <c r="D8" i="37"/>
  <c r="E8" i="37"/>
  <c r="G8" i="37"/>
  <c r="H8" i="37"/>
  <c r="I8" i="37"/>
  <c r="K8" i="37"/>
  <c r="L8" i="37"/>
  <c r="M8" i="37"/>
  <c r="O8" i="37"/>
  <c r="P8" i="37"/>
  <c r="Q8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8" i="37"/>
  <c r="D18" i="37"/>
  <c r="E18" i="37"/>
  <c r="F18" i="37"/>
  <c r="G18" i="37"/>
  <c r="H18" i="37"/>
  <c r="I18" i="37"/>
  <c r="J18" i="37"/>
  <c r="K18" i="37"/>
  <c r="L18" i="37"/>
  <c r="M18" i="37"/>
  <c r="O18" i="37"/>
  <c r="P18" i="37"/>
  <c r="Q18" i="37"/>
  <c r="C20" i="37"/>
  <c r="D20" i="37"/>
  <c r="E20" i="37"/>
  <c r="G20" i="37"/>
  <c r="H20" i="37"/>
  <c r="I20" i="37"/>
  <c r="K20" i="37"/>
  <c r="L20" i="37"/>
  <c r="M20" i="37"/>
  <c r="O20" i="37"/>
  <c r="P20" i="37"/>
  <c r="Q20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C22" i="37"/>
  <c r="D22" i="37"/>
  <c r="E22" i="37"/>
  <c r="G22" i="37"/>
  <c r="H22" i="37"/>
  <c r="I22" i="37"/>
  <c r="K22" i="37"/>
  <c r="L22" i="37"/>
  <c r="M22" i="37"/>
  <c r="O22" i="37"/>
  <c r="P22" i="37"/>
  <c r="Q22" i="37"/>
  <c r="C24" i="37"/>
  <c r="D24" i="37"/>
  <c r="E24" i="37"/>
  <c r="G24" i="37"/>
  <c r="H24" i="37"/>
  <c r="I24" i="37"/>
  <c r="K24" i="37"/>
  <c r="L24" i="37"/>
  <c r="M24" i="37"/>
  <c r="O24" i="37"/>
  <c r="P24" i="37"/>
  <c r="Q24" i="37"/>
  <c r="C27" i="37"/>
  <c r="D27" i="37"/>
  <c r="E27" i="37"/>
  <c r="F27" i="37"/>
  <c r="G27" i="37"/>
  <c r="H27" i="37"/>
  <c r="I27" i="37"/>
  <c r="J27" i="37"/>
  <c r="K27" i="37"/>
  <c r="L27" i="37"/>
  <c r="M27" i="37"/>
  <c r="O27" i="37"/>
  <c r="P27" i="37"/>
  <c r="Q27" i="37"/>
  <c r="E29" i="37"/>
  <c r="G29" i="37"/>
  <c r="H29" i="37"/>
  <c r="I29" i="37"/>
  <c r="K29" i="37"/>
  <c r="L29" i="37"/>
  <c r="M29" i="37"/>
  <c r="O29" i="37"/>
  <c r="P29" i="37"/>
  <c r="Q29" i="37"/>
  <c r="E30" i="37"/>
  <c r="G30" i="37"/>
  <c r="H30" i="37"/>
  <c r="I30" i="37"/>
  <c r="K30" i="37"/>
  <c r="L30" i="37"/>
  <c r="M30" i="37"/>
  <c r="O30" i="37"/>
  <c r="P30" i="37"/>
  <c r="Q30" i="37"/>
  <c r="C31" i="37"/>
  <c r="D31" i="37"/>
  <c r="E31" i="37"/>
  <c r="G31" i="37"/>
  <c r="H31" i="37"/>
  <c r="I31" i="37"/>
  <c r="K31" i="37"/>
  <c r="L31" i="37"/>
  <c r="M31" i="37"/>
  <c r="O31" i="37"/>
  <c r="P31" i="37"/>
  <c r="Q31" i="37"/>
  <c r="C32" i="37"/>
  <c r="D32" i="37"/>
  <c r="E32" i="37"/>
  <c r="G32" i="37"/>
  <c r="H32" i="37"/>
  <c r="I32" i="37"/>
  <c r="K32" i="37"/>
  <c r="L32" i="37"/>
  <c r="M32" i="37"/>
  <c r="O32" i="37"/>
  <c r="P32" i="37"/>
  <c r="Q32" i="37"/>
  <c r="C34" i="37"/>
  <c r="D34" i="37"/>
  <c r="E34" i="37"/>
  <c r="G34" i="37"/>
  <c r="H34" i="37"/>
  <c r="I34" i="37"/>
  <c r="K34" i="37"/>
  <c r="L34" i="37"/>
  <c r="M34" i="37"/>
  <c r="O34" i="37"/>
  <c r="P34" i="37"/>
  <c r="Q34" i="37"/>
  <c r="C36" i="37"/>
  <c r="D36" i="37"/>
  <c r="E36" i="37"/>
  <c r="G36" i="37"/>
  <c r="H36" i="37"/>
  <c r="I36" i="37"/>
  <c r="K36" i="37"/>
  <c r="L36" i="37"/>
  <c r="M36" i="37"/>
  <c r="O36" i="37"/>
  <c r="P36" i="37"/>
  <c r="Q36" i="37"/>
  <c r="C38" i="37"/>
  <c r="D38" i="37"/>
  <c r="E38" i="37"/>
  <c r="G38" i="37"/>
  <c r="H38" i="37"/>
  <c r="I38" i="37"/>
  <c r="K38" i="37"/>
  <c r="L38" i="37"/>
  <c r="M38" i="37"/>
  <c r="O38" i="37"/>
  <c r="P38" i="37"/>
  <c r="Q38" i="37"/>
  <c r="E44" i="37"/>
  <c r="I44" i="37"/>
  <c r="E45" i="37"/>
  <c r="I45" i="37"/>
  <c r="E46" i="37"/>
  <c r="I46" i="37"/>
  <c r="E48" i="37"/>
  <c r="I48" i="37"/>
  <c r="E51" i="37"/>
  <c r="I51" i="37"/>
  <c r="E52" i="37"/>
  <c r="I52" i="37"/>
  <c r="E54" i="37"/>
  <c r="I54" i="37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8" i="36"/>
  <c r="D18" i="36"/>
  <c r="E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C20" i="36"/>
  <c r="D20" i="36"/>
  <c r="E20" i="36"/>
  <c r="G20" i="36"/>
  <c r="H20" i="36"/>
  <c r="I20" i="36"/>
  <c r="J20" i="36"/>
  <c r="L20" i="36"/>
  <c r="M20" i="36"/>
  <c r="N20" i="36"/>
  <c r="O20" i="36"/>
  <c r="Q20" i="36"/>
  <c r="T20" i="36"/>
  <c r="V20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T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V22" i="36"/>
  <c r="V23" i="36"/>
  <c r="C24" i="36"/>
  <c r="D24" i="36"/>
  <c r="E24" i="36"/>
  <c r="G24" i="36"/>
  <c r="H24" i="36"/>
  <c r="I24" i="36"/>
  <c r="J24" i="36"/>
  <c r="K24" i="36"/>
  <c r="L24" i="36"/>
  <c r="M24" i="36"/>
  <c r="N24" i="36"/>
  <c r="O24" i="36"/>
  <c r="Q24" i="36"/>
  <c r="R24" i="36"/>
  <c r="S24" i="36"/>
  <c r="T24" i="36"/>
  <c r="U24" i="36"/>
  <c r="V24" i="36"/>
  <c r="C26" i="36"/>
  <c r="D26" i="36"/>
  <c r="E26" i="36"/>
  <c r="G26" i="36"/>
  <c r="H26" i="36"/>
  <c r="I26" i="36"/>
  <c r="J26" i="36"/>
  <c r="L26" i="36"/>
  <c r="M26" i="36"/>
  <c r="N26" i="36"/>
  <c r="O26" i="36"/>
  <c r="Q26" i="36"/>
  <c r="T26" i="36"/>
  <c r="V26" i="36"/>
  <c r="C28" i="36"/>
  <c r="D28" i="36"/>
  <c r="E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G30" i="36"/>
</calcChain>
</file>

<file path=xl/comments1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D16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November and December activity only</t>
        </r>
      </text>
    </comment>
    <comment ref="M21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$33.8MM
Less Drift                ($22.3MM)
Less Debt Trade       ($2.5MM)
Add Convert Trade   ($2.5MM)</t>
        </r>
      </text>
    </comment>
    <comment ref="F28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excludes trading margin related to $100K Spot Sales, $300K Fuel Mgmt and $188K capital charge </t>
        </r>
      </text>
    </comment>
    <comment ref="M28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$1159 margin plan less 
$15K cap charge plan</t>
        </r>
      </text>
    </comment>
    <comment ref="F30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Total LPG              ($1,790)
Total EcoElectrica (</t>
        </r>
        <r>
          <rPr>
            <u/>
            <sz val="8"/>
            <color indexed="81"/>
            <rFont val="Tahoma"/>
            <family val="2"/>
          </rPr>
          <t xml:space="preserve">$1,299)
</t>
        </r>
        <r>
          <rPr>
            <sz val="8"/>
            <color indexed="81"/>
            <rFont val="Tahoma"/>
            <family val="2"/>
          </rPr>
          <t xml:space="preserve">                             ($3,089)</t>
        </r>
      </text>
    </comment>
    <comment ref="G3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
per A. Beltri @ 10/13/00</t>
        </r>
      </text>
    </comment>
    <comment ref="M3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</t>
        </r>
      </text>
    </comment>
  </commentList>
</comments>
</file>

<file path=xl/comments4.xml><?xml version="1.0" encoding="utf-8"?>
<comments xmlns="http://schemas.openxmlformats.org/spreadsheetml/2006/main">
  <authors>
    <author>Patricia Anderson</author>
  </authors>
  <commentList>
    <comment ref="E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$2.0MM
Less Debt Trade     ($0.5MM)</t>
        </r>
      </text>
    </comment>
  </commentList>
</comments>
</file>

<file path=xl/comments5.xml><?xml version="1.0" encoding="utf-8"?>
<comments xmlns="http://schemas.openxmlformats.org/spreadsheetml/2006/main">
  <authors>
    <author>Patricia Anderson</author>
  </authors>
  <commentList>
    <comment ref="L15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$2.1MM
Less Debt Trade     ($0.2MM)
Less Drift                ($1.0MM)
Add Convertible Trd ($0.2MM)</t>
        </r>
      </text>
    </comment>
  </commentList>
</comments>
</file>

<file path=xl/comments6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<sst xmlns="http://schemas.openxmlformats.org/spreadsheetml/2006/main" count="505" uniqueCount="156">
  <si>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</si>
  <si>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</si>
  <si>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</si>
  <si>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</si>
  <si>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</si>
  <si>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</si>
  <si>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</si>
  <si>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</si>
  <si>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</si>
  <si>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</si>
  <si>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</si>
  <si>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</si>
  <si>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</si>
  <si>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</si>
  <si>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</si>
  <si>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</si>
  <si>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</si>
  <si>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</si>
  <si>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</si>
  <si>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</si>
  <si>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</si>
  <si>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</si>
  <si>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</si>
  <si>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</si>
  <si>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</si>
  <si>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</si>
  <si>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</si>
  <si>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</si>
  <si>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</si>
  <si>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</si>
  <si>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</si>
  <si>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</si>
  <si>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</si>
  <si>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</si>
  <si>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</si>
  <si>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</si>
  <si>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</si>
  <si>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</si>
  <si>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</si>
  <si>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</si>
  <si>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</si>
  <si>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</si>
  <si>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</si>
  <si>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</si>
  <si>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</si>
  <si>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</si>
  <si>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</si>
  <si>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</si>
  <si>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</si>
  <si>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</si>
  <si>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</si>
  <si>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</si>
  <si>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</si>
  <si>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</si>
  <si>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</si>
  <si>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</si>
  <si>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</si>
  <si>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</si>
  <si>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</si>
  <si>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</si>
  <si>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</si>
  <si>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</si>
  <si>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</si>
  <si>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</si>
  <si>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</si>
  <si>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</si>
  <si>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</si>
  <si>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</si>
  <si>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</si>
  <si>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</si>
  <si>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</si>
  <si>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</si>
  <si>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</si>
  <si>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</si>
  <si>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</si>
  <si>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</si>
  <si>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</si>
  <si>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</si>
  <si>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</si>
  <si>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</si>
  <si>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</si>
  <si>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</si>
  <si>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</si>
  <si>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</si>
  <si>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</si>
  <si>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</si>
  <si>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YTD 2000 EARNINGS ESTIMATE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</si>
  <si>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</si>
  <si>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</si>
  <si>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</si>
  <si>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</si>
  <si>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4TH QUARTER 2000 EARNINGS ESTIMATE</t>
  </si>
  <si>
    <t>4TH QTR 2000 EARNINGS ESTIMATE</t>
  </si>
  <si>
    <t>4TH QUARTER 2000 DETAIL OF GROSS MARGIN - WEEKLY CHANGE</t>
  </si>
  <si>
    <t>4TH QUARTER 2000 DETAIL OF GROSS MARGIN</t>
  </si>
  <si>
    <t>4TH QUARTER 2000 EXPENSES</t>
  </si>
  <si>
    <t>4TH QUARTER 2000 EXPENSES - WEEKLY CHANGE</t>
  </si>
  <si>
    <t>4TH QUARTER 2000 CAPITAL CHARGE &amp; ALLOCATED EXPENSES</t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</si>
  <si>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</si>
  <si>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</si>
  <si>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</si>
  <si>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</si>
  <si>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</si>
  <si>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</si>
  <si>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Unplanned Legal &amp; IT Expenses</t>
  </si>
  <si>
    <t>Nox Tech R&amp;D Project</t>
  </si>
  <si>
    <t>Subtotal Commercial</t>
  </si>
  <si>
    <t>Change in EGM Pre-tax Income</t>
  </si>
  <si>
    <t>Subtotal Commercial Change</t>
  </si>
  <si>
    <t>Total Gross Margin Change</t>
  </si>
  <si>
    <t>Unplanned IT and legal expenses</t>
  </si>
  <si>
    <t>Development expenses under plan</t>
  </si>
  <si>
    <t>Group Support Cost</t>
  </si>
  <si>
    <t>Subtotal LNG / ME / PR</t>
  </si>
  <si>
    <t>Subtotal LNG / ME / PR Change</t>
  </si>
  <si>
    <t>Subtotal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</si>
  <si>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</si>
  <si>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</si>
  <si>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</si>
  <si>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</si>
  <si>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</si>
  <si>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</si>
  <si>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</si>
  <si>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</si>
  <si>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</si>
  <si>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</si>
  <si>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</si>
  <si>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</si>
  <si>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</si>
  <si>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t>Liquids Corp Interest Expense</t>
  </si>
  <si>
    <t>LNG Capital Charge</t>
  </si>
  <si>
    <t>Middle East Capital Charge</t>
  </si>
  <si>
    <t>Coal Capital Charge</t>
  </si>
  <si>
    <t>PR- Interest Expense in San Juan Gas</t>
  </si>
  <si>
    <t>PR - Pref Stock Dividend - Big Eco</t>
  </si>
  <si>
    <t>PR - Interest Income - Big Eco</t>
  </si>
  <si>
    <t>PR - Interest Income - Little Eco</t>
  </si>
  <si>
    <t>Subtotal Liquids</t>
  </si>
  <si>
    <t>Subtotal Coal</t>
  </si>
  <si>
    <t>Subtotal LNG</t>
  </si>
  <si>
    <t>Subtotal Middle East</t>
  </si>
  <si>
    <t>Total Interest (Income) / Expense</t>
  </si>
  <si>
    <t>4TH QTR 2000 INTEREST (INCOME) / EXPENSE</t>
  </si>
  <si>
    <t>Subtotal Puerto Rico</t>
  </si>
  <si>
    <t>Puerto Rico Capital Charge</t>
  </si>
  <si>
    <t>Weekly Forecast Change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</si>
  <si>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</si>
  <si>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Development expenses over plan</t>
  </si>
  <si>
    <t>does not include group bonus from ENA</t>
  </si>
  <si>
    <t>Weekly Change - Fav / (Unfav)</t>
  </si>
  <si>
    <t>Convertible Trading</t>
  </si>
  <si>
    <t>Increase in overhead cost; Write off UAE Atlantis Project</t>
  </si>
  <si>
    <t>Results based on activity through December 7, 2000</t>
  </si>
  <si>
    <t>McKinsey study; Diamond Tech study</t>
  </si>
  <si>
    <t>McKinsey study exp xfer to Transportation; Employee exp &amp; other allocations</t>
  </si>
  <si>
    <t>Employee cost and EEX 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</si>
</sst>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89" formatCode="#,##0.0_);\(#,##0.0\)"/>
    <numFmt numFmtId="197" formatCode="0.000"/>
    <numFmt numFmtId="217" formatCode="0_)"/>
    <numFmt numFmtId="229" formatCode="General_)"/>
    <numFmt numFmtId="272" formatCode="_-&quot;\&quot;* #,##0_-;\-&quot;\&quot;* #,##0_-;_-&quot;\&quot;* &quot;-&quot;_-;_-@_-"/>
    <numFmt numFmtId="273" formatCode="_-* #,##0_-;\-* #,##0_-;_-* &quot;-&quot;_-;_-@_-"/>
    <numFmt numFmtId="274" formatCode="_-&quot;\&quot;* #,##0.00_-;\-&quot;\&quot;* #,##0.00_-;_-&quot;\&quot;* &quot;-&quot;??_-;_-@_-"/>
    <numFmt numFmtId="275" formatCode="_-* #,##0.00_-;\-* #,##0.00_-;_-* &quot;-&quot;??_-;_-@_-"/>
    <numFmt numFmtId="281" formatCode="&quot;\&quot;#,##0;[Red]&quot;\&quot;\-#,##0"/>
    <numFmt numFmtId="282" formatCode="&quot;\&quot;#,##0.00;&quot;\&quot;\-#,##0.00"/>
    <numFmt numFmtId="283" formatCode="&quot;\&quot;#,##0.00;[Red]&quot;\&quot;\-#,##0.00"/>
    <numFmt numFmtId="284" formatCode="_ &quot;\&quot;* #,##0_ ;_ &quot;\&quot;* \-#,##0_ ;_ &quot;\&quot;* &quot;-&quot;_ ;_ @_ "/>
    <numFmt numFmtId="285" formatCode="_ * #,##0_ ;_ * \-#,##0_ ;_ * &quot;-&quot;_ ;_ @_ "/>
    <numFmt numFmtId="286" formatCode="_ &quot;\&quot;* #,##0.00_ ;_ &quot;\&quot;* \-#,##0.00_ ;_ &quot;\&quot;* &quot;-&quot;??_ ;_ @_ "/>
    <numFmt numFmtId="287" formatCode="_ * #,##0.00_ ;_ * \-#,##0.00_ ;_ * &quot;-&quot;??_ ;_ @_ "/>
    <numFmt numFmtId="294" formatCode="_ &quot;\&quot;* #,##0.00_ ;_ &quot;\&quot;* &quot;\&quot;\-#,##0.00_ ;_ &quot;\&quot;* &quot;-&quot;??_ ;_ @_ "/>
    <numFmt numFmtId="298" formatCode="&quot;\&quot;#,##0.00;&quot;\&quot;&quot;\&quot;&quot;\&quot;\-#,##0.00"/>
    <numFmt numFmtId="300" formatCode="_ &quot;\&quot;* #,##0_ ;_ &quot;\&quot;* &quot;\&quot;&quot;\&quot;\-#,##0_ ;_ &quot;\&quot;* &quot;-&quot;_ ;_ @_ "/>
    <numFmt numFmtId="301" formatCode="_ * #,##0_ ;_ * &quot;\&quot;&quot;\&quot;\-#,##0_ ;_ * &quot;-&quot;_ ;_ @_ "/>
    <numFmt numFmtId="302" formatCode="_ &quot;\&quot;* #,##0.00_ ;_ &quot;\&quot;* &quot;\&quot;&quot;\&quot;\-#,##0.00_ ;_ &quot;\&quot;* &quot;-&quot;??_ ;_ @_ "/>
    <numFmt numFmtId="305" formatCode="&quot;\&quot;#,##0;[Red]&quot;\&quot;&quot;\&quot;&quot;\&quot;&quot;\&quot;\-#,##0"/>
    <numFmt numFmtId="313" formatCode="#,##0;[Red]&quot;-&quot;#,##0"/>
    <numFmt numFmtId="315" formatCode="#,##0.00;[Red]&quot;-&quot;#,##0.00"/>
    <numFmt numFmtId="317" formatCode="#&quot;\&quot;&quot;\&quot;&quot;\&quot;&quot;\&quot;\ ??/??"/>
    <numFmt numFmtId="324" formatCode="yy&quot;\&quot;&quot;\&quot;&quot;\&quot;\-mm&quot;\&quot;&quot;\&quot;&quot;\&quot;\-dd&quot;\&quot;&quot;\&quot;&quot;\&quot;&quot;\&quot;\ h:mm"/>
    <numFmt numFmtId="329" formatCode="_ &quot;\&quot;* #,##0_ ;_ &quot;\&quot;* &quot;\&quot;&quot;\&quot;&quot;\&quot;&quot;\&quot;\-#,##0_ ;_ &quot;\&quot;* &quot;-&quot;_ ;_ @_ "/>
    <numFmt numFmtId="330" formatCode="_ * #,##0_ ;_ * &quot;\&quot;&quot;\&quot;&quot;\&quot;&quot;\&quot;\-#,##0_ ;_ * &quot;-&quot;_ ;_ @_ "/>
    <numFmt numFmtId="331" formatCode="_ &quot;\&quot;* #,##0.00_ ;_ &quot;\&quot;* &quot;\&quot;&quot;\&quot;&quot;\&quot;&quot;\&quot;\-#,##0.00_ ;_ &quot;\&quot;* &quot;-&quot;??_ ;_ @_ "/>
    <numFmt numFmtId="332" formatCode="_ * #,##0.00_ ;_ * &quot;\&quot;&quot;\&quot;&quot;\&quot;&quot;\&quot;\-#,##0.00_ ;_ * &quot;-&quot;??_ ;_ @_ "/>
    <numFmt numFmtId="333" formatCode="&quot;\&quot;#,##0;&quot;\&quot;&quot;\&quot;&quot;\&quot;&quot;\&quot;&quot;\&quot;&quot;\&quot;\-#,##0"/>
    <numFmt numFmtId="336" formatCode="&quot;\&quot;#,##0.00;[Red]&quot;\&quot;&quot;\&quot;&quot;\&quot;&quot;\&quot;&quot;\&quot;&quot;\&quot;\-#,##0.00"/>
    <numFmt numFmtId="337" formatCode="_ &quot;\&quot;* #,##0_ ;_ &quot;\&quot;* &quot;\&quot;&quot;\&quot;&quot;\&quot;&quot;\&quot;&quot;\&quot;\-#,##0_ ;_ &quot;\&quot;* &quot;-&quot;_ ;_ @_ "/>
    <numFmt numFmtId="339" formatCode="_ &quot;\&quot;* #,##0.00_ ;_ &quot;\&quot;* &quot;\&quot;&quot;\&quot;&quot;\&quot;&quot;\&quot;&quot;\&quot;\-#,##0.00_ ;_ &quot;\&quot;* &quot;-&quot;??_ ;_ @_ "/>
    <numFmt numFmtId="341" formatCode="&quot;\&quot;#,##0;&quot;\&quot;&quot;\&quot;&quot;\&quot;&quot;\&quot;&quot;\&quot;&quot;\&quot;&quot;\&quot;\-#,##0"/>
    <numFmt numFmtId="344" formatCode="&quot;\&quot;#,##0.00;[Red]&quot;\&quot;&quot;\&quot;&quot;\&quot;&quot;\&quot;&quot;\&quot;&quot;\&quot;&quot;\&quot;\-#,##0.00"/>
    <numFmt numFmtId="345" formatCode="_ &quot;\&quot;* #,##0_ ;_ &quot;\&quot;* &quot;\&quot;&quot;\&quot;&quot;\&quot;&quot;\&quot;&quot;\&quot;&quot;\&quot;\-#,##0_ ;_ &quot;\&quot;* &quot;-&quot;_ ;_ @_ "/>
    <numFmt numFmtId="351" formatCode="&quot;\&quot;#,##0.00;&quot;\&quot;&quot;\&quot;&quot;\&quot;&quot;\&quot;&quot;\&quot;&quot;\&quot;&quot;\&quot;&quot;\&quot;\-#,##0.00"/>
    <numFmt numFmtId="352" formatCode="&quot;\&quot;#,##0.00;[Red]&quot;\&quot;&quot;\&quot;&quot;\&quot;&quot;\&quot;&quot;\&quot;&quot;\&quot;&quot;\&quot;&quot;\&quot;\-#,##0.00"/>
    <numFmt numFmtId="353" formatCode="_ &quot;\&quot;* #,##0_ ;_ &quot;\&quot;* &quot;\&quot;&quot;\&quot;&quot;\&quot;&quot;\&quot;&quot;\&quot;&quot;\&quot;&quot;\&quot;\-#,##0_ ;_ &quot;\&quot;* &quot;-&quot;_ ;_ @_ "/>
    <numFmt numFmtId="356" formatCode="_ * #,##0.00_ ;_ * &quot;\&quot;&quot;\&quot;&quot;\&quot;&quot;\&quot;&quot;\&quot;&quot;\&quot;&quot;\&quot;\-#,##0.00_ ;_ * &quot;-&quot;??_ ;_ @_ "/>
    <numFmt numFmtId="357" formatCode="&quot;\&quot;#,##0;&quot;\&quot;&quot;\&quot;&quot;\&quot;&quot;\&quot;&quot;\&quot;&quot;\&quot;&quot;\&quot;&quot;\&quot;&quot;\&quot;\-#,##0"/>
    <numFmt numFmtId="358" formatCode="&quot;\&quot;#,##0;[Red]&quot;\&quot;&quot;\&quot;&quot;\&quot;&quot;\&quot;&quot;\&quot;&quot;\&quot;&quot;\&quot;&quot;\&quot;&quot;\&quot;\-#,##0"/>
    <numFmt numFmtId="359" formatCode="&quot;\&quot;#,##0.00;&quot;\&quot;&quot;\&quot;&quot;\&quot;&quot;\&quot;&quot;\&quot;&quot;\&quot;&quot;\&quot;&quot;\&quot;&quot;\&quot;\-#,##0.00"/>
  </numFmts>
  <fonts count="86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u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12"/>
      <name val="Arial Narrow"/>
      <family val="2"/>
    </font>
    <font>
      <b/>
      <i/>
      <sz val="9"/>
      <color indexed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39" fontId="24" fillId="0" borderId="0">
      <protection locked="0"/>
    </xf>
    <xf numFmtId="0" fontId="33" fillId="0" borderId="0" applyNumberFormat="0" applyFill="0" applyBorder="0" applyAlignment="0" applyProtection="0"/>
    <xf numFmtId="324" fontId="24" fillId="0" borderId="0">
      <protection locked="0"/>
    </xf>
    <xf numFmtId="324" fontId="24" fillId="0" borderId="0">
      <protection locked="0"/>
    </xf>
    <xf numFmtId="0" fontId="34" fillId="0" borderId="1" applyNumberFormat="0" applyFill="0" applyAlignment="0" applyProtection="0"/>
    <xf numFmtId="317" fontId="24" fillId="0" borderId="0"/>
    <xf numFmtId="324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3" fontId="58" fillId="0" borderId="0" applyFont="0" applyFill="0" applyBorder="0" applyAlignment="0" applyProtection="0"/>
    <xf numFmtId="315" fontId="58" fillId="0" borderId="0" applyFont="0" applyFill="0" applyBorder="0" applyAlignment="0" applyProtection="0"/>
    <xf numFmtId="283" fontId="58" fillId="0" borderId="0" applyFont="0" applyFill="0" applyBorder="0" applyAlignment="0" applyProtection="0"/>
    <xf numFmtId="281" fontId="58" fillId="0" borderId="0" applyFont="0" applyFill="0" applyBorder="0" applyAlignment="0" applyProtection="0"/>
    <xf numFmtId="0" fontId="29" fillId="0" borderId="0"/>
  </cellStyleXfs>
  <cellXfs count="341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0" fontId="67" fillId="0" borderId="0" xfId="0" applyFont="1"/>
    <xf numFmtId="0" fontId="18" fillId="0" borderId="0" xfId="0" applyFont="1"/>
    <xf numFmtId="0" fontId="13" fillId="0" borderId="0" xfId="0" applyFont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5" fontId="16" fillId="7" borderId="38" xfId="1" applyNumberFormat="1" applyFont="1" applyFill="1" applyBorder="1" applyAlignment="1">
      <alignment vertical="center"/>
    </xf>
    <xf numFmtId="0" fontId="80" fillId="0" borderId="5" xfId="0" applyFont="1" applyBorder="1"/>
    <xf numFmtId="0" fontId="80" fillId="0" borderId="0" xfId="0" applyFont="1"/>
    <xf numFmtId="165" fontId="80" fillId="0" borderId="9" xfId="1" applyNumberFormat="1" applyFont="1" applyFill="1" applyBorder="1"/>
    <xf numFmtId="165" fontId="80" fillId="0" borderId="0" xfId="1" applyNumberFormat="1" applyFont="1" applyFill="1" applyBorder="1"/>
    <xf numFmtId="165" fontId="80" fillId="0" borderId="0" xfId="1" applyNumberFormat="1" applyFont="1" applyBorder="1"/>
    <xf numFmtId="165" fontId="80" fillId="0" borderId="13" xfId="1" applyNumberFormat="1" applyFont="1" applyBorder="1"/>
    <xf numFmtId="165" fontId="80" fillId="0" borderId="5" xfId="1" applyNumberFormat="1" applyFont="1" applyBorder="1"/>
    <xf numFmtId="0" fontId="80" fillId="0" borderId="0" xfId="0" applyFont="1" applyFill="1"/>
    <xf numFmtId="0" fontId="9" fillId="0" borderId="0" xfId="0" quotePrefix="1" applyFont="1"/>
    <xf numFmtId="0" fontId="2" fillId="0" borderId="9" xfId="0" applyFont="1" applyBorder="1"/>
    <xf numFmtId="165" fontId="80" fillId="0" borderId="11" xfId="1" applyNumberFormat="1" applyFont="1" applyFill="1" applyBorder="1"/>
    <xf numFmtId="165" fontId="17" fillId="0" borderId="13" xfId="1" applyNumberFormat="1" applyFont="1" applyFill="1" applyBorder="1"/>
    <xf numFmtId="165" fontId="80" fillId="0" borderId="2" xfId="1" applyNumberFormat="1" applyFont="1" applyFill="1" applyBorder="1"/>
    <xf numFmtId="165" fontId="80" fillId="0" borderId="13" xfId="1" applyNumberFormat="1" applyFont="1" applyFill="1" applyBorder="1"/>
    <xf numFmtId="165" fontId="80" fillId="0" borderId="2" xfId="1" applyNumberFormat="1" applyFont="1" applyBorder="1"/>
    <xf numFmtId="165" fontId="80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9" xfId="1" applyNumberFormat="1" applyFont="1" applyFill="1" applyBorder="1"/>
    <xf numFmtId="165" fontId="14" fillId="0" borderId="28" xfId="1" applyNumberFormat="1" applyFont="1" applyFill="1" applyBorder="1"/>
    <xf numFmtId="169" fontId="2" fillId="0" borderId="0" xfId="0" applyNumberFormat="1" applyFont="1"/>
    <xf numFmtId="0" fontId="19" fillId="4" borderId="5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169" fontId="77" fillId="4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80" fillId="0" borderId="10" xfId="1" applyNumberFormat="1" applyFont="1" applyBorder="1"/>
    <xf numFmtId="165" fontId="17" fillId="0" borderId="2" xfId="1" applyNumberFormat="1" applyFont="1" applyBorder="1"/>
    <xf numFmtId="165" fontId="80" fillId="0" borderId="12" xfId="1" applyNumberFormat="1" applyFont="1" applyFill="1" applyBorder="1"/>
    <xf numFmtId="0" fontId="13" fillId="0" borderId="9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1" xfId="0" applyFont="1" applyBorder="1"/>
    <xf numFmtId="0" fontId="13" fillId="0" borderId="2" xfId="0" applyFont="1" applyBorder="1"/>
    <xf numFmtId="165" fontId="13" fillId="0" borderId="12" xfId="1" applyNumberFormat="1" applyFont="1" applyBorder="1"/>
    <xf numFmtId="165" fontId="13" fillId="0" borderId="2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77" fillId="4" borderId="16" xfId="0" applyFont="1" applyFill="1" applyBorder="1"/>
    <xf numFmtId="0" fontId="77" fillId="4" borderId="17" xfId="0" applyFont="1" applyFill="1" applyBorder="1"/>
    <xf numFmtId="165" fontId="14" fillId="4" borderId="15" xfId="1" applyNumberFormat="1" applyFont="1" applyFill="1" applyBorder="1"/>
    <xf numFmtId="0" fontId="77" fillId="4" borderId="16" xfId="0" applyFont="1" applyFill="1" applyBorder="1" applyAlignment="1">
      <alignment horizontal="left"/>
    </xf>
    <xf numFmtId="0" fontId="77" fillId="4" borderId="17" xfId="0" applyFont="1" applyFill="1" applyBorder="1" applyAlignment="1">
      <alignment horizontal="left"/>
    </xf>
    <xf numFmtId="0" fontId="77" fillId="4" borderId="15" xfId="0" applyFont="1" applyFill="1" applyBorder="1" applyAlignment="1">
      <alignment horizontal="left"/>
    </xf>
    <xf numFmtId="165" fontId="14" fillId="4" borderId="17" xfId="1" applyNumberFormat="1" applyFont="1" applyFill="1" applyBorder="1" applyAlignment="1">
      <alignment horizontal="center"/>
    </xf>
    <xf numFmtId="165" fontId="14" fillId="4" borderId="15" xfId="1" applyNumberFormat="1" applyFont="1" applyFill="1" applyBorder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4" fillId="6" borderId="0" xfId="0" applyFont="1" applyFill="1" applyAlignment="1">
      <alignment horizontal="centerContinuous"/>
    </xf>
    <xf numFmtId="0" fontId="5" fillId="6" borderId="0" xfId="0" applyFont="1" applyFill="1" applyAlignment="1">
      <alignment horizontal="centerContinuous"/>
    </xf>
    <xf numFmtId="165" fontId="20" fillId="4" borderId="9" xfId="1" applyNumberFormat="1" applyFont="1" applyFill="1" applyBorder="1"/>
    <xf numFmtId="165" fontId="20" fillId="4" borderId="0" xfId="1" applyNumberFormat="1" applyFont="1" applyFill="1" applyBorder="1"/>
    <xf numFmtId="0" fontId="19" fillId="4" borderId="5" xfId="0" applyFont="1" applyFill="1" applyBorder="1"/>
    <xf numFmtId="0" fontId="75" fillId="7" borderId="0" xfId="0" applyFont="1" applyFill="1" applyAlignment="1">
      <alignment vertical="center"/>
    </xf>
    <xf numFmtId="0" fontId="9" fillId="7" borderId="0" xfId="0" applyFont="1" applyFill="1"/>
    <xf numFmtId="0" fontId="16" fillId="7" borderId="0" xfId="0" applyFont="1" applyFill="1"/>
    <xf numFmtId="0" fontId="17" fillId="7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0" fontId="84" fillId="0" borderId="0" xfId="0" applyFont="1"/>
    <xf numFmtId="43" fontId="16" fillId="0" borderId="9" xfId="1" applyNumberFormat="1" applyFont="1" applyBorder="1"/>
    <xf numFmtId="165" fontId="80" fillId="0" borderId="9" xfId="1" applyNumberFormat="1" applyFont="1" applyBorder="1"/>
    <xf numFmtId="165" fontId="85" fillId="0" borderId="9" xfId="1" applyNumberFormat="1" applyFont="1" applyBorder="1"/>
    <xf numFmtId="165" fontId="85" fillId="0" borderId="13" xfId="1" applyNumberFormat="1" applyFont="1" applyBorder="1"/>
    <xf numFmtId="165" fontId="80" fillId="0" borderId="11" xfId="1" applyNumberFormat="1" applyFont="1" applyBorder="1"/>
    <xf numFmtId="165" fontId="85" fillId="0" borderId="11" xfId="1" applyNumberFormat="1" applyFont="1" applyBorder="1"/>
    <xf numFmtId="165" fontId="85" fillId="0" borderId="12" xfId="1" applyNumberFormat="1" applyFont="1" applyBorder="1"/>
    <xf numFmtId="165" fontId="17" fillId="0" borderId="6" xfId="1" applyNumberFormat="1" applyFont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2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>
          <a:extLst>
            <a:ext uri="{FF2B5EF4-FFF2-40B4-BE49-F238E27FC236}">
              <a16:creationId xmlns:a16="http://schemas.microsoft.com/office/drawing/2014/main" id="{3EA0D047-A84E-C15F-A7F6-EB289187895B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</xdr:row>
      <xdr:rowOff>47625</xdr:rowOff>
    </xdr:from>
    <xdr:to>
      <xdr:col>8</xdr:col>
      <xdr:colOff>581025</xdr:colOff>
      <xdr:row>2</xdr:row>
      <xdr:rowOff>171450</xdr:rowOff>
    </xdr:to>
    <xdr:sp macro="" textlink="">
      <xdr:nvSpPr>
        <xdr:cNvPr id="55298" name="Text Box 2">
          <a:extLst>
            <a:ext uri="{FF2B5EF4-FFF2-40B4-BE49-F238E27FC236}">
              <a16:creationId xmlns:a16="http://schemas.microsoft.com/office/drawing/2014/main" id="{939267A4-6872-4DE4-7D98-9460F1D3B798}"/>
            </a:ext>
          </a:extLst>
        </xdr:cNvPr>
        <xdr:cNvSpPr txBox="1">
          <a:spLocks noChangeArrowheads="1"/>
        </xdr:cNvSpPr>
      </xdr:nvSpPr>
      <xdr:spPr bwMode="auto">
        <a:xfrm>
          <a:off x="4781550" y="47625"/>
          <a:ext cx="153352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6321" name="Text Box 1">
          <a:extLst>
            <a:ext uri="{FF2B5EF4-FFF2-40B4-BE49-F238E27FC236}">
              <a16:creationId xmlns:a16="http://schemas.microsoft.com/office/drawing/2014/main" id="{DA54BA4C-6895-86B5-E7F3-0E2911D9103F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6322" name="Line 2">
          <a:extLst>
            <a:ext uri="{FF2B5EF4-FFF2-40B4-BE49-F238E27FC236}">
              <a16:creationId xmlns:a16="http://schemas.microsoft.com/office/drawing/2014/main" id="{263F276A-8D96-FF82-4B43-470A653AB44F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3</xdr:row>
      <xdr:rowOff>104775</xdr:rowOff>
    </xdr:from>
    <xdr:to>
      <xdr:col>16</xdr:col>
      <xdr:colOff>314325</xdr:colOff>
      <xdr:row>3</xdr:row>
      <xdr:rowOff>104775</xdr:rowOff>
    </xdr:to>
    <xdr:sp macro="" textlink="">
      <xdr:nvSpPr>
        <xdr:cNvPr id="56323" name="Line 3">
          <a:extLst>
            <a:ext uri="{FF2B5EF4-FFF2-40B4-BE49-F238E27FC236}">
              <a16:creationId xmlns:a16="http://schemas.microsoft.com/office/drawing/2014/main" id="{5D1A6794-A571-77AF-E5CB-F1CF2E33F103}"/>
            </a:ext>
          </a:extLst>
        </xdr:cNvPr>
        <xdr:cNvSpPr>
          <a:spLocks noChangeShapeType="1"/>
        </xdr:cNvSpPr>
      </xdr:nvSpPr>
      <xdr:spPr bwMode="auto">
        <a:xfrm flipH="1">
          <a:off x="2667000" y="800100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6324" name="Text Box 4">
          <a:extLst>
            <a:ext uri="{FF2B5EF4-FFF2-40B4-BE49-F238E27FC236}">
              <a16:creationId xmlns:a16="http://schemas.microsoft.com/office/drawing/2014/main" id="{941B721B-602E-F05E-4127-82F68358114A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6325" name="Line 5">
          <a:extLst>
            <a:ext uri="{FF2B5EF4-FFF2-40B4-BE49-F238E27FC236}">
              <a16:creationId xmlns:a16="http://schemas.microsoft.com/office/drawing/2014/main" id="{243CAEDF-53C5-0485-C1DE-16C0337CD1F8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>
          <a:extLst>
            <a:ext uri="{FF2B5EF4-FFF2-40B4-BE49-F238E27FC236}">
              <a16:creationId xmlns:a16="http://schemas.microsoft.com/office/drawing/2014/main" id="{494AD017-DAEA-9FA8-14C3-C94C494D5426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>
          <a:extLst>
            <a:ext uri="{FF2B5EF4-FFF2-40B4-BE49-F238E27FC236}">
              <a16:creationId xmlns:a16="http://schemas.microsoft.com/office/drawing/2014/main" id="{63C49F96-91AF-1639-7274-6B921E933385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3</xdr:row>
      <xdr:rowOff>104775</xdr:rowOff>
    </xdr:from>
    <xdr:to>
      <xdr:col>16</xdr:col>
      <xdr:colOff>314325</xdr:colOff>
      <xdr:row>3</xdr:row>
      <xdr:rowOff>104775</xdr:rowOff>
    </xdr:to>
    <xdr:sp macro="" textlink="">
      <xdr:nvSpPr>
        <xdr:cNvPr id="53251" name="Line 3">
          <a:extLst>
            <a:ext uri="{FF2B5EF4-FFF2-40B4-BE49-F238E27FC236}">
              <a16:creationId xmlns:a16="http://schemas.microsoft.com/office/drawing/2014/main" id="{CFFF27F6-B98B-EA42-C98A-59C1DEED505E}"/>
            </a:ext>
          </a:extLst>
        </xdr:cNvPr>
        <xdr:cNvSpPr>
          <a:spLocks noChangeShapeType="1"/>
        </xdr:cNvSpPr>
      </xdr:nvSpPr>
      <xdr:spPr bwMode="auto">
        <a:xfrm flipH="1">
          <a:off x="2667000" y="800100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>
          <a:extLst>
            <a:ext uri="{FF2B5EF4-FFF2-40B4-BE49-F238E27FC236}">
              <a16:creationId xmlns:a16="http://schemas.microsoft.com/office/drawing/2014/main" id="{85B6A5B3-84F1-E4EE-E8EE-1F38F5068C86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>
          <a:extLst>
            <a:ext uri="{FF2B5EF4-FFF2-40B4-BE49-F238E27FC236}">
              <a16:creationId xmlns:a16="http://schemas.microsoft.com/office/drawing/2014/main" id="{83F052F7-B28E-053E-46C0-2D10C855975B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59540E02-6809-F55C-7869-178FA8DE9EC5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>
          <a:extLst>
            <a:ext uri="{FF2B5EF4-FFF2-40B4-BE49-F238E27FC236}">
              <a16:creationId xmlns:a16="http://schemas.microsoft.com/office/drawing/2014/main" id="{2D03D852-FA9F-AC0E-FB20-77C6051EA11D}"/>
            </a:ext>
          </a:extLst>
        </xdr:cNvPr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F80A96F0-B11E-957B-9BA0-BD486E47DF40}"/>
            </a:ext>
          </a:extLst>
        </xdr:cNvPr>
        <xdr:cNvSpPr txBox="1">
          <a:spLocks noChangeArrowheads="1"/>
        </xdr:cNvSpPr>
      </xdr:nvSpPr>
      <xdr:spPr bwMode="auto">
        <a:xfrm>
          <a:off x="559117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46BFF2A4-D986-5EEC-B69F-1E1B912B3650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>
          <a:extLst>
            <a:ext uri="{FF2B5EF4-FFF2-40B4-BE49-F238E27FC236}">
              <a16:creationId xmlns:a16="http://schemas.microsoft.com/office/drawing/2014/main" id="{3389125A-5968-25AE-FF42-FB4AFF8D7FB1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4C4F9E00-4C25-59E6-718B-1AEE56275936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>
          <a:extLst>
            <a:ext uri="{FF2B5EF4-FFF2-40B4-BE49-F238E27FC236}">
              <a16:creationId xmlns:a16="http://schemas.microsoft.com/office/drawing/2014/main" id="{7620534A-9C0B-211E-F126-CFB7DDD35BE9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>
          <a:extLst>
            <a:ext uri="{FF2B5EF4-FFF2-40B4-BE49-F238E27FC236}">
              <a16:creationId xmlns:a16="http://schemas.microsoft.com/office/drawing/2014/main" id="{58497892-545D-E8FB-24A9-03AAB02C4E22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>
          <a:extLst>
            <a:ext uri="{FF2B5EF4-FFF2-40B4-BE49-F238E27FC236}">
              <a16:creationId xmlns:a16="http://schemas.microsoft.com/office/drawing/2014/main" id="{EFD9B7C7-A705-DC66-236B-35F98F5DE216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92536908-B4E3-9190-1730-A9BF238411E4}"/>
            </a:ext>
          </a:extLst>
        </xdr:cNvPr>
        <xdr:cNvSpPr txBox="1">
          <a:spLocks noChangeArrowheads="1"/>
        </xdr:cNvSpPr>
      </xdr:nvSpPr>
      <xdr:spPr bwMode="auto">
        <a:xfrm>
          <a:off x="724852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1Q%202000/MgmtSum-Q1_Glob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2Q%202000/MgmtSum-Q2_Glob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4Q%202000/Management%20Summary/EGM_MgmtSum-Q4-11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gmt Summary"/>
      <sheetName val="GrossMargin"/>
      <sheetName val="Expenses"/>
      <sheetName val="CapChrg-AllocExp"/>
      <sheetName val="Headcount"/>
    </sheetNames>
    <sheetDataSet>
      <sheetData sheetId="0">
        <row r="9">
          <cell r="C9">
            <v>30000</v>
          </cell>
          <cell r="D9">
            <v>13976</v>
          </cell>
          <cell r="G9">
            <v>30331</v>
          </cell>
          <cell r="H9">
            <v>0</v>
          </cell>
          <cell r="I9">
            <v>0</v>
          </cell>
          <cell r="L9">
            <v>0</v>
          </cell>
          <cell r="M9">
            <v>5468.6737263880932</v>
          </cell>
          <cell r="N9">
            <v>3307.3262736119059</v>
          </cell>
        </row>
        <row r="10">
          <cell r="C10">
            <v>12747.2</v>
          </cell>
          <cell r="D10">
            <v>4727.3999999999996</v>
          </cell>
          <cell r="G10">
            <v>2359</v>
          </cell>
          <cell r="H10">
            <v>0</v>
          </cell>
          <cell r="I10">
            <v>0</v>
          </cell>
          <cell r="L10">
            <v>618.79999999999995</v>
          </cell>
          <cell r="M10">
            <v>4495.6000000000004</v>
          </cell>
          <cell r="N10">
            <v>1222.9000000000001</v>
          </cell>
        </row>
        <row r="11">
          <cell r="C11">
            <v>750</v>
          </cell>
          <cell r="D11">
            <v>341.3</v>
          </cell>
          <cell r="G11">
            <v>3674</v>
          </cell>
          <cell r="H11">
            <v>0</v>
          </cell>
          <cell r="I11">
            <v>0</v>
          </cell>
          <cell r="L11">
            <v>0</v>
          </cell>
          <cell r="M11">
            <v>77.2</v>
          </cell>
          <cell r="N11">
            <v>195.5</v>
          </cell>
        </row>
        <row r="12">
          <cell r="C12">
            <v>3214.8</v>
          </cell>
          <cell r="D12">
            <v>1721.5</v>
          </cell>
          <cell r="G12">
            <v>5666</v>
          </cell>
          <cell r="H12">
            <v>0</v>
          </cell>
          <cell r="I12">
            <v>0</v>
          </cell>
          <cell r="L12">
            <v>0</v>
          </cell>
          <cell r="M12">
            <v>1927.2</v>
          </cell>
          <cell r="N12">
            <v>682.1</v>
          </cell>
        </row>
        <row r="13">
          <cell r="C13">
            <v>7712.3</v>
          </cell>
          <cell r="D13">
            <v>1217.2</v>
          </cell>
          <cell r="G13">
            <v>0</v>
          </cell>
          <cell r="H13">
            <v>0</v>
          </cell>
          <cell r="I13">
            <v>0</v>
          </cell>
          <cell r="L13">
            <v>0</v>
          </cell>
          <cell r="M13">
            <v>1101</v>
          </cell>
          <cell r="N13">
            <v>447.8</v>
          </cell>
        </row>
        <row r="14">
          <cell r="C14">
            <v>8946.9</v>
          </cell>
          <cell r="D14">
            <v>3377.8</v>
          </cell>
          <cell r="G14">
            <v>32514.799999999999</v>
          </cell>
          <cell r="H14">
            <v>0</v>
          </cell>
          <cell r="I14">
            <v>0</v>
          </cell>
          <cell r="L14">
            <v>0</v>
          </cell>
          <cell r="M14">
            <v>1443.3000000000002</v>
          </cell>
          <cell r="N14">
            <v>1677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7532.626273611907</v>
          </cell>
          <cell r="N21">
            <v>-7532.626273611907</v>
          </cell>
        </row>
        <row r="22">
          <cell r="C22">
            <v>-587.65599999999995</v>
          </cell>
          <cell r="D22">
            <v>0</v>
          </cell>
          <cell r="G22">
            <v>-587.65599999999995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-653</v>
          </cell>
          <cell r="G23">
            <v>0</v>
          </cell>
          <cell r="H23">
            <v>0</v>
          </cell>
          <cell r="I23">
            <v>0</v>
          </cell>
          <cell r="L23">
            <v>-618.79999999999995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-890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-890</v>
          </cell>
          <cell r="N27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eensheet"/>
      <sheetName val="Mgmt Summary"/>
      <sheetName val="Summary YTD"/>
      <sheetName val="Summary YTD-Qtr"/>
      <sheetName val="GrossMargin"/>
      <sheetName val="Expenses"/>
      <sheetName val="CapChrg-AllocExp"/>
      <sheetName val="Headcount"/>
    </sheetNames>
    <sheetDataSet>
      <sheetData sheetId="0"/>
      <sheetData sheetId="1">
        <row r="9">
          <cell r="C9">
            <v>20000</v>
          </cell>
          <cell r="D9">
            <v>14112</v>
          </cell>
          <cell r="G9">
            <v>13868</v>
          </cell>
          <cell r="H9">
            <v>0</v>
          </cell>
          <cell r="I9">
            <v>0</v>
          </cell>
          <cell r="L9">
            <v>0</v>
          </cell>
          <cell r="M9">
            <v>11058.456742010912</v>
          </cell>
          <cell r="N9">
            <v>6675.2866151774961</v>
          </cell>
        </row>
        <row r="10">
          <cell r="C10">
            <v>12747.2</v>
          </cell>
          <cell r="D10">
            <v>4793.3</v>
          </cell>
          <cell r="G10">
            <v>4009</v>
          </cell>
          <cell r="H10">
            <v>0</v>
          </cell>
          <cell r="I10">
            <v>0</v>
          </cell>
          <cell r="L10">
            <v>641.70000000000005</v>
          </cell>
          <cell r="M10">
            <v>2726.3</v>
          </cell>
          <cell r="N10">
            <v>2004.5</v>
          </cell>
        </row>
        <row r="11">
          <cell r="C11">
            <v>750</v>
          </cell>
          <cell r="D11">
            <v>338.1</v>
          </cell>
          <cell r="G11">
            <v>-6918</v>
          </cell>
          <cell r="H11">
            <v>0</v>
          </cell>
          <cell r="I11">
            <v>0</v>
          </cell>
          <cell r="L11">
            <v>0</v>
          </cell>
          <cell r="M11">
            <v>84.8</v>
          </cell>
          <cell r="N11">
            <v>221.1</v>
          </cell>
        </row>
        <row r="12">
          <cell r="C12">
            <v>3214.8</v>
          </cell>
          <cell r="D12">
            <v>1661.1</v>
          </cell>
          <cell r="G12">
            <v>3794</v>
          </cell>
          <cell r="H12">
            <v>0</v>
          </cell>
          <cell r="I12">
            <v>0</v>
          </cell>
          <cell r="L12">
            <v>0</v>
          </cell>
          <cell r="M12">
            <v>688.2</v>
          </cell>
          <cell r="N12">
            <v>709.2</v>
          </cell>
        </row>
        <row r="13">
          <cell r="C13">
            <v>7712.3</v>
          </cell>
          <cell r="D13">
            <v>1334.2</v>
          </cell>
          <cell r="G13">
            <v>1220</v>
          </cell>
          <cell r="H13">
            <v>0</v>
          </cell>
          <cell r="I13">
            <v>0</v>
          </cell>
          <cell r="L13">
            <v>0</v>
          </cell>
          <cell r="M13">
            <v>1295.3</v>
          </cell>
          <cell r="N13">
            <v>452.8</v>
          </cell>
        </row>
        <row r="14">
          <cell r="C14">
            <v>8946.9</v>
          </cell>
          <cell r="D14">
            <v>3414.4</v>
          </cell>
          <cell r="G14">
            <v>13599.9</v>
          </cell>
          <cell r="H14">
            <v>0</v>
          </cell>
          <cell r="I14">
            <v>0</v>
          </cell>
          <cell r="L14">
            <v>0</v>
          </cell>
          <cell r="M14">
            <v>1513.5</v>
          </cell>
          <cell r="N14">
            <v>1685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11747.886615177496</v>
          </cell>
          <cell r="N21">
            <v>-11747.886615177496</v>
          </cell>
        </row>
        <row r="22">
          <cell r="C22">
            <v>-620.17100000000005</v>
          </cell>
          <cell r="D22">
            <v>0</v>
          </cell>
          <cell r="G22">
            <v>-620.17100000000005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-717</v>
          </cell>
          <cell r="G23">
            <v>0</v>
          </cell>
          <cell r="H23">
            <v>0</v>
          </cell>
          <cell r="I23">
            <v>0</v>
          </cell>
          <cell r="L23">
            <v>-641.70000000000005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-2522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-2522</v>
          </cell>
          <cell r="N27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Prior ENA Teams QTD Mgmt Summ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IntIncome-Expense"/>
      <sheetName val="Headcount"/>
      <sheetName val="EGM_MgmtSum-Q4-1130"/>
    </sheetNames>
    <sheetDataSet>
      <sheetData sheetId="0"/>
      <sheetData sheetId="1"/>
      <sheetData sheetId="2">
        <row r="8">
          <cell r="C8">
            <v>-10303.617</v>
          </cell>
          <cell r="G8">
            <v>14692</v>
          </cell>
        </row>
        <row r="9">
          <cell r="C9">
            <v>4550.2783900000004</v>
          </cell>
          <cell r="G9">
            <v>4677.8999999999996</v>
          </cell>
        </row>
        <row r="10">
          <cell r="C10">
            <v>5350</v>
          </cell>
          <cell r="G10">
            <v>1498.6</v>
          </cell>
        </row>
        <row r="11">
          <cell r="C11">
            <v>2361</v>
          </cell>
          <cell r="G11">
            <v>1714.8000000000002</v>
          </cell>
        </row>
        <row r="12">
          <cell r="C12">
            <v>0</v>
          </cell>
          <cell r="G12">
            <v>1679.5</v>
          </cell>
        </row>
        <row r="13">
          <cell r="C13">
            <v>4.3140000000000782</v>
          </cell>
          <cell r="G13">
            <v>1807.1410000000001</v>
          </cell>
        </row>
        <row r="14">
          <cell r="C14">
            <v>0</v>
          </cell>
          <cell r="G14">
            <v>1270</v>
          </cell>
        </row>
        <row r="15">
          <cell r="C15">
            <v>0</v>
          </cell>
          <cell r="G15">
            <v>0</v>
          </cell>
        </row>
        <row r="16">
          <cell r="C16">
            <v>0</v>
          </cell>
          <cell r="G16">
            <v>750</v>
          </cell>
        </row>
        <row r="20">
          <cell r="C20">
            <v>86</v>
          </cell>
          <cell r="G20">
            <v>2776</v>
          </cell>
        </row>
        <row r="21">
          <cell r="C21">
            <v>132</v>
          </cell>
          <cell r="G21">
            <v>3221</v>
          </cell>
        </row>
        <row r="22">
          <cell r="C22">
            <v>-2354</v>
          </cell>
          <cell r="G22">
            <v>1056</v>
          </cell>
        </row>
        <row r="29">
          <cell r="C29">
            <v>0</v>
          </cell>
          <cell r="G29">
            <v>30934.941999999999</v>
          </cell>
        </row>
        <row r="30">
          <cell r="C30">
            <v>0</v>
          </cell>
          <cell r="G30">
            <v>-12450.415000000001</v>
          </cell>
        </row>
        <row r="31">
          <cell r="C31">
            <v>-520</v>
          </cell>
          <cell r="G31">
            <v>0</v>
          </cell>
        </row>
        <row r="32">
          <cell r="C32">
            <v>0</v>
          </cell>
          <cell r="G32">
            <v>-1213</v>
          </cell>
        </row>
        <row r="36">
          <cell r="C36">
            <v>0</v>
          </cell>
          <cell r="G36">
            <v>2049</v>
          </cell>
        </row>
        <row r="38">
          <cell r="G38">
            <v>54463.468000000001</v>
          </cell>
        </row>
      </sheetData>
      <sheetData sheetId="3"/>
      <sheetData sheetId="4"/>
      <sheetData sheetId="5" refreshError="1">
        <row r="10">
          <cell r="D10">
            <v>-10174</v>
          </cell>
          <cell r="E10">
            <v>0</v>
          </cell>
          <cell r="F10">
            <v>0</v>
          </cell>
          <cell r="G10">
            <v>-129.61699999999999</v>
          </cell>
          <cell r="H10">
            <v>0</v>
          </cell>
          <cell r="K10">
            <v>0</v>
          </cell>
        </row>
        <row r="11">
          <cell r="D11">
            <v>4343</v>
          </cell>
          <cell r="E11">
            <v>127.55439000000001</v>
          </cell>
          <cell r="F11">
            <v>79.724000000000004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5350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2361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-130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-1206.6859999999999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1444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-87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38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0">
          <cell r="D20">
            <v>-54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K20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K24">
            <v>0</v>
          </cell>
        </row>
        <row r="28">
          <cell r="D28">
            <v>0</v>
          </cell>
          <cell r="E28">
            <v>0</v>
          </cell>
          <cell r="F28">
            <v>86</v>
          </cell>
          <cell r="G28">
            <v>0</v>
          </cell>
          <cell r="H28">
            <v>0</v>
          </cell>
          <cell r="K28">
            <v>0</v>
          </cell>
        </row>
        <row r="29">
          <cell r="D29">
            <v>0</v>
          </cell>
          <cell r="E29">
            <v>0</v>
          </cell>
          <cell r="F29">
            <v>132</v>
          </cell>
          <cell r="G29">
            <v>0</v>
          </cell>
          <cell r="H29">
            <v>0</v>
          </cell>
        </row>
        <row r="30">
          <cell r="D30">
            <v>0</v>
          </cell>
          <cell r="E30">
            <v>0</v>
          </cell>
          <cell r="F30">
            <v>-2354</v>
          </cell>
          <cell r="G30">
            <v>0</v>
          </cell>
          <cell r="H30">
            <v>0</v>
          </cell>
          <cell r="K30">
            <v>0</v>
          </cell>
        </row>
        <row r="32">
          <cell r="J32">
            <v>0</v>
          </cell>
          <cell r="K32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-520</v>
          </cell>
          <cell r="H37">
            <v>0</v>
          </cell>
        </row>
        <row r="39">
          <cell r="I39">
            <v>-694.02460999999971</v>
          </cell>
        </row>
      </sheetData>
      <sheetData sheetId="6">
        <row r="9">
          <cell r="D9">
            <v>6246</v>
          </cell>
          <cell r="E9">
            <v>6246</v>
          </cell>
        </row>
        <row r="10">
          <cell r="D10">
            <v>2059.6999999999998</v>
          </cell>
          <cell r="E10">
            <v>2439.6999999999998</v>
          </cell>
        </row>
        <row r="11">
          <cell r="D11">
            <v>1224.0999999999999</v>
          </cell>
          <cell r="E11">
            <v>104.1</v>
          </cell>
        </row>
        <row r="12">
          <cell r="D12">
            <v>892.1</v>
          </cell>
          <cell r="E12">
            <v>892.1</v>
          </cell>
        </row>
        <row r="13">
          <cell r="D13">
            <v>1643.5</v>
          </cell>
          <cell r="E13">
            <v>1643.5</v>
          </cell>
        </row>
        <row r="14">
          <cell r="D14">
            <v>896.12600000000009</v>
          </cell>
          <cell r="E14">
            <v>896.12600000000009</v>
          </cell>
        </row>
        <row r="15">
          <cell r="D15">
            <v>1270</v>
          </cell>
          <cell r="E15">
            <v>0</v>
          </cell>
        </row>
        <row r="16">
          <cell r="D16">
            <v>750</v>
          </cell>
          <cell r="E16">
            <v>0</v>
          </cell>
        </row>
        <row r="20">
          <cell r="D20">
            <v>2873</v>
          </cell>
          <cell r="E20">
            <v>1385</v>
          </cell>
        </row>
        <row r="21">
          <cell r="D21">
            <v>2569</v>
          </cell>
          <cell r="E21">
            <v>1536</v>
          </cell>
        </row>
        <row r="22">
          <cell r="D22">
            <v>1056</v>
          </cell>
          <cell r="E22">
            <v>1601</v>
          </cell>
        </row>
        <row r="29">
          <cell r="D29">
            <v>30934.941999999999</v>
          </cell>
          <cell r="E29">
            <v>30334.941999999999</v>
          </cell>
        </row>
        <row r="30">
          <cell r="D30">
            <v>0</v>
          </cell>
          <cell r="E30">
            <v>0</v>
          </cell>
        </row>
        <row r="35">
          <cell r="D35" t="str">
            <v>Operating Expenses</v>
          </cell>
        </row>
        <row r="36">
          <cell r="D36" t="str">
            <v>Forecast</v>
          </cell>
          <cell r="E36" t="str">
            <v>Plan</v>
          </cell>
        </row>
        <row r="37">
          <cell r="D37">
            <v>0</v>
          </cell>
          <cell r="E37">
            <v>0</v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58"/>
  <sheetViews>
    <sheetView zoomScaleNormal="100" workbookViewId="0">
      <selection activeCell="L33" sqref="L33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11" t="s">
        <v>70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60"/>
    </row>
    <row r="2" spans="1:24" ht="16.5">
      <c r="A2" s="312" t="s">
        <v>86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61"/>
    </row>
    <row r="3" spans="1:24" ht="13.5">
      <c r="A3" s="313"/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62"/>
    </row>
    <row r="4" spans="1:24" ht="3" customHeight="1"/>
    <row r="5" spans="1:24" s="34" customFormat="1" ht="15" customHeight="1">
      <c r="A5" s="106"/>
      <c r="C5" s="308" t="s">
        <v>8</v>
      </c>
      <c r="D5" s="309"/>
      <c r="E5" s="310"/>
      <c r="G5" s="308" t="s">
        <v>41</v>
      </c>
      <c r="H5" s="309"/>
      <c r="I5" s="309"/>
      <c r="J5" s="309"/>
      <c r="K5" s="309"/>
      <c r="L5" s="309"/>
      <c r="M5" s="309"/>
      <c r="N5" s="309"/>
      <c r="O5" s="310"/>
      <c r="Q5" s="308" t="s">
        <v>36</v>
      </c>
      <c r="R5" s="309"/>
      <c r="S5" s="309"/>
      <c r="T5" s="309"/>
      <c r="U5" s="309"/>
      <c r="V5" s="310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+'[1]Mgmt Summary'!C9+'[2]Mgmt Summary'!C9+'Mgmt Summary'!C9</f>
        <v>80000</v>
      </c>
      <c r="D9" s="36">
        <f>+'[1]Mgmt Summary'!D9+'[2]Mgmt Summary'!D9+'Mgmt Summary'!D9</f>
        <v>42180</v>
      </c>
      <c r="E9" s="135">
        <f t="shared" ref="E9:E16" si="0">C9-D9</f>
        <v>37820</v>
      </c>
      <c r="F9" s="36"/>
      <c r="G9" s="133">
        <f>+'[1]Mgmt Summary'!G9+'[2]Mgmt Summary'!G9+'Mgmt Summary'!G9</f>
        <v>31916.383000000002</v>
      </c>
      <c r="H9" s="36">
        <f>+'[1]Mgmt Summary'!H9+'[2]Mgmt Summary'!H9+'Mgmt Summary'!H9</f>
        <v>0</v>
      </c>
      <c r="I9" s="36">
        <f>+'[1]Mgmt Summary'!I9+'[2]Mgmt Summary'!I9+'Mgmt Summary'!I9</f>
        <v>0</v>
      </c>
      <c r="J9" s="136">
        <f t="shared" ref="J9:J16" si="1">SUM(G9:I9)</f>
        <v>31916.383000000002</v>
      </c>
      <c r="K9" s="137"/>
      <c r="L9" s="139">
        <f>+'[1]Mgmt Summary'!L9+'[2]Mgmt Summary'!L9+'Mgmt Summary'!L9</f>
        <v>0</v>
      </c>
      <c r="M9" s="140">
        <f>+'[1]Mgmt Summary'!M9+'[2]Mgmt Summary'!M9+'Mgmt Summary'!M9</f>
        <v>22773.130468399006</v>
      </c>
      <c r="N9" s="140">
        <f>+'[1]Mgmt Summary'!N9+'[2]Mgmt Summary'!N9+'Mgmt Summary'!N9</f>
        <v>18428.612888789401</v>
      </c>
      <c r="O9" s="136">
        <f t="shared" ref="O9:O16" si="2">J9-K9-M9-N9-L9</f>
        <v>-9285.360357188405</v>
      </c>
      <c r="P9" s="37"/>
      <c r="Q9" s="133">
        <f t="shared" ref="Q9:Q16" si="3">+J9-C9</f>
        <v>-48083.616999999998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6" si="4">ROUND(SUM(Q9:U9),0)</f>
        <v>-48684</v>
      </c>
      <c r="W9" s="32"/>
      <c r="X9" s="166"/>
    </row>
    <row r="10" spans="1:24" ht="13.5" customHeight="1">
      <c r="A10" s="107" t="s">
        <v>1</v>
      </c>
      <c r="B10" s="35"/>
      <c r="C10" s="133">
        <f>+'[1]Mgmt Summary'!C10+'[2]Mgmt Summary'!C10+'Mgmt Summary'!C10</f>
        <v>38241.559000000001</v>
      </c>
      <c r="D10" s="36">
        <f>+'[1]Mgmt Summary'!D10+'[2]Mgmt Summary'!D10+'Mgmt Summary'!D10</f>
        <v>14767.6</v>
      </c>
      <c r="E10" s="135">
        <f t="shared" si="0"/>
        <v>23473.959000000003</v>
      </c>
      <c r="F10" s="36"/>
      <c r="G10" s="133">
        <f>+'[1]Mgmt Summary'!G10+'[2]Mgmt Summary'!G10+'Mgmt Summary'!G10</f>
        <v>13495.702310000001</v>
      </c>
      <c r="H10" s="36">
        <f>+'[1]Mgmt Summary'!H10+'[2]Mgmt Summary'!H10+'Mgmt Summary'!H10</f>
        <v>0</v>
      </c>
      <c r="I10" s="36">
        <f>+'[1]Mgmt Summary'!I10+'[2]Mgmt Summary'!I10+'Mgmt Summary'!I10</f>
        <v>0</v>
      </c>
      <c r="J10" s="136">
        <f t="shared" si="1"/>
        <v>13495.702310000001</v>
      </c>
      <c r="K10" s="137"/>
      <c r="L10" s="133">
        <f>+'[1]Mgmt Summary'!L10+'[2]Mgmt Summary'!L10+'Mgmt Summary'!L10</f>
        <v>1918.5</v>
      </c>
      <c r="M10" s="36">
        <f>+'[1]Mgmt Summary'!M10+'[2]Mgmt Summary'!M10+'Mgmt Summary'!M10</f>
        <v>9281.6</v>
      </c>
      <c r="N10" s="36">
        <f>+'[1]Mgmt Summary'!N10+'[2]Mgmt Summary'!N10+'Mgmt Summary'!N10</f>
        <v>5187.6000000000004</v>
      </c>
      <c r="O10" s="136">
        <f t="shared" si="2"/>
        <v>-2891.9976900000001</v>
      </c>
      <c r="P10" s="37"/>
      <c r="Q10" s="133">
        <f t="shared" si="3"/>
        <v>-24745.856690000001</v>
      </c>
      <c r="R10" s="36"/>
      <c r="S10" s="36">
        <f>'CapChrg-AllocExp'!F11</f>
        <v>189</v>
      </c>
      <c r="T10" s="36">
        <f>Expenses!F10</f>
        <v>380</v>
      </c>
      <c r="U10" s="36">
        <f>'CapChrg-AllocExp'!M11</f>
        <v>0</v>
      </c>
      <c r="V10" s="135">
        <f t="shared" si="4"/>
        <v>-24177</v>
      </c>
      <c r="W10" s="32"/>
    </row>
    <row r="11" spans="1:24" ht="13.5" customHeight="1">
      <c r="A11" s="107" t="s">
        <v>44</v>
      </c>
      <c r="B11" s="35"/>
      <c r="C11" s="133">
        <f>+'[1]Mgmt Summary'!C11+'[2]Mgmt Summary'!C11+'Mgmt Summary'!C11</f>
        <v>2250</v>
      </c>
      <c r="D11" s="36">
        <f>+'[1]Mgmt Summary'!D11+'[2]Mgmt Summary'!D11+'Mgmt Summary'!D11</f>
        <v>1058</v>
      </c>
      <c r="E11" s="135">
        <f t="shared" si="0"/>
        <v>1192</v>
      </c>
      <c r="F11" s="36"/>
      <c r="G11" s="133">
        <f>+'[1]Mgmt Summary'!G11+'[2]Mgmt Summary'!G11+'Mgmt Summary'!G11</f>
        <v>3524</v>
      </c>
      <c r="H11" s="36">
        <f>+'[1]Mgmt Summary'!H11+'[2]Mgmt Summary'!H11+'Mgmt Summary'!H11</f>
        <v>0</v>
      </c>
      <c r="I11" s="36">
        <f>+'[1]Mgmt Summary'!I11+'[2]Mgmt Summary'!I11+'Mgmt Summary'!I11</f>
        <v>0</v>
      </c>
      <c r="J11" s="136">
        <f t="shared" si="1"/>
        <v>3524</v>
      </c>
      <c r="K11" s="137"/>
      <c r="L11" s="133">
        <f>+'[1]Mgmt Summary'!L11+'[2]Mgmt Summary'!L11+'Mgmt Summary'!L11</f>
        <v>0</v>
      </c>
      <c r="M11" s="36">
        <f>+'[1]Mgmt Summary'!M11+'[2]Mgmt Summary'!M11+'Mgmt Summary'!M11</f>
        <v>1586.1</v>
      </c>
      <c r="N11" s="36">
        <f>+'[1]Mgmt Summary'!N11+'[2]Mgmt Summary'!N11+'Mgmt Summary'!N11</f>
        <v>691.1</v>
      </c>
      <c r="O11" s="136">
        <f t="shared" si="2"/>
        <v>1246.8000000000002</v>
      </c>
      <c r="P11" s="37"/>
      <c r="Q11" s="133">
        <f t="shared" si="3"/>
        <v>1274</v>
      </c>
      <c r="R11" s="36"/>
      <c r="S11" s="36">
        <f>'CapChrg-AllocExp'!F12</f>
        <v>0</v>
      </c>
      <c r="T11" s="36">
        <f>Expenses!F11</f>
        <v>-1320</v>
      </c>
      <c r="U11" s="36">
        <f>'CapChrg-AllocExp'!M12</f>
        <v>0</v>
      </c>
      <c r="V11" s="135">
        <f t="shared" si="4"/>
        <v>-46</v>
      </c>
      <c r="W11" s="32"/>
    </row>
    <row r="12" spans="1:24" ht="13.5" customHeight="1">
      <c r="A12" s="107" t="s">
        <v>64</v>
      </c>
      <c r="B12" s="35"/>
      <c r="C12" s="133">
        <f>+'[1]Mgmt Summary'!C12+'[2]Mgmt Summary'!C12+'Mgmt Summary'!C12</f>
        <v>9644.4459999999999</v>
      </c>
      <c r="D12" s="36">
        <f>+'[1]Mgmt Summary'!D12+'[2]Mgmt Summary'!D12+'Mgmt Summary'!D12</f>
        <v>5097.3999999999996</v>
      </c>
      <c r="E12" s="135">
        <f t="shared" si="0"/>
        <v>4547.0460000000003</v>
      </c>
      <c r="F12" s="36"/>
      <c r="G12" s="133">
        <f>+'[1]Mgmt Summary'!G12+'[2]Mgmt Summary'!G12+'Mgmt Summary'!G12</f>
        <v>12677</v>
      </c>
      <c r="H12" s="36">
        <f>+'[1]Mgmt Summary'!H12+'[2]Mgmt Summary'!H12+'Mgmt Summary'!H12</f>
        <v>0</v>
      </c>
      <c r="I12" s="36">
        <f>+'[1]Mgmt Summary'!I12+'[2]Mgmt Summary'!I12+'Mgmt Summary'!I12</f>
        <v>0</v>
      </c>
      <c r="J12" s="136">
        <f t="shared" si="1"/>
        <v>12677</v>
      </c>
      <c r="K12" s="137"/>
      <c r="L12" s="133">
        <f>+'[1]Mgmt Summary'!L12+'[2]Mgmt Summary'!L12+'Mgmt Summary'!L12</f>
        <v>0</v>
      </c>
      <c r="M12" s="36">
        <f>+'[1]Mgmt Summary'!M12+'[2]Mgmt Summary'!M12+'Mgmt Summary'!M12</f>
        <v>3507.5</v>
      </c>
      <c r="N12" s="36">
        <f>+'[1]Mgmt Summary'!N12+'[2]Mgmt Summary'!N12+'Mgmt Summary'!N12</f>
        <v>2214</v>
      </c>
      <c r="O12" s="136">
        <f t="shared" si="2"/>
        <v>6955.5</v>
      </c>
      <c r="P12" s="37"/>
      <c r="Q12" s="133">
        <f t="shared" si="3"/>
        <v>3032.5540000000001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3033</v>
      </c>
      <c r="W12" s="32"/>
    </row>
    <row r="13" spans="1:24" ht="13.5" customHeight="1">
      <c r="A13" s="107" t="s">
        <v>71</v>
      </c>
      <c r="B13" s="35"/>
      <c r="C13" s="133">
        <f>+'[1]Mgmt Summary'!C13+'[2]Mgmt Summary'!C13+'Mgmt Summary'!C13</f>
        <v>23136.891</v>
      </c>
      <c r="D13" s="36">
        <f>+'[1]Mgmt Summary'!D13+'[2]Mgmt Summary'!D13+'Mgmt Summary'!D13</f>
        <v>4230.8999999999996</v>
      </c>
      <c r="E13" s="135">
        <f t="shared" si="0"/>
        <v>18905.991000000002</v>
      </c>
      <c r="F13" s="36"/>
      <c r="G13" s="133">
        <f>+'[1]Mgmt Summary'!G13+'[2]Mgmt Summary'!G13+'Mgmt Summary'!G13</f>
        <v>1220</v>
      </c>
      <c r="H13" s="36">
        <f>+'[1]Mgmt Summary'!H13+'[2]Mgmt Summary'!H13+'Mgmt Summary'!H13</f>
        <v>0</v>
      </c>
      <c r="I13" s="36">
        <f>+'[1]Mgmt Summary'!I13+'[2]Mgmt Summary'!I13+'Mgmt Summary'!I13</f>
        <v>0</v>
      </c>
      <c r="J13" s="136">
        <f t="shared" si="1"/>
        <v>1220</v>
      </c>
      <c r="K13" s="137"/>
      <c r="L13" s="133">
        <f>+'[1]Mgmt Summary'!L13+'[2]Mgmt Summary'!L13+'Mgmt Summary'!L13</f>
        <v>0</v>
      </c>
      <c r="M13" s="36">
        <f>+'[1]Mgmt Summary'!M13+'[2]Mgmt Summary'!M13+'Mgmt Summary'!M13</f>
        <v>4289.8</v>
      </c>
      <c r="N13" s="36">
        <f>+'[1]Mgmt Summary'!N13+'[2]Mgmt Summary'!N13+'Mgmt Summary'!N13</f>
        <v>936.6</v>
      </c>
      <c r="O13" s="136">
        <f t="shared" si="2"/>
        <v>-4006.4</v>
      </c>
      <c r="P13" s="37"/>
      <c r="Q13" s="133">
        <f t="shared" si="3"/>
        <v>-21916.891</v>
      </c>
      <c r="R13" s="36"/>
      <c r="S13" s="36">
        <f>'CapChrg-AllocExp'!F14</f>
        <v>0</v>
      </c>
      <c r="T13" s="36">
        <f>Expenses!F13</f>
        <v>-250</v>
      </c>
      <c r="U13" s="36">
        <f>'CapChrg-AllocExp'!M14</f>
        <v>0</v>
      </c>
      <c r="V13" s="135">
        <f t="shared" si="4"/>
        <v>-22167</v>
      </c>
      <c r="W13" s="32"/>
    </row>
    <row r="14" spans="1:24" s="64" customFormat="1" ht="13.5" customHeight="1">
      <c r="A14" s="167" t="s">
        <v>50</v>
      </c>
      <c r="B14" s="178"/>
      <c r="C14" s="139">
        <f>+'[1]Mgmt Summary'!C14+'[2]Mgmt Summary'!C14+'Mgmt Summary'!C14</f>
        <v>29377.012999999999</v>
      </c>
      <c r="D14" s="140">
        <f>+'[1]Mgmt Summary'!D14+'[2]Mgmt Summary'!D14+'Mgmt Summary'!D14</f>
        <v>8599.3410000000003</v>
      </c>
      <c r="E14" s="164">
        <f t="shared" si="0"/>
        <v>20777.671999999999</v>
      </c>
      <c r="F14" s="140"/>
      <c r="G14" s="139">
        <f>+'[1]Mgmt Summary'!G14+'[2]Mgmt Summary'!G14+'Mgmt Summary'!G14</f>
        <v>46240.192999999999</v>
      </c>
      <c r="H14" s="140">
        <f>+'[1]Mgmt Summary'!H14+'[2]Mgmt Summary'!H14+'Mgmt Summary'!H14</f>
        <v>0</v>
      </c>
      <c r="I14" s="140">
        <f>+'[1]Mgmt Summary'!I14+'[2]Mgmt Summary'!I14+'Mgmt Summary'!I14</f>
        <v>0</v>
      </c>
      <c r="J14" s="179">
        <f t="shared" si="1"/>
        <v>46240.192999999999</v>
      </c>
      <c r="K14" s="180"/>
      <c r="L14" s="139">
        <f>+'[1]Mgmt Summary'!L14+'[2]Mgmt Summary'!L14+'Mgmt Summary'!L14</f>
        <v>0</v>
      </c>
      <c r="M14" s="36">
        <f>+'[1]Mgmt Summary'!M14+'[2]Mgmt Summary'!M14+'Mgmt Summary'!M14</f>
        <v>3852.9260000000004</v>
      </c>
      <c r="N14" s="140">
        <f>+'[1]Mgmt Summary'!N14+'[2]Mgmt Summary'!N14+'Mgmt Summary'!N14</f>
        <v>4273.0150000000003</v>
      </c>
      <c r="O14" s="179">
        <f t="shared" si="2"/>
        <v>38114.252</v>
      </c>
      <c r="P14" s="181"/>
      <c r="Q14" s="139">
        <f t="shared" si="3"/>
        <v>16863.18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16863</v>
      </c>
      <c r="W14" s="63"/>
      <c r="X14" s="169"/>
    </row>
    <row r="15" spans="1:24" ht="13.5" customHeight="1">
      <c r="A15" s="107" t="s">
        <v>11</v>
      </c>
      <c r="B15" s="35"/>
      <c r="C15" s="133">
        <f>+'[1]Mgmt Summary'!C16+'[2]Mgmt Summary'!C16+'Mgmt Summary'!C16</f>
        <v>10100</v>
      </c>
      <c r="D15" s="36">
        <f>+'[1]Mgmt Summary'!D16+'[2]Mgmt Summary'!D16+'Mgmt Summary'!D16</f>
        <v>0</v>
      </c>
      <c r="E15" s="135">
        <f t="shared" si="0"/>
        <v>10100</v>
      </c>
      <c r="F15" s="36"/>
      <c r="G15" s="133">
        <f>+'[1]Mgmt Summary'!G16+'[2]Mgmt Summary'!G16+'Mgmt Summary'!G16</f>
        <v>0</v>
      </c>
      <c r="H15" s="36">
        <f>+'[1]Mgmt Summary'!H16+'[2]Mgmt Summary'!H16+'Mgmt Summary'!H16</f>
        <v>0</v>
      </c>
      <c r="I15" s="36">
        <f>+'[1]Mgmt Summary'!I16+'[2]Mgmt Summary'!I16+'Mgmt Summary'!I16</f>
        <v>0</v>
      </c>
      <c r="J15" s="136">
        <f t="shared" si="1"/>
        <v>0</v>
      </c>
      <c r="K15" s="137"/>
      <c r="L15" s="133">
        <f>+'[1]Mgmt Summary'!L16+'[2]Mgmt Summary'!L16+'Mgmt Summary'!L16</f>
        <v>0</v>
      </c>
      <c r="M15" s="36">
        <f>+'[1]Mgmt Summary'!M16+'[2]Mgmt Summary'!M16+'Mgmt Summary'!M16</f>
        <v>0</v>
      </c>
      <c r="N15" s="36">
        <f>+'[1]Mgmt Summary'!N16+'[2]Mgmt Summary'!N16+'Mgmt Summary'!N16</f>
        <v>0</v>
      </c>
      <c r="O15" s="136">
        <f t="shared" si="2"/>
        <v>0</v>
      </c>
      <c r="P15" s="37"/>
      <c r="Q15" s="133">
        <f t="shared" si="3"/>
        <v>-10100</v>
      </c>
      <c r="R15" s="36"/>
      <c r="S15" s="36">
        <v>0</v>
      </c>
      <c r="T15" s="36">
        <v>0</v>
      </c>
      <c r="U15" s="36">
        <v>0</v>
      </c>
      <c r="V15" s="135">
        <f t="shared" si="4"/>
        <v>-10100</v>
      </c>
      <c r="W15" s="32"/>
    </row>
    <row r="16" spans="1:24" ht="13.5" customHeight="1">
      <c r="A16" s="107" t="s">
        <v>2</v>
      </c>
      <c r="B16" s="35"/>
      <c r="C16" s="133">
        <f>+'[1]Mgmt Summary'!C17+'[2]Mgmt Summary'!C17+'Mgmt Summary'!C17</f>
        <v>0</v>
      </c>
      <c r="D16" s="36">
        <f>+'[1]Mgmt Summary'!D17+'[2]Mgmt Summary'!D17+'Mgmt Summary'!D17</f>
        <v>0</v>
      </c>
      <c r="E16" s="135">
        <f t="shared" si="0"/>
        <v>0</v>
      </c>
      <c r="F16" s="36"/>
      <c r="G16" s="133">
        <f>+'[1]Mgmt Summary'!G17+'[2]Mgmt Summary'!G17+'Mgmt Summary'!G17</f>
        <v>0</v>
      </c>
      <c r="H16" s="36">
        <f>+'[1]Mgmt Summary'!H17+'[2]Mgmt Summary'!H17+'Mgmt Summary'!H17</f>
        <v>0</v>
      </c>
      <c r="I16" s="36">
        <f>+'[1]Mgmt Summary'!I17+'[2]Mgmt Summary'!I17+'Mgmt Summary'!I17</f>
        <v>0</v>
      </c>
      <c r="J16" s="136">
        <f t="shared" si="1"/>
        <v>0</v>
      </c>
      <c r="K16" s="137"/>
      <c r="L16" s="133">
        <f>+'[1]Mgmt Summary'!L17+'[2]Mgmt Summary'!L17+'Mgmt Summary'!L17</f>
        <v>0</v>
      </c>
      <c r="M16" s="36">
        <f>+'[1]Mgmt Summary'!M17+'[2]Mgmt Summary'!M17+'Mgmt Summary'!M17</f>
        <v>750</v>
      </c>
      <c r="N16" s="36">
        <f>+'[1]Mgmt Summary'!N17+'[2]Mgmt Summary'!N17+'Mgmt Summary'!N17</f>
        <v>0</v>
      </c>
      <c r="O16" s="136">
        <f t="shared" si="2"/>
        <v>-750</v>
      </c>
      <c r="P16" s="37"/>
      <c r="Q16" s="133">
        <f t="shared" si="3"/>
        <v>0</v>
      </c>
      <c r="R16" s="36"/>
      <c r="S16" s="36">
        <f>'CapChrg-AllocExp'!F24</f>
        <v>0</v>
      </c>
      <c r="T16" s="36">
        <f>Expenses!F16</f>
        <v>-750</v>
      </c>
      <c r="U16" s="36">
        <f>'CapChrg-AllocExp'!M24</f>
        <v>0</v>
      </c>
      <c r="V16" s="135">
        <f t="shared" si="4"/>
        <v>-750</v>
      </c>
      <c r="W16" s="32"/>
    </row>
    <row r="17" spans="1:23" ht="3" customHeight="1">
      <c r="A17" s="107"/>
      <c r="B17" s="35"/>
      <c r="C17" s="133"/>
      <c r="D17" s="36"/>
      <c r="E17" s="135"/>
      <c r="F17" s="36"/>
      <c r="G17" s="133"/>
      <c r="H17" s="36"/>
      <c r="I17" s="36"/>
      <c r="J17" s="136"/>
      <c r="K17" s="137"/>
      <c r="L17" s="134"/>
      <c r="M17" s="36"/>
      <c r="N17" s="36"/>
      <c r="O17" s="136"/>
      <c r="P17" s="37"/>
      <c r="Q17" s="133"/>
      <c r="R17" s="36"/>
      <c r="S17" s="36"/>
      <c r="T17" s="36"/>
      <c r="U17" s="36"/>
      <c r="V17" s="135"/>
      <c r="W17" s="32"/>
    </row>
    <row r="18" spans="1:23" s="34" customFormat="1" ht="12" customHeight="1">
      <c r="A18" s="38" t="s">
        <v>3</v>
      </c>
      <c r="B18" s="35"/>
      <c r="C18" s="43">
        <f>SUM(C9:C17)</f>
        <v>192749.90900000001</v>
      </c>
      <c r="D18" s="44">
        <f>SUM(D9:D17)</f>
        <v>75933.240999999995</v>
      </c>
      <c r="E18" s="45">
        <f>+C18-D18</f>
        <v>116816.66800000002</v>
      </c>
      <c r="F18" s="36"/>
      <c r="G18" s="43">
        <f>SUM(G9:G17)</f>
        <v>109073.27830999999</v>
      </c>
      <c r="H18" s="44">
        <f>SUM(H9:H16)</f>
        <v>0</v>
      </c>
      <c r="I18" s="45">
        <f>SUM(I15:I17)</f>
        <v>0</v>
      </c>
      <c r="J18" s="46">
        <f>SUM(J9:J17)</f>
        <v>109073.27830999999</v>
      </c>
      <c r="K18" s="44">
        <f>SUM(K15:K16)</f>
        <v>0</v>
      </c>
      <c r="L18" s="43">
        <f>SUM(L9:L17)</f>
        <v>1918.5</v>
      </c>
      <c r="M18" s="44">
        <f>SUM(M9:M17)</f>
        <v>46041.056468399009</v>
      </c>
      <c r="N18" s="44">
        <f>SUM(N9:N17)</f>
        <v>31730.927888789396</v>
      </c>
      <c r="O18" s="46">
        <f>SUM(O9:O17)</f>
        <v>29382.793952811597</v>
      </c>
      <c r="P18" s="44">
        <f>SUM(P15:P16)</f>
        <v>0</v>
      </c>
      <c r="Q18" s="43">
        <f>SUM(Q9:Q17)</f>
        <v>-83676.630689999991</v>
      </c>
      <c r="R18" s="44">
        <f>SUM(R15:R17)</f>
        <v>0</v>
      </c>
      <c r="S18" s="44">
        <f>SUM(S9:S17)</f>
        <v>189</v>
      </c>
      <c r="T18" s="44">
        <f>SUM(T9:T17)</f>
        <v>-1940</v>
      </c>
      <c r="U18" s="44">
        <f>SUM(U9:U17)</f>
        <v>-600</v>
      </c>
      <c r="V18" s="45">
        <f>SUM(V9:V17)</f>
        <v>-86028</v>
      </c>
      <c r="W18" s="32"/>
    </row>
    <row r="19" spans="1:23" ht="3" customHeight="1">
      <c r="A19" s="107"/>
      <c r="B19" s="35"/>
      <c r="C19" s="133"/>
      <c r="D19" s="36"/>
      <c r="E19" s="135"/>
      <c r="F19" s="36"/>
      <c r="G19" s="133"/>
      <c r="H19" s="36"/>
      <c r="I19" s="36"/>
      <c r="J19" s="136"/>
      <c r="K19" s="137"/>
      <c r="L19" s="134"/>
      <c r="M19" s="36"/>
      <c r="N19" s="36"/>
      <c r="O19" s="136"/>
      <c r="P19" s="37"/>
      <c r="Q19" s="133"/>
      <c r="R19" s="36"/>
      <c r="S19" s="36"/>
      <c r="T19" s="36"/>
      <c r="U19" s="36"/>
      <c r="V19" s="135"/>
      <c r="W19" s="32"/>
    </row>
    <row r="20" spans="1:23" ht="13.5" customHeight="1">
      <c r="A20" s="107" t="s">
        <v>23</v>
      </c>
      <c r="B20" s="35"/>
      <c r="C20" s="133">
        <f>+'[1]Mgmt Summary'!C21+'[2]Mgmt Summary'!C21+'Mgmt Summary'!C30</f>
        <v>0</v>
      </c>
      <c r="D20" s="36">
        <f>+'[1]Mgmt Summary'!D21+'[2]Mgmt Summary'!D21+'Mgmt Summary'!D30</f>
        <v>30334.941999999999</v>
      </c>
      <c r="E20" s="135">
        <f>C20-D20</f>
        <v>-30334.941999999999</v>
      </c>
      <c r="F20" s="36"/>
      <c r="G20" s="133">
        <f>+'[1]Mgmt Summary'!G21+'[2]Mgmt Summary'!G21+'Mgmt Summary'!G30</f>
        <v>0</v>
      </c>
      <c r="H20" s="36">
        <f>+'[1]Mgmt Summary'!H21+'[2]Mgmt Summary'!H21+'Mgmt Summary'!H30</f>
        <v>0</v>
      </c>
      <c r="I20" s="36">
        <f>+'[1]Mgmt Summary'!I21+'[2]Mgmt Summary'!I21+'Mgmt Summary'!I30</f>
        <v>0</v>
      </c>
      <c r="J20" s="136">
        <f>SUM(G20:I20)</f>
        <v>0</v>
      </c>
      <c r="K20" s="137"/>
      <c r="L20" s="133">
        <f>+'[1]Mgmt Summary'!L21+'[2]Mgmt Summary'!L21+'Mgmt Summary'!L30</f>
        <v>0</v>
      </c>
      <c r="M20" s="36">
        <f>+'[1]Mgmt Summary'!M21+'[2]Mgmt Summary'!M21+'Mgmt Summary'!M30</f>
        <v>50215.454888789405</v>
      </c>
      <c r="N20" s="36">
        <f>+'[1]Mgmt Summary'!N21+'[2]Mgmt Summary'!N21+'Mgmt Summary'!N30</f>
        <v>-19280.512888789402</v>
      </c>
      <c r="O20" s="136">
        <f>J20-K20-M20-N20-L20</f>
        <v>-30934.942000000003</v>
      </c>
      <c r="P20" s="37"/>
      <c r="Q20" s="133">
        <f>+J20-C20</f>
        <v>0</v>
      </c>
      <c r="R20" s="36"/>
      <c r="S20" s="36">
        <v>0</v>
      </c>
      <c r="T20" s="36">
        <f>Expenses!F29</f>
        <v>-600</v>
      </c>
      <c r="U20" s="36">
        <v>0</v>
      </c>
      <c r="V20" s="135">
        <f>ROUND(SUM(Q20:U20),0)</f>
        <v>-600</v>
      </c>
      <c r="W20" s="32"/>
    </row>
    <row r="21" spans="1:23" ht="13.5" customHeight="1">
      <c r="A21" s="107" t="s">
        <v>10</v>
      </c>
      <c r="B21" s="35"/>
      <c r="C21" s="133">
        <f>+'[1]Mgmt Summary'!C22+'[2]Mgmt Summary'!C22+'Mgmt Summary'!C32</f>
        <v>-1727.827</v>
      </c>
      <c r="D21" s="36">
        <f>+'[1]Mgmt Summary'!D22+'[2]Mgmt Summary'!D22+'Mgmt Summary'!D32</f>
        <v>0</v>
      </c>
      <c r="E21" s="135">
        <f>C21-D21</f>
        <v>-1727.827</v>
      </c>
      <c r="F21" s="137"/>
      <c r="G21" s="133">
        <f>+'[1]Mgmt Summary'!G22+'[2]Mgmt Summary'!G22+'Mgmt Summary'!G32</f>
        <v>-1727.827</v>
      </c>
      <c r="H21" s="36">
        <f>+'[1]Mgmt Summary'!H22+'[2]Mgmt Summary'!H22+'Mgmt Summary'!H32</f>
        <v>0</v>
      </c>
      <c r="I21" s="36">
        <f>+'[1]Mgmt Summary'!I22+'[2]Mgmt Summary'!I22+'Mgmt Summary'!I32</f>
        <v>0</v>
      </c>
      <c r="J21" s="136">
        <f>SUM(G21:I21)</f>
        <v>-1727.827</v>
      </c>
      <c r="K21" s="137"/>
      <c r="L21" s="133">
        <f>+'[1]Mgmt Summary'!L22+'[2]Mgmt Summary'!L22+'Mgmt Summary'!L32</f>
        <v>0</v>
      </c>
      <c r="M21" s="36">
        <f>+'[1]Mgmt Summary'!M22+'[2]Mgmt Summary'!M22+'Mgmt Summary'!M32</f>
        <v>0</v>
      </c>
      <c r="N21" s="36">
        <f>+'[1]Mgmt Summary'!N22+'[2]Mgmt Summary'!N22+'Mgmt Summary'!N32</f>
        <v>0</v>
      </c>
      <c r="O21" s="136">
        <f>J21-K21-M21-N21-L21</f>
        <v>-1727.827</v>
      </c>
      <c r="P21" s="37"/>
      <c r="Q21" s="133">
        <f>+J21-C21</f>
        <v>0</v>
      </c>
      <c r="R21" s="36"/>
      <c r="S21" s="36">
        <v>0</v>
      </c>
      <c r="T21" s="36">
        <f>Expenses!F30</f>
        <v>0</v>
      </c>
      <c r="U21" s="36">
        <v>0</v>
      </c>
      <c r="V21" s="135">
        <f>ROUND(SUM(Q21:U21),0)</f>
        <v>0</v>
      </c>
      <c r="W21" s="32"/>
    </row>
    <row r="22" spans="1:23" ht="13.5" customHeight="1">
      <c r="A22" s="107" t="s">
        <v>35</v>
      </c>
      <c r="B22" s="35"/>
      <c r="C22" s="133">
        <f>+'[1]Mgmt Summary'!C23+'[2]Mgmt Summary'!C23+'Mgmt Summary'!C33</f>
        <v>0</v>
      </c>
      <c r="D22" s="36">
        <f>+'[1]Mgmt Summary'!D23+'[2]Mgmt Summary'!D23+'Mgmt Summary'!D33</f>
        <v>-3399</v>
      </c>
      <c r="E22" s="135">
        <f>C22-D22</f>
        <v>3399</v>
      </c>
      <c r="F22" s="36"/>
      <c r="G22" s="133">
        <f>+'[1]Mgmt Summary'!G23+'[2]Mgmt Summary'!G23+'Mgmt Summary'!G33</f>
        <v>0</v>
      </c>
      <c r="H22" s="36">
        <f>+'[1]Mgmt Summary'!H23+'[2]Mgmt Summary'!H23+'Mgmt Summary'!H33</f>
        <v>0</v>
      </c>
      <c r="I22" s="36">
        <f>+'[1]Mgmt Summary'!I23+'[2]Mgmt Summary'!I23+'Mgmt Summary'!I33</f>
        <v>0</v>
      </c>
      <c r="J22" s="136">
        <f>SUM(G22:I22)</f>
        <v>0</v>
      </c>
      <c r="K22" s="137"/>
      <c r="L22" s="133">
        <f>+'[1]Mgmt Summary'!L23+'[2]Mgmt Summary'!L23+'Mgmt Summary'!L33</f>
        <v>-2473.5</v>
      </c>
      <c r="M22" s="36">
        <f>+'[1]Mgmt Summary'!M23+'[2]Mgmt Summary'!M23+'Mgmt Summary'!M33</f>
        <v>0</v>
      </c>
      <c r="N22" s="36">
        <f>+'[1]Mgmt Summary'!N23+'[2]Mgmt Summary'!N23+'Mgmt Summary'!N33</f>
        <v>0</v>
      </c>
      <c r="O22" s="136">
        <f>J22-K22-M22-N22-L22</f>
        <v>2473.5</v>
      </c>
      <c r="P22" s="37"/>
      <c r="Q22" s="133">
        <f>+J22-C22</f>
        <v>0</v>
      </c>
      <c r="R22" s="36"/>
      <c r="S22" s="36">
        <f>'CapChrg-AllocExp'!F28</f>
        <v>-816</v>
      </c>
      <c r="T22" s="36">
        <v>0</v>
      </c>
      <c r="U22" s="36">
        <v>0</v>
      </c>
      <c r="V22" s="135">
        <f>ROUND(SUM(Q22:U22),0)</f>
        <v>-816</v>
      </c>
      <c r="W22" s="32"/>
    </row>
    <row r="23" spans="1:23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>
        <f>ROUND(SUM(Q23:U23),0)</f>
        <v>0</v>
      </c>
      <c r="W23" s="32"/>
    </row>
    <row r="24" spans="1:23" s="34" customFormat="1" ht="12" customHeight="1">
      <c r="A24" s="38" t="s">
        <v>74</v>
      </c>
      <c r="B24" s="35"/>
      <c r="C24" s="43">
        <f>SUM(C18:C23)</f>
        <v>191022.08200000002</v>
      </c>
      <c r="D24" s="44">
        <f>SUM(D18:D23)</f>
        <v>102869.18299999999</v>
      </c>
      <c r="E24" s="45">
        <f>SUM(E18:E23)</f>
        <v>88152.899000000019</v>
      </c>
      <c r="F24" s="36"/>
      <c r="G24" s="43">
        <f t="shared" ref="G24:N24" si="5">SUM(G18:G23)</f>
        <v>107345.45130999999</v>
      </c>
      <c r="H24" s="44">
        <f t="shared" si="5"/>
        <v>0</v>
      </c>
      <c r="I24" s="44">
        <f t="shared" si="5"/>
        <v>0</v>
      </c>
      <c r="J24" s="46">
        <f t="shared" si="5"/>
        <v>107345.45130999999</v>
      </c>
      <c r="K24" s="44">
        <f t="shared" si="5"/>
        <v>0</v>
      </c>
      <c r="L24" s="43">
        <f t="shared" si="5"/>
        <v>-555</v>
      </c>
      <c r="M24" s="44">
        <f t="shared" si="5"/>
        <v>96256.511357188414</v>
      </c>
      <c r="N24" s="44">
        <f t="shared" si="5"/>
        <v>12450.414999999994</v>
      </c>
      <c r="O24" s="46">
        <f>J24-K24-M24-N24-L24</f>
        <v>-806.4750471884181</v>
      </c>
      <c r="P24" s="37"/>
      <c r="Q24" s="43">
        <f t="shared" ref="Q24:V24" si="6">SUM(Q18:Q23)</f>
        <v>-83676.630689999991</v>
      </c>
      <c r="R24" s="44">
        <f t="shared" si="6"/>
        <v>0</v>
      </c>
      <c r="S24" s="44">
        <f t="shared" si="6"/>
        <v>-627</v>
      </c>
      <c r="T24" s="44">
        <f t="shared" si="6"/>
        <v>-2540</v>
      </c>
      <c r="U24" s="44">
        <f t="shared" si="6"/>
        <v>-600</v>
      </c>
      <c r="V24" s="45">
        <f t="shared" si="6"/>
        <v>-87444</v>
      </c>
      <c r="W24" s="32"/>
    </row>
    <row r="25" spans="1:23" ht="3" customHeight="1">
      <c r="A25" s="107"/>
      <c r="B25" s="35"/>
      <c r="C25" s="133"/>
      <c r="D25" s="36"/>
      <c r="E25" s="135"/>
      <c r="F25" s="36"/>
      <c r="G25" s="133" t="s">
        <v>62</v>
      </c>
      <c r="H25" s="36"/>
      <c r="I25" s="36"/>
      <c r="J25" s="136"/>
      <c r="K25" s="137"/>
      <c r="L25" s="134"/>
      <c r="M25" s="36" t="s">
        <v>63</v>
      </c>
      <c r="N25" s="36"/>
      <c r="O25" s="136"/>
      <c r="P25" s="37"/>
      <c r="Q25" s="133"/>
      <c r="R25" s="36"/>
      <c r="S25" s="36"/>
      <c r="T25" s="36"/>
      <c r="U25" s="36"/>
      <c r="V25" s="135"/>
      <c r="W25" s="32"/>
    </row>
    <row r="26" spans="1:23" ht="12" customHeight="1">
      <c r="A26" s="107" t="s">
        <v>57</v>
      </c>
      <c r="B26" s="35"/>
      <c r="C26" s="133">
        <f>+'[1]Mgmt Summary'!C27+'[2]Mgmt Summary'!C27+'Mgmt Summary'!C37</f>
        <v>0</v>
      </c>
      <c r="D26" s="36">
        <f>+'[1]Mgmt Summary'!D27+'[2]Mgmt Summary'!D27+'Mgmt Summary'!D37</f>
        <v>-1363</v>
      </c>
      <c r="E26" s="135">
        <f>C26-D26</f>
        <v>1363</v>
      </c>
      <c r="F26" s="36"/>
      <c r="G26" s="133">
        <f>+'[1]Mgmt Summary'!G27+'[2]Mgmt Summary'!G27+'Mgmt Summary'!G37</f>
        <v>0</v>
      </c>
      <c r="H26" s="36">
        <f>+'[1]Mgmt Summary'!H27+'[2]Mgmt Summary'!H27+'Mgmt Summary'!H37</f>
        <v>0</v>
      </c>
      <c r="I26" s="36">
        <f>+'[1]Mgmt Summary'!I27+'[2]Mgmt Summary'!I27+'Mgmt Summary'!I37</f>
        <v>0</v>
      </c>
      <c r="J26" s="136">
        <f>SUM(G26:I26)</f>
        <v>0</v>
      </c>
      <c r="K26" s="137"/>
      <c r="L26" s="134">
        <f>+'[1]Mgmt Summary'!L27+'[2]Mgmt Summary'!L27+'Mgmt Summary'!L37</f>
        <v>0</v>
      </c>
      <c r="M26" s="36">
        <f>+'[1]Mgmt Summary'!M27+'[2]Mgmt Summary'!M27+'Mgmt Summary'!M37</f>
        <v>-1363</v>
      </c>
      <c r="N26" s="36">
        <f>+'[1]Mgmt Summary'!N27+'[2]Mgmt Summary'!N27+'Mgmt Summary'!N37</f>
        <v>0</v>
      </c>
      <c r="O26" s="136">
        <f>J26-K26-M26-N26-L26</f>
        <v>1363</v>
      </c>
      <c r="P26" s="37"/>
      <c r="Q26" s="133">
        <f>+J26-C26</f>
        <v>0</v>
      </c>
      <c r="R26" s="36"/>
      <c r="S26" s="36">
        <v>0</v>
      </c>
      <c r="T26" s="36">
        <f>D26-M26</f>
        <v>0</v>
      </c>
      <c r="U26" s="36">
        <v>0</v>
      </c>
      <c r="V26" s="135">
        <f>ROUND(SUM(Q26:U26),0)</f>
        <v>0</v>
      </c>
      <c r="W26" s="32"/>
    </row>
    <row r="27" spans="1:23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3" s="34" customFormat="1" ht="12" customHeight="1">
      <c r="A28" s="38" t="s">
        <v>75</v>
      </c>
      <c r="B28" s="35"/>
      <c r="C28" s="39">
        <f>SUM(C24:C26)</f>
        <v>191022.08200000002</v>
      </c>
      <c r="D28" s="40">
        <f>SUM(D24:D26)</f>
        <v>101506.18299999999</v>
      </c>
      <c r="E28" s="41">
        <f>SUM(E24:E26)</f>
        <v>89515.899000000019</v>
      </c>
      <c r="F28" s="36"/>
      <c r="G28" s="39">
        <f t="shared" ref="G28:N28" si="7">SUM(G24:G26)</f>
        <v>107345.45130999999</v>
      </c>
      <c r="H28" s="40">
        <f t="shared" si="7"/>
        <v>0</v>
      </c>
      <c r="I28" s="40">
        <f t="shared" si="7"/>
        <v>0</v>
      </c>
      <c r="J28" s="42">
        <f t="shared" si="7"/>
        <v>107345.45130999999</v>
      </c>
      <c r="K28" s="40">
        <f t="shared" si="7"/>
        <v>0</v>
      </c>
      <c r="L28" s="39">
        <f t="shared" si="7"/>
        <v>-555</v>
      </c>
      <c r="M28" s="40">
        <f t="shared" si="7"/>
        <v>94893.511357188414</v>
      </c>
      <c r="N28" s="40">
        <f t="shared" si="7"/>
        <v>12450.414999999994</v>
      </c>
      <c r="O28" s="42">
        <f>J28-K28-M28-N28-L28</f>
        <v>556.5249528115819</v>
      </c>
      <c r="P28" s="37"/>
      <c r="Q28" s="39">
        <f t="shared" ref="Q28:V28" si="8">SUM(Q24:Q26)</f>
        <v>-83676.630689999991</v>
      </c>
      <c r="R28" s="40">
        <f t="shared" si="8"/>
        <v>0</v>
      </c>
      <c r="S28" s="40">
        <f t="shared" si="8"/>
        <v>-627</v>
      </c>
      <c r="T28" s="40">
        <f t="shared" si="8"/>
        <v>-2540</v>
      </c>
      <c r="U28" s="40">
        <f t="shared" si="8"/>
        <v>-600</v>
      </c>
      <c r="V28" s="41">
        <f t="shared" si="8"/>
        <v>-87444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5" hidden="1">
      <c r="A30" s="66"/>
      <c r="C30" s="67"/>
      <c r="D30" s="23"/>
      <c r="E30" s="66" t="s">
        <v>53</v>
      </c>
      <c r="F30" s="23"/>
      <c r="G30" s="68">
        <f>+'GM-WeeklyChnge'!C44</f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80</v>
      </c>
      <c r="C32" s="23"/>
      <c r="D32" s="23"/>
      <c r="E32" s="23"/>
      <c r="F32" s="23"/>
      <c r="M32" s="166"/>
    </row>
    <row r="33" spans="1:22">
      <c r="C33" s="23"/>
      <c r="D33" s="23"/>
      <c r="E33" s="23"/>
      <c r="F33" s="23"/>
      <c r="G33" s="166"/>
    </row>
    <row r="34" spans="1:22">
      <c r="C34" s="23"/>
      <c r="D34" s="23"/>
      <c r="E34" s="23"/>
      <c r="F34" s="23"/>
      <c r="V34" s="166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opLeftCell="A2" workbookViewId="0">
      <selection activeCell="K46" sqref="K46"/>
    </sheetView>
  </sheetViews>
  <sheetFormatPr defaultRowHeight="12.75"/>
  <cols>
    <col min="1" max="1" width="32.42578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7" width="10.7109375" customWidth="1"/>
    <col min="8" max="8" width="9.7109375" customWidth="1"/>
    <col min="9" max="9" width="9.28515625" customWidth="1"/>
  </cols>
  <sheetData>
    <row r="1" spans="1:9" ht="12.75" hidden="1" customHeight="1"/>
    <row r="2" spans="1:9" ht="15.75">
      <c r="A2" s="288" t="s">
        <v>70</v>
      </c>
      <c r="B2" s="288"/>
      <c r="C2" s="288"/>
      <c r="D2" s="288"/>
      <c r="E2" s="288"/>
      <c r="F2" s="288"/>
      <c r="G2" s="288"/>
      <c r="H2" s="288"/>
      <c r="I2" s="288"/>
    </row>
    <row r="3" spans="1:9" ht="15.75">
      <c r="A3" s="289" t="s">
        <v>142</v>
      </c>
      <c r="B3" s="288"/>
      <c r="C3" s="288"/>
      <c r="D3" s="288"/>
      <c r="E3" s="288"/>
      <c r="F3" s="288"/>
      <c r="G3" s="288"/>
      <c r="H3" s="288"/>
      <c r="I3" s="288"/>
    </row>
    <row r="4" spans="1:9" ht="15">
      <c r="A4" s="289" t="str">
        <f>+GrossMargin!B4</f>
        <v>Results based on activity through December 7, 2000</v>
      </c>
      <c r="B4" s="289"/>
      <c r="C4" s="289"/>
      <c r="D4" s="289"/>
      <c r="E4" s="289"/>
      <c r="F4" s="289"/>
      <c r="G4" s="289"/>
      <c r="H4" s="289"/>
      <c r="I4" s="289"/>
    </row>
    <row r="5" spans="1:9" ht="3" customHeight="1"/>
    <row r="6" spans="1:9" s="50" customFormat="1" ht="12">
      <c r="A6" s="124"/>
      <c r="C6" s="320" t="s">
        <v>13</v>
      </c>
      <c r="D6" s="321"/>
      <c r="E6" s="322"/>
      <c r="G6" s="320" t="s">
        <v>26</v>
      </c>
      <c r="H6" s="321"/>
      <c r="I6" s="322"/>
    </row>
    <row r="7" spans="1:9" s="50" customFormat="1" ht="12">
      <c r="A7" s="128" t="s">
        <v>9</v>
      </c>
      <c r="C7" s="86" t="s">
        <v>6</v>
      </c>
      <c r="D7" s="87" t="s">
        <v>8</v>
      </c>
      <c r="E7" s="74" t="s">
        <v>12</v>
      </c>
      <c r="G7" s="86" t="s">
        <v>6</v>
      </c>
      <c r="H7" s="87" t="s">
        <v>8</v>
      </c>
      <c r="I7" s="74" t="s">
        <v>12</v>
      </c>
    </row>
    <row r="8" spans="1:9" ht="3" customHeight="1">
      <c r="A8" s="4"/>
      <c r="C8" s="7"/>
      <c r="D8" s="8"/>
      <c r="E8" s="9"/>
      <c r="F8" s="1"/>
      <c r="G8" s="7"/>
      <c r="H8" s="8"/>
      <c r="I8" s="9"/>
    </row>
    <row r="9" spans="1:9" ht="13.5" customHeight="1">
      <c r="A9" s="171" t="s">
        <v>129</v>
      </c>
      <c r="B9" s="172"/>
      <c r="C9" s="159">
        <v>0</v>
      </c>
      <c r="D9" s="173">
        <v>0</v>
      </c>
      <c r="E9" s="177">
        <f>D9-C9</f>
        <v>0</v>
      </c>
      <c r="F9" s="52"/>
      <c r="G9" s="159">
        <v>-127</v>
      </c>
      <c r="H9" s="173">
        <v>-127</v>
      </c>
      <c r="I9" s="177">
        <f>H9-G9</f>
        <v>0</v>
      </c>
    </row>
    <row r="10" spans="1:9" ht="3" customHeight="1">
      <c r="A10" s="171"/>
      <c r="B10" s="172"/>
      <c r="C10" s="159"/>
      <c r="D10" s="173"/>
      <c r="E10" s="177"/>
      <c r="F10" s="52"/>
      <c r="G10" s="159"/>
      <c r="H10" s="173"/>
      <c r="I10" s="177"/>
    </row>
    <row r="11" spans="1:9" ht="13.5" customHeight="1">
      <c r="A11" s="292" t="s">
        <v>137</v>
      </c>
      <c r="B11" s="172"/>
      <c r="C11" s="290">
        <f>+C9</f>
        <v>0</v>
      </c>
      <c r="D11" s="291">
        <f>+D9</f>
        <v>0</v>
      </c>
      <c r="E11" s="183">
        <f>+E9</f>
        <v>0</v>
      </c>
      <c r="F11" s="52"/>
      <c r="G11" s="56">
        <f>+G9</f>
        <v>-127</v>
      </c>
      <c r="H11" s="57">
        <f>+H9</f>
        <v>-127</v>
      </c>
      <c r="I11" s="183">
        <f>+I9</f>
        <v>0</v>
      </c>
    </row>
    <row r="12" spans="1:9" ht="3" customHeight="1">
      <c r="A12" s="171"/>
      <c r="B12" s="172"/>
      <c r="C12" s="159"/>
      <c r="D12" s="173"/>
      <c r="E12" s="177"/>
      <c r="F12" s="52"/>
      <c r="G12" s="159"/>
      <c r="H12" s="173"/>
      <c r="I12" s="177"/>
    </row>
    <row r="13" spans="1:9" ht="13.5" customHeight="1">
      <c r="A13" s="171" t="s">
        <v>132</v>
      </c>
      <c r="B13" s="172"/>
      <c r="C13" s="159">
        <v>0</v>
      </c>
      <c r="D13" s="173">
        <v>0</v>
      </c>
      <c r="E13" s="177">
        <f>D13-C13</f>
        <v>0</v>
      </c>
      <c r="F13" s="52"/>
      <c r="G13" s="159">
        <f>+'CapChrg-AllocExp'!D11*0+H13</f>
        <v>847</v>
      </c>
      <c r="H13" s="173">
        <f>+'CapChrg-AllocExp'!E11</f>
        <v>847</v>
      </c>
      <c r="I13" s="177">
        <f>H13-G13</f>
        <v>0</v>
      </c>
    </row>
    <row r="14" spans="1:9" ht="3" customHeight="1">
      <c r="A14" s="171"/>
      <c r="B14" s="172"/>
      <c r="C14" s="159"/>
      <c r="D14" s="173"/>
      <c r="E14" s="177"/>
      <c r="F14" s="52"/>
      <c r="G14" s="159"/>
      <c r="H14" s="173"/>
      <c r="I14" s="177"/>
    </row>
    <row r="15" spans="1:9" ht="13.5" customHeight="1">
      <c r="A15" s="292" t="s">
        <v>138</v>
      </c>
      <c r="B15" s="172"/>
      <c r="C15" s="290">
        <f>+C13</f>
        <v>0</v>
      </c>
      <c r="D15" s="291">
        <f>+D13</f>
        <v>0</v>
      </c>
      <c r="E15" s="183">
        <f>+E13</f>
        <v>0</v>
      </c>
      <c r="F15" s="52"/>
      <c r="G15" s="56">
        <f>+G13</f>
        <v>847</v>
      </c>
      <c r="H15" s="57">
        <f>+H13</f>
        <v>847</v>
      </c>
      <c r="I15" s="183">
        <f>+I13</f>
        <v>0</v>
      </c>
    </row>
    <row r="16" spans="1:9" ht="3" customHeight="1">
      <c r="A16" s="171"/>
      <c r="B16" s="172"/>
      <c r="C16" s="159"/>
      <c r="D16" s="173"/>
      <c r="E16" s="177"/>
      <c r="F16" s="52"/>
      <c r="G16" s="159"/>
      <c r="H16" s="173"/>
      <c r="I16" s="177"/>
    </row>
    <row r="17" spans="1:9" ht="13.5" customHeight="1">
      <c r="A17" s="129" t="s">
        <v>130</v>
      </c>
      <c r="B17" s="50"/>
      <c r="C17" s="159">
        <v>0</v>
      </c>
      <c r="D17" s="173">
        <v>0</v>
      </c>
      <c r="E17" s="143">
        <f>D17-C17</f>
        <v>0</v>
      </c>
      <c r="F17" s="52"/>
      <c r="G17" s="159">
        <f>-97+82</f>
        <v>-15</v>
      </c>
      <c r="H17" s="173">
        <f>+'CapChrg-AllocExp'!E18</f>
        <v>-15</v>
      </c>
      <c r="I17" s="143">
        <f>H17-G17</f>
        <v>0</v>
      </c>
    </row>
    <row r="18" spans="1:9" ht="3" customHeight="1">
      <c r="A18" s="171"/>
      <c r="B18" s="172"/>
      <c r="C18" s="159"/>
      <c r="D18" s="173"/>
      <c r="E18" s="177"/>
      <c r="F18" s="52"/>
      <c r="G18" s="159"/>
      <c r="H18" s="173"/>
      <c r="I18" s="177"/>
    </row>
    <row r="19" spans="1:9" ht="13.5" customHeight="1">
      <c r="A19" s="292" t="s">
        <v>139</v>
      </c>
      <c r="B19" s="172"/>
      <c r="C19" s="290">
        <f>+C17</f>
        <v>0</v>
      </c>
      <c r="D19" s="291">
        <f>+D17</f>
        <v>0</v>
      </c>
      <c r="E19" s="183">
        <f>+E17</f>
        <v>0</v>
      </c>
      <c r="F19" s="52"/>
      <c r="G19" s="56">
        <f>+G17</f>
        <v>-15</v>
      </c>
      <c r="H19" s="57">
        <f>+H17</f>
        <v>-15</v>
      </c>
      <c r="I19" s="183">
        <f>+I17</f>
        <v>0</v>
      </c>
    </row>
    <row r="20" spans="1:9" ht="3" customHeight="1">
      <c r="A20" s="171"/>
      <c r="B20" s="172"/>
      <c r="C20" s="159"/>
      <c r="D20" s="173"/>
      <c r="E20" s="177"/>
      <c r="F20" s="52"/>
      <c r="G20" s="159"/>
      <c r="H20" s="173"/>
      <c r="I20" s="177"/>
    </row>
    <row r="21" spans="1:9" ht="13.5" customHeight="1">
      <c r="A21" s="129" t="s">
        <v>131</v>
      </c>
      <c r="B21" s="50"/>
      <c r="C21" s="159">
        <v>0</v>
      </c>
      <c r="D21" s="173">
        <v>0</v>
      </c>
      <c r="E21" s="143">
        <f>D21-C21</f>
        <v>0</v>
      </c>
      <c r="F21" s="52"/>
      <c r="G21" s="159">
        <f>+'CapChrg-AllocExp'!D19</f>
        <v>652</v>
      </c>
      <c r="H21" s="173">
        <f>+'CapChrg-AllocExp'!E19</f>
        <v>652</v>
      </c>
      <c r="I21" s="143">
        <f>H21-G21</f>
        <v>0</v>
      </c>
    </row>
    <row r="22" spans="1:9" ht="3" customHeight="1">
      <c r="A22" s="171"/>
      <c r="B22" s="172"/>
      <c r="C22" s="159"/>
      <c r="D22" s="173"/>
      <c r="E22" s="177"/>
      <c r="F22" s="52"/>
      <c r="G22" s="159"/>
      <c r="H22" s="173"/>
      <c r="I22" s="177"/>
    </row>
    <row r="23" spans="1:9" ht="13.5" customHeight="1">
      <c r="A23" s="292" t="s">
        <v>140</v>
      </c>
      <c r="B23" s="172"/>
      <c r="C23" s="290">
        <f>+C21</f>
        <v>0</v>
      </c>
      <c r="D23" s="291">
        <f>+D21</f>
        <v>0</v>
      </c>
      <c r="E23" s="183">
        <f>+E21</f>
        <v>0</v>
      </c>
      <c r="F23" s="52"/>
      <c r="G23" s="56">
        <f>SUM(G21:G21)</f>
        <v>652</v>
      </c>
      <c r="H23" s="57">
        <f>SUM(H21:H21)</f>
        <v>652</v>
      </c>
      <c r="I23" s="183">
        <f>SUM(I21:I21)</f>
        <v>0</v>
      </c>
    </row>
    <row r="24" spans="1:9" ht="3" customHeight="1">
      <c r="A24" s="171"/>
      <c r="B24" s="172"/>
      <c r="C24" s="159"/>
      <c r="D24" s="173"/>
      <c r="E24" s="177"/>
      <c r="F24" s="52"/>
      <c r="G24" s="159"/>
      <c r="H24" s="173"/>
      <c r="I24" s="177"/>
    </row>
    <row r="25" spans="1:9" ht="13.5" customHeight="1">
      <c r="A25" s="129" t="s">
        <v>133</v>
      </c>
      <c r="B25" s="50"/>
      <c r="C25" s="159">
        <v>0</v>
      </c>
      <c r="D25" s="173">
        <v>0</v>
      </c>
      <c r="E25" s="143">
        <f>D25-C25</f>
        <v>0</v>
      </c>
      <c r="F25" s="52"/>
      <c r="G25" s="159">
        <f>240*0+H25</f>
        <v>147</v>
      </c>
      <c r="H25" s="173">
        <v>147</v>
      </c>
      <c r="I25" s="143">
        <f>H25-G25</f>
        <v>0</v>
      </c>
    </row>
    <row r="26" spans="1:9" ht="13.5" customHeight="1">
      <c r="A26" s="129" t="s">
        <v>134</v>
      </c>
      <c r="B26" s="172"/>
      <c r="C26" s="159">
        <v>0</v>
      </c>
      <c r="D26" s="173">
        <v>0</v>
      </c>
      <c r="E26" s="177">
        <f>D26-C26</f>
        <v>0</v>
      </c>
      <c r="F26" s="52"/>
      <c r="G26" s="159">
        <f>1876*0</f>
        <v>0</v>
      </c>
      <c r="H26" s="173">
        <v>0</v>
      </c>
      <c r="I26" s="177">
        <f>H26-G26</f>
        <v>0</v>
      </c>
    </row>
    <row r="27" spans="1:9" ht="13.5" customHeight="1">
      <c r="A27" s="129" t="s">
        <v>135</v>
      </c>
      <c r="B27" s="172"/>
      <c r="C27" s="159">
        <v>0</v>
      </c>
      <c r="D27" s="173">
        <v>0</v>
      </c>
      <c r="E27" s="177">
        <f>D27-C27</f>
        <v>0</v>
      </c>
      <c r="F27" s="52"/>
      <c r="G27" s="159">
        <f>-654*0</f>
        <v>0</v>
      </c>
      <c r="H27" s="173">
        <v>0</v>
      </c>
      <c r="I27" s="177">
        <f>H27-G27</f>
        <v>0</v>
      </c>
    </row>
    <row r="28" spans="1:9" ht="13.5" customHeight="1">
      <c r="A28" s="129" t="s">
        <v>136</v>
      </c>
      <c r="B28" s="50"/>
      <c r="C28" s="159">
        <v>0</v>
      </c>
      <c r="D28" s="142">
        <v>0</v>
      </c>
      <c r="E28" s="143">
        <f>D28-C28</f>
        <v>0</v>
      </c>
      <c r="F28" s="52"/>
      <c r="G28" s="159">
        <f>-1541*0</f>
        <v>0</v>
      </c>
      <c r="H28" s="142">
        <v>0</v>
      </c>
      <c r="I28" s="143">
        <f>H28-G28</f>
        <v>0</v>
      </c>
    </row>
    <row r="29" spans="1:9" ht="13.5" customHeight="1">
      <c r="A29" s="129" t="s">
        <v>144</v>
      </c>
      <c r="B29" s="50"/>
      <c r="C29" s="159">
        <v>0</v>
      </c>
      <c r="D29" s="142">
        <v>0</v>
      </c>
      <c r="E29" s="143">
        <f>D29-C29</f>
        <v>0</v>
      </c>
      <c r="F29" s="52"/>
      <c r="G29" s="159">
        <f>+'CapChrg-AllocExp'!D20*0+H29</f>
        <v>545</v>
      </c>
      <c r="H29" s="142">
        <f>+'CapChrg-AllocExp'!E20</f>
        <v>545</v>
      </c>
      <c r="I29" s="143">
        <f>H29-G29</f>
        <v>0</v>
      </c>
    </row>
    <row r="30" spans="1:9" ht="3" customHeight="1">
      <c r="A30" s="171"/>
      <c r="B30" s="172"/>
      <c r="C30" s="159"/>
      <c r="D30" s="173"/>
      <c r="E30" s="177"/>
      <c r="F30" s="52"/>
      <c r="G30" s="159"/>
      <c r="H30" s="173"/>
      <c r="I30" s="177"/>
    </row>
    <row r="31" spans="1:9" ht="13.5" customHeight="1">
      <c r="A31" s="292" t="s">
        <v>143</v>
      </c>
      <c r="B31" s="172"/>
      <c r="C31" s="290">
        <f>SUM(C25:C30)</f>
        <v>0</v>
      </c>
      <c r="D31" s="291">
        <f>SUM(D25:D30)</f>
        <v>0</v>
      </c>
      <c r="E31" s="183">
        <f>SUM(E25:E29)</f>
        <v>0</v>
      </c>
      <c r="F31" s="52"/>
      <c r="G31" s="56">
        <f>SUM(G25:G30)</f>
        <v>692</v>
      </c>
      <c r="H31" s="57">
        <f>SUM(H25:H30)</f>
        <v>692</v>
      </c>
      <c r="I31" s="183">
        <f>SUM(I25:I29)</f>
        <v>0</v>
      </c>
    </row>
    <row r="32" spans="1:9" ht="3" customHeight="1">
      <c r="A32" s="171"/>
      <c r="B32" s="172"/>
      <c r="C32" s="159"/>
      <c r="D32" s="173"/>
      <c r="E32" s="177"/>
      <c r="F32" s="52"/>
      <c r="G32" s="159"/>
      <c r="H32" s="173"/>
      <c r="I32" s="177"/>
    </row>
    <row r="33" spans="1:9" ht="3" customHeight="1">
      <c r="A33" s="129"/>
      <c r="B33" s="50"/>
      <c r="C33" s="141"/>
      <c r="D33" s="142"/>
      <c r="E33" s="143"/>
      <c r="F33" s="52"/>
      <c r="G33" s="141"/>
      <c r="H33" s="142"/>
      <c r="I33" s="143"/>
    </row>
    <row r="34" spans="1:9" s="50" customFormat="1" ht="13.5" customHeight="1">
      <c r="A34" s="51" t="s">
        <v>141</v>
      </c>
      <c r="C34" s="47">
        <f>SUM(C9:C33)</f>
        <v>0</v>
      </c>
      <c r="D34" s="48">
        <f>SUM(D9:D33)</f>
        <v>0</v>
      </c>
      <c r="E34" s="49">
        <f>SUM(C34:D34)</f>
        <v>0</v>
      </c>
      <c r="F34" s="52"/>
      <c r="G34" s="47">
        <f>+G11+G15+G19+G23+G31</f>
        <v>2049</v>
      </c>
      <c r="H34" s="48">
        <f>+H11+H15+H19+H23+H31</f>
        <v>2049</v>
      </c>
      <c r="I34" s="49">
        <f>+I11+I15+I19+I23+I31</f>
        <v>0</v>
      </c>
    </row>
    <row r="35" spans="1:9" ht="3" customHeight="1">
      <c r="A35" s="147"/>
      <c r="B35" s="50"/>
      <c r="C35" s="148"/>
      <c r="D35" s="149"/>
      <c r="E35" s="150"/>
      <c r="F35" s="50"/>
      <c r="G35" s="148"/>
      <c r="H35" s="149"/>
      <c r="I35" s="150"/>
    </row>
    <row r="36" spans="1:9" s="33" customFormat="1" ht="3" customHeight="1">
      <c r="A36" s="72"/>
      <c r="B36" s="72"/>
      <c r="C36" s="72"/>
      <c r="D36" s="72"/>
      <c r="E36" s="72"/>
      <c r="F36" s="72"/>
      <c r="G36" s="72"/>
      <c r="H36" s="72"/>
      <c r="I36" s="72"/>
    </row>
    <row r="37" spans="1:9" ht="12.75" hidden="1" customHeight="1">
      <c r="A37" s="85"/>
      <c r="B37" s="31"/>
      <c r="C37" s="329" t="s">
        <v>49</v>
      </c>
      <c r="D37" s="330"/>
      <c r="E37" s="331"/>
      <c r="F37" s="31"/>
      <c r="G37" s="329"/>
      <c r="H37" s="330"/>
      <c r="I37" s="331"/>
    </row>
    <row r="38" spans="1:9" ht="12.75" hidden="1" customHeight="1">
      <c r="A38" s="94" t="s">
        <v>9</v>
      </c>
      <c r="B38" s="31"/>
      <c r="C38" s="88" t="s">
        <v>6</v>
      </c>
      <c r="D38" s="89" t="s">
        <v>8</v>
      </c>
      <c r="E38" s="90" t="s">
        <v>12</v>
      </c>
      <c r="F38" s="31"/>
      <c r="G38" s="88" t="s">
        <v>39</v>
      </c>
      <c r="H38" s="89"/>
      <c r="I38" s="90"/>
    </row>
    <row r="39" spans="1:9" s="50" customFormat="1" ht="12" hidden="1" customHeight="1">
      <c r="A39" s="124"/>
      <c r="C39" s="151">
        <v>0</v>
      </c>
      <c r="D39" s="152">
        <v>0</v>
      </c>
      <c r="E39" s="153">
        <f>D39-C39</f>
        <v>0</v>
      </c>
      <c r="G39" s="151"/>
      <c r="H39" s="152"/>
      <c r="I39" s="153"/>
    </row>
    <row r="40" spans="1:9" s="50" customFormat="1" ht="12" hidden="1" customHeight="1">
      <c r="A40" s="129"/>
      <c r="C40" s="141">
        <v>0</v>
      </c>
      <c r="D40" s="142">
        <v>0</v>
      </c>
      <c r="E40" s="143">
        <f>D40-C40</f>
        <v>0</v>
      </c>
      <c r="G40" s="141"/>
      <c r="H40" s="142"/>
      <c r="I40" s="143"/>
    </row>
    <row r="41" spans="1:9" s="50" customFormat="1" ht="12" hidden="1" customHeight="1">
      <c r="A41" s="147"/>
      <c r="C41" s="154">
        <v>0</v>
      </c>
      <c r="D41" s="155">
        <v>0</v>
      </c>
      <c r="E41" s="156">
        <f>D41-C41</f>
        <v>0</v>
      </c>
      <c r="G41" s="154"/>
      <c r="H41" s="155"/>
      <c r="I41" s="156"/>
    </row>
    <row r="42" spans="1:9">
      <c r="C42" s="69"/>
      <c r="D42" s="69"/>
      <c r="E42" s="1"/>
      <c r="F42" s="1"/>
      <c r="G42" s="69"/>
      <c r="H42" s="69"/>
      <c r="I42" s="1"/>
    </row>
    <row r="43" spans="1:9">
      <c r="C43" s="1"/>
      <c r="D43" s="1"/>
      <c r="E43" s="1"/>
      <c r="F43" s="1"/>
      <c r="G43" s="1"/>
      <c r="H43" s="1"/>
      <c r="I43" s="1"/>
    </row>
    <row r="44" spans="1:9">
      <c r="C44" s="1"/>
      <c r="D44" s="1"/>
      <c r="E44" s="261"/>
      <c r="F44" s="1"/>
      <c r="G44" s="1"/>
      <c r="H44" s="1"/>
      <c r="I44" s="261"/>
    </row>
    <row r="45" spans="1:9">
      <c r="C45" s="1"/>
      <c r="D45" s="1"/>
      <c r="E45" s="1"/>
      <c r="F45" s="1"/>
      <c r="G45" s="1"/>
      <c r="H45" s="1"/>
      <c r="I45" s="1"/>
    </row>
    <row r="46" spans="1:9">
      <c r="C46" s="1"/>
      <c r="D46" s="1"/>
      <c r="E46" s="1"/>
      <c r="F46" s="1"/>
      <c r="G46" s="1"/>
      <c r="H46" s="1"/>
      <c r="I46" s="1"/>
    </row>
    <row r="47" spans="1:9">
      <c r="C47" s="1"/>
      <c r="D47" s="1"/>
      <c r="E47" s="1"/>
      <c r="F47" s="1"/>
      <c r="G47" s="1"/>
      <c r="H47" s="1"/>
      <c r="I47" s="1"/>
    </row>
    <row r="48" spans="1:9">
      <c r="C48" s="1"/>
      <c r="D48" s="1"/>
      <c r="E48" s="1"/>
      <c r="F48" s="1"/>
      <c r="G48" s="1"/>
      <c r="H48" s="1"/>
      <c r="I48" s="1"/>
    </row>
    <row r="49" spans="1:9">
      <c r="C49" s="1"/>
      <c r="D49" s="1"/>
      <c r="E49" s="1"/>
      <c r="F49" s="1"/>
      <c r="G49" s="1"/>
      <c r="H49" s="1"/>
      <c r="I49" s="1"/>
    </row>
    <row r="50" spans="1:9">
      <c r="C50" s="1"/>
      <c r="D50" s="1"/>
      <c r="E50" s="1"/>
      <c r="F50" s="1"/>
      <c r="G50" s="1"/>
      <c r="H50" s="1"/>
      <c r="I50" s="1"/>
    </row>
    <row r="51" spans="1:9">
      <c r="C51" s="1"/>
      <c r="D51" s="1"/>
      <c r="E51" s="1"/>
      <c r="F51" s="1"/>
      <c r="G51" s="1"/>
      <c r="H51" s="1"/>
      <c r="I51" s="1"/>
    </row>
    <row r="52" spans="1:9">
      <c r="C52" s="1"/>
      <c r="D52" s="1"/>
      <c r="E52" s="1"/>
      <c r="F52" s="1"/>
      <c r="G52" s="1"/>
      <c r="H52" s="1"/>
      <c r="I52" s="1"/>
    </row>
    <row r="53" spans="1:9">
      <c r="C53" s="1"/>
      <c r="D53" s="1"/>
      <c r="G53" s="1"/>
      <c r="H53" s="1"/>
    </row>
    <row r="54" spans="1:9">
      <c r="C54" s="1"/>
      <c r="D54" s="1"/>
      <c r="G54" s="1"/>
      <c r="H54" s="1"/>
    </row>
    <row r="55" spans="1:9">
      <c r="C55" s="1"/>
      <c r="D55" s="1"/>
      <c r="G55" s="1"/>
      <c r="H55" s="1"/>
    </row>
    <row r="56" spans="1:9">
      <c r="C56" s="1"/>
      <c r="D56" s="1"/>
      <c r="G56" s="1"/>
      <c r="H56" s="1"/>
    </row>
    <row r="57" spans="1:9">
      <c r="C57" s="1"/>
      <c r="D57" s="1"/>
      <c r="G57" s="1"/>
      <c r="H57" s="1"/>
    </row>
    <row r="58" spans="1:9">
      <c r="C58" s="1"/>
      <c r="D58" s="1"/>
      <c r="G58" s="1"/>
      <c r="H58" s="1"/>
    </row>
    <row r="59" spans="1:9"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C66" s="1"/>
      <c r="D66" s="1"/>
      <c r="E66" s="1"/>
      <c r="F66" s="1"/>
      <c r="G66" s="1"/>
      <c r="H66" s="1"/>
      <c r="I66" s="1"/>
    </row>
    <row r="67" spans="1:9">
      <c r="C67" s="1"/>
      <c r="D67" s="1"/>
      <c r="E67" s="1"/>
      <c r="F67" s="1"/>
      <c r="G67" s="1"/>
      <c r="H67" s="1"/>
      <c r="I67" s="1"/>
    </row>
    <row r="68" spans="1:9">
      <c r="C68" s="1"/>
      <c r="D68" s="1"/>
      <c r="E68" s="1"/>
      <c r="F68" s="1"/>
      <c r="G68" s="1"/>
      <c r="H68" s="1"/>
      <c r="I68" s="1"/>
    </row>
    <row r="69" spans="1:9">
      <c r="C69" s="1"/>
      <c r="D69" s="1"/>
      <c r="E69" s="1"/>
      <c r="F69" s="1"/>
      <c r="G69" s="1"/>
      <c r="H69" s="1"/>
      <c r="I69" s="1"/>
    </row>
    <row r="70" spans="1:9">
      <c r="C70" s="1"/>
      <c r="D70" s="1"/>
      <c r="E70" s="1"/>
      <c r="F70" s="1"/>
      <c r="G70" s="1"/>
      <c r="H70" s="1"/>
      <c r="I70" s="1"/>
    </row>
    <row r="71" spans="1:9">
      <c r="C71" s="1"/>
      <c r="D71" s="1"/>
      <c r="E71" s="1"/>
      <c r="F71" s="1"/>
      <c r="G71" s="1"/>
      <c r="H71" s="1"/>
      <c r="I71" s="1"/>
    </row>
    <row r="72" spans="1:9">
      <c r="C72" s="1"/>
      <c r="D72" s="1"/>
      <c r="E72" s="1"/>
      <c r="F72" s="1"/>
      <c r="G72" s="1"/>
      <c r="H72" s="1"/>
      <c r="I72" s="1"/>
    </row>
    <row r="73" spans="1:9">
      <c r="C73" s="1"/>
      <c r="D73" s="1"/>
      <c r="E73" s="1"/>
      <c r="F73" s="1"/>
      <c r="G73" s="1"/>
      <c r="H73" s="1"/>
      <c r="I73" s="1"/>
    </row>
    <row r="74" spans="1:9">
      <c r="C74" s="1"/>
      <c r="D74" s="1"/>
      <c r="E74" s="1"/>
      <c r="F74" s="1"/>
      <c r="G74" s="1"/>
      <c r="H74" s="1"/>
      <c r="I74" s="1"/>
    </row>
    <row r="75" spans="1:9">
      <c r="C75" s="1"/>
      <c r="D75" s="1"/>
      <c r="E75" s="1"/>
      <c r="F75" s="1"/>
      <c r="G75" s="1"/>
      <c r="H75" s="1"/>
      <c r="I75" s="1"/>
    </row>
    <row r="76" spans="1:9">
      <c r="C76" s="1"/>
      <c r="D76" s="1"/>
      <c r="E76" s="1"/>
      <c r="F76" s="1"/>
      <c r="G76" s="1"/>
      <c r="H76" s="1"/>
      <c r="I76" s="1"/>
    </row>
    <row r="77" spans="1:9">
      <c r="C77" s="1"/>
      <c r="D77" s="1"/>
      <c r="E77" s="1"/>
      <c r="F77" s="1"/>
      <c r="G77" s="1"/>
      <c r="H77" s="1"/>
      <c r="I77" s="1"/>
    </row>
    <row r="78" spans="1:9">
      <c r="C78" s="1"/>
      <c r="D78" s="1"/>
      <c r="E78" s="1"/>
      <c r="F78" s="1"/>
      <c r="G78" s="1"/>
      <c r="H78" s="1"/>
      <c r="I78" s="1"/>
    </row>
    <row r="79" spans="1:9">
      <c r="C79" s="1"/>
      <c r="D79" s="1"/>
      <c r="E79" s="1"/>
      <c r="F79" s="1"/>
      <c r="G79" s="1"/>
      <c r="H79" s="1"/>
      <c r="I79" s="1"/>
    </row>
    <row r="80" spans="1:9">
      <c r="C80" s="1"/>
      <c r="D80" s="1"/>
      <c r="E80" s="1"/>
      <c r="F80" s="1"/>
      <c r="G80" s="1"/>
      <c r="H80" s="1"/>
      <c r="I80" s="1"/>
    </row>
    <row r="81" spans="3:9">
      <c r="C81" s="1"/>
      <c r="D81" s="1"/>
      <c r="E81" s="1"/>
      <c r="F81" s="1"/>
      <c r="G81" s="1"/>
      <c r="H81" s="1"/>
      <c r="I81" s="1"/>
    </row>
    <row r="82" spans="3:9">
      <c r="C82" s="1"/>
      <c r="D82" s="1"/>
      <c r="E82" s="1"/>
      <c r="F82" s="1"/>
      <c r="G82" s="1"/>
      <c r="H82" s="1"/>
      <c r="I82" s="1"/>
    </row>
    <row r="83" spans="3:9">
      <c r="C83" s="1"/>
      <c r="D83" s="1"/>
      <c r="E83" s="1"/>
      <c r="F83" s="1"/>
      <c r="G83" s="1"/>
      <c r="H83" s="1"/>
      <c r="I83" s="1"/>
    </row>
    <row r="84" spans="3:9">
      <c r="C84" s="1"/>
      <c r="D84" s="1"/>
      <c r="E84" s="1"/>
      <c r="F84" s="1"/>
      <c r="G84" s="1"/>
      <c r="H84" s="1"/>
      <c r="I84" s="1"/>
    </row>
    <row r="85" spans="3:9">
      <c r="C85" s="1"/>
      <c r="D85" s="1"/>
      <c r="E85" s="1"/>
      <c r="F85" s="1"/>
      <c r="G85" s="1"/>
      <c r="H85" s="1"/>
      <c r="I85" s="1"/>
    </row>
    <row r="86" spans="3:9">
      <c r="C86" s="1"/>
      <c r="D86" s="1"/>
      <c r="E86" s="1"/>
      <c r="F86" s="1"/>
      <c r="G86" s="1"/>
      <c r="H86" s="1"/>
      <c r="I86" s="1"/>
    </row>
    <row r="87" spans="3:9">
      <c r="C87" s="1"/>
      <c r="D87" s="1"/>
      <c r="E87" s="1"/>
      <c r="F87" s="1"/>
      <c r="G87" s="1"/>
      <c r="H87" s="1"/>
      <c r="I87" s="1"/>
    </row>
    <row r="88" spans="3:9">
      <c r="C88" s="1"/>
      <c r="D88" s="1"/>
      <c r="E88" s="1"/>
      <c r="F88" s="1"/>
      <c r="G88" s="1"/>
      <c r="H88" s="1"/>
      <c r="I88" s="1"/>
    </row>
    <row r="89" spans="3:9">
      <c r="C89" s="1"/>
      <c r="D89" s="1"/>
      <c r="E89" s="1"/>
      <c r="F89" s="1"/>
      <c r="G89" s="1"/>
      <c r="H89" s="1"/>
      <c r="I89" s="1"/>
    </row>
    <row r="90" spans="3:9">
      <c r="C90" s="1"/>
      <c r="D90" s="1"/>
      <c r="E90" s="1"/>
      <c r="F90" s="1"/>
      <c r="G90" s="1"/>
      <c r="H90" s="1"/>
      <c r="I90" s="1"/>
    </row>
    <row r="91" spans="3:9">
      <c r="C91" s="1"/>
      <c r="D91" s="1"/>
      <c r="E91" s="1"/>
      <c r="F91" s="1"/>
      <c r="G91" s="1"/>
      <c r="H91" s="1"/>
      <c r="I91" s="1"/>
    </row>
    <row r="92" spans="3:9">
      <c r="C92" s="1"/>
      <c r="D92" s="1"/>
      <c r="E92" s="1"/>
      <c r="F92" s="1"/>
      <c r="G92" s="1"/>
      <c r="H92" s="1"/>
      <c r="I92" s="1"/>
    </row>
    <row r="93" spans="3:9">
      <c r="C93" s="1"/>
      <c r="D93" s="1"/>
      <c r="E93" s="1"/>
      <c r="F93" s="1"/>
      <c r="G93" s="1"/>
      <c r="H93" s="1"/>
      <c r="I93" s="1"/>
    </row>
    <row r="94" spans="3:9">
      <c r="C94" s="1"/>
      <c r="D94" s="1"/>
      <c r="E94" s="1"/>
      <c r="F94" s="1"/>
      <c r="G94" s="1"/>
      <c r="H94" s="1"/>
      <c r="I94" s="1"/>
    </row>
    <row r="95" spans="3:9">
      <c r="C95" s="1"/>
      <c r="D95" s="1"/>
      <c r="E95" s="1"/>
      <c r="F95" s="1"/>
      <c r="G95" s="1"/>
      <c r="H95" s="1"/>
      <c r="I95" s="1"/>
    </row>
    <row r="96" spans="3:9">
      <c r="C96" s="1"/>
      <c r="D96" s="1"/>
      <c r="E96" s="1"/>
      <c r="F96" s="1"/>
      <c r="G96" s="1"/>
      <c r="H96" s="1"/>
      <c r="I96" s="1"/>
    </row>
    <row r="97" spans="3:9">
      <c r="C97" s="1"/>
      <c r="D97" s="1"/>
      <c r="E97" s="1"/>
      <c r="F97" s="1"/>
      <c r="G97" s="1"/>
      <c r="H97" s="1"/>
      <c r="I97" s="1"/>
    </row>
    <row r="98" spans="3:9">
      <c r="C98" s="1"/>
      <c r="D98" s="1"/>
      <c r="E98" s="1"/>
      <c r="F98" s="1"/>
      <c r="G98" s="1"/>
      <c r="H98" s="1"/>
      <c r="I98" s="1"/>
    </row>
    <row r="99" spans="3:9">
      <c r="C99" s="1"/>
      <c r="D99" s="1"/>
      <c r="E99" s="1"/>
      <c r="F99" s="1"/>
      <c r="G99" s="1"/>
      <c r="H99" s="1"/>
      <c r="I99" s="1"/>
    </row>
    <row r="100" spans="3:9">
      <c r="C100" s="1"/>
      <c r="D100" s="1"/>
      <c r="E100" s="1"/>
      <c r="F100" s="1"/>
      <c r="G100" s="1"/>
      <c r="H100" s="1"/>
      <c r="I100" s="1"/>
    </row>
    <row r="101" spans="3:9">
      <c r="C101" s="1"/>
      <c r="D101" s="1"/>
      <c r="E101" s="1"/>
      <c r="F101" s="1"/>
      <c r="G101" s="1"/>
      <c r="H101" s="1"/>
      <c r="I101" s="1"/>
    </row>
    <row r="102" spans="3:9">
      <c r="C102" s="1"/>
      <c r="D102" s="1"/>
      <c r="E102" s="1"/>
      <c r="F102" s="1"/>
      <c r="G102" s="1"/>
      <c r="H102" s="1"/>
      <c r="I102" s="1"/>
    </row>
    <row r="103" spans="3:9">
      <c r="C103" s="1"/>
      <c r="D103" s="1"/>
      <c r="E103" s="1"/>
      <c r="F103" s="1"/>
      <c r="G103" s="1"/>
      <c r="H103" s="1"/>
      <c r="I103" s="1"/>
    </row>
    <row r="104" spans="3:9">
      <c r="C104" s="1"/>
      <c r="D104" s="1"/>
      <c r="E104" s="1"/>
      <c r="F104" s="1"/>
      <c r="G104" s="1"/>
      <c r="H104" s="1"/>
      <c r="I104" s="1"/>
    </row>
    <row r="105" spans="3:9">
      <c r="C105" s="1"/>
      <c r="D105" s="1"/>
      <c r="E105" s="1"/>
      <c r="F105" s="1"/>
      <c r="G105" s="1"/>
      <c r="H105" s="1"/>
      <c r="I105" s="1"/>
    </row>
    <row r="106" spans="3:9">
      <c r="C106" s="1"/>
      <c r="D106" s="1"/>
      <c r="E106" s="1"/>
      <c r="F106" s="1"/>
      <c r="G106" s="1"/>
      <c r="H106" s="1"/>
      <c r="I106" s="1"/>
    </row>
    <row r="107" spans="3:9">
      <c r="C107" s="1"/>
      <c r="D107" s="1"/>
      <c r="E107" s="1"/>
      <c r="F107" s="1"/>
      <c r="G107" s="1"/>
      <c r="H107" s="1"/>
      <c r="I107" s="1"/>
    </row>
    <row r="108" spans="3:9">
      <c r="C108" s="1"/>
      <c r="D108" s="1"/>
      <c r="E108" s="1"/>
      <c r="F108" s="1"/>
      <c r="G108" s="1"/>
      <c r="H108" s="1"/>
      <c r="I108" s="1"/>
    </row>
    <row r="109" spans="3:9">
      <c r="C109" s="1"/>
      <c r="D109" s="1"/>
      <c r="E109" s="1"/>
      <c r="F109" s="1"/>
      <c r="G109" s="1"/>
      <c r="H109" s="1"/>
      <c r="I109" s="1"/>
    </row>
    <row r="110" spans="3:9">
      <c r="C110" s="1"/>
      <c r="D110" s="1"/>
      <c r="E110" s="1"/>
      <c r="F110" s="1"/>
      <c r="G110" s="1"/>
      <c r="H110" s="1"/>
      <c r="I110" s="1"/>
    </row>
    <row r="111" spans="3:9">
      <c r="C111" s="1"/>
      <c r="D111" s="1"/>
      <c r="E111" s="1"/>
      <c r="F111" s="1"/>
      <c r="G111" s="1"/>
      <c r="H111" s="1"/>
      <c r="I111" s="1"/>
    </row>
    <row r="112" spans="3:9">
      <c r="C112" s="1"/>
      <c r="D112" s="1"/>
      <c r="E112" s="1"/>
      <c r="F112" s="1"/>
      <c r="G112" s="1"/>
      <c r="H112" s="1"/>
      <c r="I112" s="1"/>
    </row>
    <row r="113" spans="3:9">
      <c r="C113" s="1"/>
      <c r="D113" s="1"/>
      <c r="E113" s="1"/>
      <c r="F113" s="1"/>
      <c r="G113" s="1"/>
      <c r="H113" s="1"/>
      <c r="I113" s="1"/>
    </row>
    <row r="114" spans="3:9">
      <c r="C114" s="1"/>
      <c r="D114" s="1"/>
      <c r="E114" s="1"/>
      <c r="F114" s="1"/>
      <c r="G114" s="1"/>
      <c r="H114" s="1"/>
      <c r="I114" s="1"/>
    </row>
    <row r="115" spans="3:9">
      <c r="C115" s="1"/>
      <c r="D115" s="1"/>
      <c r="E115" s="1"/>
      <c r="F115" s="1"/>
      <c r="G115" s="1"/>
      <c r="H115" s="1"/>
      <c r="I115" s="1"/>
    </row>
    <row r="116" spans="3:9">
      <c r="C116" s="1"/>
      <c r="D116" s="1"/>
      <c r="E116" s="1"/>
      <c r="F116" s="1"/>
      <c r="G116" s="1"/>
      <c r="H116" s="1"/>
      <c r="I116" s="1"/>
    </row>
    <row r="117" spans="3:9">
      <c r="C117" s="1"/>
      <c r="D117" s="1"/>
      <c r="E117" s="1"/>
      <c r="F117" s="1"/>
      <c r="G117" s="1"/>
      <c r="H117" s="1"/>
      <c r="I117" s="1"/>
    </row>
    <row r="118" spans="3:9">
      <c r="C118" s="1"/>
      <c r="D118" s="1"/>
      <c r="E118" s="1"/>
      <c r="F118" s="1"/>
      <c r="G118" s="1"/>
      <c r="H118" s="1"/>
      <c r="I118" s="1"/>
    </row>
    <row r="119" spans="3:9">
      <c r="C119" s="1"/>
      <c r="D119" s="1"/>
      <c r="E119" s="1"/>
      <c r="F119" s="1"/>
      <c r="G119" s="1"/>
      <c r="H119" s="1"/>
      <c r="I119" s="1"/>
    </row>
    <row r="120" spans="3:9">
      <c r="C120" s="1"/>
      <c r="D120" s="1"/>
      <c r="E120" s="1"/>
      <c r="F120" s="1"/>
      <c r="G120" s="1"/>
      <c r="H120" s="1"/>
      <c r="I120" s="1"/>
    </row>
    <row r="121" spans="3:9">
      <c r="C121" s="1"/>
      <c r="D121" s="1"/>
      <c r="E121" s="1"/>
      <c r="F121" s="1"/>
      <c r="G121" s="1"/>
      <c r="H121" s="1"/>
      <c r="I121" s="1"/>
    </row>
    <row r="122" spans="3:9">
      <c r="C122" s="1"/>
      <c r="D122" s="1"/>
      <c r="E122" s="1"/>
      <c r="F122" s="1"/>
      <c r="G122" s="1"/>
      <c r="H122" s="1"/>
      <c r="I122" s="1"/>
    </row>
    <row r="123" spans="3:9">
      <c r="C123" s="1"/>
      <c r="D123" s="1"/>
      <c r="E123" s="1"/>
      <c r="F123" s="1"/>
      <c r="G123" s="1"/>
      <c r="H123" s="1"/>
      <c r="I123" s="1"/>
    </row>
    <row r="124" spans="3:9">
      <c r="C124" s="1"/>
      <c r="D124" s="1"/>
      <c r="E124" s="1"/>
      <c r="F124" s="1"/>
      <c r="G124" s="1"/>
      <c r="H124" s="1"/>
      <c r="I124" s="1"/>
    </row>
    <row r="125" spans="3:9">
      <c r="C125" s="1"/>
      <c r="D125" s="1"/>
      <c r="E125" s="1"/>
      <c r="F125" s="1"/>
      <c r="G125" s="1"/>
      <c r="H125" s="1"/>
      <c r="I125" s="1"/>
    </row>
    <row r="126" spans="3:9">
      <c r="C126" s="1"/>
      <c r="D126" s="1"/>
      <c r="E126" s="1"/>
      <c r="F126" s="1"/>
      <c r="G126" s="1"/>
      <c r="H126" s="1"/>
      <c r="I126" s="1"/>
    </row>
    <row r="127" spans="3:9">
      <c r="C127" s="1"/>
      <c r="D127" s="1"/>
      <c r="E127" s="1"/>
      <c r="F127" s="1"/>
      <c r="G127" s="1"/>
      <c r="H127" s="1"/>
      <c r="I127" s="1"/>
    </row>
    <row r="128" spans="3:9">
      <c r="C128" s="1"/>
      <c r="D128" s="1"/>
      <c r="E128" s="1"/>
      <c r="F128" s="1"/>
      <c r="G128" s="1"/>
      <c r="H128" s="1"/>
      <c r="I128" s="1"/>
    </row>
    <row r="129" spans="3:9">
      <c r="C129" s="1"/>
      <c r="D129" s="1"/>
      <c r="E129" s="1"/>
      <c r="F129" s="1"/>
      <c r="G129" s="1"/>
      <c r="H129" s="1"/>
      <c r="I129" s="1"/>
    </row>
    <row r="130" spans="3:9">
      <c r="C130" s="1"/>
      <c r="D130" s="1"/>
      <c r="E130" s="1"/>
      <c r="F130" s="1"/>
      <c r="G130" s="1"/>
      <c r="H130" s="1"/>
      <c r="I130" s="1"/>
    </row>
    <row r="131" spans="3:9">
      <c r="C131" s="1"/>
      <c r="D131" s="1"/>
      <c r="E131" s="1"/>
      <c r="F131" s="1"/>
      <c r="G131" s="1"/>
      <c r="H131" s="1"/>
      <c r="I131" s="1"/>
    </row>
    <row r="132" spans="3:9">
      <c r="C132" s="1"/>
      <c r="D132" s="1"/>
      <c r="E132" s="1"/>
      <c r="F132" s="1"/>
      <c r="G132" s="1"/>
      <c r="H132" s="1"/>
      <c r="I132" s="1"/>
    </row>
    <row r="133" spans="3:9">
      <c r="C133" s="1"/>
      <c r="D133" s="1"/>
      <c r="E133" s="1"/>
      <c r="F133" s="1"/>
      <c r="G133" s="1"/>
      <c r="H133" s="1"/>
      <c r="I133" s="1"/>
    </row>
    <row r="134" spans="3:9">
      <c r="C134" s="1"/>
      <c r="D134" s="1"/>
      <c r="E134" s="1"/>
      <c r="F134" s="1"/>
      <c r="G134" s="1"/>
      <c r="H134" s="1"/>
      <c r="I134" s="1"/>
    </row>
    <row r="135" spans="3:9">
      <c r="C135" s="1"/>
      <c r="D135" s="1"/>
      <c r="E135" s="1"/>
      <c r="F135" s="1"/>
      <c r="G135" s="1"/>
      <c r="H135" s="1"/>
      <c r="I135" s="1"/>
    </row>
    <row r="136" spans="3:9">
      <c r="C136" s="1"/>
      <c r="D136" s="1"/>
      <c r="E136" s="1"/>
      <c r="F136" s="1"/>
      <c r="G136" s="1"/>
      <c r="H136" s="1"/>
      <c r="I136" s="1"/>
    </row>
    <row r="137" spans="3:9">
      <c r="C137" s="1"/>
      <c r="D137" s="1"/>
      <c r="E137" s="1"/>
      <c r="F137" s="1"/>
      <c r="G137" s="1"/>
      <c r="H137" s="1"/>
      <c r="I137" s="1"/>
    </row>
  </sheetData>
  <mergeCells count="4">
    <mergeCell ref="C37:E37"/>
    <mergeCell ref="G6:I6"/>
    <mergeCell ref="G37:I37"/>
    <mergeCell ref="C6:E6"/>
  </mergeCells>
  <printOptions horizontalCentered="1"/>
  <pageMargins left="0.25" right="0.25" top="0.25" bottom="0.25" header="0.25" footer="0.25"/>
  <pageSetup scale="110" orientation="landscape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338" t="s">
        <v>70</v>
      </c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</row>
    <row r="2" spans="1:40" ht="15">
      <c r="A2" s="10" t="s">
        <v>45</v>
      </c>
      <c r="B2" s="339" t="s">
        <v>67</v>
      </c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</row>
    <row r="3" spans="1:40">
      <c r="A3" s="10" t="s">
        <v>46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5" t="s">
        <v>65</v>
      </c>
      <c r="E6" s="336"/>
      <c r="F6" s="337"/>
      <c r="G6" s="1"/>
      <c r="H6" s="335" t="s">
        <v>66</v>
      </c>
      <c r="I6" s="336"/>
      <c r="J6" s="337"/>
      <c r="K6" s="1"/>
      <c r="L6" s="335" t="s">
        <v>38</v>
      </c>
      <c r="M6" s="336"/>
      <c r="N6" s="337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>
        <f>_xll.HPVAL($A10,$A$18,$A$2,$A$5,$A$6,$A$7)</f>
        <v>0</v>
      </c>
      <c r="E10" s="161">
        <f>_xll.HPVAL($A10,$A$18,$A$3,$A$5,$A$6,$A$7)</f>
        <v>0</v>
      </c>
      <c r="F10" s="162">
        <f t="shared" si="0"/>
        <v>0</v>
      </c>
      <c r="G10" s="52"/>
      <c r="H10" s="160">
        <f>_xll.HPVAL($A10,$A$1,$A$2,$A$5,$A$6,$A$7)</f>
        <v>24</v>
      </c>
      <c r="I10" s="161">
        <f>_xll.HPVAL($A10,$A$1,$A$3,$A$5,$A$6,$A$7)</f>
        <v>17</v>
      </c>
      <c r="J10" s="162">
        <f t="shared" si="1"/>
        <v>41</v>
      </c>
      <c r="K10" s="50"/>
      <c r="L10" s="160">
        <f t="shared" si="2"/>
        <v>-24</v>
      </c>
      <c r="M10" s="161">
        <f t="shared" si="3"/>
        <v>-17</v>
      </c>
      <c r="N10" s="162">
        <f t="shared" si="4"/>
        <v>-41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>
        <f>_xll.HPVAL($A11,$A$18,$A$2,$A$5,$A$6,$A$7)</f>
        <v>0</v>
      </c>
      <c r="E11" s="161">
        <f>_xll.HPVAL($A11,$A$18,$A$3,$A$5,$A$6,$A$7)</f>
        <v>0</v>
      </c>
      <c r="F11" s="162">
        <f t="shared" si="0"/>
        <v>0</v>
      </c>
      <c r="G11" s="52"/>
      <c r="H11" s="160">
        <f>_xll.HPVAL($A11,$A$1,$A$2,$A$5,$A$6,$A$7)</f>
        <v>1</v>
      </c>
      <c r="I11" s="161">
        <f>_xll.HPVAL($A11,$A$1,$A$3,$A$5,$A$6,$A$7)</f>
        <v>1</v>
      </c>
      <c r="J11" s="162">
        <f t="shared" si="1"/>
        <v>2</v>
      </c>
      <c r="K11" s="50"/>
      <c r="L11" s="160">
        <f t="shared" si="2"/>
        <v>-1</v>
      </c>
      <c r="M11" s="161">
        <f t="shared" si="3"/>
        <v>-1</v>
      </c>
      <c r="N11" s="162">
        <f t="shared" si="4"/>
        <v>-2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>
        <f>_xll.HPVAL($A12,$A$18,$A$2,$A$5,$A$6,$A$7)</f>
        <v>0</v>
      </c>
      <c r="E12" s="161">
        <f>_xll.HPVAL($A12,$A$18,$A$3,$A$5,$A$6,$A$7)</f>
        <v>0</v>
      </c>
      <c r="F12" s="162">
        <f t="shared" si="0"/>
        <v>0</v>
      </c>
      <c r="G12" s="52"/>
      <c r="H12" s="160">
        <f>_xll.HPVAL($A12,$A$1,$A$2,$A$5,$A$6,$A$7)</f>
        <v>9</v>
      </c>
      <c r="I12" s="161">
        <f>_xll.HPVAL($A12,$A$1,$A$3,$A$5,$A$6,$A$7)</f>
        <v>14</v>
      </c>
      <c r="J12" s="162">
        <f t="shared" si="1"/>
        <v>23</v>
      </c>
      <c r="K12" s="50"/>
      <c r="L12" s="160">
        <f t="shared" si="2"/>
        <v>-9</v>
      </c>
      <c r="M12" s="161">
        <f t="shared" si="3"/>
        <v>-14</v>
      </c>
      <c r="N12" s="162">
        <f t="shared" si="4"/>
        <v>-23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>
        <f>_xll.HPVAL($A13,$A$18,$A$2,$A$5,$A$6,$A$7)</f>
        <v>0</v>
      </c>
      <c r="E13" s="161">
        <f>_xll.HPVAL($A13,$A$18,$A$3,$A$5,$A$6,$A$7)</f>
        <v>0</v>
      </c>
      <c r="F13" s="162">
        <f t="shared" si="0"/>
        <v>0</v>
      </c>
      <c r="G13" s="52"/>
      <c r="H13" s="160">
        <f>_xll.HPVAL($A13,$A$1,$A$2,$A$5,$A$6,$A$7)</f>
        <v>12</v>
      </c>
      <c r="I13" s="161">
        <f>_xll.HPVAL($A13,$A$1,$A$3,$A$5,$A$6,$A$7)</f>
        <v>15</v>
      </c>
      <c r="J13" s="162">
        <f t="shared" si="1"/>
        <v>27</v>
      </c>
      <c r="K13" s="50"/>
      <c r="L13" s="160">
        <f t="shared" si="2"/>
        <v>-12</v>
      </c>
      <c r="M13" s="161">
        <f t="shared" si="3"/>
        <v>-15</v>
      </c>
      <c r="N13" s="162">
        <f t="shared" si="4"/>
        <v>-27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>
        <f>_xll.HPVAL($A14,$A$18,$A$2,$A$5,$A$6,$A$7)</f>
        <v>0</v>
      </c>
      <c r="E14" s="161">
        <f>_xll.HPVAL($A14,$A$18,$A$3,$A$5,$A$6,$A$7)</f>
        <v>0</v>
      </c>
      <c r="F14" s="162">
        <f t="shared" si="0"/>
        <v>0</v>
      </c>
      <c r="G14" s="52"/>
      <c r="H14" s="160">
        <f>_xll.HPVAL($A14,$A$1,$A$2,$A$5,$A$6,$A$7)</f>
        <v>10</v>
      </c>
      <c r="I14" s="161">
        <f>_xll.HPVAL($A14,$A$1,$A$3,$A$5,$A$6,$A$7)</f>
        <v>8</v>
      </c>
      <c r="J14" s="162">
        <f t="shared" si="1"/>
        <v>18</v>
      </c>
      <c r="K14" s="50"/>
      <c r="L14" s="160">
        <f t="shared" si="2"/>
        <v>-10</v>
      </c>
      <c r="M14" s="161">
        <f t="shared" si="3"/>
        <v>-8</v>
      </c>
      <c r="N14" s="162">
        <f t="shared" si="4"/>
        <v>-18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>
        <f>SUM(D9:D17)</f>
        <v>0</v>
      </c>
      <c r="E18" s="77">
        <f>SUM(E9:E17)</f>
        <v>0</v>
      </c>
      <c r="F18" s="78">
        <f>SUM(F9:F16)</f>
        <v>0</v>
      </c>
      <c r="G18" s="52"/>
      <c r="H18" s="76">
        <f>SUM(H9:H17)</f>
        <v>56</v>
      </c>
      <c r="I18" s="77">
        <f>SUM(I9:I17)</f>
        <v>55</v>
      </c>
      <c r="J18" s="78">
        <f>SUM(J9:J16)</f>
        <v>111</v>
      </c>
      <c r="K18" s="50"/>
      <c r="L18" s="76">
        <f>SUM(L9:L17)</f>
        <v>-56</v>
      </c>
      <c r="M18" s="77">
        <f>SUM(M9:M17)</f>
        <v>-55</v>
      </c>
      <c r="N18" s="78">
        <f>SUM(N9:N16)</f>
        <v>-111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V28"/>
  <sheetViews>
    <sheetView zoomScale="95" workbookViewId="0">
      <selection activeCell="C29" sqref="C29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87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92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December 7, 2000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7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90</v>
      </c>
      <c r="H5" s="232"/>
      <c r="I5" s="233"/>
      <c r="J5" s="203"/>
      <c r="K5" s="314" t="s">
        <v>88</v>
      </c>
      <c r="L5" s="315"/>
      <c r="M5" s="316"/>
      <c r="N5" s="293"/>
      <c r="O5" s="314" t="s">
        <v>145</v>
      </c>
      <c r="P5" s="315"/>
      <c r="Q5" s="316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94"/>
      <c r="O6" s="207" t="s">
        <v>13</v>
      </c>
      <c r="P6" s="208" t="s">
        <v>146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94"/>
      <c r="O7" s="212"/>
      <c r="P7" s="18"/>
      <c r="Q7" s="213"/>
    </row>
    <row r="8" spans="1:22" s="32" customFormat="1" ht="13.5" customHeight="1">
      <c r="A8" s="223" t="s">
        <v>1</v>
      </c>
      <c r="B8" s="224"/>
      <c r="C8" s="225">
        <f>+'Mgmt Summary'!J10</f>
        <v>7127.7023100000006</v>
      </c>
      <c r="D8" s="226">
        <f>+'Mgmt Summary'!C10</f>
        <v>12747.159</v>
      </c>
      <c r="E8" s="227">
        <f>-D8+C8</f>
        <v>-5619.4566899999991</v>
      </c>
      <c r="F8" s="228"/>
      <c r="G8" s="225">
        <f>+Expenses!D10+'CapChrg-AllocExp'!K11+'CapChrg-AllocExp'!D11</f>
        <v>4677.8999999999996</v>
      </c>
      <c r="H8" s="226">
        <f>+Expenses!E10+'CapChrg-AllocExp'!L11+'CapChrg-AllocExp'!E11</f>
        <v>5246.9</v>
      </c>
      <c r="I8" s="227">
        <f>+H8-G8</f>
        <v>569</v>
      </c>
      <c r="J8" s="228"/>
      <c r="K8" s="225">
        <f t="shared" ref="K8:L12" si="0">C8-G8</f>
        <v>2449.8023100000009</v>
      </c>
      <c r="L8" s="226">
        <f t="shared" si="0"/>
        <v>7500.259</v>
      </c>
      <c r="M8" s="227">
        <f>K8-L8</f>
        <v>-5050.4566899999991</v>
      </c>
      <c r="N8" s="295"/>
      <c r="O8" s="225">
        <f>+C8-'[3]QTD Mgmt Summary'!C9</f>
        <v>2577.4239200000002</v>
      </c>
      <c r="P8" s="226">
        <f>+G8-'[3]QTD Mgmt Summary'!G9</f>
        <v>0</v>
      </c>
      <c r="Q8" s="227">
        <f>O8-P8</f>
        <v>2577.4239200000002</v>
      </c>
    </row>
    <row r="9" spans="1:22" s="32" customFormat="1" ht="13.5" customHeight="1">
      <c r="A9" s="223" t="s">
        <v>44</v>
      </c>
      <c r="B9" s="224"/>
      <c r="C9" s="225">
        <f>+'Mgmt Summary'!J11</f>
        <v>6768</v>
      </c>
      <c r="D9" s="226">
        <f>+'Mgmt Summary'!C11</f>
        <v>750</v>
      </c>
      <c r="E9" s="227">
        <f>-D9+C9</f>
        <v>6018</v>
      </c>
      <c r="F9" s="228"/>
      <c r="G9" s="225">
        <f>+Expenses!D11+'CapChrg-AllocExp'!K12+'CapChrg-AllocExp'!D12</f>
        <v>1698.6</v>
      </c>
      <c r="H9" s="226">
        <f>+Expenses!E11+'CapChrg-AllocExp'!L12+'CapChrg-AllocExp'!E12</f>
        <v>378.6</v>
      </c>
      <c r="I9" s="227">
        <f>+H9-G9</f>
        <v>-1320</v>
      </c>
      <c r="J9" s="228"/>
      <c r="K9" s="225">
        <f t="shared" si="0"/>
        <v>5069.3999999999996</v>
      </c>
      <c r="L9" s="226">
        <f t="shared" si="0"/>
        <v>371.4</v>
      </c>
      <c r="M9" s="227">
        <f>K9-L9</f>
        <v>4698</v>
      </c>
      <c r="N9" s="295"/>
      <c r="O9" s="225">
        <f>+C9-'[3]QTD Mgmt Summary'!C10</f>
        <v>1418</v>
      </c>
      <c r="P9" s="226">
        <f>+G9-'[3]QTD Mgmt Summary'!G10</f>
        <v>200</v>
      </c>
      <c r="Q9" s="227">
        <f>O9-P9</f>
        <v>1218</v>
      </c>
    </row>
    <row r="10" spans="1:22" s="32" customFormat="1" ht="13.5" customHeight="1">
      <c r="A10" s="223" t="s">
        <v>64</v>
      </c>
      <c r="B10" s="224"/>
      <c r="C10" s="225">
        <f>+'Mgmt Summary'!J12</f>
        <v>3217</v>
      </c>
      <c r="D10" s="226">
        <f>+'Mgmt Summary'!C12</f>
        <v>3214.846</v>
      </c>
      <c r="E10" s="227">
        <f>-D10+C10</f>
        <v>2.1539999999999964</v>
      </c>
      <c r="F10" s="228"/>
      <c r="G10" s="225">
        <f>+Expenses!D12+'CapChrg-AllocExp'!K13+'CapChrg-AllocExp'!D13</f>
        <v>1714.8000000000002</v>
      </c>
      <c r="H10" s="226">
        <f>+Expenses!E12+'CapChrg-AllocExp'!L13+'CapChrg-AllocExp'!E13</f>
        <v>1714.8000000000002</v>
      </c>
      <c r="I10" s="227">
        <f>+H10-G10</f>
        <v>0</v>
      </c>
      <c r="J10" s="228"/>
      <c r="K10" s="225">
        <f t="shared" si="0"/>
        <v>1502.1999999999998</v>
      </c>
      <c r="L10" s="226">
        <f t="shared" si="0"/>
        <v>1500.0459999999998</v>
      </c>
      <c r="M10" s="227">
        <f>K10-L10</f>
        <v>2.1539999999999964</v>
      </c>
      <c r="N10" s="295"/>
      <c r="O10" s="225">
        <f>+C10-'[3]QTD Mgmt Summary'!C11</f>
        <v>856</v>
      </c>
      <c r="P10" s="226">
        <f>+G10-'[3]QTD Mgmt Summary'!G11</f>
        <v>0</v>
      </c>
      <c r="Q10" s="227">
        <f>O10-P10</f>
        <v>856</v>
      </c>
    </row>
    <row r="11" spans="1:22" s="32" customFormat="1" ht="13.5" customHeight="1">
      <c r="A11" s="223" t="s">
        <v>71</v>
      </c>
      <c r="B11" s="224"/>
      <c r="C11" s="225">
        <f>+'Mgmt Summary'!J13</f>
        <v>0</v>
      </c>
      <c r="D11" s="226">
        <f>+'Mgmt Summary'!C13</f>
        <v>7712.2910000000002</v>
      </c>
      <c r="E11" s="227">
        <f>-D11+C11</f>
        <v>-7712.2910000000002</v>
      </c>
      <c r="F11" s="228"/>
      <c r="G11" s="225">
        <f>+Expenses!D13+'CapChrg-AllocExp'!K14+'CapChrg-AllocExp'!D14</f>
        <v>1929.5</v>
      </c>
      <c r="H11" s="226">
        <f>+Expenses!E13+'CapChrg-AllocExp'!L14+'CapChrg-AllocExp'!E14</f>
        <v>1679.5</v>
      </c>
      <c r="I11" s="227">
        <f>+H11-G11</f>
        <v>-250</v>
      </c>
      <c r="J11" s="228"/>
      <c r="K11" s="225">
        <f t="shared" si="0"/>
        <v>-1929.5</v>
      </c>
      <c r="L11" s="226">
        <f t="shared" si="0"/>
        <v>6032.7910000000002</v>
      </c>
      <c r="M11" s="227">
        <f>K11-L11</f>
        <v>-7962.2910000000002</v>
      </c>
      <c r="N11" s="295"/>
      <c r="O11" s="225">
        <f>+C11-'[3]QTD Mgmt Summary'!C12</f>
        <v>0</v>
      </c>
      <c r="P11" s="226">
        <f>+G11-'[3]QTD Mgmt Summary'!G12</f>
        <v>250</v>
      </c>
      <c r="Q11" s="227">
        <f>O11-P11</f>
        <v>-250</v>
      </c>
    </row>
    <row r="12" spans="1:22" s="32" customFormat="1" ht="13.5" customHeight="1">
      <c r="A12" s="223" t="s">
        <v>50</v>
      </c>
      <c r="B12" s="224"/>
      <c r="C12" s="225">
        <f>+'Mgmt Summary'!J14</f>
        <v>125.49299999999994</v>
      </c>
      <c r="D12" s="226">
        <f>+'Mgmt Summary'!C14</f>
        <v>11483.213</v>
      </c>
      <c r="E12" s="227">
        <f>-D12+C12</f>
        <v>-11357.72</v>
      </c>
      <c r="F12" s="228"/>
      <c r="G12" s="225">
        <f>+Expenses!D14+'CapChrg-AllocExp'!K15+'CapChrg-AllocExp'!D15</f>
        <v>1807.1410000000001</v>
      </c>
      <c r="H12" s="226">
        <f>+Expenses!E14+'CapChrg-AllocExp'!L15+'CapChrg-AllocExp'!E15</f>
        <v>1807.1410000000001</v>
      </c>
      <c r="I12" s="227">
        <f>+H12-G12</f>
        <v>0</v>
      </c>
      <c r="J12" s="228"/>
      <c r="K12" s="225">
        <f t="shared" si="0"/>
        <v>-1681.6480000000001</v>
      </c>
      <c r="L12" s="226">
        <f t="shared" si="0"/>
        <v>9676.0720000000001</v>
      </c>
      <c r="M12" s="227">
        <f>K12-L12</f>
        <v>-11357.720000000001</v>
      </c>
      <c r="N12" s="295"/>
      <c r="O12" s="225">
        <f>+C12-'[3]QTD Mgmt Summary'!C13</f>
        <v>121.17899999999986</v>
      </c>
      <c r="P12" s="226">
        <f>+G12-'[3]QTD Mgmt Summary'!G13</f>
        <v>0</v>
      </c>
      <c r="Q12" s="227">
        <f>O12-P12</f>
        <v>121.17899999999986</v>
      </c>
    </row>
    <row r="13" spans="1:22" ht="4.5" customHeight="1">
      <c r="A13" s="211"/>
      <c r="B13" s="206"/>
      <c r="C13" s="215"/>
      <c r="D13" s="216"/>
      <c r="E13" s="217"/>
      <c r="F13" s="218"/>
      <c r="G13" s="221"/>
      <c r="H13" s="216"/>
      <c r="I13" s="217"/>
      <c r="J13" s="218"/>
      <c r="K13" s="215"/>
      <c r="L13" s="216"/>
      <c r="M13" s="217"/>
      <c r="N13" s="294"/>
      <c r="O13" s="215"/>
      <c r="P13" s="216"/>
      <c r="Q13" s="217"/>
    </row>
    <row r="14" spans="1:22" s="220" customFormat="1" ht="16.5">
      <c r="A14" s="229" t="s">
        <v>3</v>
      </c>
      <c r="B14" s="219"/>
      <c r="C14" s="234">
        <f t="shared" ref="C14:M14" si="1">SUM(C8:C13)</f>
        <v>17238.195309999999</v>
      </c>
      <c r="D14" s="235">
        <f t="shared" si="1"/>
        <v>35907.509000000005</v>
      </c>
      <c r="E14" s="236">
        <f t="shared" si="1"/>
        <v>-18669.313689999999</v>
      </c>
      <c r="F14" s="237">
        <f t="shared" si="1"/>
        <v>0</v>
      </c>
      <c r="G14" s="234">
        <f t="shared" si="1"/>
        <v>11827.940999999999</v>
      </c>
      <c r="H14" s="235">
        <f t="shared" si="1"/>
        <v>10826.940999999999</v>
      </c>
      <c r="I14" s="236">
        <f t="shared" si="1"/>
        <v>-1001</v>
      </c>
      <c r="J14" s="237">
        <f t="shared" si="1"/>
        <v>0</v>
      </c>
      <c r="K14" s="234">
        <f t="shared" si="1"/>
        <v>5410.2543100000012</v>
      </c>
      <c r="L14" s="235">
        <f t="shared" si="1"/>
        <v>25080.567999999999</v>
      </c>
      <c r="M14" s="236">
        <f t="shared" si="1"/>
        <v>-19670.313690000003</v>
      </c>
      <c r="N14" s="296"/>
      <c r="O14" s="234">
        <f>SUM(O8:O13)</f>
        <v>4972.6029200000003</v>
      </c>
      <c r="P14" s="235">
        <f>SUM(P8:P13)</f>
        <v>450</v>
      </c>
      <c r="Q14" s="236">
        <f>SUM(Q8:Q13)</f>
        <v>4522.6029200000003</v>
      </c>
    </row>
    <row r="15" spans="1:22" ht="4.5" customHeight="1">
      <c r="A15" s="211"/>
      <c r="B15" s="206"/>
      <c r="C15" s="215"/>
      <c r="D15" s="216"/>
      <c r="E15" s="217"/>
      <c r="F15" s="218"/>
      <c r="G15" s="221"/>
      <c r="H15" s="216"/>
      <c r="I15" s="217"/>
      <c r="J15" s="218"/>
      <c r="K15" s="215"/>
      <c r="L15" s="216"/>
      <c r="M15" s="217"/>
      <c r="N15" s="294"/>
      <c r="O15" s="215"/>
      <c r="P15" s="216"/>
      <c r="Q15" s="217"/>
    </row>
    <row r="16" spans="1:22" s="32" customFormat="1" ht="13.5" customHeight="1">
      <c r="A16" s="223" t="s">
        <v>112</v>
      </c>
      <c r="B16" s="224"/>
      <c r="C16" s="225">
        <v>0</v>
      </c>
      <c r="D16" s="226">
        <v>0</v>
      </c>
      <c r="E16" s="227">
        <f>-D16+C16</f>
        <v>0</v>
      </c>
      <c r="F16" s="228"/>
      <c r="G16" s="225">
        <f>+Expenses!D10+Expenses!D11+Expenses!D12+Expenses!D13+Expenses!D14+'CapChrg-AllocExp'!D11+'CapChrg-AllocExp'!K11+'CapChrg-AllocExp'!K12+'CapChrg-AllocExp'!K13+'CapChrg-AllocExp'!K14+'CapChrg-AllocExp'!K15</f>
        <v>11827.941000000001</v>
      </c>
      <c r="H16" s="226">
        <f>+Expenses!E10+Expenses!E11+Expenses!E12+Expenses!E13+Expenses!E14+'CapChrg-AllocExp'!E11+'CapChrg-AllocExp'!L11+'CapChrg-AllocExp'!L12+'CapChrg-AllocExp'!L13+'CapChrg-AllocExp'!L14+'CapChrg-AllocExp'!L15</f>
        <v>10826.941000000001</v>
      </c>
      <c r="I16" s="227">
        <f>+H16-G16</f>
        <v>-1001</v>
      </c>
      <c r="J16" s="228"/>
      <c r="K16" s="225">
        <f t="shared" ref="K16:L19" si="2">C16-G16</f>
        <v>-11827.941000000001</v>
      </c>
      <c r="L16" s="226">
        <f t="shared" si="2"/>
        <v>-10826.941000000001</v>
      </c>
      <c r="M16" s="227">
        <f>K16-L16</f>
        <v>-1001</v>
      </c>
      <c r="N16" s="295"/>
      <c r="O16" s="225">
        <f>+C16-'[3]QTD Mgmt Summary'!C29</f>
        <v>0</v>
      </c>
      <c r="P16" s="226">
        <f>+G16-'[3]QTD Mgmt Summary'!G29</f>
        <v>-19107.000999999997</v>
      </c>
      <c r="Q16" s="227">
        <f>O16-P16</f>
        <v>19107.000999999997</v>
      </c>
    </row>
    <row r="17" spans="1:17" s="32" customFormat="1" ht="13.5" customHeight="1">
      <c r="A17" s="223" t="s">
        <v>103</v>
      </c>
      <c r="B17" s="224"/>
      <c r="C17" s="225">
        <v>0</v>
      </c>
      <c r="D17" s="226">
        <v>0</v>
      </c>
      <c r="E17" s="227">
        <f>-D17+C17</f>
        <v>0</v>
      </c>
      <c r="F17" s="228"/>
      <c r="G17" s="225">
        <f>-G16</f>
        <v>-11827.941000000001</v>
      </c>
      <c r="H17" s="226">
        <f>-H16</f>
        <v>-10826.941000000001</v>
      </c>
      <c r="I17" s="227">
        <f>+H17-G17</f>
        <v>1001</v>
      </c>
      <c r="J17" s="228"/>
      <c r="K17" s="225">
        <f t="shared" si="2"/>
        <v>11827.941000000001</v>
      </c>
      <c r="L17" s="226">
        <f t="shared" si="2"/>
        <v>10826.941000000001</v>
      </c>
      <c r="M17" s="227">
        <f>K17-L17</f>
        <v>1001</v>
      </c>
      <c r="N17" s="295"/>
      <c r="O17" s="225">
        <f>+C17-'[3]QTD Mgmt Summary'!C30</f>
        <v>0</v>
      </c>
      <c r="P17" s="226">
        <f>+G17-'[3]QTD Mgmt Summary'!G30</f>
        <v>622.47400000000016</v>
      </c>
      <c r="Q17" s="227">
        <f>O17-P17</f>
        <v>-622.47400000000016</v>
      </c>
    </row>
    <row r="18" spans="1:17" s="32" customFormat="1" ht="13.5" customHeight="1">
      <c r="A18" s="223" t="s">
        <v>10</v>
      </c>
      <c r="B18" s="224"/>
      <c r="C18" s="225">
        <f>+'Mgmt Summary'!J32</f>
        <v>-520</v>
      </c>
      <c r="D18" s="226">
        <f>+'Mgmt Summary'!C32</f>
        <v>-520</v>
      </c>
      <c r="E18" s="227">
        <f>-D18+C18</f>
        <v>0</v>
      </c>
      <c r="F18" s="228"/>
      <c r="G18" s="225">
        <f>+Expenses!D30</f>
        <v>0</v>
      </c>
      <c r="H18" s="226">
        <f>+Expenses!E30</f>
        <v>0</v>
      </c>
      <c r="I18" s="227">
        <f>+H18-G18</f>
        <v>0</v>
      </c>
      <c r="J18" s="228"/>
      <c r="K18" s="225">
        <f t="shared" si="2"/>
        <v>-520</v>
      </c>
      <c r="L18" s="226">
        <f t="shared" si="2"/>
        <v>-520</v>
      </c>
      <c r="M18" s="227">
        <f>K18-L18</f>
        <v>0</v>
      </c>
      <c r="N18" s="295"/>
      <c r="O18" s="225">
        <f>+C18-'[3]QTD Mgmt Summary'!C31</f>
        <v>0</v>
      </c>
      <c r="P18" s="226">
        <f>+G18-'[3]QTD Mgmt Summary'!G31</f>
        <v>0</v>
      </c>
      <c r="Q18" s="227">
        <f>O18-P18</f>
        <v>0</v>
      </c>
    </row>
    <row r="19" spans="1:17" s="32" customFormat="1" ht="13.5" customHeight="1">
      <c r="A19" s="223" t="s">
        <v>35</v>
      </c>
      <c r="B19" s="224"/>
      <c r="C19" s="225">
        <f>+'Mgmt Summary'!J33</f>
        <v>0</v>
      </c>
      <c r="D19" s="226">
        <f>+'Mgmt Summary'!C33</f>
        <v>0</v>
      </c>
      <c r="E19" s="227">
        <f>-D19+C19</f>
        <v>0</v>
      </c>
      <c r="F19" s="228"/>
      <c r="G19" s="225">
        <f>-'CapChrg-AllocExp'!D11</f>
        <v>-658</v>
      </c>
      <c r="H19" s="226">
        <f>-'CapChrg-AllocExp'!E11</f>
        <v>-847</v>
      </c>
      <c r="I19" s="227">
        <f>+H19-G19</f>
        <v>-189</v>
      </c>
      <c r="J19" s="228"/>
      <c r="K19" s="225">
        <f t="shared" si="2"/>
        <v>658</v>
      </c>
      <c r="L19" s="226">
        <f t="shared" si="2"/>
        <v>847</v>
      </c>
      <c r="M19" s="227">
        <f>K19-L19</f>
        <v>-189</v>
      </c>
      <c r="N19" s="295"/>
      <c r="O19" s="225">
        <f>+C19-'[3]QTD Mgmt Summary'!C32</f>
        <v>0</v>
      </c>
      <c r="P19" s="226">
        <f>+G19-'[3]QTD Mgmt Summary'!G32</f>
        <v>555</v>
      </c>
      <c r="Q19" s="227">
        <f>O19-P19</f>
        <v>-555</v>
      </c>
    </row>
    <row r="20" spans="1:17" ht="4.5" customHeight="1">
      <c r="A20" s="211"/>
      <c r="B20" s="206"/>
      <c r="C20" s="215"/>
      <c r="D20" s="216"/>
      <c r="E20" s="217"/>
      <c r="F20" s="218"/>
      <c r="G20" s="221"/>
      <c r="H20" s="216"/>
      <c r="I20" s="217"/>
      <c r="J20" s="218"/>
      <c r="K20" s="215"/>
      <c r="L20" s="216"/>
      <c r="M20" s="217"/>
      <c r="N20" s="294"/>
      <c r="O20" s="215"/>
      <c r="P20" s="216"/>
      <c r="Q20" s="217"/>
    </row>
    <row r="21" spans="1:17" s="220" customFormat="1" ht="16.5">
      <c r="A21" s="229" t="s">
        <v>74</v>
      </c>
      <c r="B21" s="219"/>
      <c r="C21" s="234">
        <f>SUM(C16:C19)</f>
        <v>-520</v>
      </c>
      <c r="D21" s="235">
        <f>SUM(D16:D19)</f>
        <v>-520</v>
      </c>
      <c r="E21" s="236">
        <f>SUM(E16:E19)</f>
        <v>0</v>
      </c>
      <c r="F21" s="237"/>
      <c r="G21" s="234">
        <f>SUM(G16:G19)</f>
        <v>-658</v>
      </c>
      <c r="H21" s="235">
        <f>SUM(H16:H19)</f>
        <v>-847</v>
      </c>
      <c r="I21" s="236">
        <f>SUM(I16:I19)</f>
        <v>-189</v>
      </c>
      <c r="J21" s="237"/>
      <c r="K21" s="234">
        <f>SUM(K16:K19)</f>
        <v>138</v>
      </c>
      <c r="L21" s="235">
        <f>SUM(L16:L19)</f>
        <v>327</v>
      </c>
      <c r="M21" s="236">
        <f>SUM(M16:M19)</f>
        <v>-189</v>
      </c>
      <c r="N21" s="296"/>
      <c r="O21" s="234">
        <f>SUM(O16:O19)</f>
        <v>0</v>
      </c>
      <c r="P21" s="235">
        <f>SUM(P16:P19)</f>
        <v>-17929.526999999995</v>
      </c>
      <c r="Q21" s="236">
        <f>SUM(Q16:Q19)</f>
        <v>17929.526999999995</v>
      </c>
    </row>
    <row r="22" spans="1:17" ht="4.5" customHeight="1">
      <c r="A22" s="211"/>
      <c r="B22" s="206"/>
      <c r="C22" s="225"/>
      <c r="D22" s="226"/>
      <c r="E22" s="227"/>
      <c r="F22" s="228"/>
      <c r="G22" s="238"/>
      <c r="H22" s="226"/>
      <c r="I22" s="227"/>
      <c r="J22" s="228"/>
      <c r="K22" s="225"/>
      <c r="L22" s="226"/>
      <c r="M22" s="227"/>
      <c r="N22" s="294"/>
      <c r="O22" s="225"/>
      <c r="P22" s="226"/>
      <c r="Q22" s="227"/>
    </row>
    <row r="23" spans="1:17" s="32" customFormat="1" ht="13.5" customHeight="1">
      <c r="A23" s="223" t="s">
        <v>57</v>
      </c>
      <c r="B23" s="224"/>
      <c r="C23" s="225">
        <f>+'Mgmt Summary'!J37</f>
        <v>0</v>
      </c>
      <c r="D23" s="226">
        <f>+'Mgmt Summary'!C37</f>
        <v>0</v>
      </c>
      <c r="E23" s="227">
        <f>D23-C23</f>
        <v>0</v>
      </c>
      <c r="F23" s="228"/>
      <c r="G23" s="225">
        <f>+'IntIncome-Expense'!G13</f>
        <v>847</v>
      </c>
      <c r="H23" s="226">
        <f>+'IntIncome-Expense'!H13</f>
        <v>847</v>
      </c>
      <c r="I23" s="227">
        <f>+H23-G23</f>
        <v>0</v>
      </c>
      <c r="J23" s="228"/>
      <c r="K23" s="225">
        <f>C23-G23</f>
        <v>-847</v>
      </c>
      <c r="L23" s="226">
        <f>D23-H23</f>
        <v>-847</v>
      </c>
      <c r="M23" s="227">
        <f>K23-L23</f>
        <v>0</v>
      </c>
      <c r="N23" s="295"/>
      <c r="O23" s="225">
        <f>+C23-'[3]QTD Mgmt Summary'!C36</f>
        <v>0</v>
      </c>
      <c r="P23" s="226">
        <f>+G23-'[3]QTD Mgmt Summary'!G36</f>
        <v>-1202</v>
      </c>
      <c r="Q23" s="227">
        <f>O23-P23</f>
        <v>1202</v>
      </c>
    </row>
    <row r="24" spans="1:17" ht="4.5" customHeight="1" thickBot="1">
      <c r="A24" s="211"/>
      <c r="B24" s="206"/>
      <c r="C24" s="225"/>
      <c r="D24" s="226"/>
      <c r="E24" s="227"/>
      <c r="F24" s="228"/>
      <c r="G24" s="238"/>
      <c r="H24" s="226"/>
      <c r="I24" s="227"/>
      <c r="J24" s="228"/>
      <c r="K24" s="225"/>
      <c r="L24" s="226"/>
      <c r="M24" s="227"/>
      <c r="N24" s="294"/>
      <c r="O24" s="225"/>
      <c r="P24" s="226"/>
      <c r="Q24" s="227"/>
    </row>
    <row r="25" spans="1:17" s="220" customFormat="1" ht="17.25" thickBot="1">
      <c r="A25" s="230" t="s">
        <v>75</v>
      </c>
      <c r="B25" s="222"/>
      <c r="C25" s="239">
        <f>+C21-C23</f>
        <v>-520</v>
      </c>
      <c r="D25" s="240">
        <f>+D21-D23</f>
        <v>-520</v>
      </c>
      <c r="E25" s="264">
        <f>+E21-E23</f>
        <v>0</v>
      </c>
      <c r="F25" s="241"/>
      <c r="G25" s="239">
        <f>SUM(G21:G23)</f>
        <v>189</v>
      </c>
      <c r="H25" s="240">
        <f>SUM(H21:H23)</f>
        <v>0</v>
      </c>
      <c r="I25" s="264">
        <f>SUM(I21:I23)</f>
        <v>-189</v>
      </c>
      <c r="J25" s="241"/>
      <c r="K25" s="239">
        <f>SUM(K21:K23)</f>
        <v>-709</v>
      </c>
      <c r="L25" s="240">
        <f>SUM(L21:L23)</f>
        <v>-520</v>
      </c>
      <c r="M25" s="264">
        <f>SUM(M21:M23)</f>
        <v>-189</v>
      </c>
      <c r="N25" s="296"/>
      <c r="O25" s="239">
        <f>SUM(O21:O23)</f>
        <v>0</v>
      </c>
      <c r="P25" s="240">
        <f>SUM(P21:P23)</f>
        <v>-19131.526999999995</v>
      </c>
      <c r="Q25" s="264">
        <f>SUM(Q21:Q23)</f>
        <v>19131.526999999995</v>
      </c>
    </row>
    <row r="26" spans="1:17" ht="3" customHeight="1">
      <c r="A26" s="66"/>
      <c r="C26" s="67"/>
      <c r="D26" s="22"/>
      <c r="E26" s="66"/>
      <c r="F26" s="23"/>
      <c r="I26" s="66"/>
    </row>
    <row r="27" spans="1:17">
      <c r="A27" s="250" t="s">
        <v>89</v>
      </c>
      <c r="C27" s="23"/>
      <c r="D27" s="22"/>
      <c r="E27" s="23"/>
      <c r="F27" s="23"/>
      <c r="I27" s="23"/>
    </row>
    <row r="28" spans="1:17">
      <c r="G28" s="299" t="s">
        <v>148</v>
      </c>
      <c r="M28" s="187"/>
      <c r="Q28" s="187"/>
    </row>
  </sheetData>
  <mergeCells count="2">
    <mergeCell ref="K5:M5"/>
    <mergeCell ref="O5:Q5"/>
  </mergeCells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55"/>
  <sheetViews>
    <sheetView tabSelected="1" topLeftCell="A4" zoomScale="95" workbookViewId="0">
      <selection activeCell="K34" sqref="K34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87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92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December 7, 2000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7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90</v>
      </c>
      <c r="H5" s="232"/>
      <c r="I5" s="233"/>
      <c r="J5" s="203"/>
      <c r="K5" s="314" t="s">
        <v>88</v>
      </c>
      <c r="L5" s="315"/>
      <c r="M5" s="316"/>
      <c r="N5" s="293"/>
      <c r="O5" s="314" t="s">
        <v>149</v>
      </c>
      <c r="P5" s="315"/>
      <c r="Q5" s="316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94"/>
      <c r="O6" s="207" t="s">
        <v>13</v>
      </c>
      <c r="P6" s="208" t="s">
        <v>146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94"/>
      <c r="O7" s="212"/>
      <c r="P7" s="18"/>
      <c r="Q7" s="213"/>
    </row>
    <row r="8" spans="1:22" s="32" customFormat="1" ht="13.5" customHeight="1">
      <c r="A8" s="223" t="s">
        <v>79</v>
      </c>
      <c r="B8" s="224"/>
      <c r="C8" s="225">
        <f>+'Mgmt Summary'!J9</f>
        <v>-12282.617</v>
      </c>
      <c r="D8" s="226">
        <f>+'Mgmt Summary'!C9</f>
        <v>30000</v>
      </c>
      <c r="E8" s="227">
        <f t="shared" ref="E8:E13" si="0">-D8+C8</f>
        <v>-42282.616999999998</v>
      </c>
      <c r="F8" s="228"/>
      <c r="G8" s="225">
        <f>+Expenses!D9+'CapChrg-AllocExp'!K10+'CapChrg-AllocExp'!D10</f>
        <v>14692</v>
      </c>
      <c r="H8" s="226">
        <f>+Expenses!E9+'CapChrg-AllocExp'!L10+'CapChrg-AllocExp'!E10</f>
        <v>14092</v>
      </c>
      <c r="I8" s="227">
        <f t="shared" ref="I8:I14" si="1">+H8-G8</f>
        <v>-600</v>
      </c>
      <c r="J8" s="228"/>
      <c r="K8" s="225">
        <f>+C8-G8</f>
        <v>-26974.616999999998</v>
      </c>
      <c r="L8" s="226">
        <f t="shared" ref="K8:L13" si="2">D8-H8</f>
        <v>15908</v>
      </c>
      <c r="M8" s="227">
        <f t="shared" ref="M8:M13" si="3">K8-L8</f>
        <v>-42882.616999999998</v>
      </c>
      <c r="N8" s="295"/>
      <c r="O8" s="225">
        <f>+C8-'[3]QTD Mgmt Summary'!C8</f>
        <v>-1979</v>
      </c>
      <c r="P8" s="226">
        <f>-G8+'[3]QTD Mgmt Summary'!G8</f>
        <v>0</v>
      </c>
      <c r="Q8" s="227">
        <f>+O8+P8</f>
        <v>-1979</v>
      </c>
    </row>
    <row r="9" spans="1:22" s="32" customFormat="1" ht="13.5" customHeight="1">
      <c r="A9" s="223" t="s">
        <v>1</v>
      </c>
      <c r="B9" s="224"/>
      <c r="C9" s="225">
        <f>+'Mgmt Summary'!J10</f>
        <v>7127.7023100000006</v>
      </c>
      <c r="D9" s="226">
        <f>+'Mgmt Summary'!C10</f>
        <v>12747.159</v>
      </c>
      <c r="E9" s="227">
        <f t="shared" si="0"/>
        <v>-5619.4566899999991</v>
      </c>
      <c r="F9" s="228"/>
      <c r="G9" s="225">
        <f>+Expenses!D10+'CapChrg-AllocExp'!K11+'CapChrg-AllocExp'!D11</f>
        <v>4677.8999999999996</v>
      </c>
      <c r="H9" s="226">
        <f>+Expenses!E10+'CapChrg-AllocExp'!L11+'CapChrg-AllocExp'!E11</f>
        <v>5246.9</v>
      </c>
      <c r="I9" s="227">
        <f t="shared" si="1"/>
        <v>569</v>
      </c>
      <c r="J9" s="228"/>
      <c r="K9" s="225">
        <f t="shared" si="2"/>
        <v>2449.8023100000009</v>
      </c>
      <c r="L9" s="226">
        <f t="shared" si="2"/>
        <v>7500.259</v>
      </c>
      <c r="M9" s="227">
        <f t="shared" si="3"/>
        <v>-5050.4566899999991</v>
      </c>
      <c r="N9" s="295"/>
      <c r="O9" s="225">
        <f>+C9-'[3]QTD Mgmt Summary'!C9</f>
        <v>2577.4239200000002</v>
      </c>
      <c r="P9" s="226">
        <f>-G9+'[3]QTD Mgmt Summary'!G9</f>
        <v>0</v>
      </c>
      <c r="Q9" s="227">
        <f t="shared" ref="Q9:Q16" si="4">+O9+P9</f>
        <v>2577.4239200000002</v>
      </c>
    </row>
    <row r="10" spans="1:22" s="32" customFormat="1" ht="13.5" customHeight="1">
      <c r="A10" s="223" t="s">
        <v>44</v>
      </c>
      <c r="B10" s="224"/>
      <c r="C10" s="225">
        <f>+'Mgmt Summary'!J11</f>
        <v>6768</v>
      </c>
      <c r="D10" s="226">
        <f>+'Mgmt Summary'!C11</f>
        <v>750</v>
      </c>
      <c r="E10" s="227">
        <f t="shared" si="0"/>
        <v>6018</v>
      </c>
      <c r="F10" s="228"/>
      <c r="G10" s="225">
        <f>+Expenses!D11+'CapChrg-AllocExp'!K12+'CapChrg-AllocExp'!D12</f>
        <v>1698.6</v>
      </c>
      <c r="H10" s="226">
        <f>+Expenses!E11+'CapChrg-AllocExp'!L12+'CapChrg-AllocExp'!E12</f>
        <v>378.6</v>
      </c>
      <c r="I10" s="227">
        <f t="shared" si="1"/>
        <v>-1320</v>
      </c>
      <c r="J10" s="228"/>
      <c r="K10" s="225">
        <f t="shared" si="2"/>
        <v>5069.3999999999996</v>
      </c>
      <c r="L10" s="226">
        <f t="shared" si="2"/>
        <v>371.4</v>
      </c>
      <c r="M10" s="227">
        <f t="shared" si="3"/>
        <v>4698</v>
      </c>
      <c r="N10" s="295"/>
      <c r="O10" s="225">
        <f>+C10-'[3]QTD Mgmt Summary'!C10</f>
        <v>1418</v>
      </c>
      <c r="P10" s="226">
        <f>-G10+'[3]QTD Mgmt Summary'!G10</f>
        <v>-200</v>
      </c>
      <c r="Q10" s="227">
        <f t="shared" si="4"/>
        <v>1218</v>
      </c>
    </row>
    <row r="11" spans="1:22" s="32" customFormat="1" ht="13.5" customHeight="1">
      <c r="A11" s="223" t="s">
        <v>64</v>
      </c>
      <c r="B11" s="224"/>
      <c r="C11" s="225">
        <f>+'Mgmt Summary'!J12</f>
        <v>3217</v>
      </c>
      <c r="D11" s="226">
        <f>+'Mgmt Summary'!C12</f>
        <v>3214.846</v>
      </c>
      <c r="E11" s="227">
        <f t="shared" si="0"/>
        <v>2.1539999999999964</v>
      </c>
      <c r="F11" s="228"/>
      <c r="G11" s="225">
        <f>+Expenses!D12+'CapChrg-AllocExp'!K13+'CapChrg-AllocExp'!D13</f>
        <v>1714.8000000000002</v>
      </c>
      <c r="H11" s="226">
        <f>+Expenses!E12+'CapChrg-AllocExp'!L13+'CapChrg-AllocExp'!E13</f>
        <v>1714.8000000000002</v>
      </c>
      <c r="I11" s="227">
        <f t="shared" si="1"/>
        <v>0</v>
      </c>
      <c r="J11" s="228"/>
      <c r="K11" s="225">
        <f t="shared" si="2"/>
        <v>1502.1999999999998</v>
      </c>
      <c r="L11" s="226">
        <f t="shared" si="2"/>
        <v>1500.0459999999998</v>
      </c>
      <c r="M11" s="227">
        <f t="shared" si="3"/>
        <v>2.1539999999999964</v>
      </c>
      <c r="N11" s="295"/>
      <c r="O11" s="225">
        <f>+C11-'[3]QTD Mgmt Summary'!C11</f>
        <v>856</v>
      </c>
      <c r="P11" s="226">
        <f>-G11+'[3]QTD Mgmt Summary'!G11</f>
        <v>0</v>
      </c>
      <c r="Q11" s="227">
        <f t="shared" si="4"/>
        <v>856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>
        <f>+'Mgmt Summary'!C13</f>
        <v>7712.2910000000002</v>
      </c>
      <c r="E12" s="227">
        <f t="shared" si="0"/>
        <v>-7712.2910000000002</v>
      </c>
      <c r="F12" s="228"/>
      <c r="G12" s="225">
        <f>+Expenses!D13+'CapChrg-AllocExp'!K14+'CapChrg-AllocExp'!D14</f>
        <v>1929.5</v>
      </c>
      <c r="H12" s="226">
        <f>+Expenses!E13+'CapChrg-AllocExp'!L14+'CapChrg-AllocExp'!E14</f>
        <v>1679.5</v>
      </c>
      <c r="I12" s="227">
        <f t="shared" si="1"/>
        <v>-250</v>
      </c>
      <c r="J12" s="228"/>
      <c r="K12" s="225">
        <f t="shared" si="2"/>
        <v>-1929.5</v>
      </c>
      <c r="L12" s="226">
        <f t="shared" si="2"/>
        <v>6032.7910000000002</v>
      </c>
      <c r="M12" s="227">
        <f t="shared" si="3"/>
        <v>-7962.2910000000002</v>
      </c>
      <c r="N12" s="295"/>
      <c r="O12" s="225">
        <f>+C12-'[3]QTD Mgmt Summary'!C12</f>
        <v>0</v>
      </c>
      <c r="P12" s="226">
        <f>-G12+'[3]QTD Mgmt Summary'!G12</f>
        <v>-250</v>
      </c>
      <c r="Q12" s="227">
        <f t="shared" si="4"/>
        <v>-250</v>
      </c>
    </row>
    <row r="13" spans="1:22" s="32" customFormat="1" ht="13.5" customHeight="1">
      <c r="A13" s="223" t="s">
        <v>50</v>
      </c>
      <c r="B13" s="224"/>
      <c r="C13" s="225">
        <f>+'Mgmt Summary'!J14</f>
        <v>125.49299999999994</v>
      </c>
      <c r="D13" s="226">
        <f>+'Mgmt Summary'!C14</f>
        <v>11483.213</v>
      </c>
      <c r="E13" s="227">
        <f t="shared" si="0"/>
        <v>-11357.72</v>
      </c>
      <c r="F13" s="228"/>
      <c r="G13" s="225">
        <f>+Expenses!D14+'CapChrg-AllocExp'!K15+'CapChrg-AllocExp'!D15</f>
        <v>1807.1410000000001</v>
      </c>
      <c r="H13" s="226">
        <f>+Expenses!E14+'CapChrg-AllocExp'!L15+'CapChrg-AllocExp'!E15</f>
        <v>1807.1410000000001</v>
      </c>
      <c r="I13" s="227">
        <f t="shared" si="1"/>
        <v>0</v>
      </c>
      <c r="J13" s="228"/>
      <c r="K13" s="225">
        <f t="shared" si="2"/>
        <v>-1681.6480000000001</v>
      </c>
      <c r="L13" s="226">
        <f t="shared" si="2"/>
        <v>9676.0720000000001</v>
      </c>
      <c r="M13" s="227">
        <f t="shared" si="3"/>
        <v>-11357.720000000001</v>
      </c>
      <c r="N13" s="295"/>
      <c r="O13" s="225">
        <f>+C13-'[3]QTD Mgmt Summary'!C13</f>
        <v>121.17899999999986</v>
      </c>
      <c r="P13" s="300">
        <f>(-G13+'[3]QTD Mgmt Summary'!G13)*0</f>
        <v>0</v>
      </c>
      <c r="Q13" s="227">
        <f t="shared" si="4"/>
        <v>121.17899999999986</v>
      </c>
    </row>
    <row r="14" spans="1:22" s="32" customFormat="1" ht="13.5" customHeight="1">
      <c r="A14" s="223" t="s">
        <v>98</v>
      </c>
      <c r="B14" s="224"/>
      <c r="C14" s="225">
        <f>+'Mgmt Summary'!J15</f>
        <v>0</v>
      </c>
      <c r="D14" s="226">
        <f>+'Mgmt Summary'!C15</f>
        <v>0</v>
      </c>
      <c r="E14" s="227">
        <f t="shared" ref="E14:E22" si="5">-D14+C14</f>
        <v>0</v>
      </c>
      <c r="F14" s="228"/>
      <c r="G14" s="225">
        <f>+Expenses!D15+'CapChrg-AllocExp'!K16+'CapChrg-AllocExp'!D16</f>
        <v>1525</v>
      </c>
      <c r="H14" s="226">
        <f>+Expenses!E15+'CapChrg-AllocExp'!L16+'CapChrg-AllocExp'!E16</f>
        <v>0</v>
      </c>
      <c r="I14" s="227">
        <f t="shared" si="1"/>
        <v>-1525</v>
      </c>
      <c r="J14" s="228"/>
      <c r="K14" s="225">
        <f t="shared" ref="K14:L16" si="6">C14-G14</f>
        <v>-1525</v>
      </c>
      <c r="L14" s="226">
        <f t="shared" si="6"/>
        <v>0</v>
      </c>
      <c r="M14" s="227">
        <f t="shared" ref="M14:M22" si="7">K14-L14</f>
        <v>-1525</v>
      </c>
      <c r="N14" s="295"/>
      <c r="O14" s="225">
        <f>+C14-'[3]QTD Mgmt Summary'!C14</f>
        <v>0</v>
      </c>
      <c r="P14" s="226">
        <f>-G14+'[3]QTD Mgmt Summary'!G14</f>
        <v>-255</v>
      </c>
      <c r="Q14" s="227">
        <f t="shared" si="4"/>
        <v>-255</v>
      </c>
    </row>
    <row r="15" spans="1:22" s="32" customFormat="1" ht="13.5" customHeight="1">
      <c r="A15" s="223" t="s">
        <v>11</v>
      </c>
      <c r="B15" s="224"/>
      <c r="C15" s="225">
        <f>+'Mgmt Summary'!J16</f>
        <v>0</v>
      </c>
      <c r="D15" s="226">
        <f>+'Mgmt Summary'!C16</f>
        <v>10100</v>
      </c>
      <c r="E15" s="227">
        <f>-D15+C15</f>
        <v>-10100</v>
      </c>
      <c r="F15" s="228"/>
      <c r="G15" s="225">
        <v>0</v>
      </c>
      <c r="H15" s="226">
        <v>0</v>
      </c>
      <c r="I15" s="227">
        <f>+H15-G15</f>
        <v>0</v>
      </c>
      <c r="J15" s="228"/>
      <c r="K15" s="225">
        <f t="shared" si="6"/>
        <v>0</v>
      </c>
      <c r="L15" s="226">
        <f t="shared" si="6"/>
        <v>10100</v>
      </c>
      <c r="M15" s="227">
        <f>K15-L15</f>
        <v>-10100</v>
      </c>
      <c r="N15" s="295"/>
      <c r="O15" s="225">
        <f>+C15-'[3]QTD Mgmt Summary'!C15</f>
        <v>0</v>
      </c>
      <c r="P15" s="226">
        <f>-G15+'[3]QTD Mgmt Summary'!G15</f>
        <v>0</v>
      </c>
      <c r="Q15" s="227">
        <f t="shared" si="4"/>
        <v>0</v>
      </c>
    </row>
    <row r="16" spans="1:22" s="32" customFormat="1" ht="13.5" customHeight="1">
      <c r="A16" s="223" t="s">
        <v>2</v>
      </c>
      <c r="B16" s="224"/>
      <c r="C16" s="225">
        <f>+'Mgmt Summary'!J17</f>
        <v>0</v>
      </c>
      <c r="D16" s="226">
        <f>+'Mgmt Summary'!C17</f>
        <v>0</v>
      </c>
      <c r="E16" s="227">
        <f>-D16+C16</f>
        <v>0</v>
      </c>
      <c r="F16" s="228"/>
      <c r="G16" s="225">
        <f>+Expenses!D16+'CapChrg-AllocExp'!K24</f>
        <v>750</v>
      </c>
      <c r="H16" s="226">
        <f>+Expenses!E16+'CapChrg-AllocExp'!L24</f>
        <v>0</v>
      </c>
      <c r="I16" s="227">
        <f>+H16-G16</f>
        <v>-750</v>
      </c>
      <c r="J16" s="228"/>
      <c r="K16" s="225">
        <f t="shared" si="6"/>
        <v>-750</v>
      </c>
      <c r="L16" s="226">
        <f t="shared" si="6"/>
        <v>0</v>
      </c>
      <c r="M16" s="227">
        <f>K16-L16</f>
        <v>-750</v>
      </c>
      <c r="N16" s="295"/>
      <c r="O16" s="225">
        <f>+C16-'[3]QTD Mgmt Summary'!C16</f>
        <v>0</v>
      </c>
      <c r="P16" s="226">
        <f>-G16+'[3]QTD Mgmt Summary'!G16</f>
        <v>0</v>
      </c>
      <c r="Q16" s="227">
        <f t="shared" si="4"/>
        <v>0</v>
      </c>
    </row>
    <row r="17" spans="1:19" ht="4.5" customHeight="1">
      <c r="A17" s="211"/>
      <c r="B17" s="206"/>
      <c r="C17" s="215"/>
      <c r="D17" s="216"/>
      <c r="E17" s="217"/>
      <c r="F17" s="218"/>
      <c r="G17" s="221"/>
      <c r="H17" s="216"/>
      <c r="I17" s="217"/>
      <c r="J17" s="218"/>
      <c r="K17" s="215"/>
      <c r="L17" s="216"/>
      <c r="M17" s="217"/>
      <c r="N17" s="294"/>
      <c r="O17" s="215"/>
      <c r="P17" s="216"/>
      <c r="Q17" s="217"/>
    </row>
    <row r="18" spans="1:19" s="220" customFormat="1" ht="16.5">
      <c r="A18" s="229" t="s">
        <v>106</v>
      </c>
      <c r="B18" s="219"/>
      <c r="C18" s="234">
        <f>SUM(C8:C17)</f>
        <v>4955.5783100000008</v>
      </c>
      <c r="D18" s="235">
        <f t="shared" ref="D18:M18" si="8">SUM(D8:D17)</f>
        <v>76007.508999999991</v>
      </c>
      <c r="E18" s="236">
        <f t="shared" si="8"/>
        <v>-71051.930689999994</v>
      </c>
      <c r="F18" s="237">
        <f t="shared" si="8"/>
        <v>0</v>
      </c>
      <c r="G18" s="234">
        <f t="shared" si="8"/>
        <v>28794.940999999999</v>
      </c>
      <c r="H18" s="235">
        <f t="shared" si="8"/>
        <v>24918.940999999999</v>
      </c>
      <c r="I18" s="236">
        <f t="shared" si="8"/>
        <v>-3876</v>
      </c>
      <c r="J18" s="237">
        <f t="shared" si="8"/>
        <v>0</v>
      </c>
      <c r="K18" s="234">
        <f t="shared" si="8"/>
        <v>-23839.362689999998</v>
      </c>
      <c r="L18" s="235">
        <f t="shared" si="8"/>
        <v>51088.567999999999</v>
      </c>
      <c r="M18" s="236">
        <f t="shared" si="8"/>
        <v>-74927.930689999994</v>
      </c>
      <c r="N18" s="296"/>
      <c r="O18" s="234">
        <f>SUM(O8:O17)</f>
        <v>2993.6029200000003</v>
      </c>
      <c r="P18" s="235">
        <f>SUM(P8:P17)</f>
        <v>-705</v>
      </c>
      <c r="Q18" s="236">
        <f>SUM(Q8:Q17)</f>
        <v>2288.6029200000003</v>
      </c>
    </row>
    <row r="19" spans="1:19" ht="4.5" customHeight="1">
      <c r="A19" s="211"/>
      <c r="B19" s="206"/>
      <c r="C19" s="215"/>
      <c r="D19" s="216"/>
      <c r="E19" s="217"/>
      <c r="F19" s="218"/>
      <c r="G19" s="221"/>
      <c r="H19" s="216"/>
      <c r="I19" s="217"/>
      <c r="J19" s="218"/>
      <c r="K19" s="215"/>
      <c r="L19" s="216"/>
      <c r="M19" s="217"/>
      <c r="N19" s="294"/>
      <c r="O19" s="215"/>
      <c r="P19" s="216"/>
      <c r="Q19" s="217"/>
    </row>
    <row r="20" spans="1:19" s="32" customFormat="1" ht="13.5" customHeight="1">
      <c r="A20" s="223" t="s">
        <v>99</v>
      </c>
      <c r="B20" s="224"/>
      <c r="C20" s="225">
        <f>+'Mgmt Summary'!J21</f>
        <v>86</v>
      </c>
      <c r="D20" s="226">
        <f>+'Mgmt Summary'!C21</f>
        <v>1144</v>
      </c>
      <c r="E20" s="227">
        <f t="shared" si="5"/>
        <v>-1058</v>
      </c>
      <c r="F20" s="228"/>
      <c r="G20" s="225">
        <f>+Expenses!D20+'CapChrg-AllocExp'!K18+'CapChrg-AllocExp'!D18</f>
        <v>2776</v>
      </c>
      <c r="H20" s="226">
        <f>+Expenses!E20+'CapChrg-AllocExp'!L18+'CapChrg-AllocExp'!E18</f>
        <v>1370</v>
      </c>
      <c r="I20" s="227">
        <f>+H20-G20</f>
        <v>-1406</v>
      </c>
      <c r="J20" s="228"/>
      <c r="K20" s="225">
        <f t="shared" ref="K20:L22" si="9">C20-G20</f>
        <v>-2690</v>
      </c>
      <c r="L20" s="226">
        <f t="shared" si="9"/>
        <v>-226</v>
      </c>
      <c r="M20" s="227">
        <f t="shared" si="7"/>
        <v>-2464</v>
      </c>
      <c r="N20" s="295"/>
      <c r="O20" s="225">
        <f>+C20-'[3]QTD Mgmt Summary'!C20</f>
        <v>0</v>
      </c>
      <c r="P20" s="226">
        <f>-G20+'[3]QTD Mgmt Summary'!G20</f>
        <v>0</v>
      </c>
      <c r="Q20" s="227">
        <f>+O20+P20</f>
        <v>0</v>
      </c>
      <c r="S20" s="298"/>
    </row>
    <row r="21" spans="1:19" s="32" customFormat="1" ht="13.5" customHeight="1">
      <c r="A21" s="223" t="s">
        <v>100</v>
      </c>
      <c r="B21" s="224"/>
      <c r="C21" s="225">
        <f>+'Mgmt Summary'!J22</f>
        <v>132</v>
      </c>
      <c r="D21" s="226">
        <f>+'Mgmt Summary'!C22</f>
        <v>4617</v>
      </c>
      <c r="E21" s="227">
        <f t="shared" si="5"/>
        <v>-4485</v>
      </c>
      <c r="F21" s="228"/>
      <c r="G21" s="225">
        <f>+Expenses!D21+'CapChrg-AllocExp'!K19+'CapChrg-AllocExp'!D19</f>
        <v>3221</v>
      </c>
      <c r="H21" s="226">
        <f>+Expenses!E21+'CapChrg-AllocExp'!L19+'CapChrg-AllocExp'!E19</f>
        <v>2188</v>
      </c>
      <c r="I21" s="227">
        <f>+H21-G21</f>
        <v>-1033</v>
      </c>
      <c r="J21" s="228"/>
      <c r="K21" s="225">
        <f t="shared" si="9"/>
        <v>-3089</v>
      </c>
      <c r="L21" s="226">
        <f t="shared" si="9"/>
        <v>2429</v>
      </c>
      <c r="M21" s="227">
        <f t="shared" si="7"/>
        <v>-5518</v>
      </c>
      <c r="N21" s="295"/>
      <c r="O21" s="225">
        <f>+C21-'[3]QTD Mgmt Summary'!C21</f>
        <v>0</v>
      </c>
      <c r="P21" s="226">
        <f>-G21+'[3]QTD Mgmt Summary'!G21</f>
        <v>0</v>
      </c>
      <c r="Q21" s="227">
        <f>+O21+P21</f>
        <v>0</v>
      </c>
    </row>
    <row r="22" spans="1:19" s="32" customFormat="1" ht="13.5" customHeight="1">
      <c r="A22" s="223" t="s">
        <v>101</v>
      </c>
      <c r="B22" s="224"/>
      <c r="C22" s="258">
        <f>+'Mgmt Summary'!J23</f>
        <v>-3089</v>
      </c>
      <c r="D22" s="259">
        <f>+'Mgmt Summary'!C23</f>
        <v>530</v>
      </c>
      <c r="E22" s="260">
        <f t="shared" si="5"/>
        <v>-3619</v>
      </c>
      <c r="F22" s="228"/>
      <c r="G22" s="258">
        <f>+Expenses!D22+'CapChrg-AllocExp'!K20+'CapChrg-AllocExp'!D20</f>
        <v>1056</v>
      </c>
      <c r="H22" s="259">
        <f>+Expenses!E22+'CapChrg-AllocExp'!L20+'CapChrg-AllocExp'!E20</f>
        <v>2146</v>
      </c>
      <c r="I22" s="260">
        <f>+H22-G22</f>
        <v>1090</v>
      </c>
      <c r="J22" s="228"/>
      <c r="K22" s="258">
        <f t="shared" si="9"/>
        <v>-4145</v>
      </c>
      <c r="L22" s="259">
        <f t="shared" si="9"/>
        <v>-1616</v>
      </c>
      <c r="M22" s="260">
        <f t="shared" si="7"/>
        <v>-2529</v>
      </c>
      <c r="N22" s="295"/>
      <c r="O22" s="225">
        <f>+C22-'[3]QTD Mgmt Summary'!C22</f>
        <v>-735</v>
      </c>
      <c r="P22" s="226">
        <f>-G22+'[3]QTD Mgmt Summary'!G22</f>
        <v>0</v>
      </c>
      <c r="Q22" s="227">
        <f>+O22+P22</f>
        <v>-735</v>
      </c>
    </row>
    <row r="23" spans="1:19" ht="4.5" customHeight="1">
      <c r="A23" s="211"/>
      <c r="B23" s="206"/>
      <c r="C23" s="215"/>
      <c r="D23" s="216"/>
      <c r="E23" s="217"/>
      <c r="F23" s="218"/>
      <c r="G23" s="221"/>
      <c r="H23" s="216"/>
      <c r="I23" s="217"/>
      <c r="J23" s="218"/>
      <c r="K23" s="215"/>
      <c r="L23" s="216"/>
      <c r="M23" s="217"/>
      <c r="N23" s="294"/>
      <c r="O23" s="215"/>
      <c r="P23" s="216"/>
      <c r="Q23" s="217"/>
    </row>
    <row r="24" spans="1:19" s="220" customFormat="1" ht="16.5">
      <c r="A24" s="229" t="s">
        <v>113</v>
      </c>
      <c r="B24" s="219"/>
      <c r="C24" s="234">
        <f>SUM(C20:C23)</f>
        <v>-2871</v>
      </c>
      <c r="D24" s="235">
        <f>SUM(D20:D23)</f>
        <v>6291</v>
      </c>
      <c r="E24" s="236">
        <f>SUM(E20:E23)</f>
        <v>-9162</v>
      </c>
      <c r="F24" s="237"/>
      <c r="G24" s="234">
        <f>SUM(G20:G23)</f>
        <v>7053</v>
      </c>
      <c r="H24" s="235">
        <f>SUM(H20:H23)</f>
        <v>5704</v>
      </c>
      <c r="I24" s="236">
        <f>SUM(I20:I23)</f>
        <v>-1349</v>
      </c>
      <c r="J24" s="237"/>
      <c r="K24" s="234">
        <f>SUM(K20:K23)</f>
        <v>-9924</v>
      </c>
      <c r="L24" s="235">
        <f>SUM(L20:L23)</f>
        <v>587</v>
      </c>
      <c r="M24" s="236">
        <f>SUM(M20:M23)</f>
        <v>-10511</v>
      </c>
      <c r="N24" s="296"/>
      <c r="O24" s="234">
        <f>SUM(O20:O23)</f>
        <v>-735</v>
      </c>
      <c r="P24" s="235">
        <f>SUM(P20:P23)</f>
        <v>0</v>
      </c>
      <c r="Q24" s="236">
        <f>SUM(Q20:Q23)</f>
        <v>-735</v>
      </c>
    </row>
    <row r="25" spans="1:19" ht="4.5" customHeight="1">
      <c r="A25" s="211"/>
      <c r="B25" s="206"/>
      <c r="C25" s="215"/>
      <c r="D25" s="216"/>
      <c r="E25" s="217"/>
      <c r="F25" s="218"/>
      <c r="G25" s="221"/>
      <c r="H25" s="216"/>
      <c r="I25" s="217"/>
      <c r="J25" s="218"/>
      <c r="K25" s="215"/>
      <c r="L25" s="216"/>
      <c r="M25" s="217"/>
      <c r="N25" s="294"/>
      <c r="O25" s="215"/>
      <c r="P25" s="216"/>
      <c r="Q25" s="217"/>
    </row>
    <row r="26" spans="1:19" ht="4.5" customHeight="1">
      <c r="A26" s="211"/>
      <c r="B26" s="206"/>
      <c r="C26" s="215"/>
      <c r="D26" s="216"/>
      <c r="E26" s="217"/>
      <c r="F26" s="218"/>
      <c r="G26" s="221"/>
      <c r="H26" s="216"/>
      <c r="I26" s="217"/>
      <c r="J26" s="218"/>
      <c r="K26" s="215"/>
      <c r="L26" s="216"/>
      <c r="M26" s="217"/>
      <c r="N26" s="294"/>
      <c r="O26" s="215"/>
      <c r="P26" s="216"/>
      <c r="Q26" s="217"/>
    </row>
    <row r="27" spans="1:19" s="220" customFormat="1" ht="16.5">
      <c r="A27" s="229" t="s">
        <v>3</v>
      </c>
      <c r="B27" s="219"/>
      <c r="C27" s="234">
        <f>+C18+C24</f>
        <v>2084.5783100000008</v>
      </c>
      <c r="D27" s="235">
        <f>+D18+D24</f>
        <v>82298.508999999991</v>
      </c>
      <c r="E27" s="236">
        <f>+E18+E24</f>
        <v>-80213.930689999994</v>
      </c>
      <c r="F27" s="237">
        <f>SUM(F24:F25)</f>
        <v>0</v>
      </c>
      <c r="G27" s="234">
        <f>+G18+G24</f>
        <v>35847.940999999999</v>
      </c>
      <c r="H27" s="235">
        <f>+H18+H24</f>
        <v>30622.940999999999</v>
      </c>
      <c r="I27" s="236">
        <f>+I18+I24</f>
        <v>-5225</v>
      </c>
      <c r="J27" s="237">
        <f>SUM(J24:J25)</f>
        <v>0</v>
      </c>
      <c r="K27" s="234">
        <f>+K18+K24</f>
        <v>-33763.362689999994</v>
      </c>
      <c r="L27" s="235">
        <f>+L18+L24</f>
        <v>51675.567999999999</v>
      </c>
      <c r="M27" s="236">
        <f>+M18+M24</f>
        <v>-85438.930689999994</v>
      </c>
      <c r="N27" s="296"/>
      <c r="O27" s="234">
        <f>+O18+O24</f>
        <v>2258.6029200000003</v>
      </c>
      <c r="P27" s="235">
        <f>+P18+P24</f>
        <v>-705</v>
      </c>
      <c r="Q27" s="236">
        <f>+Q18+Q24</f>
        <v>1553.6029200000003</v>
      </c>
    </row>
    <row r="28" spans="1:19" ht="4.5" customHeight="1">
      <c r="A28" s="211"/>
      <c r="B28" s="206"/>
      <c r="C28" s="215"/>
      <c r="D28" s="216"/>
      <c r="E28" s="217"/>
      <c r="F28" s="218"/>
      <c r="G28" s="221"/>
      <c r="H28" s="216"/>
      <c r="I28" s="217"/>
      <c r="J28" s="218"/>
      <c r="K28" s="215"/>
      <c r="L28" s="216"/>
      <c r="M28" s="217"/>
      <c r="N28" s="294"/>
      <c r="O28" s="215"/>
      <c r="P28" s="216"/>
      <c r="Q28" s="217"/>
    </row>
    <row r="29" spans="1:19" s="32" customFormat="1" ht="13.5" customHeight="1">
      <c r="A29" s="223" t="s">
        <v>112</v>
      </c>
      <c r="B29" s="224"/>
      <c r="C29" s="225">
        <v>0</v>
      </c>
      <c r="D29" s="226">
        <v>0</v>
      </c>
      <c r="E29" s="227">
        <f>-D29+C29</f>
        <v>0</v>
      </c>
      <c r="F29" s="228"/>
      <c r="G29" s="225">
        <f>+'Mgmt Summary'!L30+'Mgmt Summary'!M30+'Mgmt Summary'!N30</f>
        <v>30934.941999999999</v>
      </c>
      <c r="H29" s="226">
        <f>+'Mgmt Summary'!D30</f>
        <v>30334.941999999999</v>
      </c>
      <c r="I29" s="227">
        <f>+H29-G29</f>
        <v>-600</v>
      </c>
      <c r="J29" s="228"/>
      <c r="K29" s="225">
        <f>C29-G29</f>
        <v>-30934.941999999999</v>
      </c>
      <c r="L29" s="226">
        <f>D29-H29</f>
        <v>-30334.941999999999</v>
      </c>
      <c r="M29" s="227">
        <f>K29-L29</f>
        <v>-600</v>
      </c>
      <c r="N29" s="295"/>
      <c r="O29" s="225">
        <f>+C29-'[3]QTD Mgmt Summary'!C29</f>
        <v>0</v>
      </c>
      <c r="P29" s="226">
        <f>(-G29+'[3]QTD Mgmt Summary'!G29)*0</f>
        <v>0</v>
      </c>
      <c r="Q29" s="227">
        <f>+O29+P29</f>
        <v>0</v>
      </c>
    </row>
    <row r="30" spans="1:19" s="32" customFormat="1" ht="13.5" customHeight="1">
      <c r="A30" s="223" t="s">
        <v>103</v>
      </c>
      <c r="B30" s="224"/>
      <c r="C30" s="225">
        <v>0</v>
      </c>
      <c r="D30" s="226">
        <v>0</v>
      </c>
      <c r="E30" s="227">
        <f>-D30+C30</f>
        <v>0</v>
      </c>
      <c r="F30" s="228"/>
      <c r="G30" s="225">
        <f>+'Mgmt Summary'!L31+'Mgmt Summary'!M31+'Mgmt Summary'!N31</f>
        <v>-12450.415000000001</v>
      </c>
      <c r="H30" s="226">
        <f>+'Mgmt Summary'!D31</f>
        <v>-11850.415000000001</v>
      </c>
      <c r="I30" s="227">
        <f>+H30-G30</f>
        <v>600</v>
      </c>
      <c r="J30" s="228"/>
      <c r="K30" s="225">
        <f t="shared" ref="K30:L32" si="10">C30-G30</f>
        <v>12450.415000000001</v>
      </c>
      <c r="L30" s="226">
        <f t="shared" si="10"/>
        <v>11850.415000000001</v>
      </c>
      <c r="M30" s="227">
        <f>K30-L30</f>
        <v>600</v>
      </c>
      <c r="N30" s="295"/>
      <c r="O30" s="225">
        <f>+C30-'[3]QTD Mgmt Summary'!C30</f>
        <v>0</v>
      </c>
      <c r="P30" s="226">
        <f>(-G30+'[3]QTD Mgmt Summary'!G30)*0</f>
        <v>0</v>
      </c>
      <c r="Q30" s="227">
        <f>+O30+P30</f>
        <v>0</v>
      </c>
    </row>
    <row r="31" spans="1:19" s="32" customFormat="1" ht="13.5" customHeight="1">
      <c r="A31" s="223" t="s">
        <v>10</v>
      </c>
      <c r="B31" s="224"/>
      <c r="C31" s="225">
        <f>+'Mgmt Summary'!J32</f>
        <v>-520</v>
      </c>
      <c r="D31" s="226">
        <f>+'Mgmt Summary'!C32</f>
        <v>-520</v>
      </c>
      <c r="E31" s="227">
        <f>-D31+C31</f>
        <v>0</v>
      </c>
      <c r="F31" s="228"/>
      <c r="G31" s="225">
        <f>+Expenses!D30</f>
        <v>0</v>
      </c>
      <c r="H31" s="226">
        <f>+Expenses!E30</f>
        <v>0</v>
      </c>
      <c r="I31" s="227">
        <f>+H31-G31</f>
        <v>0</v>
      </c>
      <c r="J31" s="228"/>
      <c r="K31" s="225">
        <f t="shared" si="10"/>
        <v>-520</v>
      </c>
      <c r="L31" s="226">
        <f t="shared" si="10"/>
        <v>-520</v>
      </c>
      <c r="M31" s="227">
        <f>K31-L31</f>
        <v>0</v>
      </c>
      <c r="N31" s="295"/>
      <c r="O31" s="225">
        <f>+C31-'[3]QTD Mgmt Summary'!C31</f>
        <v>0</v>
      </c>
      <c r="P31" s="226">
        <f>-G31+'[3]QTD Mgmt Summary'!G31</f>
        <v>0</v>
      </c>
      <c r="Q31" s="227">
        <f>+O31+P31</f>
        <v>0</v>
      </c>
    </row>
    <row r="32" spans="1:19" s="32" customFormat="1" ht="13.5" customHeight="1">
      <c r="A32" s="223" t="s">
        <v>35</v>
      </c>
      <c r="B32" s="224"/>
      <c r="C32" s="225">
        <f>+'Mgmt Summary'!J33</f>
        <v>0</v>
      </c>
      <c r="D32" s="226">
        <f>+'Mgmt Summary'!C33</f>
        <v>0</v>
      </c>
      <c r="E32" s="227">
        <f>-D32+C32</f>
        <v>0</v>
      </c>
      <c r="F32" s="228"/>
      <c r="G32" s="225">
        <f>+'CapChrg-AllocExp'!D28</f>
        <v>-1213</v>
      </c>
      <c r="H32" s="226">
        <f>+'CapChrg-AllocExp'!E28</f>
        <v>-2029</v>
      </c>
      <c r="I32" s="227">
        <f>+H32-G32</f>
        <v>-816</v>
      </c>
      <c r="J32" s="228"/>
      <c r="K32" s="225">
        <f t="shared" si="10"/>
        <v>1213</v>
      </c>
      <c r="L32" s="226">
        <f t="shared" si="10"/>
        <v>2029</v>
      </c>
      <c r="M32" s="227">
        <f>K32-L32</f>
        <v>-816</v>
      </c>
      <c r="N32" s="295"/>
      <c r="O32" s="225">
        <f>+C32-'[3]QTD Mgmt Summary'!C32</f>
        <v>0</v>
      </c>
      <c r="P32" s="226">
        <f>-G32+'[3]QTD Mgmt Summary'!G32</f>
        <v>0</v>
      </c>
      <c r="Q32" s="227">
        <f>+O32+P32</f>
        <v>0</v>
      </c>
    </row>
    <row r="33" spans="1:17" ht="4.5" customHeight="1">
      <c r="A33" s="211"/>
      <c r="B33" s="206"/>
      <c r="C33" s="215"/>
      <c r="D33" s="216"/>
      <c r="E33" s="217"/>
      <c r="F33" s="218"/>
      <c r="G33" s="221"/>
      <c r="H33" s="216"/>
      <c r="I33" s="217"/>
      <c r="J33" s="218"/>
      <c r="K33" s="215"/>
      <c r="L33" s="216"/>
      <c r="M33" s="217"/>
      <c r="N33" s="294"/>
      <c r="O33" s="215"/>
      <c r="P33" s="216"/>
      <c r="Q33" s="217"/>
    </row>
    <row r="34" spans="1:17" s="220" customFormat="1" ht="16.5">
      <c r="A34" s="229" t="s">
        <v>74</v>
      </c>
      <c r="B34" s="219"/>
      <c r="C34" s="234">
        <f>SUM(C27:C32)</f>
        <v>1564.5783100000008</v>
      </c>
      <c r="D34" s="235">
        <f>SUM(D27:D32)</f>
        <v>81778.508999999991</v>
      </c>
      <c r="E34" s="236">
        <f>SUM(E27:E32)</f>
        <v>-80213.930689999994</v>
      </c>
      <c r="F34" s="237"/>
      <c r="G34" s="234">
        <f>SUM(G27:G32)</f>
        <v>53119.468000000001</v>
      </c>
      <c r="H34" s="235">
        <f>SUM(H27:H32)</f>
        <v>47078.468000000001</v>
      </c>
      <c r="I34" s="236">
        <f>SUM(I27:I32)</f>
        <v>-6041</v>
      </c>
      <c r="J34" s="237"/>
      <c r="K34" s="234">
        <f>SUM(K27:K32)</f>
        <v>-51554.889689999989</v>
      </c>
      <c r="L34" s="235">
        <f>SUM(L27:L32)</f>
        <v>34700.040999999997</v>
      </c>
      <c r="M34" s="236">
        <f>SUM(M27:M32)</f>
        <v>-86254.930689999994</v>
      </c>
      <c r="N34" s="296"/>
      <c r="O34" s="234">
        <f>SUM(O27:O32)</f>
        <v>2258.6029200000003</v>
      </c>
      <c r="P34" s="235">
        <f>SUM(P27:P32)</f>
        <v>-705</v>
      </c>
      <c r="Q34" s="236">
        <f>SUM(Q27:Q32)</f>
        <v>1553.6029200000003</v>
      </c>
    </row>
    <row r="35" spans="1:17" ht="4.5" customHeight="1">
      <c r="A35" s="211"/>
      <c r="B35" s="206"/>
      <c r="C35" s="225"/>
      <c r="D35" s="226"/>
      <c r="E35" s="227"/>
      <c r="F35" s="228"/>
      <c r="G35" s="238"/>
      <c r="H35" s="226"/>
      <c r="I35" s="227"/>
      <c r="J35" s="228"/>
      <c r="K35" s="225"/>
      <c r="L35" s="226"/>
      <c r="M35" s="227"/>
      <c r="N35" s="294"/>
      <c r="O35" s="225"/>
      <c r="P35" s="226"/>
      <c r="Q35" s="227"/>
    </row>
    <row r="36" spans="1:17" s="32" customFormat="1" ht="13.5" customHeight="1">
      <c r="A36" s="223" t="s">
        <v>57</v>
      </c>
      <c r="B36" s="224"/>
      <c r="C36" s="225">
        <f>+'Mgmt Summary'!J37</f>
        <v>0</v>
      </c>
      <c r="D36" s="226">
        <f>+'Mgmt Summary'!C37</f>
        <v>0</v>
      </c>
      <c r="E36" s="227">
        <f>D36-C36</f>
        <v>0</v>
      </c>
      <c r="F36" s="228"/>
      <c r="G36" s="225">
        <f>+'Mgmt Summary'!M37</f>
        <v>2049</v>
      </c>
      <c r="H36" s="226">
        <f>+'Mgmt Summary'!D37</f>
        <v>2049</v>
      </c>
      <c r="I36" s="227">
        <f>+H36-G36</f>
        <v>0</v>
      </c>
      <c r="J36" s="228"/>
      <c r="K36" s="225">
        <f>C36-G36</f>
        <v>-2049</v>
      </c>
      <c r="L36" s="226">
        <f>D36-H36</f>
        <v>-2049</v>
      </c>
      <c r="M36" s="227">
        <f>K36-L36</f>
        <v>0</v>
      </c>
      <c r="N36" s="295"/>
      <c r="O36" s="225">
        <f>+C36-'[3]QTD Mgmt Summary'!C36</f>
        <v>0</v>
      </c>
      <c r="P36" s="226">
        <f>-G36+'[3]QTD Mgmt Summary'!G36</f>
        <v>0</v>
      </c>
      <c r="Q36" s="227">
        <f>+O36+P36</f>
        <v>0</v>
      </c>
    </row>
    <row r="37" spans="1:17" ht="4.5" customHeight="1" thickBot="1">
      <c r="A37" s="211"/>
      <c r="B37" s="206"/>
      <c r="C37" s="225"/>
      <c r="D37" s="226"/>
      <c r="E37" s="227"/>
      <c r="F37" s="228"/>
      <c r="G37" s="238"/>
      <c r="H37" s="226"/>
      <c r="I37" s="227"/>
      <c r="J37" s="228"/>
      <c r="K37" s="225"/>
      <c r="L37" s="226"/>
      <c r="M37" s="227"/>
      <c r="N37" s="294"/>
      <c r="O37" s="225"/>
      <c r="P37" s="226"/>
      <c r="Q37" s="227"/>
    </row>
    <row r="38" spans="1:17" s="220" customFormat="1" ht="17.25" thickBot="1">
      <c r="A38" s="230" t="s">
        <v>75</v>
      </c>
      <c r="B38" s="222"/>
      <c r="C38" s="239">
        <f>+C34-C36</f>
        <v>1564.5783100000008</v>
      </c>
      <c r="D38" s="240">
        <f>+D34-D36</f>
        <v>81778.508999999991</v>
      </c>
      <c r="E38" s="264">
        <f>+E34-E36</f>
        <v>-80213.930689999994</v>
      </c>
      <c r="F38" s="241"/>
      <c r="G38" s="239">
        <f>SUM(G34:G36)</f>
        <v>55168.468000000001</v>
      </c>
      <c r="H38" s="240">
        <f>SUM(H34:H36)</f>
        <v>49127.468000000001</v>
      </c>
      <c r="I38" s="264">
        <f>SUM(I34:I36)</f>
        <v>-6041</v>
      </c>
      <c r="J38" s="241"/>
      <c r="K38" s="239">
        <f>SUM(K34:K36)</f>
        <v>-53603.889689999989</v>
      </c>
      <c r="L38" s="240">
        <f>SUM(L34:L36)</f>
        <v>32651.040999999997</v>
      </c>
      <c r="M38" s="264">
        <f>SUM(M34:M36)</f>
        <v>-86254.930689999994</v>
      </c>
      <c r="N38" s="296"/>
      <c r="O38" s="239">
        <f>SUM(O34:O36)</f>
        <v>2258.6029200000003</v>
      </c>
      <c r="P38" s="240">
        <f>SUM(P34:P36)</f>
        <v>-705</v>
      </c>
      <c r="Q38" s="264">
        <f>SUM(Q34:Q36)</f>
        <v>1553.6029200000003</v>
      </c>
    </row>
    <row r="39" spans="1:17" ht="3" customHeight="1">
      <c r="A39" s="66"/>
      <c r="C39" s="67"/>
      <c r="D39" s="22"/>
      <c r="E39" s="66"/>
      <c r="F39" s="23"/>
      <c r="I39" s="66"/>
    </row>
    <row r="40" spans="1:17">
      <c r="A40" s="250" t="s">
        <v>89</v>
      </c>
      <c r="C40" s="23"/>
      <c r="D40" s="22"/>
      <c r="E40" s="23"/>
      <c r="F40" s="23"/>
      <c r="I40" s="23"/>
    </row>
    <row r="41" spans="1:17">
      <c r="M41" s="187"/>
      <c r="Q41" s="187"/>
    </row>
    <row r="42" spans="1:17">
      <c r="L42" s="166"/>
    </row>
    <row r="43" spans="1:17" ht="13.5" hidden="1">
      <c r="C43" s="282" t="s">
        <v>127</v>
      </c>
      <c r="D43" s="283"/>
      <c r="E43" s="284"/>
      <c r="G43" s="282" t="s">
        <v>128</v>
      </c>
      <c r="H43" s="283"/>
      <c r="I43" s="283"/>
      <c r="J43" s="284"/>
    </row>
    <row r="44" spans="1:17" hidden="1">
      <c r="C44" s="269" t="s">
        <v>116</v>
      </c>
      <c r="D44" s="270"/>
      <c r="E44" s="271">
        <f>+'GM-WeeklyChnge'!C38</f>
        <v>2988.1790000000001</v>
      </c>
      <c r="G44" s="269" t="s">
        <v>117</v>
      </c>
      <c r="H44" s="270"/>
      <c r="I44" s="272">
        <f>+'Expense Weekly Change'!E22+'Expense Weekly Change'!E21</f>
        <v>0</v>
      </c>
      <c r="J44" s="287"/>
    </row>
    <row r="45" spans="1:17" hidden="1">
      <c r="C45" s="269" t="s">
        <v>118</v>
      </c>
      <c r="D45" s="270"/>
      <c r="E45" s="271">
        <f>+'GM-WeeklyChnge'!D38</f>
        <v>5.4239200000000096</v>
      </c>
      <c r="G45" s="269" t="s">
        <v>119</v>
      </c>
      <c r="H45" s="270"/>
      <c r="I45" s="272">
        <f>+'Expense Weekly Change'!E9+'Expense Weekly Change'!E10+'Expense Weekly Change'!E11+'Expense Weekly Change'!E12+'Expense Weekly Change'!E13+'Expense Weekly Change'!E14+'Expense Weekly Change'!E15+'Expense Weekly Change'!E16+'Expense Weekly Change'!E20</f>
        <v>-705</v>
      </c>
      <c r="J45" s="273"/>
    </row>
    <row r="46" spans="1:17" hidden="1">
      <c r="C46" s="269" t="s">
        <v>120</v>
      </c>
      <c r="D46" s="270"/>
      <c r="E46" s="271">
        <f>+'GM-WeeklyChnge'!E38+'GM-WeeklyChnge'!F38+'GM-WeeklyChnge'!G38</f>
        <v>-735</v>
      </c>
      <c r="G46" s="269" t="s">
        <v>28</v>
      </c>
      <c r="H46" s="270"/>
      <c r="I46" s="272">
        <f>-G36+'[3]QTD Mgmt Summary'!$G$36</f>
        <v>0</v>
      </c>
      <c r="J46" s="273"/>
    </row>
    <row r="47" spans="1:17" hidden="1">
      <c r="C47" s="274"/>
      <c r="D47" s="275"/>
      <c r="E47" s="276"/>
      <c r="G47" s="274"/>
      <c r="H47" s="275"/>
      <c r="I47" s="277"/>
      <c r="J47" s="278"/>
    </row>
    <row r="48" spans="1:17" ht="13.5" hidden="1">
      <c r="C48" s="279" t="s">
        <v>121</v>
      </c>
      <c r="D48" s="280"/>
      <c r="E48" s="281">
        <f>SUM(E44:E47)</f>
        <v>2258.6029200000003</v>
      </c>
      <c r="G48" s="279" t="s">
        <v>121</v>
      </c>
      <c r="H48" s="280"/>
      <c r="I48" s="285">
        <f>SUM(I44:I47)</f>
        <v>-705</v>
      </c>
      <c r="J48" s="286"/>
    </row>
    <row r="49" spans="3:10" hidden="1"/>
    <row r="50" spans="3:10" ht="13.5" hidden="1">
      <c r="C50" s="282" t="s">
        <v>125</v>
      </c>
      <c r="D50" s="283"/>
      <c r="E50" s="284"/>
      <c r="G50" s="282" t="s">
        <v>126</v>
      </c>
      <c r="H50" s="283"/>
      <c r="I50" s="283"/>
      <c r="J50" s="284"/>
    </row>
    <row r="51" spans="3:10" hidden="1">
      <c r="C51" s="269" t="s">
        <v>122</v>
      </c>
      <c r="D51" s="270"/>
      <c r="E51" s="271">
        <f>+[3]GrossMargin!$I$39</f>
        <v>-694.02460999999971</v>
      </c>
      <c r="G51" s="269" t="s">
        <v>122</v>
      </c>
      <c r="H51" s="270"/>
      <c r="I51" s="272">
        <f>+'[3]QTD Mgmt Summary'!$G$38</f>
        <v>54463.468000000001</v>
      </c>
      <c r="J51" s="287"/>
    </row>
    <row r="52" spans="3:10" hidden="1">
      <c r="C52" s="269" t="s">
        <v>123</v>
      </c>
      <c r="D52" s="270"/>
      <c r="E52" s="271">
        <f>+GrossMargin!I39</f>
        <v>1564.5783100000008</v>
      </c>
      <c r="G52" s="269" t="s">
        <v>123</v>
      </c>
      <c r="H52" s="270"/>
      <c r="I52" s="272">
        <f>+G38</f>
        <v>55168.468000000001</v>
      </c>
      <c r="J52" s="273"/>
    </row>
    <row r="53" spans="3:10" hidden="1">
      <c r="C53" s="269"/>
      <c r="D53" s="270"/>
      <c r="E53" s="271"/>
      <c r="G53" s="269"/>
      <c r="H53" s="270"/>
      <c r="I53" s="272"/>
      <c r="J53" s="273"/>
    </row>
    <row r="54" spans="3:10" ht="13.5" hidden="1">
      <c r="C54" s="279" t="s">
        <v>124</v>
      </c>
      <c r="D54" s="280"/>
      <c r="E54" s="281">
        <f>+E52-E51</f>
        <v>2258.6029200000003</v>
      </c>
      <c r="G54" s="279" t="s">
        <v>124</v>
      </c>
      <c r="H54" s="280"/>
      <c r="I54" s="285">
        <f>+I52-I51</f>
        <v>705</v>
      </c>
      <c r="J54" s="286"/>
    </row>
    <row r="55" spans="3:10">
      <c r="I55" s="166"/>
    </row>
  </sheetData>
  <mergeCells count="2">
    <mergeCell ref="K5:M5"/>
    <mergeCell ref="O5:Q5"/>
  </mergeCells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9"/>
  <sheetViews>
    <sheetView topLeftCell="A3" zoomScaleNormal="100" workbookViewId="0">
      <selection activeCell="A4" sqref="A4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11" t="s">
        <v>70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60"/>
    </row>
    <row r="2" spans="1:24" ht="16.5">
      <c r="A2" s="312" t="s">
        <v>91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61"/>
    </row>
    <row r="3" spans="1:24" ht="13.5">
      <c r="A3" s="313" t="s">
        <v>152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62"/>
    </row>
    <row r="4" spans="1:24" ht="3" customHeight="1"/>
    <row r="5" spans="1:24" s="34" customFormat="1" ht="15" customHeight="1">
      <c r="A5" s="106"/>
      <c r="C5" s="308" t="s">
        <v>8</v>
      </c>
      <c r="D5" s="309"/>
      <c r="E5" s="310"/>
      <c r="G5" s="308" t="s">
        <v>41</v>
      </c>
      <c r="H5" s="309"/>
      <c r="I5" s="309"/>
      <c r="J5" s="309"/>
      <c r="K5" s="309"/>
      <c r="L5" s="309"/>
      <c r="M5" s="309"/>
      <c r="N5" s="309"/>
      <c r="O5" s="310"/>
      <c r="Q5" s="308" t="s">
        <v>36</v>
      </c>
      <c r="R5" s="309"/>
      <c r="S5" s="309"/>
      <c r="T5" s="309"/>
      <c r="U5" s="309"/>
      <c r="V5" s="310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GrossMargin!M10</f>
        <v>30000</v>
      </c>
      <c r="D9" s="36">
        <f>Expenses!E9+'CapChrg-AllocExp'!E10+'CapChrg-AllocExp'!L10</f>
        <v>14092</v>
      </c>
      <c r="E9" s="135">
        <f t="shared" ref="E9:E15" si="0">C9-D9</f>
        <v>15908</v>
      </c>
      <c r="F9" s="36"/>
      <c r="G9" s="133">
        <f>GrossMargin!I10</f>
        <v>-12282.617</v>
      </c>
      <c r="H9" s="36">
        <f>GrossMargin!J10</f>
        <v>0</v>
      </c>
      <c r="I9" s="36">
        <f>GrossMargin!K10</f>
        <v>0</v>
      </c>
      <c r="J9" s="136">
        <f t="shared" ref="J9:J15" si="1">SUM(G9:I9)</f>
        <v>-12282.617</v>
      </c>
      <c r="K9" s="137"/>
      <c r="L9" s="139">
        <f>'CapChrg-AllocExp'!D10</f>
        <v>0</v>
      </c>
      <c r="M9" s="140">
        <f>Expenses!D9</f>
        <v>6246</v>
      </c>
      <c r="N9" s="140">
        <f>'CapChrg-AllocExp'!K10</f>
        <v>8446</v>
      </c>
      <c r="O9" s="136">
        <f t="shared" ref="O9:O15" si="2">J9-K9-M9-N9-L9</f>
        <v>-26974.616999999998</v>
      </c>
      <c r="P9" s="37"/>
      <c r="Q9" s="133">
        <f t="shared" ref="Q9:Q15" si="3">+J9-C9</f>
        <v>-42282.616999999998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5" si="4">ROUND(SUM(Q9:U9),0)</f>
        <v>-42883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12747.159</v>
      </c>
      <c r="D10" s="36">
        <f>Expenses!E10+'CapChrg-AllocExp'!E11+'CapChrg-AllocExp'!L11</f>
        <v>5246.9</v>
      </c>
      <c r="E10" s="135">
        <f t="shared" si="0"/>
        <v>7500.259</v>
      </c>
      <c r="F10" s="36"/>
      <c r="G10" s="133">
        <f>GrossMargin!I11</f>
        <v>7127.7023100000006</v>
      </c>
      <c r="H10" s="36">
        <f>GrossMargin!J11</f>
        <v>0</v>
      </c>
      <c r="I10" s="36">
        <f>GrossMargin!K11</f>
        <v>0</v>
      </c>
      <c r="J10" s="136">
        <f t="shared" si="1"/>
        <v>7127.7023100000006</v>
      </c>
      <c r="K10" s="137"/>
      <c r="L10" s="133">
        <f>'CapChrg-AllocExp'!D11</f>
        <v>658</v>
      </c>
      <c r="M10" s="36">
        <f>Expenses!D10</f>
        <v>2059.6999999999998</v>
      </c>
      <c r="N10" s="36">
        <f>'CapChrg-AllocExp'!K11</f>
        <v>1960.2</v>
      </c>
      <c r="O10" s="136">
        <f t="shared" si="2"/>
        <v>2449.8023100000009</v>
      </c>
      <c r="P10" s="37"/>
      <c r="Q10" s="133">
        <f t="shared" si="3"/>
        <v>-5619.4566899999991</v>
      </c>
      <c r="R10" s="36"/>
      <c r="S10" s="36">
        <f>'CapChrg-AllocExp'!F11</f>
        <v>189</v>
      </c>
      <c r="T10" s="36">
        <f>Expenses!F10</f>
        <v>380</v>
      </c>
      <c r="U10" s="36">
        <f>'CapChrg-AllocExp'!M11</f>
        <v>0</v>
      </c>
      <c r="V10" s="135">
        <f t="shared" si="4"/>
        <v>-5050</v>
      </c>
      <c r="W10" s="32"/>
    </row>
    <row r="11" spans="1:24" ht="13.5" customHeight="1">
      <c r="A11" s="107" t="s">
        <v>44</v>
      </c>
      <c r="B11" s="35"/>
      <c r="C11" s="133">
        <f>GrossMargin!M12</f>
        <v>750</v>
      </c>
      <c r="D11" s="36">
        <f>Expenses!E11+'CapChrg-AllocExp'!E12+'CapChrg-AllocExp'!L12</f>
        <v>378.6</v>
      </c>
      <c r="E11" s="135">
        <f t="shared" si="0"/>
        <v>371.4</v>
      </c>
      <c r="F11" s="36"/>
      <c r="G11" s="133">
        <f>GrossMargin!I12</f>
        <v>6768</v>
      </c>
      <c r="H11" s="36">
        <f>GrossMargin!J12</f>
        <v>0</v>
      </c>
      <c r="I11" s="36">
        <f>GrossMargin!K12</f>
        <v>0</v>
      </c>
      <c r="J11" s="136">
        <f t="shared" si="1"/>
        <v>6768</v>
      </c>
      <c r="K11" s="137"/>
      <c r="L11" s="133">
        <f>'CapChrg-AllocExp'!D12</f>
        <v>0</v>
      </c>
      <c r="M11" s="36">
        <f>Expenses!D11</f>
        <v>1424.1</v>
      </c>
      <c r="N11" s="36">
        <f>'CapChrg-AllocExp'!K12</f>
        <v>274.5</v>
      </c>
      <c r="O11" s="136">
        <f t="shared" si="2"/>
        <v>5069.3999999999996</v>
      </c>
      <c r="P11" s="37"/>
      <c r="Q11" s="133">
        <f t="shared" si="3"/>
        <v>6018</v>
      </c>
      <c r="R11" s="36"/>
      <c r="S11" s="36">
        <f>'CapChrg-AllocExp'!F12</f>
        <v>0</v>
      </c>
      <c r="T11" s="36">
        <f>Expenses!F11</f>
        <v>-1320</v>
      </c>
      <c r="U11" s="36">
        <f>'CapChrg-AllocExp'!M12</f>
        <v>0</v>
      </c>
      <c r="V11" s="135">
        <f t="shared" si="4"/>
        <v>4698</v>
      </c>
      <c r="W11" s="32"/>
    </row>
    <row r="12" spans="1:24" ht="13.5" customHeight="1">
      <c r="A12" s="107" t="s">
        <v>64</v>
      </c>
      <c r="B12" s="35"/>
      <c r="C12" s="133">
        <f>GrossMargin!M13</f>
        <v>3214.846</v>
      </c>
      <c r="D12" s="36">
        <f>Expenses!E12+'CapChrg-AllocExp'!E13+'CapChrg-AllocExp'!L13</f>
        <v>1714.8000000000002</v>
      </c>
      <c r="E12" s="135">
        <f t="shared" si="0"/>
        <v>1500.0459999999998</v>
      </c>
      <c r="F12" s="36"/>
      <c r="G12" s="133">
        <f>GrossMargin!I13</f>
        <v>3217</v>
      </c>
      <c r="H12" s="36">
        <f>GrossMargin!J13</f>
        <v>0</v>
      </c>
      <c r="I12" s="36">
        <f>GrossMargin!K13</f>
        <v>0</v>
      </c>
      <c r="J12" s="136">
        <f t="shared" si="1"/>
        <v>3217</v>
      </c>
      <c r="K12" s="137"/>
      <c r="L12" s="133">
        <f>'CapChrg-AllocExp'!D13</f>
        <v>0</v>
      </c>
      <c r="M12" s="36">
        <f>Expenses!D12</f>
        <v>892.1</v>
      </c>
      <c r="N12" s="36">
        <f>'CapChrg-AllocExp'!K13</f>
        <v>822.7</v>
      </c>
      <c r="O12" s="136">
        <f t="shared" si="2"/>
        <v>1502.2</v>
      </c>
      <c r="P12" s="37"/>
      <c r="Q12" s="133">
        <f t="shared" si="3"/>
        <v>2.1539999999999964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2</v>
      </c>
      <c r="W12" s="32"/>
    </row>
    <row r="13" spans="1:24" ht="13.5" customHeight="1">
      <c r="A13" s="107" t="s">
        <v>71</v>
      </c>
      <c r="B13" s="35"/>
      <c r="C13" s="133">
        <f>GrossMargin!M14</f>
        <v>7712.2910000000002</v>
      </c>
      <c r="D13" s="36">
        <f>Expenses!E13+'CapChrg-AllocExp'!E14+'CapChrg-AllocExp'!L14</f>
        <v>1679.5</v>
      </c>
      <c r="E13" s="135">
        <f t="shared" si="0"/>
        <v>6032.7910000000002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>
        <f>Expenses!D13</f>
        <v>1893.5</v>
      </c>
      <c r="N13" s="36">
        <f>'CapChrg-AllocExp'!K14</f>
        <v>36</v>
      </c>
      <c r="O13" s="136">
        <f t="shared" si="2"/>
        <v>-1929.5</v>
      </c>
      <c r="P13" s="37"/>
      <c r="Q13" s="133">
        <f t="shared" si="3"/>
        <v>-7712.2910000000002</v>
      </c>
      <c r="R13" s="36"/>
      <c r="S13" s="36">
        <f>'CapChrg-AllocExp'!F14</f>
        <v>0</v>
      </c>
      <c r="T13" s="36">
        <f>Expenses!F13</f>
        <v>-250</v>
      </c>
      <c r="U13" s="36">
        <f>'CapChrg-AllocExp'!M14</f>
        <v>0</v>
      </c>
      <c r="V13" s="135">
        <f t="shared" si="4"/>
        <v>-7962</v>
      </c>
      <c r="W13" s="32"/>
    </row>
    <row r="14" spans="1:24" s="64" customFormat="1" ht="13.5" customHeight="1">
      <c r="A14" s="167" t="s">
        <v>50</v>
      </c>
      <c r="B14" s="178"/>
      <c r="C14" s="139">
        <f>+GrossMargin!M21</f>
        <v>11483.213</v>
      </c>
      <c r="D14" s="140">
        <f>+Expenses!E14+'CapChrg-AllocExp'!E15+'CapChrg-AllocExp'!L15</f>
        <v>1807.1410000000001</v>
      </c>
      <c r="E14" s="164">
        <f t="shared" si="0"/>
        <v>9676.0720000000001</v>
      </c>
      <c r="F14" s="140"/>
      <c r="G14" s="139">
        <f>+GrossMargin!I21</f>
        <v>125.49299999999994</v>
      </c>
      <c r="H14" s="140">
        <f>GrossMargin!J15</f>
        <v>0</v>
      </c>
      <c r="I14" s="140">
        <f>+GrossMargin!K21</f>
        <v>0</v>
      </c>
      <c r="J14" s="179">
        <f t="shared" si="1"/>
        <v>125.49299999999994</v>
      </c>
      <c r="K14" s="180"/>
      <c r="L14" s="139">
        <f>+'CapChrg-AllocExp'!D15</f>
        <v>0</v>
      </c>
      <c r="M14" s="36">
        <f>Expenses!D14</f>
        <v>896.12600000000009</v>
      </c>
      <c r="N14" s="140">
        <f>+'CapChrg-AllocExp'!K15</f>
        <v>911.0150000000001</v>
      </c>
      <c r="O14" s="179">
        <f t="shared" si="2"/>
        <v>-1681.6480000000001</v>
      </c>
      <c r="P14" s="181"/>
      <c r="Q14" s="139">
        <f t="shared" si="3"/>
        <v>-11357.72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-11358</v>
      </c>
      <c r="W14" s="63"/>
      <c r="X14" s="169"/>
    </row>
    <row r="15" spans="1:24" s="64" customFormat="1" ht="13.5" customHeight="1">
      <c r="A15" s="167" t="s">
        <v>98</v>
      </c>
      <c r="B15" s="178"/>
      <c r="C15" s="139">
        <f>+GrossMargin!M22</f>
        <v>0</v>
      </c>
      <c r="D15" s="140">
        <f>+Expenses!E15+'CapChrg-AllocExp'!E16+'CapChrg-AllocExp'!L16</f>
        <v>0</v>
      </c>
      <c r="E15" s="164">
        <f t="shared" si="0"/>
        <v>0</v>
      </c>
      <c r="F15" s="140"/>
      <c r="G15" s="139">
        <f>+GrossMargin!I22</f>
        <v>0</v>
      </c>
      <c r="H15" s="140">
        <f>GrossMargin!J17</f>
        <v>0</v>
      </c>
      <c r="I15" s="140">
        <f>+GrossMargin!K22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1525</v>
      </c>
      <c r="N15" s="140">
        <f>+'CapChrg-AllocExp'!K16</f>
        <v>0</v>
      </c>
      <c r="O15" s="179">
        <f t="shared" si="2"/>
        <v>-1525</v>
      </c>
      <c r="P15" s="181"/>
      <c r="Q15" s="139">
        <f t="shared" si="3"/>
        <v>0</v>
      </c>
      <c r="R15" s="140"/>
      <c r="S15" s="140">
        <f>+'CapChrg-AllocExp'!F16</f>
        <v>0</v>
      </c>
      <c r="T15" s="36">
        <f>Expenses!F15</f>
        <v>-1525</v>
      </c>
      <c r="U15" s="140">
        <f>+'CapChrg-AllocExp'!M16</f>
        <v>0</v>
      </c>
      <c r="V15" s="164">
        <f t="shared" si="4"/>
        <v>-1525</v>
      </c>
      <c r="W15" s="63"/>
      <c r="X15" s="169"/>
    </row>
    <row r="16" spans="1:24" ht="13.5" customHeight="1">
      <c r="A16" s="107" t="s">
        <v>11</v>
      </c>
      <c r="B16" s="35"/>
      <c r="C16" s="133">
        <f>+GrossMargin!M24</f>
        <v>10100</v>
      </c>
      <c r="D16" s="36">
        <v>0</v>
      </c>
      <c r="E16" s="135">
        <f>C16-D16</f>
        <v>10100</v>
      </c>
      <c r="F16" s="36"/>
      <c r="G16" s="133">
        <f>GrossMargin!I24</f>
        <v>0</v>
      </c>
      <c r="H16" s="36">
        <v>0</v>
      </c>
      <c r="I16" s="36">
        <v>0</v>
      </c>
      <c r="J16" s="136">
        <f>SUM(G16:I16)</f>
        <v>0</v>
      </c>
      <c r="K16" s="137"/>
      <c r="L16" s="133">
        <v>0</v>
      </c>
      <c r="M16" s="36">
        <v>0</v>
      </c>
      <c r="N16" s="36">
        <v>0</v>
      </c>
      <c r="O16" s="136">
        <f>J16-K16-M16-N16-L16</f>
        <v>0</v>
      </c>
      <c r="P16" s="37"/>
      <c r="Q16" s="133">
        <f>+J16-C16</f>
        <v>-10100</v>
      </c>
      <c r="R16" s="36"/>
      <c r="S16" s="36">
        <v>0</v>
      </c>
      <c r="T16" s="36">
        <v>0</v>
      </c>
      <c r="U16" s="36">
        <v>0</v>
      </c>
      <c r="V16" s="135">
        <f>ROUND(SUM(Q16:U16),0)</f>
        <v>-10100</v>
      </c>
      <c r="W16" s="32"/>
    </row>
    <row r="17" spans="1:24" ht="13.5" customHeight="1">
      <c r="A17" s="107" t="s">
        <v>2</v>
      </c>
      <c r="B17" s="35"/>
      <c r="C17" s="133">
        <f>GrossMargin!M23</f>
        <v>0</v>
      </c>
      <c r="D17" s="36">
        <f>Expenses!E16+'CapChrg-AllocExp'!E24+'CapChrg-AllocExp'!L24</f>
        <v>0</v>
      </c>
      <c r="E17" s="135">
        <f>C17-D17</f>
        <v>0</v>
      </c>
      <c r="F17" s="36"/>
      <c r="G17" s="133">
        <f>GrossMargin!I23</f>
        <v>0</v>
      </c>
      <c r="H17" s="36">
        <f>GrossMargin!J23</f>
        <v>0</v>
      </c>
      <c r="I17" s="36">
        <f>GrossMargin!K23</f>
        <v>0</v>
      </c>
      <c r="J17" s="136">
        <f>SUM(G17:I17)</f>
        <v>0</v>
      </c>
      <c r="K17" s="137"/>
      <c r="L17" s="133">
        <f>'CapChrg-AllocExp'!D24</f>
        <v>0</v>
      </c>
      <c r="M17" s="36">
        <f>Expenses!D16</f>
        <v>750</v>
      </c>
      <c r="N17" s="36">
        <f>'CapChrg-AllocExp'!K24</f>
        <v>0</v>
      </c>
      <c r="O17" s="136">
        <f>J17-K17-M17-N17-L17</f>
        <v>-750</v>
      </c>
      <c r="P17" s="37"/>
      <c r="Q17" s="133">
        <f>+J17-C17</f>
        <v>0</v>
      </c>
      <c r="R17" s="36"/>
      <c r="S17" s="36">
        <f>'CapChrg-AllocExp'!F24</f>
        <v>0</v>
      </c>
      <c r="T17" s="36">
        <f>Expenses!F16</f>
        <v>-750</v>
      </c>
      <c r="U17" s="36">
        <f>'CapChrg-AllocExp'!M24</f>
        <v>0</v>
      </c>
      <c r="V17" s="135">
        <f>ROUND(SUM(Q17:U17),0)</f>
        <v>-750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106</v>
      </c>
      <c r="B19" s="35"/>
      <c r="C19" s="43">
        <f>SUM(C9:C18)</f>
        <v>76007.508999999991</v>
      </c>
      <c r="D19" s="44">
        <f>SUM(D9:D18)</f>
        <v>24918.940999999999</v>
      </c>
      <c r="E19" s="45">
        <f>SUM(E9:E18)</f>
        <v>51088.567999999999</v>
      </c>
      <c r="F19" s="36"/>
      <c r="G19" s="43">
        <f t="shared" ref="G19:O19" si="5">SUM(G9:G18)</f>
        <v>4955.5783100000008</v>
      </c>
      <c r="H19" s="44">
        <f t="shared" si="5"/>
        <v>0</v>
      </c>
      <c r="I19" s="45">
        <f t="shared" si="5"/>
        <v>0</v>
      </c>
      <c r="J19" s="46">
        <f t="shared" si="5"/>
        <v>4955.5783100000008</v>
      </c>
      <c r="K19" s="44">
        <f t="shared" si="5"/>
        <v>0</v>
      </c>
      <c r="L19" s="43">
        <f t="shared" si="5"/>
        <v>658</v>
      </c>
      <c r="M19" s="44">
        <f t="shared" si="5"/>
        <v>15686.526000000002</v>
      </c>
      <c r="N19" s="44">
        <f t="shared" si="5"/>
        <v>12450.415000000001</v>
      </c>
      <c r="O19" s="46">
        <f t="shared" si="5"/>
        <v>-23839.362689999998</v>
      </c>
      <c r="P19" s="180"/>
      <c r="Q19" s="43">
        <f t="shared" ref="Q19:V19" si="6">SUM(Q9:Q18)</f>
        <v>-71051.930689999994</v>
      </c>
      <c r="R19" s="44">
        <f t="shared" si="6"/>
        <v>0</v>
      </c>
      <c r="S19" s="44">
        <f t="shared" si="6"/>
        <v>189</v>
      </c>
      <c r="T19" s="44">
        <f t="shared" si="6"/>
        <v>-3465</v>
      </c>
      <c r="U19" s="44">
        <f t="shared" si="6"/>
        <v>-600</v>
      </c>
      <c r="V19" s="45">
        <f t="shared" si="6"/>
        <v>-74928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99</v>
      </c>
      <c r="B21" s="178"/>
      <c r="C21" s="139">
        <f>+GrossMargin!M28</f>
        <v>1144</v>
      </c>
      <c r="D21" s="140">
        <f>+Expenses!E20+'CapChrg-AllocExp'!E18+'CapChrg-AllocExp'!L18</f>
        <v>1370</v>
      </c>
      <c r="E21" s="164">
        <f>C21-D21</f>
        <v>-226</v>
      </c>
      <c r="F21" s="140"/>
      <c r="G21" s="139">
        <f>+GrossMargin!I28</f>
        <v>86</v>
      </c>
      <c r="H21" s="140">
        <f>GrossMargin!J18</f>
        <v>0</v>
      </c>
      <c r="I21" s="140">
        <f>+GrossMargin!K28</f>
        <v>0</v>
      </c>
      <c r="J21" s="179">
        <f>SUM(G21:I21)</f>
        <v>86</v>
      </c>
      <c r="K21" s="180"/>
      <c r="L21" s="139">
        <f>+'CapChrg-AllocExp'!D18</f>
        <v>-97</v>
      </c>
      <c r="M21" s="36">
        <f>Expenses!D20</f>
        <v>2873</v>
      </c>
      <c r="N21" s="140">
        <f>+'CapChrg-AllocExp'!K18</f>
        <v>0</v>
      </c>
      <c r="O21" s="179">
        <f>J21-K21-M21-N21-L21</f>
        <v>-2690</v>
      </c>
      <c r="P21" s="181"/>
      <c r="Q21" s="139">
        <f>+J21-C21</f>
        <v>-1058</v>
      </c>
      <c r="R21" s="140"/>
      <c r="S21" s="140">
        <f>+'CapChrg-AllocExp'!F18</f>
        <v>82</v>
      </c>
      <c r="T21" s="36">
        <f>Expenses!F20</f>
        <v>-1488</v>
      </c>
      <c r="U21" s="140">
        <f>+'CapChrg-AllocExp'!M18</f>
        <v>0</v>
      </c>
      <c r="V21" s="164">
        <f>ROUND(SUM(Q21:U21),0)</f>
        <v>-2464</v>
      </c>
      <c r="W21" s="63"/>
      <c r="X21" s="169"/>
    </row>
    <row r="22" spans="1:24" s="64" customFormat="1" ht="13.5" customHeight="1">
      <c r="A22" s="167" t="s">
        <v>100</v>
      </c>
      <c r="B22" s="178"/>
      <c r="C22" s="139">
        <f>+GrossMargin!M29</f>
        <v>4617</v>
      </c>
      <c r="D22" s="140">
        <f>+Expenses!E21+'CapChrg-AllocExp'!E19+'CapChrg-AllocExp'!L19</f>
        <v>2188</v>
      </c>
      <c r="E22" s="164">
        <f>C22-D22</f>
        <v>2429</v>
      </c>
      <c r="F22" s="140"/>
      <c r="G22" s="139">
        <f>+GrossMargin!I29</f>
        <v>132</v>
      </c>
      <c r="H22" s="140">
        <f>GrossMargin!J19</f>
        <v>0</v>
      </c>
      <c r="I22" s="140">
        <f>+GrossMargin!K29</f>
        <v>0</v>
      </c>
      <c r="J22" s="179">
        <f>SUM(G22:I22)</f>
        <v>132</v>
      </c>
      <c r="K22" s="180"/>
      <c r="L22" s="139">
        <f>+'CapChrg-AllocExp'!D19</f>
        <v>652</v>
      </c>
      <c r="M22" s="36">
        <f>Expenses!D21</f>
        <v>2569</v>
      </c>
      <c r="N22" s="140">
        <f>+'CapChrg-AllocExp'!K19</f>
        <v>0</v>
      </c>
      <c r="O22" s="179">
        <f>J22-K22-M22-N22-L22</f>
        <v>-3089</v>
      </c>
      <c r="P22" s="181"/>
      <c r="Q22" s="139">
        <f>+J22-C22</f>
        <v>-4485</v>
      </c>
      <c r="R22" s="140"/>
      <c r="S22" s="140">
        <f>+'CapChrg-AllocExp'!F19</f>
        <v>0</v>
      </c>
      <c r="T22" s="36">
        <f>Expenses!F21</f>
        <v>-1033</v>
      </c>
      <c r="U22" s="140">
        <f>+'CapChrg-AllocExp'!M19</f>
        <v>0</v>
      </c>
      <c r="V22" s="164">
        <f>ROUND(SUM(Q22:U22),0)</f>
        <v>-5518</v>
      </c>
      <c r="W22" s="63"/>
      <c r="X22" s="169"/>
    </row>
    <row r="23" spans="1:24" s="64" customFormat="1" ht="13.5" customHeight="1">
      <c r="A23" s="167" t="s">
        <v>101</v>
      </c>
      <c r="B23" s="178"/>
      <c r="C23" s="139">
        <f>+GrossMargin!M30</f>
        <v>530</v>
      </c>
      <c r="D23" s="140">
        <f>+Expenses!E22+'CapChrg-AllocExp'!E20+'CapChrg-AllocExp'!L20</f>
        <v>2146</v>
      </c>
      <c r="E23" s="164">
        <f>C23-D23</f>
        <v>-1616</v>
      </c>
      <c r="F23" s="140"/>
      <c r="G23" s="139">
        <f>+GrossMargin!I30</f>
        <v>-3089</v>
      </c>
      <c r="H23" s="140">
        <f>GrossMargin!J20</f>
        <v>0</v>
      </c>
      <c r="I23" s="140">
        <f>+GrossMargin!K30</f>
        <v>0</v>
      </c>
      <c r="J23" s="179">
        <f>SUM(G23:I23)</f>
        <v>-3089</v>
      </c>
      <c r="K23" s="180"/>
      <c r="L23" s="139">
        <f>+'CapChrg-AllocExp'!D20</f>
        <v>0</v>
      </c>
      <c r="M23" s="36">
        <f>Expenses!D22</f>
        <v>1056</v>
      </c>
      <c r="N23" s="140">
        <f>+'CapChrg-AllocExp'!K20</f>
        <v>0</v>
      </c>
      <c r="O23" s="179">
        <f>J23-K23-M23-N23-L23</f>
        <v>-4145</v>
      </c>
      <c r="P23" s="181"/>
      <c r="Q23" s="139">
        <f>+J23-C23</f>
        <v>-3619</v>
      </c>
      <c r="R23" s="140"/>
      <c r="S23" s="140">
        <f>+'CapChrg-AllocExp'!F20</f>
        <v>545</v>
      </c>
      <c r="T23" s="36">
        <f>Expenses!F22</f>
        <v>545</v>
      </c>
      <c r="U23" s="140">
        <f>+'CapChrg-AllocExp'!M20</f>
        <v>0</v>
      </c>
      <c r="V23" s="164">
        <f>ROUND(SUM(Q23:U23),0)</f>
        <v>-2529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113</v>
      </c>
      <c r="B25" s="35"/>
      <c r="C25" s="43">
        <f>SUM(C21:C24)</f>
        <v>6291</v>
      </c>
      <c r="D25" s="44">
        <f>SUM(D21:D24)</f>
        <v>5704</v>
      </c>
      <c r="E25" s="45">
        <f>SUM(E21:E24)</f>
        <v>587</v>
      </c>
      <c r="F25" s="36">
        <f>SUM(F19:F23)</f>
        <v>0</v>
      </c>
      <c r="G25" s="43">
        <f t="shared" ref="G25:O25" si="7">SUM(G21:G24)</f>
        <v>-2871</v>
      </c>
      <c r="H25" s="44">
        <f t="shared" si="7"/>
        <v>0</v>
      </c>
      <c r="I25" s="45">
        <f t="shared" si="7"/>
        <v>0</v>
      </c>
      <c r="J25" s="46">
        <f t="shared" si="7"/>
        <v>-2871</v>
      </c>
      <c r="K25" s="44">
        <f t="shared" si="7"/>
        <v>0</v>
      </c>
      <c r="L25" s="43">
        <f t="shared" si="7"/>
        <v>555</v>
      </c>
      <c r="M25" s="44">
        <f t="shared" si="7"/>
        <v>6498</v>
      </c>
      <c r="N25" s="44">
        <f t="shared" si="7"/>
        <v>0</v>
      </c>
      <c r="O25" s="46">
        <f t="shared" si="7"/>
        <v>-9924</v>
      </c>
      <c r="P25" s="180"/>
      <c r="Q25" s="43">
        <f t="shared" ref="Q25:V25" si="8">SUM(Q21:Q24)</f>
        <v>-9162</v>
      </c>
      <c r="R25" s="44">
        <f t="shared" si="8"/>
        <v>0</v>
      </c>
      <c r="S25" s="44">
        <f t="shared" si="8"/>
        <v>627</v>
      </c>
      <c r="T25" s="44">
        <f t="shared" si="8"/>
        <v>-1976</v>
      </c>
      <c r="U25" s="44">
        <f t="shared" si="8"/>
        <v>0</v>
      </c>
      <c r="V25" s="45">
        <f t="shared" si="8"/>
        <v>-10511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>
        <f>+C19+C25</f>
        <v>82298.508999999991</v>
      </c>
      <c r="D28" s="44">
        <f>+D19+D25</f>
        <v>30622.940999999999</v>
      </c>
      <c r="E28" s="45">
        <f>+E19+E25</f>
        <v>51675.567999999999</v>
      </c>
      <c r="F28" s="36">
        <f>SUM(F25:F26)</f>
        <v>0</v>
      </c>
      <c r="G28" s="43">
        <f t="shared" ref="G28:O28" si="9">+G19+G25</f>
        <v>2084.5783100000008</v>
      </c>
      <c r="H28" s="44">
        <f t="shared" si="9"/>
        <v>0</v>
      </c>
      <c r="I28" s="45">
        <f t="shared" si="9"/>
        <v>0</v>
      </c>
      <c r="J28" s="46">
        <f t="shared" si="9"/>
        <v>2084.5783100000008</v>
      </c>
      <c r="K28" s="44">
        <f t="shared" si="9"/>
        <v>0</v>
      </c>
      <c r="L28" s="43">
        <f t="shared" si="9"/>
        <v>1213</v>
      </c>
      <c r="M28" s="44">
        <f t="shared" si="9"/>
        <v>22184.526000000002</v>
      </c>
      <c r="N28" s="44">
        <f t="shared" si="9"/>
        <v>12450.415000000001</v>
      </c>
      <c r="O28" s="46">
        <f t="shared" si="9"/>
        <v>-33763.362689999994</v>
      </c>
      <c r="P28" s="180"/>
      <c r="Q28" s="43">
        <f t="shared" ref="Q28:V28" si="10">+Q19+Q25</f>
        <v>-80213.930689999994</v>
      </c>
      <c r="R28" s="44">
        <f t="shared" si="10"/>
        <v>0</v>
      </c>
      <c r="S28" s="44">
        <f t="shared" si="10"/>
        <v>816</v>
      </c>
      <c r="T28" s="44">
        <f t="shared" si="10"/>
        <v>-5441</v>
      </c>
      <c r="U28" s="44">
        <f t="shared" si="10"/>
        <v>-600</v>
      </c>
      <c r="V28" s="45">
        <f t="shared" si="10"/>
        <v>-85439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112</v>
      </c>
      <c r="B30" s="35"/>
      <c r="C30" s="133">
        <v>0</v>
      </c>
      <c r="D30" s="36">
        <f>Expenses!E29</f>
        <v>30334.941999999999</v>
      </c>
      <c r="E30" s="135">
        <f>C30-D30</f>
        <v>-30334.941999999999</v>
      </c>
      <c r="F30" s="36"/>
      <c r="G30" s="133">
        <v>0</v>
      </c>
      <c r="H30" s="36">
        <v>0</v>
      </c>
      <c r="I30" s="36">
        <v>0</v>
      </c>
      <c r="J30" s="136">
        <f>SUM(G30:I30)</f>
        <v>0</v>
      </c>
      <c r="K30" s="137"/>
      <c r="L30" s="133">
        <f>'CapChrg-AllocExp'!D29</f>
        <v>0</v>
      </c>
      <c r="M30" s="36">
        <f>+Expenses!D29</f>
        <v>30934.941999999999</v>
      </c>
      <c r="N30" s="36">
        <v>0</v>
      </c>
      <c r="O30" s="136">
        <f>J30-K30-M30-N30-L30</f>
        <v>-30934.941999999999</v>
      </c>
      <c r="P30" s="37"/>
      <c r="Q30" s="133">
        <f>+J30-C30</f>
        <v>0</v>
      </c>
      <c r="R30" s="36"/>
      <c r="S30" s="36">
        <v>0</v>
      </c>
      <c r="T30" s="36">
        <f>Expenses!F29</f>
        <v>-600</v>
      </c>
      <c r="U30" s="36">
        <v>0</v>
      </c>
      <c r="V30" s="135">
        <f>ROUND(SUM(Q30:U30),0)</f>
        <v>-600</v>
      </c>
      <c r="W30" s="32"/>
    </row>
    <row r="31" spans="1:24" ht="13.5" customHeight="1">
      <c r="A31" s="107" t="s">
        <v>103</v>
      </c>
      <c r="B31" s="35"/>
      <c r="C31" s="133">
        <v>0</v>
      </c>
      <c r="D31" s="36">
        <f>+'CapChrg-AllocExp'!L29</f>
        <v>-11850.415000000001</v>
      </c>
      <c r="E31" s="135">
        <f>C31-D31</f>
        <v>11850.415000000001</v>
      </c>
      <c r="F31" s="36"/>
      <c r="G31" s="133">
        <v>0</v>
      </c>
      <c r="H31" s="36"/>
      <c r="I31" s="36">
        <v>0</v>
      </c>
      <c r="J31" s="136">
        <f>SUM(G31:I31)</f>
        <v>0</v>
      </c>
      <c r="K31" s="137"/>
      <c r="L31" s="133">
        <v>0</v>
      </c>
      <c r="M31" s="36">
        <v>0</v>
      </c>
      <c r="N31" s="36">
        <f>+'CapChrg-AllocExp'!K29</f>
        <v>-12450.415000000001</v>
      </c>
      <c r="O31" s="136">
        <f>J31-K31-M31-N31-L31</f>
        <v>12450.415000000001</v>
      </c>
      <c r="P31" s="37"/>
      <c r="Q31" s="133">
        <f>+J31-C31</f>
        <v>0</v>
      </c>
      <c r="R31" s="36"/>
      <c r="S31" s="36">
        <v>0</v>
      </c>
      <c r="T31" s="36">
        <f>-T30</f>
        <v>600</v>
      </c>
      <c r="U31" s="36">
        <v>0</v>
      </c>
      <c r="V31" s="135">
        <f>ROUND(SUM(Q31:U31),0)</f>
        <v>600</v>
      </c>
      <c r="W31" s="32"/>
    </row>
    <row r="32" spans="1:24" ht="13.5" customHeight="1">
      <c r="A32" s="107" t="s">
        <v>10</v>
      </c>
      <c r="B32" s="35"/>
      <c r="C32" s="133">
        <f>GrossMargin!M37</f>
        <v>-520</v>
      </c>
      <c r="D32" s="36">
        <f>Expenses!E30</f>
        <v>0</v>
      </c>
      <c r="E32" s="135">
        <f>C32-D32</f>
        <v>-520</v>
      </c>
      <c r="F32" s="137"/>
      <c r="G32" s="133">
        <f>GrossMargin!I37</f>
        <v>-520</v>
      </c>
      <c r="H32" s="36">
        <f>GrossMargin!J37</f>
        <v>0</v>
      </c>
      <c r="I32" s="36">
        <f>GrossMargin!K37</f>
        <v>0</v>
      </c>
      <c r="J32" s="136">
        <f>SUM(G32:I32)</f>
        <v>-520</v>
      </c>
      <c r="K32" s="137"/>
      <c r="L32" s="133">
        <v>0</v>
      </c>
      <c r="M32" s="36">
        <f>Expenses!D30</f>
        <v>0</v>
      </c>
      <c r="N32" s="36">
        <v>0</v>
      </c>
      <c r="O32" s="136">
        <f>J32-K32-M32-N32-L32</f>
        <v>-520</v>
      </c>
      <c r="P32" s="37"/>
      <c r="Q32" s="133">
        <f>+J32-C32</f>
        <v>0</v>
      </c>
      <c r="R32" s="36"/>
      <c r="S32" s="36">
        <v>0</v>
      </c>
      <c r="T32" s="36">
        <f>Expenses!F30</f>
        <v>0</v>
      </c>
      <c r="U32" s="36"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v>0</v>
      </c>
      <c r="D33" s="36">
        <f>'CapChrg-AllocExp'!E28</f>
        <v>-2029</v>
      </c>
      <c r="E33" s="135">
        <f>C33-D33</f>
        <v>2029</v>
      </c>
      <c r="F33" s="36"/>
      <c r="G33" s="133">
        <v>0</v>
      </c>
      <c r="H33" s="36">
        <v>0</v>
      </c>
      <c r="I33" s="36">
        <v>0</v>
      </c>
      <c r="J33" s="136">
        <f>SUM(G33:I33)</f>
        <v>0</v>
      </c>
      <c r="K33" s="137"/>
      <c r="L33" s="133">
        <f>'CapChrg-AllocExp'!D28</f>
        <v>-1213</v>
      </c>
      <c r="M33" s="36">
        <v>0</v>
      </c>
      <c r="N33" s="36">
        <v>0</v>
      </c>
      <c r="O33" s="136">
        <f>J33-K33-M33-N33-L33</f>
        <v>1213</v>
      </c>
      <c r="P33" s="37"/>
      <c r="Q33" s="133">
        <f>+J33-C33</f>
        <v>0</v>
      </c>
      <c r="R33" s="36"/>
      <c r="S33" s="36">
        <f>'CapChrg-AllocExp'!F28</f>
        <v>-816</v>
      </c>
      <c r="T33" s="36">
        <v>0</v>
      </c>
      <c r="U33" s="36">
        <v>0</v>
      </c>
      <c r="V33" s="135">
        <f>ROUND(SUM(Q33:U33),0)</f>
        <v>-816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>
        <f>SUM(C28:C34)</f>
        <v>81778.508999999991</v>
      </c>
      <c r="D35" s="44">
        <f>SUM(D28:D34)</f>
        <v>47078.468000000001</v>
      </c>
      <c r="E35" s="45">
        <f>SUM(E28:E34)</f>
        <v>34700.040999999997</v>
      </c>
      <c r="F35" s="36"/>
      <c r="G35" s="43">
        <f t="shared" ref="G35:N35" si="11">SUM(G28:G34)</f>
        <v>1564.5783100000008</v>
      </c>
      <c r="H35" s="44">
        <f t="shared" si="11"/>
        <v>0</v>
      </c>
      <c r="I35" s="44">
        <f t="shared" si="11"/>
        <v>0</v>
      </c>
      <c r="J35" s="46">
        <f t="shared" si="11"/>
        <v>1564.5783100000008</v>
      </c>
      <c r="K35" s="44">
        <f t="shared" si="11"/>
        <v>0</v>
      </c>
      <c r="L35" s="43">
        <f t="shared" si="11"/>
        <v>0</v>
      </c>
      <c r="M35" s="44">
        <f t="shared" si="11"/>
        <v>53119.468000000001</v>
      </c>
      <c r="N35" s="44">
        <f t="shared" si="11"/>
        <v>0</v>
      </c>
      <c r="O35" s="46">
        <f>J35-K35-M35-N35-L35</f>
        <v>-51554.889689999996</v>
      </c>
      <c r="P35" s="37"/>
      <c r="Q35" s="43">
        <f t="shared" ref="Q35:V35" si="12">SUM(Q28:Q34)</f>
        <v>-80213.930689999994</v>
      </c>
      <c r="R35" s="44">
        <f t="shared" si="12"/>
        <v>0</v>
      </c>
      <c r="S35" s="44">
        <f t="shared" si="12"/>
        <v>0</v>
      </c>
      <c r="T35" s="44">
        <f t="shared" si="12"/>
        <v>-5441</v>
      </c>
      <c r="U35" s="44">
        <f t="shared" si="12"/>
        <v>-600</v>
      </c>
      <c r="V35" s="45">
        <f t="shared" si="12"/>
        <v>-86255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v>0</v>
      </c>
      <c r="D37" s="36">
        <f>+'IntIncome-Expense'!H34</f>
        <v>2049</v>
      </c>
      <c r="E37" s="135">
        <f>C37-D37</f>
        <v>-2049</v>
      </c>
      <c r="F37" s="36"/>
      <c r="G37" s="133">
        <f>GrossMargin!I49</f>
        <v>0</v>
      </c>
      <c r="H37" s="36">
        <f>GrossMargin!J49</f>
        <v>0</v>
      </c>
      <c r="I37" s="36">
        <f>GrossMargin!K49</f>
        <v>0</v>
      </c>
      <c r="J37" s="136">
        <f>SUM(G37:I37)</f>
        <v>0</v>
      </c>
      <c r="K37" s="137"/>
      <c r="L37" s="134">
        <v>0</v>
      </c>
      <c r="M37" s="36">
        <f>+'IntIncome-Expense'!G34</f>
        <v>2049</v>
      </c>
      <c r="N37" s="36">
        <v>0</v>
      </c>
      <c r="O37" s="136">
        <f>J37-K37-M37-N37-L37</f>
        <v>-2049</v>
      </c>
      <c r="P37" s="37"/>
      <c r="Q37" s="133">
        <f>+J37-C37</f>
        <v>0</v>
      </c>
      <c r="R37" s="36"/>
      <c r="S37" s="36">
        <v>0</v>
      </c>
      <c r="T37" s="36">
        <f>D37-M37</f>
        <v>0</v>
      </c>
      <c r="U37" s="36">
        <v>0</v>
      </c>
      <c r="V37" s="135">
        <f>ROUND(SUM(Q37:U37),0)</f>
        <v>0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>
        <f>SUM(C35:C37)</f>
        <v>81778.508999999991</v>
      </c>
      <c r="D39" s="40">
        <f>SUM(D35:D37)</f>
        <v>49127.468000000001</v>
      </c>
      <c r="E39" s="41">
        <f>SUM(E35:E37)</f>
        <v>32651.040999999997</v>
      </c>
      <c r="F39" s="36"/>
      <c r="G39" s="39">
        <f t="shared" ref="G39:V39" si="13">SUM(G35:G37)</f>
        <v>1564.5783100000008</v>
      </c>
      <c r="H39" s="40">
        <f t="shared" si="13"/>
        <v>0</v>
      </c>
      <c r="I39" s="40">
        <f t="shared" si="13"/>
        <v>0</v>
      </c>
      <c r="J39" s="42">
        <f t="shared" si="13"/>
        <v>1564.5783100000008</v>
      </c>
      <c r="K39" s="40">
        <f t="shared" si="13"/>
        <v>0</v>
      </c>
      <c r="L39" s="39">
        <f t="shared" si="13"/>
        <v>0</v>
      </c>
      <c r="M39" s="40">
        <f t="shared" si="13"/>
        <v>55168.468000000001</v>
      </c>
      <c r="N39" s="40">
        <f t="shared" si="13"/>
        <v>0</v>
      </c>
      <c r="O39" s="42">
        <f>J39-K39-M39-N39-L39</f>
        <v>-53603.889689999996</v>
      </c>
      <c r="P39" s="37"/>
      <c r="Q39" s="39">
        <f t="shared" si="13"/>
        <v>-80213.930689999994</v>
      </c>
      <c r="R39" s="40">
        <f t="shared" si="13"/>
        <v>0</v>
      </c>
      <c r="S39" s="40">
        <f t="shared" si="13"/>
        <v>0</v>
      </c>
      <c r="T39" s="40">
        <f t="shared" si="13"/>
        <v>-5441</v>
      </c>
      <c r="U39" s="40">
        <f t="shared" si="13"/>
        <v>-600</v>
      </c>
      <c r="V39" s="41">
        <f t="shared" si="13"/>
        <v>-86255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5" hidden="1">
      <c r="A41" s="66"/>
      <c r="C41" s="67"/>
      <c r="D41" s="23"/>
      <c r="E41" s="66" t="s">
        <v>53</v>
      </c>
      <c r="F41" s="23"/>
      <c r="G41" s="68">
        <f>+'GM-WeeklyChnge'!C44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44"/>
  <sheetViews>
    <sheetView zoomScaleNormal="100" workbookViewId="0">
      <selection activeCell="F41" sqref="F41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6.5">
      <c r="A2" s="185" t="s">
        <v>93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5">
      <c r="A3" s="186" t="str">
        <f>+'Mgmt Summary'!A3:V3</f>
        <v>Results based on activity through December 7, 2000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5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5.75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79</v>
      </c>
      <c r="B9" s="34"/>
      <c r="C9" s="139">
        <f>+GrossMargin!D10-[3]GrossMargin!D10</f>
        <v>-1979</v>
      </c>
      <c r="D9" s="36">
        <f>+GrossMargin!E10-[3]GrossMargin!E10</f>
        <v>0</v>
      </c>
      <c r="E9" s="36">
        <f>+GrossMargin!F10-[3]GrossMargin!F10</f>
        <v>0</v>
      </c>
      <c r="F9" s="36">
        <f>+GrossMargin!G10-[3]GrossMargin!G10</f>
        <v>0</v>
      </c>
      <c r="G9" s="138">
        <f>+GrossMargin!H10-[3]GrossMargin!H10</f>
        <v>0</v>
      </c>
      <c r="H9" s="134">
        <f t="shared" ref="H9:H14" si="0">SUM(C9:G9)</f>
        <v>-1979</v>
      </c>
      <c r="I9" s="133" t="e">
        <f>GrossMargin!J10-[3]GrossMargin!J10</f>
        <v>#REF!</v>
      </c>
      <c r="J9" s="36">
        <f>+GrossMargin!K10-[3]GrossMargin!K10</f>
        <v>0</v>
      </c>
      <c r="K9" s="135" t="e">
        <f t="shared" ref="K9:K14" si="1">SUM(H9:J9)</f>
        <v>#REF!</v>
      </c>
    </row>
    <row r="10" spans="1:11" s="190" customFormat="1" ht="13.5" customHeight="1">
      <c r="A10" s="107" t="s">
        <v>1</v>
      </c>
      <c r="B10" s="34"/>
      <c r="C10" s="133">
        <f>+GrossMargin!D11-[3]GrossMargin!D11</f>
        <v>2572</v>
      </c>
      <c r="D10" s="36">
        <f>+GrossMargin!E11-[3]GrossMargin!E11</f>
        <v>5.4239200000000096</v>
      </c>
      <c r="E10" s="36">
        <f>+GrossMargin!F11-[3]GrossMargin!F11</f>
        <v>0</v>
      </c>
      <c r="F10" s="36">
        <f>+GrossMargin!G11-[3]GrossMargin!G11</f>
        <v>0</v>
      </c>
      <c r="G10" s="138">
        <f>+GrossMargin!H11-[3]GrossMargin!H11</f>
        <v>0</v>
      </c>
      <c r="H10" s="134">
        <f t="shared" si="0"/>
        <v>2577.4239200000002</v>
      </c>
      <c r="I10" s="133" t="e">
        <f>GrossMargin!J11-[3]GrossMargin!J11</f>
        <v>#REF!</v>
      </c>
      <c r="J10" s="36">
        <f>+GrossMargin!K11-[3]GrossMargin!K11</f>
        <v>0</v>
      </c>
      <c r="K10" s="135" t="e">
        <f t="shared" si="1"/>
        <v>#REF!</v>
      </c>
    </row>
    <row r="11" spans="1:11" s="190" customFormat="1" ht="13.5" customHeight="1">
      <c r="A11" s="107" t="s">
        <v>44</v>
      </c>
      <c r="B11" s="34"/>
      <c r="C11" s="133">
        <f>+GrossMargin!D12-[3]GrossMargin!D12</f>
        <v>1418</v>
      </c>
      <c r="D11" s="36">
        <f>+GrossMargin!E12-[3]GrossMargin!E12</f>
        <v>0</v>
      </c>
      <c r="E11" s="36">
        <f>+GrossMargin!F12-[3]GrossMargin!F12</f>
        <v>0</v>
      </c>
      <c r="F11" s="36">
        <f>+GrossMargin!G12-[3]GrossMargin!G12</f>
        <v>0</v>
      </c>
      <c r="G11" s="138">
        <f>+GrossMargin!H12-[3]GrossMargin!H12</f>
        <v>0</v>
      </c>
      <c r="H11" s="134">
        <f t="shared" si="0"/>
        <v>1418</v>
      </c>
      <c r="I11" s="133" t="e">
        <f>GrossMargin!J12-[3]GrossMargin!J12</f>
        <v>#REF!</v>
      </c>
      <c r="J11" s="36">
        <f>+GrossMargin!K12-[3]GrossMargin!K12</f>
        <v>0</v>
      </c>
      <c r="K11" s="135" t="e">
        <f t="shared" si="1"/>
        <v>#REF!</v>
      </c>
    </row>
    <row r="12" spans="1:11" s="190" customFormat="1" ht="13.5" customHeight="1">
      <c r="A12" s="107" t="s">
        <v>64</v>
      </c>
      <c r="B12" s="34"/>
      <c r="C12" s="133">
        <f>+GrossMargin!D13-[3]GrossMargin!D13</f>
        <v>856</v>
      </c>
      <c r="D12" s="36">
        <f>+GrossMargin!E13-[3]GrossMargin!E13</f>
        <v>0</v>
      </c>
      <c r="E12" s="36">
        <f>+GrossMargin!F13-[3]GrossMargin!F13</f>
        <v>0</v>
      </c>
      <c r="F12" s="36">
        <f>+GrossMargin!G13-[3]GrossMargin!G13</f>
        <v>0</v>
      </c>
      <c r="G12" s="138">
        <f>+GrossMargin!H13-[3]GrossMargin!H13</f>
        <v>0</v>
      </c>
      <c r="H12" s="134">
        <f t="shared" si="0"/>
        <v>856</v>
      </c>
      <c r="I12" s="133" t="e">
        <f>GrossMargin!J13-[3]GrossMargin!J13</f>
        <v>#REF!</v>
      </c>
      <c r="J12" s="36">
        <f>+GrossMargin!K13-[3]GrossMargin!K13</f>
        <v>0</v>
      </c>
      <c r="K12" s="135" t="e">
        <f t="shared" si="1"/>
        <v>#REF!</v>
      </c>
    </row>
    <row r="13" spans="1:11" s="190" customFormat="1" ht="13.5" customHeight="1">
      <c r="A13" s="107" t="s">
        <v>71</v>
      </c>
      <c r="B13" s="34"/>
      <c r="C13" s="133">
        <f>+GrossMargin!D14-[3]GrossMargin!D14</f>
        <v>0</v>
      </c>
      <c r="D13" s="36">
        <f>+GrossMargin!E14-[3]GrossMargin!E14</f>
        <v>0</v>
      </c>
      <c r="E13" s="36">
        <f>+GrossMargin!F14-[3]GrossMargin!F14</f>
        <v>0</v>
      </c>
      <c r="F13" s="36">
        <f>+GrossMargin!G14-[3]GrossMargin!G14</f>
        <v>0</v>
      </c>
      <c r="G13" s="138">
        <f>+GrossMargin!H14-[3]GrossMargin!H14</f>
        <v>0</v>
      </c>
      <c r="H13" s="134">
        <f t="shared" si="0"/>
        <v>0</v>
      </c>
      <c r="I13" s="133" t="e">
        <f>GrossMargin!J14-[3]GrossMargin!J14</f>
        <v>#REF!</v>
      </c>
      <c r="J13" s="36">
        <f>+GrossMargin!K14-[3]GrossMargin!K14</f>
        <v>0</v>
      </c>
      <c r="K13" s="135" t="e">
        <f t="shared" si="1"/>
        <v>#REF!</v>
      </c>
    </row>
    <row r="14" spans="1:11" ht="13.5" hidden="1" customHeight="1">
      <c r="A14" s="242" t="s">
        <v>81</v>
      </c>
      <c r="B14" s="249"/>
      <c r="C14" s="301">
        <f>+GrossMargin!D15-[3]GrossMargin!D15</f>
        <v>-297</v>
      </c>
      <c r="D14" s="246">
        <f>+GrossMargin!E15-[3]GrossMargin!E15</f>
        <v>0</v>
      </c>
      <c r="E14" s="246">
        <f>+GrossMargin!F15-[3]GrossMargin!F15</f>
        <v>0</v>
      </c>
      <c r="F14" s="246">
        <f>+GrossMargin!G15-[3]GrossMargin!G15</f>
        <v>0</v>
      </c>
      <c r="G14" s="247">
        <f>+GrossMargin!H15-[3]GrossMargin!H15</f>
        <v>0</v>
      </c>
      <c r="H14" s="302">
        <f t="shared" si="0"/>
        <v>-297</v>
      </c>
      <c r="I14" s="133" t="e">
        <f>GrossMargin!J15-[3]GrossMargin!J15</f>
        <v>#REF!</v>
      </c>
      <c r="J14" s="246">
        <f>+GrossMargin!K15-[3]GrossMargin!K15</f>
        <v>0</v>
      </c>
      <c r="K14" s="303" t="e">
        <f t="shared" si="1"/>
        <v>#REF!</v>
      </c>
    </row>
    <row r="15" spans="1:11" ht="13.5" hidden="1" customHeight="1">
      <c r="A15" s="242" t="s">
        <v>150</v>
      </c>
      <c r="B15" s="249"/>
      <c r="C15" s="244">
        <f>+GrossMargin!D16-[3]GrossMargin!D16</f>
        <v>386.17899999999997</v>
      </c>
      <c r="D15" s="246">
        <f>+GrossMargin!E16-[3]GrossMargin!E16</f>
        <v>0</v>
      </c>
      <c r="E15" s="246">
        <f>+GrossMargin!F16-[3]GrossMargin!F16</f>
        <v>0</v>
      </c>
      <c r="F15" s="246">
        <f>+GrossMargin!G16-[3]GrossMargin!G16</f>
        <v>0</v>
      </c>
      <c r="G15" s="247">
        <f>+GrossMargin!H16-[3]GrossMargin!H16</f>
        <v>0</v>
      </c>
      <c r="H15" s="302">
        <f>SUM(C15:G15)</f>
        <v>386.17899999999997</v>
      </c>
      <c r="I15" s="133" t="e">
        <f>GrossMargin!J16-[3]GrossMargin!J16</f>
        <v>#REF!</v>
      </c>
      <c r="J15" s="246">
        <f>+GrossMargin!K16-[3]GrossMargin!K16</f>
        <v>0</v>
      </c>
      <c r="K15" s="303" t="e">
        <f>SUM(H15:J15)</f>
        <v>#REF!</v>
      </c>
    </row>
    <row r="16" spans="1:11" ht="13.5" hidden="1" customHeight="1">
      <c r="A16" s="242" t="s">
        <v>84</v>
      </c>
      <c r="B16" s="249"/>
      <c r="C16" s="301">
        <f>+GrossMargin!D17-[3]GrossMargin!D17</f>
        <v>32</v>
      </c>
      <c r="D16" s="246">
        <f>+GrossMargin!E17-[3]GrossMargin!E17</f>
        <v>0</v>
      </c>
      <c r="E16" s="246">
        <f>+GrossMargin!F17-[3]GrossMargin!F17</f>
        <v>0</v>
      </c>
      <c r="F16" s="246">
        <f>+GrossMargin!G17-[3]GrossMargin!G17</f>
        <v>0</v>
      </c>
      <c r="G16" s="247">
        <f>+GrossMargin!H17-[3]GrossMargin!H17</f>
        <v>0</v>
      </c>
      <c r="H16" s="302">
        <f>SUM(C16:G16)</f>
        <v>32</v>
      </c>
      <c r="I16" s="133" t="e">
        <f>GrossMargin!J17-[3]GrossMargin!J17</f>
        <v>#REF!</v>
      </c>
      <c r="J16" s="246">
        <f>+GrossMargin!K17-[3]GrossMargin!K17</f>
        <v>0</v>
      </c>
      <c r="K16" s="303" t="e">
        <f>SUM(H16:J16)</f>
        <v>#REF!</v>
      </c>
    </row>
    <row r="17" spans="1:11" ht="13.5" hidden="1" customHeight="1">
      <c r="A17" s="242" t="s">
        <v>82</v>
      </c>
      <c r="B17" s="249"/>
      <c r="C17" s="301">
        <f>+GrossMargin!D18-[3]GrossMargin!D18</f>
        <v>0</v>
      </c>
      <c r="D17" s="246">
        <f>+GrossMargin!E18-[3]GrossMargin!E18</f>
        <v>0</v>
      </c>
      <c r="E17" s="246">
        <f>+GrossMargin!F18-[3]GrossMargin!F18</f>
        <v>0</v>
      </c>
      <c r="F17" s="246">
        <f>+GrossMargin!G18-[3]GrossMargin!G18</f>
        <v>0</v>
      </c>
      <c r="G17" s="247">
        <f>+GrossMargin!H18-[3]GrossMargin!H18</f>
        <v>0</v>
      </c>
      <c r="H17" s="302">
        <f>SUM(C17:G17)</f>
        <v>0</v>
      </c>
      <c r="I17" s="133" t="e">
        <f>GrossMargin!J18-[3]GrossMargin!J18</f>
        <v>#REF!</v>
      </c>
      <c r="J17" s="246">
        <f>+GrossMargin!K18-[3]GrossMargin!K18</f>
        <v>0</v>
      </c>
      <c r="K17" s="303" t="e">
        <f>SUM(H17:J17)</f>
        <v>#REF!</v>
      </c>
    </row>
    <row r="18" spans="1:11" ht="13.5" hidden="1" customHeight="1">
      <c r="A18" s="242" t="s">
        <v>83</v>
      </c>
      <c r="B18" s="249"/>
      <c r="C18" s="301">
        <f>+GrossMargin!D19-[3]GrossMargin!D19</f>
        <v>0</v>
      </c>
      <c r="D18" s="246">
        <f>+GrossMargin!E19-[3]GrossMargin!E19</f>
        <v>0</v>
      </c>
      <c r="E18" s="246">
        <f>+GrossMargin!F19-[3]GrossMargin!F19</f>
        <v>0</v>
      </c>
      <c r="F18" s="246">
        <f>+GrossMargin!G19-[3]GrossMargin!G19</f>
        <v>0</v>
      </c>
      <c r="G18" s="247">
        <f>+GrossMargin!H19-[3]GrossMargin!H19</f>
        <v>0</v>
      </c>
      <c r="H18" s="302">
        <f>SUM(C18:G18)</f>
        <v>0</v>
      </c>
      <c r="I18" s="133" t="e">
        <f>GrossMargin!J19-[3]GrossMargin!J19</f>
        <v>#REF!</v>
      </c>
      <c r="J18" s="246">
        <f>+GrossMargin!K19-[3]GrossMargin!K19</f>
        <v>0</v>
      </c>
      <c r="K18" s="303" t="e">
        <f>SUM(H18:J18)</f>
        <v>#REF!</v>
      </c>
    </row>
    <row r="19" spans="1:11" ht="13.5" hidden="1" customHeight="1">
      <c r="A19" s="242" t="s">
        <v>85</v>
      </c>
      <c r="B19" s="249"/>
      <c r="C19" s="304">
        <f>+GrossMargin!D20-[3]GrossMargin!D20</f>
        <v>0</v>
      </c>
      <c r="D19" s="256">
        <f>+GrossMargin!E20-[3]GrossMargin!E20</f>
        <v>0</v>
      </c>
      <c r="E19" s="256">
        <f>+GrossMargin!F20-[3]GrossMargin!F20</f>
        <v>0</v>
      </c>
      <c r="F19" s="256">
        <f>+GrossMargin!G20-[3]GrossMargin!G20</f>
        <v>0</v>
      </c>
      <c r="G19" s="257">
        <f>+GrossMargin!H20-[3]GrossMargin!H20</f>
        <v>0</v>
      </c>
      <c r="H19" s="305">
        <f>SUM(C19:G19)</f>
        <v>0</v>
      </c>
      <c r="I19" s="133" t="e">
        <f>GrossMargin!J20-[3]GrossMargin!J20</f>
        <v>#REF!</v>
      </c>
      <c r="J19" s="256">
        <f>+GrossMargin!K20-[3]GrossMargin!K20</f>
        <v>0</v>
      </c>
      <c r="K19" s="306" t="e">
        <f>SUM(H19:J19)</f>
        <v>#REF!</v>
      </c>
    </row>
    <row r="20" spans="1:11" s="190" customFormat="1" ht="13.5" customHeight="1">
      <c r="A20" s="107" t="s">
        <v>50</v>
      </c>
      <c r="B20" s="34"/>
      <c r="C20" s="133">
        <f t="shared" ref="C20:K20" si="2">SUM(C14:C19)</f>
        <v>121.17899999999997</v>
      </c>
      <c r="D20" s="36">
        <f t="shared" si="2"/>
        <v>0</v>
      </c>
      <c r="E20" s="36">
        <f t="shared" si="2"/>
        <v>0</v>
      </c>
      <c r="F20" s="36">
        <f t="shared" si="2"/>
        <v>0</v>
      </c>
      <c r="G20" s="138">
        <f t="shared" si="2"/>
        <v>0</v>
      </c>
      <c r="H20" s="134">
        <f t="shared" si="2"/>
        <v>121.17899999999997</v>
      </c>
      <c r="I20" s="307" t="e">
        <f t="shared" si="2"/>
        <v>#REF!</v>
      </c>
      <c r="J20" s="36">
        <f t="shared" si="2"/>
        <v>0</v>
      </c>
      <c r="K20" s="135" t="e">
        <f t="shared" si="2"/>
        <v>#REF!</v>
      </c>
    </row>
    <row r="21" spans="1:11" s="190" customFormat="1" ht="13.5" customHeight="1">
      <c r="A21" s="107" t="s">
        <v>98</v>
      </c>
      <c r="B21" s="34"/>
      <c r="C21" s="133">
        <f>+GrossMargin!D22-[3]GrossMargin!D22</f>
        <v>0</v>
      </c>
      <c r="D21" s="36">
        <f>+GrossMargin!E22-[3]GrossMargin!E22</f>
        <v>0</v>
      </c>
      <c r="E21" s="36">
        <f>+GrossMargin!F22-[3]GrossMargin!F22</f>
        <v>0</v>
      </c>
      <c r="F21" s="36">
        <f>+GrossMargin!G22-[3]GrossMargin!G22</f>
        <v>0</v>
      </c>
      <c r="G21" s="138">
        <f>+GrossMargin!H22-[3]GrossMargin!H22</f>
        <v>0</v>
      </c>
      <c r="H21" s="134">
        <f>SUM(C21:G21)</f>
        <v>0</v>
      </c>
      <c r="I21" s="133" t="e">
        <f>GrossMargin!J22-[3]GrossMargin!J22</f>
        <v>#REF!</v>
      </c>
      <c r="J21" s="36">
        <f>+GrossMargin!K22-[3]GrossMargin!K22</f>
        <v>0</v>
      </c>
      <c r="K21" s="135" t="e">
        <f>SUM(H21:J21)</f>
        <v>#REF!</v>
      </c>
    </row>
    <row r="22" spans="1:11" ht="13.5" customHeight="1">
      <c r="A22" s="107" t="s">
        <v>2</v>
      </c>
      <c r="B22" s="168"/>
      <c r="C22" s="133">
        <f>+GrossMargin!D23-[3]GrossMargin!D23</f>
        <v>0</v>
      </c>
      <c r="D22" s="36">
        <f>+GrossMargin!E23-[3]GrossMargin!E23</f>
        <v>0</v>
      </c>
      <c r="E22" s="36">
        <f>+GrossMargin!F23-[3]GrossMargin!F23</f>
        <v>0</v>
      </c>
      <c r="F22" s="36">
        <f>+GrossMargin!G23-[3]GrossMargin!G23</f>
        <v>0</v>
      </c>
      <c r="G22" s="138">
        <f>+GrossMargin!H23-[3]GrossMargin!H23</f>
        <v>0</v>
      </c>
      <c r="H22" s="134">
        <f>SUM(C22:G22)</f>
        <v>0</v>
      </c>
      <c r="I22" s="133" t="e">
        <f>GrossMargin!J23-[3]GrossMargin!J23</f>
        <v>#REF!</v>
      </c>
      <c r="J22" s="36">
        <f>GrossMargin!K23-[3]GrossMargin!K23</f>
        <v>0</v>
      </c>
      <c r="K22" s="135" t="e">
        <f>SUM(H22:J22)</f>
        <v>#REF!</v>
      </c>
    </row>
    <row r="23" spans="1:11" ht="13.5" customHeight="1">
      <c r="A23" s="107" t="s">
        <v>11</v>
      </c>
      <c r="B23" s="168"/>
      <c r="C23" s="133">
        <f>+GrossMargin!D24-[3]GrossMargin!D24</f>
        <v>0</v>
      </c>
      <c r="D23" s="36">
        <f>+GrossMargin!E24-[3]GrossMargin!E24</f>
        <v>0</v>
      </c>
      <c r="E23" s="36">
        <f>+GrossMargin!F24-[3]GrossMargin!F24</f>
        <v>0</v>
      </c>
      <c r="F23" s="36">
        <f>+GrossMargin!G24-[3]GrossMargin!G24</f>
        <v>0</v>
      </c>
      <c r="G23" s="138">
        <f>+GrossMargin!H24-[3]GrossMargin!H24</f>
        <v>0</v>
      </c>
      <c r="H23" s="134">
        <f>SUM(C23:G23)</f>
        <v>0</v>
      </c>
      <c r="I23" s="133" t="e">
        <f>GrossMargin!J24-[3]GrossMargin!J24</f>
        <v>#REF!</v>
      </c>
      <c r="J23" s="36">
        <f>+GrossMargin!K24-[3]GrossMargin!K28</f>
        <v>0</v>
      </c>
      <c r="K23" s="135" t="e">
        <f>SUM(H23:J23)</f>
        <v>#REF!</v>
      </c>
    </row>
    <row r="24" spans="1:11" ht="3" customHeight="1">
      <c r="A24" s="107"/>
      <c r="B24" s="34"/>
      <c r="C24" s="133"/>
      <c r="D24" s="36"/>
      <c r="E24" s="36"/>
      <c r="F24" s="36"/>
      <c r="G24" s="138"/>
      <c r="H24" s="134"/>
      <c r="I24" s="133"/>
      <c r="J24" s="36"/>
      <c r="K24" s="138"/>
    </row>
    <row r="25" spans="1:11" ht="13.5" customHeight="1">
      <c r="A25" s="38" t="s">
        <v>108</v>
      </c>
      <c r="B25" s="34"/>
      <c r="C25" s="43">
        <f t="shared" ref="C25:K25" si="3">+C9+C10+C11+C12+C13+C20+C21+C22+C23</f>
        <v>2988.1790000000001</v>
      </c>
      <c r="D25" s="44">
        <f t="shared" si="3"/>
        <v>5.4239200000000096</v>
      </c>
      <c r="E25" s="44">
        <f t="shared" si="3"/>
        <v>0</v>
      </c>
      <c r="F25" s="44">
        <f t="shared" si="3"/>
        <v>0</v>
      </c>
      <c r="G25" s="45">
        <f t="shared" si="3"/>
        <v>0</v>
      </c>
      <c r="H25" s="46">
        <f t="shared" si="3"/>
        <v>2993.6029200000003</v>
      </c>
      <c r="I25" s="44" t="e">
        <f t="shared" si="3"/>
        <v>#REF!</v>
      </c>
      <c r="J25" s="44">
        <f t="shared" si="3"/>
        <v>0</v>
      </c>
      <c r="K25" s="45" t="e">
        <f t="shared" si="3"/>
        <v>#REF!</v>
      </c>
    </row>
    <row r="26" spans="1:11" ht="3" customHeight="1">
      <c r="A26" s="107"/>
      <c r="B26" s="34"/>
      <c r="C26" s="133"/>
      <c r="D26" s="36"/>
      <c r="E26" s="36"/>
      <c r="F26" s="36"/>
      <c r="G26" s="138"/>
      <c r="H26" s="134"/>
      <c r="I26" s="133"/>
      <c r="J26" s="36"/>
      <c r="K26" s="138"/>
    </row>
    <row r="27" spans="1:11" s="190" customFormat="1" ht="13.5" customHeight="1">
      <c r="A27" s="107" t="s">
        <v>99</v>
      </c>
      <c r="B27" s="34"/>
      <c r="C27" s="133">
        <f>+GrossMargin!D28-[3]GrossMargin!D28</f>
        <v>0</v>
      </c>
      <c r="D27" s="36">
        <f>+GrossMargin!E28-[3]GrossMargin!E28</f>
        <v>0</v>
      </c>
      <c r="E27" s="36">
        <f>+GrossMargin!F28-[3]GrossMargin!F28</f>
        <v>0</v>
      </c>
      <c r="F27" s="36">
        <f>+GrossMargin!G28-[3]GrossMargin!G28</f>
        <v>0</v>
      </c>
      <c r="G27" s="138">
        <f>+GrossMargin!H28-[3]GrossMargin!H28</f>
        <v>0</v>
      </c>
      <c r="H27" s="134">
        <f>SUM(C27:G27)</f>
        <v>0</v>
      </c>
      <c r="I27" s="133" t="e">
        <f>GrossMargin!J28-[3]GrossMargin!J28</f>
        <v>#REF!</v>
      </c>
      <c r="J27" s="36">
        <f>+GrossMargin!K28-[3]GrossMargin!K23</f>
        <v>0</v>
      </c>
      <c r="K27" s="135" t="e">
        <f>SUM(H27:J27)</f>
        <v>#REF!</v>
      </c>
    </row>
    <row r="28" spans="1:11" s="190" customFormat="1" ht="13.5" customHeight="1">
      <c r="A28" s="107" t="s">
        <v>100</v>
      </c>
      <c r="B28" s="34"/>
      <c r="C28" s="133">
        <f>+GrossMargin!D29-[3]GrossMargin!D29</f>
        <v>0</v>
      </c>
      <c r="D28" s="36">
        <f>+GrossMargin!E29-[3]GrossMargin!E29</f>
        <v>0</v>
      </c>
      <c r="E28" s="36">
        <f>+GrossMargin!F29-[3]GrossMargin!F29</f>
        <v>0</v>
      </c>
      <c r="F28" s="36">
        <f>+GrossMargin!G29-[3]GrossMargin!G29</f>
        <v>0</v>
      </c>
      <c r="G28" s="138">
        <f>+GrossMargin!H29-[3]GrossMargin!H29</f>
        <v>0</v>
      </c>
      <c r="H28" s="134">
        <f>SUM(C28:G28)</f>
        <v>0</v>
      </c>
      <c r="I28" s="133" t="e">
        <f>GrossMargin!J29-[3]GrossMargin!J29</f>
        <v>#REF!</v>
      </c>
      <c r="J28" s="36">
        <f>+GrossMargin!K29-[3]GrossMargin!K24</f>
        <v>0</v>
      </c>
      <c r="K28" s="135" t="e">
        <f>SUM(H28:J28)</f>
        <v>#REF!</v>
      </c>
    </row>
    <row r="29" spans="1:11" s="190" customFormat="1" ht="13.5" customHeight="1">
      <c r="A29" s="107" t="s">
        <v>101</v>
      </c>
      <c r="B29" s="34"/>
      <c r="C29" s="133">
        <f>+GrossMargin!D30-[3]GrossMargin!D30</f>
        <v>0</v>
      </c>
      <c r="D29" s="36">
        <f>+GrossMargin!E30-[3]GrossMargin!E30</f>
        <v>0</v>
      </c>
      <c r="E29" s="36">
        <f>+GrossMargin!F30-[3]GrossMargin!F30</f>
        <v>-735</v>
      </c>
      <c r="F29" s="36">
        <f>+GrossMargin!G30-[3]GrossMargin!G30</f>
        <v>0</v>
      </c>
      <c r="G29" s="138">
        <f>+GrossMargin!H30-[3]GrossMargin!H30</f>
        <v>0</v>
      </c>
      <c r="H29" s="134">
        <f>SUM(C29:G29)</f>
        <v>-735</v>
      </c>
      <c r="I29" s="133" t="e">
        <f>GrossMargin!J30-[3]GrossMargin!J30</f>
        <v>#REF!</v>
      </c>
      <c r="J29" s="36">
        <f>GrossMargin!K30-[3]GrossMargin!K30</f>
        <v>0</v>
      </c>
      <c r="K29" s="135" t="e">
        <f>SUM(H29:J29)</f>
        <v>#REF!</v>
      </c>
    </row>
    <row r="30" spans="1:11" ht="3" customHeight="1">
      <c r="A30" s="107"/>
      <c r="B30" s="34"/>
      <c r="C30" s="133"/>
      <c r="D30" s="36"/>
      <c r="E30" s="36"/>
      <c r="F30" s="36"/>
      <c r="G30" s="138"/>
      <c r="H30" s="134"/>
      <c r="I30" s="133"/>
      <c r="J30" s="36"/>
      <c r="K30" s="138"/>
    </row>
    <row r="31" spans="1:11" ht="13.5" customHeight="1">
      <c r="A31" s="38" t="s">
        <v>114</v>
      </c>
      <c r="B31" s="34"/>
      <c r="C31" s="43">
        <f>SUM(C27:C30)</f>
        <v>0</v>
      </c>
      <c r="D31" s="44">
        <f t="shared" ref="D31:K31" si="4">SUM(D27:D30)</f>
        <v>0</v>
      </c>
      <c r="E31" s="44">
        <f t="shared" si="4"/>
        <v>-735</v>
      </c>
      <c r="F31" s="44">
        <f t="shared" si="4"/>
        <v>0</v>
      </c>
      <c r="G31" s="45">
        <f t="shared" si="4"/>
        <v>0</v>
      </c>
      <c r="H31" s="46">
        <f t="shared" si="4"/>
        <v>-735</v>
      </c>
      <c r="I31" s="44" t="e">
        <f t="shared" si="4"/>
        <v>#REF!</v>
      </c>
      <c r="J31" s="44">
        <f t="shared" si="4"/>
        <v>0</v>
      </c>
      <c r="K31" s="45" t="e">
        <f t="shared" si="4"/>
        <v>#REF!</v>
      </c>
    </row>
    <row r="32" spans="1:11" ht="3" customHeight="1">
      <c r="A32" s="107"/>
      <c r="B32" s="34"/>
      <c r="C32" s="133"/>
      <c r="D32" s="36"/>
      <c r="E32" s="36"/>
      <c r="F32" s="36"/>
      <c r="G32" s="138"/>
      <c r="H32" s="134"/>
      <c r="I32" s="133"/>
      <c r="J32" s="36"/>
      <c r="K32" s="138"/>
    </row>
    <row r="33" spans="1:11" ht="3" customHeight="1">
      <c r="A33" s="107"/>
      <c r="B33" s="34"/>
      <c r="C33" s="133"/>
      <c r="D33" s="36"/>
      <c r="E33" s="36"/>
      <c r="F33" s="36"/>
      <c r="G33" s="138"/>
      <c r="H33" s="134"/>
      <c r="I33" s="133"/>
      <c r="J33" s="36"/>
      <c r="K33" s="138"/>
    </row>
    <row r="34" spans="1:11" ht="13.5" customHeight="1">
      <c r="A34" s="38" t="s">
        <v>109</v>
      </c>
      <c r="B34" s="34"/>
      <c r="C34" s="43">
        <f>+C25+C31</f>
        <v>2988.1790000000001</v>
      </c>
      <c r="D34" s="44">
        <f t="shared" ref="D34:K34" si="5">+D25+D31</f>
        <v>5.4239200000000096</v>
      </c>
      <c r="E34" s="44">
        <f t="shared" si="5"/>
        <v>-735</v>
      </c>
      <c r="F34" s="44">
        <f t="shared" si="5"/>
        <v>0</v>
      </c>
      <c r="G34" s="45">
        <f t="shared" si="5"/>
        <v>0</v>
      </c>
      <c r="H34" s="46">
        <f t="shared" si="5"/>
        <v>2258.6029200000003</v>
      </c>
      <c r="I34" s="44" t="e">
        <f t="shared" si="5"/>
        <v>#REF!</v>
      </c>
      <c r="J34" s="44">
        <f t="shared" si="5"/>
        <v>0</v>
      </c>
      <c r="K34" s="45" t="e">
        <f t="shared" si="5"/>
        <v>#REF!</v>
      </c>
    </row>
    <row r="35" spans="1:11" ht="3" customHeight="1">
      <c r="A35" s="107"/>
      <c r="B35" s="34"/>
      <c r="C35" s="133"/>
      <c r="D35" s="36"/>
      <c r="E35" s="36"/>
      <c r="F35" s="36"/>
      <c r="G35" s="138"/>
      <c r="H35" s="134"/>
      <c r="I35" s="133"/>
      <c r="J35" s="36"/>
      <c r="K35" s="138"/>
    </row>
    <row r="36" spans="1:11" ht="13.5" customHeight="1">
      <c r="A36" s="107" t="s">
        <v>10</v>
      </c>
      <c r="B36" s="34"/>
      <c r="C36" s="133">
        <f>+GrossMargin!D37-[3]GrossMargin!D37</f>
        <v>0</v>
      </c>
      <c r="D36" s="36">
        <f>+GrossMargin!E37-[3]GrossMargin!E37</f>
        <v>0</v>
      </c>
      <c r="E36" s="36">
        <f>+GrossMargin!F37-[3]GrossMargin!F37</f>
        <v>0</v>
      </c>
      <c r="F36" s="36">
        <f>+GrossMargin!G37-[3]GrossMargin!G37</f>
        <v>0</v>
      </c>
      <c r="G36" s="138">
        <f>+GrossMargin!H37-[3]GrossMargin!H37</f>
        <v>0</v>
      </c>
      <c r="H36" s="134">
        <f>SUM(C36:G36)</f>
        <v>0</v>
      </c>
      <c r="I36" s="133">
        <f>GrossMargin!J37-[3]GrossMargin!J32</f>
        <v>0</v>
      </c>
      <c r="J36" s="36">
        <f>+GrossMargin!K37-[3]GrossMargin!K32</f>
        <v>0</v>
      </c>
      <c r="K36" s="135">
        <f>SUM(H36:J36)</f>
        <v>0</v>
      </c>
    </row>
    <row r="37" spans="1:11" ht="3" customHeight="1">
      <c r="A37" s="107"/>
      <c r="B37" s="34"/>
      <c r="C37" s="133"/>
      <c r="D37" s="36"/>
      <c r="E37" s="36"/>
      <c r="F37" s="36"/>
      <c r="G37" s="138"/>
      <c r="H37" s="134"/>
      <c r="I37" s="133"/>
      <c r="J37" s="36"/>
      <c r="K37" s="138"/>
    </row>
    <row r="38" spans="1:11" ht="13.5" customHeight="1">
      <c r="A38" s="38" t="s">
        <v>107</v>
      </c>
      <c r="B38" s="34"/>
      <c r="C38" s="39">
        <f>SUM(C34:C36)</f>
        <v>2988.1790000000001</v>
      </c>
      <c r="D38" s="40">
        <f>SUM(D34:D36)</f>
        <v>5.4239200000000096</v>
      </c>
      <c r="E38" s="40">
        <f>SUM(E34:E37)</f>
        <v>-735</v>
      </c>
      <c r="F38" s="40">
        <f>SUM(F34:F36)</f>
        <v>0</v>
      </c>
      <c r="G38" s="41">
        <f>SUM(G34:G36)</f>
        <v>0</v>
      </c>
      <c r="H38" s="39">
        <f>SUM(C38:G38)</f>
        <v>2258.6029200000003</v>
      </c>
      <c r="I38" s="39" t="e">
        <f>SUM(I34:I36)</f>
        <v>#REF!</v>
      </c>
      <c r="J38" s="40">
        <f>SUM(J34:J36)</f>
        <v>0</v>
      </c>
      <c r="K38" s="41" t="e">
        <f>SUM(H38:J38)</f>
        <v>#REF!</v>
      </c>
    </row>
    <row r="39" spans="1:11" ht="3" customHeight="1">
      <c r="A39" s="103"/>
      <c r="B39" s="32"/>
      <c r="C39" s="104"/>
      <c r="D39" s="105"/>
      <c r="E39" s="105"/>
      <c r="F39" s="105"/>
      <c r="G39" s="182"/>
      <c r="H39" s="104"/>
      <c r="I39" s="104"/>
      <c r="J39" s="105"/>
      <c r="K39" s="182"/>
    </row>
    <row r="40" spans="1:11" ht="13.5">
      <c r="A40" s="163" t="s">
        <v>60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>
      <c r="E41" s="187"/>
    </row>
    <row r="43" spans="1:11">
      <c r="G43" s="166"/>
    </row>
    <row r="44" spans="1:11" ht="15.75">
      <c r="D44" s="165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P66"/>
  <sheetViews>
    <sheetView topLeftCell="B4" zoomScaleNormal="100" workbookViewId="0">
      <selection activeCell="D42" sqref="D42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43</v>
      </c>
    </row>
    <row r="2" spans="1:16" ht="15.75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6.5">
      <c r="A3" s="13">
        <v>36861</v>
      </c>
      <c r="B3" s="185" t="s">
        <v>94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5">
      <c r="A4" s="12" t="s">
        <v>22</v>
      </c>
      <c r="B4" s="186" t="str">
        <f>'Mgmt Summary'!A3</f>
        <v>Results based on activity through December 7, 2000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5">
      <c r="B7" s="107"/>
      <c r="C7" s="34"/>
      <c r="D7" s="113"/>
      <c r="E7" s="35"/>
      <c r="F7" s="26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5.75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79</v>
      </c>
      <c r="C10" s="189"/>
      <c r="D10" s="139">
        <v>-12153</v>
      </c>
      <c r="E10" s="140">
        <v>0</v>
      </c>
      <c r="F10" s="140">
        <v>0</v>
      </c>
      <c r="G10" s="140">
        <v>-129.61699999999999</v>
      </c>
      <c r="H10" s="138">
        <v>0</v>
      </c>
      <c r="I10" s="136">
        <f t="shared" ref="I10:I20" si="0">SUM(D10:H10)</f>
        <v>-12282.617</v>
      </c>
      <c r="J10" s="137"/>
      <c r="K10" s="36">
        <v>0</v>
      </c>
      <c r="L10" s="36">
        <f>+I10+K10</f>
        <v>-12282.617</v>
      </c>
      <c r="M10" s="253">
        <v>30000</v>
      </c>
      <c r="N10" s="135">
        <f t="shared" ref="N10:N30" si="1">L10-M10</f>
        <v>-42282.616999999998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v>6915</v>
      </c>
      <c r="E11" s="140">
        <f>395.25731-262.279</f>
        <v>132.97831000000002</v>
      </c>
      <c r="F11" s="140">
        <v>79.724000000000004</v>
      </c>
      <c r="G11" s="140">
        <v>0</v>
      </c>
      <c r="H11" s="138">
        <v>0</v>
      </c>
      <c r="I11" s="136">
        <f t="shared" si="0"/>
        <v>7127.7023100000006</v>
      </c>
      <c r="J11" s="137"/>
      <c r="K11" s="36">
        <v>0</v>
      </c>
      <c r="L11" s="36">
        <f t="shared" ref="L11:L30" si="2">+I11+K11</f>
        <v>7127.7023100000006</v>
      </c>
      <c r="M11" s="253">
        <f>ROUND(_xll.HPVAL($A11,$A$1,$A$2,$A$3,$A$4,$A$6)/1000,3)</f>
        <v>12747.159</v>
      </c>
      <c r="N11" s="135">
        <f t="shared" si="1"/>
        <v>-5619.4566899999991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6768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6768</v>
      </c>
      <c r="J12" s="137"/>
      <c r="K12" s="36">
        <v>0</v>
      </c>
      <c r="L12" s="36">
        <f t="shared" si="2"/>
        <v>6768</v>
      </c>
      <c r="M12" s="253">
        <f>ROUND(_xll.HPVAL($A12,$A$1,$A$2,$A$3,$A$4,$A$6)/1000,1)</f>
        <v>750</v>
      </c>
      <c r="N12" s="135">
        <f t="shared" si="1"/>
        <v>6018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3217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3217</v>
      </c>
      <c r="J13" s="137"/>
      <c r="K13" s="36">
        <v>0</v>
      </c>
      <c r="L13" s="36">
        <f t="shared" si="2"/>
        <v>3217</v>
      </c>
      <c r="M13" s="253">
        <f>ROUND(_xll.HPVAL($A13,$A$1,$A$2,$A$3,$A$4,$A$6)/1000,3)</f>
        <v>3214.846</v>
      </c>
      <c r="N13" s="135">
        <f t="shared" si="1"/>
        <v>2.1539999999999964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3">
        <f>ROUND(_xll.HPVAL($A14,$A$1,$A$2,$A$3,$A$4,$A$6)/1000,3)</f>
        <v>7712.2910000000002</v>
      </c>
      <c r="N14" s="135">
        <f t="shared" si="1"/>
        <v>-7712.2910000000002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-427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-427</v>
      </c>
      <c r="J15" s="246"/>
      <c r="K15" s="246">
        <v>0</v>
      </c>
      <c r="L15" s="36">
        <f t="shared" si="2"/>
        <v>-427</v>
      </c>
      <c r="M15" s="253">
        <v>0</v>
      </c>
      <c r="N15" s="247">
        <f>L15-M15</f>
        <v>-427</v>
      </c>
    </row>
    <row r="16" spans="1:16" ht="13.5" hidden="1" customHeight="1">
      <c r="A16" s="12" t="s">
        <v>51</v>
      </c>
      <c r="B16" s="242" t="s">
        <v>150</v>
      </c>
      <c r="C16" s="243"/>
      <c r="D16" s="244">
        <f>-1206.686+386.179</f>
        <v>-820.50699999999995</v>
      </c>
      <c r="E16" s="245">
        <v>0</v>
      </c>
      <c r="F16" s="245">
        <v>0</v>
      </c>
      <c r="G16" s="245">
        <v>0</v>
      </c>
      <c r="H16" s="247">
        <v>0</v>
      </c>
      <c r="I16" s="248">
        <f>SUM(D16:H16)</f>
        <v>-820.50699999999995</v>
      </c>
      <c r="J16" s="246"/>
      <c r="K16" s="246">
        <v>0</v>
      </c>
      <c r="L16" s="36">
        <f>+I16+K16</f>
        <v>-820.50699999999995</v>
      </c>
      <c r="M16" s="253">
        <v>0</v>
      </c>
      <c r="N16" s="247">
        <f>L16-M16</f>
        <v>-820.50699999999995</v>
      </c>
    </row>
    <row r="17" spans="1:16" ht="13.5" hidden="1" customHeight="1">
      <c r="B17" s="242" t="s">
        <v>84</v>
      </c>
      <c r="C17" s="243"/>
      <c r="D17" s="244">
        <v>1476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1476</v>
      </c>
      <c r="J17" s="246"/>
      <c r="K17" s="246">
        <v>0</v>
      </c>
      <c r="L17" s="36">
        <f t="shared" si="2"/>
        <v>1476</v>
      </c>
      <c r="M17" s="255">
        <v>0</v>
      </c>
      <c r="N17" s="247">
        <f>L17-M17</f>
        <v>1476</v>
      </c>
      <c r="P17" s="166"/>
    </row>
    <row r="18" spans="1:16" ht="13.5" hidden="1" customHeight="1">
      <c r="B18" s="242" t="s">
        <v>82</v>
      </c>
      <c r="C18" s="243"/>
      <c r="D18" s="244">
        <v>-87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-87</v>
      </c>
      <c r="J18" s="246"/>
      <c r="K18" s="246">
        <v>0</v>
      </c>
      <c r="L18" s="36">
        <f t="shared" si="2"/>
        <v>-87</v>
      </c>
      <c r="M18" s="255">
        <v>0</v>
      </c>
      <c r="N18" s="247">
        <f t="shared" si="1"/>
        <v>-87</v>
      </c>
      <c r="O18" s="166"/>
    </row>
    <row r="19" spans="1:16" ht="13.5" hidden="1" customHeight="1">
      <c r="B19" s="242" t="s">
        <v>83</v>
      </c>
      <c r="C19" s="243"/>
      <c r="D19" s="244">
        <v>38</v>
      </c>
      <c r="E19" s="245">
        <v>0</v>
      </c>
      <c r="F19" s="245">
        <v>0</v>
      </c>
      <c r="G19" s="245">
        <v>0</v>
      </c>
      <c r="H19" s="247">
        <v>0</v>
      </c>
      <c r="I19" s="248">
        <f t="shared" si="0"/>
        <v>38</v>
      </c>
      <c r="J19" s="246"/>
      <c r="K19" s="246">
        <v>0</v>
      </c>
      <c r="L19" s="36">
        <f t="shared" si="2"/>
        <v>38</v>
      </c>
      <c r="M19" s="255">
        <v>0</v>
      </c>
      <c r="N19" s="247">
        <f t="shared" si="1"/>
        <v>38</v>
      </c>
    </row>
    <row r="20" spans="1:16" ht="13.5" hidden="1" customHeight="1">
      <c r="B20" s="242" t="s">
        <v>85</v>
      </c>
      <c r="C20" s="243"/>
      <c r="D20" s="252">
        <v>-54</v>
      </c>
      <c r="E20" s="254">
        <v>0</v>
      </c>
      <c r="F20" s="254">
        <v>0</v>
      </c>
      <c r="G20" s="254">
        <v>0</v>
      </c>
      <c r="H20" s="257">
        <v>0</v>
      </c>
      <c r="I20" s="266">
        <f t="shared" si="0"/>
        <v>-54</v>
      </c>
      <c r="J20" s="256"/>
      <c r="K20" s="256">
        <v>0</v>
      </c>
      <c r="L20" s="267">
        <f t="shared" si="2"/>
        <v>-54</v>
      </c>
      <c r="M20" s="268">
        <v>0</v>
      </c>
      <c r="N20" s="257">
        <f>L20-M20</f>
        <v>-54</v>
      </c>
    </row>
    <row r="21" spans="1:16" s="190" customFormat="1" ht="13.5" customHeight="1">
      <c r="A21" s="12"/>
      <c r="B21" s="107" t="s">
        <v>50</v>
      </c>
      <c r="C21" s="189"/>
      <c r="D21" s="139">
        <f t="shared" ref="D21:I21" si="3">SUM(D15:D20)</f>
        <v>125.49299999999994</v>
      </c>
      <c r="E21" s="140">
        <f t="shared" si="3"/>
        <v>0</v>
      </c>
      <c r="F21" s="140">
        <f t="shared" si="3"/>
        <v>0</v>
      </c>
      <c r="G21" s="140">
        <f t="shared" si="3"/>
        <v>0</v>
      </c>
      <c r="H21" s="138">
        <f t="shared" si="3"/>
        <v>0</v>
      </c>
      <c r="I21" s="136">
        <f t="shared" si="3"/>
        <v>125.49299999999994</v>
      </c>
      <c r="J21" s="137"/>
      <c r="K21" s="36">
        <f>SUM(K15:K20)</f>
        <v>0</v>
      </c>
      <c r="L21" s="36">
        <f t="shared" si="2"/>
        <v>125.49299999999994</v>
      </c>
      <c r="M21" s="253">
        <f>33848.881-22365.668-2500.002+2500.002</f>
        <v>11483.213</v>
      </c>
      <c r="N21" s="135">
        <f>L21-M21</f>
        <v>-11357.72</v>
      </c>
    </row>
    <row r="22" spans="1:16" s="190" customFormat="1" ht="13.5" customHeight="1">
      <c r="A22" s="12"/>
      <c r="B22" s="107" t="s">
        <v>98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>SUM(D22:H22)</f>
        <v>0</v>
      </c>
      <c r="J22" s="137"/>
      <c r="K22" s="36">
        <v>0</v>
      </c>
      <c r="L22" s="36">
        <f t="shared" si="2"/>
        <v>0</v>
      </c>
      <c r="M22" s="138">
        <v>0</v>
      </c>
      <c r="N22" s="135">
        <f t="shared" si="1"/>
        <v>0</v>
      </c>
    </row>
    <row r="23" spans="1:16" s="190" customFormat="1" ht="12" customHeight="1">
      <c r="A23" s="188"/>
      <c r="B23" s="107" t="s">
        <v>2</v>
      </c>
      <c r="C23" s="189"/>
      <c r="D23" s="139">
        <v>0</v>
      </c>
      <c r="E23" s="140">
        <v>0</v>
      </c>
      <c r="F23" s="140">
        <v>0</v>
      </c>
      <c r="G23" s="140">
        <v>0</v>
      </c>
      <c r="H23" s="138">
        <v>0</v>
      </c>
      <c r="I23" s="136">
        <f>SUM(D23:H23)</f>
        <v>0</v>
      </c>
      <c r="J23" s="137"/>
      <c r="K23" s="133">
        <v>0</v>
      </c>
      <c r="L23" s="36">
        <f>+I23+K23</f>
        <v>0</v>
      </c>
      <c r="M23" s="138">
        <v>0</v>
      </c>
      <c r="N23" s="135">
        <f>L23-M23</f>
        <v>0</v>
      </c>
    </row>
    <row r="24" spans="1:16" s="190" customFormat="1" ht="12" customHeight="1">
      <c r="A24" s="188"/>
      <c r="B24" s="107" t="s">
        <v>11</v>
      </c>
      <c r="C24" s="189"/>
      <c r="D24" s="139">
        <v>0</v>
      </c>
      <c r="E24" s="140">
        <v>0</v>
      </c>
      <c r="F24" s="140">
        <v>0</v>
      </c>
      <c r="G24" s="140">
        <v>0</v>
      </c>
      <c r="H24" s="138">
        <v>0</v>
      </c>
      <c r="I24" s="136">
        <f>SUM(D24:H24)</f>
        <v>0</v>
      </c>
      <c r="J24" s="137"/>
      <c r="K24" s="133">
        <v>0</v>
      </c>
      <c r="L24" s="36">
        <f>+I24+K24</f>
        <v>0</v>
      </c>
      <c r="M24" s="138">
        <v>10100</v>
      </c>
      <c r="N24" s="135">
        <f>L24-M24</f>
        <v>-10100</v>
      </c>
    </row>
    <row r="25" spans="1:16" ht="3" customHeight="1">
      <c r="B25" s="107"/>
      <c r="C25" s="34"/>
      <c r="D25" s="139"/>
      <c r="E25" s="140"/>
      <c r="F25" s="140"/>
      <c r="G25" s="140"/>
      <c r="H25" s="138"/>
      <c r="I25" s="136"/>
      <c r="J25" s="36"/>
      <c r="K25" s="133"/>
      <c r="L25" s="36"/>
      <c r="M25" s="138"/>
      <c r="N25" s="135"/>
    </row>
    <row r="26" spans="1:16" ht="12" customHeight="1">
      <c r="B26" s="263" t="s">
        <v>106</v>
      </c>
      <c r="C26" s="34"/>
      <c r="D26" s="43">
        <f>+D10+D11+D12+D13+D14+D21+D22+D23+D24</f>
        <v>4872.4930000000004</v>
      </c>
      <c r="E26" s="44">
        <f t="shared" ref="E26:N26" si="4">+E10+E11+E12+E13+E14+E21+E22+E23+E24</f>
        <v>132.97831000000002</v>
      </c>
      <c r="F26" s="44">
        <f t="shared" si="4"/>
        <v>79.724000000000004</v>
      </c>
      <c r="G26" s="44">
        <f t="shared" si="4"/>
        <v>-129.61699999999999</v>
      </c>
      <c r="H26" s="45">
        <f t="shared" si="4"/>
        <v>0</v>
      </c>
      <c r="I26" s="46">
        <f t="shared" si="4"/>
        <v>4955.5783100000008</v>
      </c>
      <c r="J26" s="44">
        <f t="shared" si="4"/>
        <v>0</v>
      </c>
      <c r="K26" s="44">
        <f t="shared" si="4"/>
        <v>0</v>
      </c>
      <c r="L26" s="44">
        <f t="shared" si="4"/>
        <v>4955.5783100000008</v>
      </c>
      <c r="M26" s="45">
        <f t="shared" si="4"/>
        <v>76007.508999999991</v>
      </c>
      <c r="N26" s="45">
        <f t="shared" si="4"/>
        <v>-71051.930689999994</v>
      </c>
    </row>
    <row r="27" spans="1:16" ht="3" customHeight="1">
      <c r="B27" s="107"/>
      <c r="C27" s="34"/>
      <c r="D27" s="139"/>
      <c r="E27" s="140"/>
      <c r="F27" s="140"/>
      <c r="G27" s="140"/>
      <c r="H27" s="138"/>
      <c r="I27" s="136"/>
      <c r="J27" s="36"/>
      <c r="K27" s="133"/>
      <c r="L27" s="36"/>
      <c r="M27" s="138"/>
      <c r="N27" s="135"/>
    </row>
    <row r="28" spans="1:16" s="190" customFormat="1" ht="13.5" customHeight="1">
      <c r="A28" s="12"/>
      <c r="B28" s="107" t="s">
        <v>99</v>
      </c>
      <c r="C28" s="189"/>
      <c r="D28" s="139">
        <v>0</v>
      </c>
      <c r="E28" s="140">
        <v>0</v>
      </c>
      <c r="F28" s="140">
        <f>674-188-100-300</f>
        <v>86</v>
      </c>
      <c r="G28" s="140">
        <v>0</v>
      </c>
      <c r="H28" s="138">
        <v>0</v>
      </c>
      <c r="I28" s="136">
        <f>SUM(D28:H28)</f>
        <v>86</v>
      </c>
      <c r="J28" s="137"/>
      <c r="K28" s="36">
        <v>0</v>
      </c>
      <c r="L28" s="36">
        <f t="shared" si="2"/>
        <v>86</v>
      </c>
      <c r="M28" s="253">
        <f>1159-15</f>
        <v>1144</v>
      </c>
      <c r="N28" s="135">
        <f t="shared" si="1"/>
        <v>-1058</v>
      </c>
      <c r="O28" s="14"/>
    </row>
    <row r="29" spans="1:16" s="190" customFormat="1" ht="13.5" customHeight="1">
      <c r="A29" s="12"/>
      <c r="B29" s="107" t="s">
        <v>100</v>
      </c>
      <c r="C29" s="189"/>
      <c r="D29" s="139">
        <v>0</v>
      </c>
      <c r="E29" s="140">
        <v>0</v>
      </c>
      <c r="F29" s="140">
        <v>132</v>
      </c>
      <c r="G29" s="140">
        <v>0</v>
      </c>
      <c r="H29" s="138">
        <v>0</v>
      </c>
      <c r="I29" s="136">
        <f>SUM(D29:H29)</f>
        <v>132</v>
      </c>
      <c r="J29" s="137"/>
      <c r="K29" s="36">
        <v>0</v>
      </c>
      <c r="L29" s="36">
        <f t="shared" si="2"/>
        <v>132</v>
      </c>
      <c r="M29" s="138">
        <v>4617</v>
      </c>
      <c r="N29" s="135">
        <f t="shared" si="1"/>
        <v>-4485</v>
      </c>
      <c r="O29" s="14"/>
    </row>
    <row r="30" spans="1:16" s="190" customFormat="1" ht="13.5" customHeight="1">
      <c r="A30" s="12"/>
      <c r="B30" s="107" t="s">
        <v>101</v>
      </c>
      <c r="C30" s="189"/>
      <c r="D30" s="139">
        <v>0</v>
      </c>
      <c r="E30" s="140">
        <v>0</v>
      </c>
      <c r="F30" s="140">
        <v>-3089</v>
      </c>
      <c r="G30" s="140">
        <v>0</v>
      </c>
      <c r="H30" s="138">
        <v>0</v>
      </c>
      <c r="I30" s="136">
        <f>SUM(D30:H30)</f>
        <v>-3089</v>
      </c>
      <c r="J30" s="137"/>
      <c r="K30" s="36">
        <v>0</v>
      </c>
      <c r="L30" s="36">
        <f t="shared" si="2"/>
        <v>-3089</v>
      </c>
      <c r="M30" s="253">
        <v>530</v>
      </c>
      <c r="N30" s="135">
        <f t="shared" si="1"/>
        <v>-3619</v>
      </c>
    </row>
    <row r="31" spans="1:16" ht="3" customHeight="1">
      <c r="B31" s="107"/>
      <c r="C31" s="34"/>
      <c r="D31" s="133"/>
      <c r="E31" s="36"/>
      <c r="F31" s="36"/>
      <c r="G31" s="36"/>
      <c r="H31" s="138"/>
      <c r="I31" s="136"/>
      <c r="J31" s="36"/>
      <c r="K31" s="133"/>
      <c r="L31" s="36"/>
      <c r="M31" s="138"/>
      <c r="N31" s="135"/>
    </row>
    <row r="32" spans="1:16" ht="12" customHeight="1">
      <c r="B32" s="263" t="s">
        <v>113</v>
      </c>
      <c r="C32" s="34"/>
      <c r="D32" s="43">
        <f>SUM(D28:D31)</f>
        <v>0</v>
      </c>
      <c r="E32" s="44">
        <f t="shared" ref="E32:N32" si="5">SUM(E28:E31)</f>
        <v>0</v>
      </c>
      <c r="F32" s="44">
        <f t="shared" si="5"/>
        <v>-2871</v>
      </c>
      <c r="G32" s="44">
        <f t="shared" si="5"/>
        <v>0</v>
      </c>
      <c r="H32" s="45">
        <f t="shared" si="5"/>
        <v>0</v>
      </c>
      <c r="I32" s="46">
        <f t="shared" si="5"/>
        <v>-2871</v>
      </c>
      <c r="J32" s="44">
        <f t="shared" si="5"/>
        <v>0</v>
      </c>
      <c r="K32" s="44">
        <f t="shared" si="5"/>
        <v>0</v>
      </c>
      <c r="L32" s="44">
        <f t="shared" si="5"/>
        <v>-2871</v>
      </c>
      <c r="M32" s="45">
        <f t="shared" si="5"/>
        <v>6291</v>
      </c>
      <c r="N32" s="45">
        <f t="shared" si="5"/>
        <v>-9162</v>
      </c>
    </row>
    <row r="33" spans="2:14" ht="3" customHeight="1">
      <c r="B33" s="107"/>
      <c r="C33" s="34"/>
      <c r="D33" s="133"/>
      <c r="E33" s="36"/>
      <c r="F33" s="36"/>
      <c r="G33" s="36"/>
      <c r="H33" s="138"/>
      <c r="I33" s="136"/>
      <c r="J33" s="36"/>
      <c r="K33" s="133"/>
      <c r="L33" s="36"/>
      <c r="M33" s="138"/>
      <c r="N33" s="135"/>
    </row>
    <row r="34" spans="2:14" ht="3" customHeight="1">
      <c r="B34" s="107"/>
      <c r="C34" s="34"/>
      <c r="D34" s="133"/>
      <c r="E34" s="36"/>
      <c r="F34" s="36"/>
      <c r="G34" s="36"/>
      <c r="H34" s="138"/>
      <c r="I34" s="136"/>
      <c r="J34" s="36"/>
      <c r="K34" s="133"/>
      <c r="L34" s="36"/>
      <c r="M34" s="138"/>
      <c r="N34" s="135"/>
    </row>
    <row r="35" spans="2:14" ht="12" customHeight="1">
      <c r="B35" s="263" t="s">
        <v>76</v>
      </c>
      <c r="C35" s="34"/>
      <c r="D35" s="43">
        <f>+D26+D32</f>
        <v>4872.4930000000004</v>
      </c>
      <c r="E35" s="44">
        <f t="shared" ref="E35:N35" si="6">+E26+E32</f>
        <v>132.97831000000002</v>
      </c>
      <c r="F35" s="44">
        <f t="shared" si="6"/>
        <v>-2791.2759999999998</v>
      </c>
      <c r="G35" s="44">
        <f t="shared" si="6"/>
        <v>-129.61699999999999</v>
      </c>
      <c r="H35" s="45">
        <f t="shared" si="6"/>
        <v>0</v>
      </c>
      <c r="I35" s="46">
        <f t="shared" si="6"/>
        <v>2084.5783100000008</v>
      </c>
      <c r="J35" s="44">
        <f t="shared" si="6"/>
        <v>0</v>
      </c>
      <c r="K35" s="44">
        <f t="shared" si="6"/>
        <v>0</v>
      </c>
      <c r="L35" s="44">
        <f t="shared" si="6"/>
        <v>2084.5783100000008</v>
      </c>
      <c r="M35" s="45">
        <f t="shared" si="6"/>
        <v>82298.508999999991</v>
      </c>
      <c r="N35" s="45">
        <f t="shared" si="6"/>
        <v>-80213.930689999994</v>
      </c>
    </row>
    <row r="36" spans="2:14" ht="3" customHeight="1">
      <c r="B36" s="107"/>
      <c r="C36" s="34"/>
      <c r="D36" s="133"/>
      <c r="E36" s="36"/>
      <c r="F36" s="36"/>
      <c r="G36" s="36"/>
      <c r="H36" s="138"/>
      <c r="I36" s="136"/>
      <c r="J36" s="36"/>
      <c r="K36" s="133"/>
      <c r="L36" s="36"/>
      <c r="M36" s="138"/>
      <c r="N36" s="135"/>
    </row>
    <row r="37" spans="2:14" ht="13.5" customHeight="1">
      <c r="B37" s="107" t="s">
        <v>10</v>
      </c>
      <c r="C37" s="34"/>
      <c r="D37" s="133">
        <v>0</v>
      </c>
      <c r="E37" s="140">
        <v>0</v>
      </c>
      <c r="F37" s="140">
        <v>0</v>
      </c>
      <c r="G37" s="140">
        <v>-520</v>
      </c>
      <c r="H37" s="138">
        <v>0</v>
      </c>
      <c r="I37" s="136">
        <f>SUM(D37:H37)</f>
        <v>-520</v>
      </c>
      <c r="J37" s="36"/>
      <c r="K37" s="133">
        <v>0</v>
      </c>
      <c r="L37" s="36">
        <f>SUM(I37:K37)</f>
        <v>-520</v>
      </c>
      <c r="M37" s="138">
        <f>+G37</f>
        <v>-520</v>
      </c>
      <c r="N37" s="135">
        <f>L37-M37</f>
        <v>0</v>
      </c>
    </row>
    <row r="38" spans="2:14" ht="3" customHeight="1">
      <c r="B38" s="107"/>
      <c r="C38" s="34"/>
      <c r="D38" s="133"/>
      <c r="E38" s="36"/>
      <c r="F38" s="36"/>
      <c r="G38" s="36"/>
      <c r="H38" s="138"/>
      <c r="I38" s="136"/>
      <c r="J38" s="36"/>
      <c r="K38" s="133"/>
      <c r="L38" s="36"/>
      <c r="M38" s="138"/>
      <c r="N38" s="135"/>
    </row>
    <row r="39" spans="2:14" ht="12" customHeight="1">
      <c r="B39" s="38" t="s">
        <v>77</v>
      </c>
      <c r="C39" s="34"/>
      <c r="D39" s="39">
        <f>+D35+D37</f>
        <v>4872.4930000000004</v>
      </c>
      <c r="E39" s="40">
        <f>+E35+E37</f>
        <v>132.97831000000002</v>
      </c>
      <c r="F39" s="40">
        <f>+F35+F37</f>
        <v>-2791.2759999999998</v>
      </c>
      <c r="G39" s="40">
        <f>+G35+G37</f>
        <v>-649.61699999999996</v>
      </c>
      <c r="H39" s="41">
        <f>+H35+H37</f>
        <v>0</v>
      </c>
      <c r="I39" s="42">
        <f>SUM(I35:I37)</f>
        <v>1564.5783100000008</v>
      </c>
      <c r="J39" s="40">
        <f>SUM(J35:J37)</f>
        <v>0</v>
      </c>
      <c r="K39" s="39">
        <f>+K35+K37</f>
        <v>0</v>
      </c>
      <c r="L39" s="40">
        <f>+L35+L37</f>
        <v>1564.5783100000008</v>
      </c>
      <c r="M39" s="41">
        <f>+M35+M37</f>
        <v>81778.508999999991</v>
      </c>
      <c r="N39" s="41">
        <f>SUM(N35:N37)</f>
        <v>-80213.930689999994</v>
      </c>
    </row>
    <row r="40" spans="2:14" ht="3" customHeight="1">
      <c r="B40" s="24"/>
      <c r="D40" s="25"/>
      <c r="E40" s="26"/>
      <c r="F40" s="26"/>
      <c r="G40" s="26"/>
      <c r="H40" s="27"/>
      <c r="I40" s="170"/>
      <c r="J40" s="26"/>
      <c r="K40" s="25"/>
      <c r="L40" s="26"/>
      <c r="M40" s="27"/>
      <c r="N40" s="27"/>
    </row>
    <row r="41" spans="2:14">
      <c r="B41" s="163" t="s">
        <v>60</v>
      </c>
      <c r="C41" s="59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2:14">
      <c r="B42" s="70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spans="2:14">
      <c r="B43" s="70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</row>
    <row r="44" spans="2:14"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</row>
    <row r="45" spans="2:14"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</row>
    <row r="46" spans="2:14">
      <c r="D46" s="23"/>
      <c r="E46" s="23"/>
      <c r="F46" s="23"/>
      <c r="G46" s="23"/>
      <c r="H46" s="23"/>
      <c r="I46" s="23"/>
      <c r="J46" s="23"/>
      <c r="K46" s="23"/>
      <c r="L46" s="23" t="s">
        <v>63</v>
      </c>
      <c r="M46" s="23"/>
      <c r="N46" s="23"/>
    </row>
    <row r="47" spans="2:14">
      <c r="D47" s="23"/>
    </row>
    <row r="48" spans="2:14">
      <c r="D48" s="23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  <row r="66" spans="1:1">
      <c r="A66" s="14"/>
    </row>
  </sheetData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135"/>
  <sheetViews>
    <sheetView topLeftCell="B2" zoomScaleNormal="100" workbookViewId="0">
      <selection activeCell="H13" sqref="H13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326" t="s">
        <v>70</v>
      </c>
      <c r="C2" s="326"/>
      <c r="D2" s="326"/>
      <c r="E2" s="326"/>
      <c r="F2" s="326"/>
      <c r="G2" s="326"/>
      <c r="H2" s="326"/>
      <c r="I2" s="326"/>
      <c r="J2" s="326"/>
      <c r="K2" s="326"/>
      <c r="Q2" t="s">
        <v>59</v>
      </c>
    </row>
    <row r="3" spans="1:37" ht="15">
      <c r="A3" s="11">
        <v>36861</v>
      </c>
      <c r="B3" s="327" t="s">
        <v>95</v>
      </c>
      <c r="C3" s="327"/>
      <c r="D3" s="327"/>
      <c r="E3" s="327"/>
      <c r="F3" s="327"/>
      <c r="G3" s="327"/>
      <c r="H3" s="327"/>
      <c r="I3" s="327"/>
      <c r="J3" s="327"/>
      <c r="K3" s="327"/>
    </row>
    <row r="4" spans="1:37">
      <c r="A4" s="10" t="s">
        <v>22</v>
      </c>
      <c r="B4" s="328" t="str">
        <f>+GrossMargin!B4</f>
        <v>Results based on activity through December 7, 2000</v>
      </c>
      <c r="C4" s="328"/>
      <c r="D4" s="328"/>
      <c r="E4" s="328"/>
      <c r="F4" s="328"/>
      <c r="G4" s="328"/>
      <c r="H4" s="328"/>
      <c r="I4" s="328"/>
      <c r="J4" s="328"/>
      <c r="K4" s="328"/>
    </row>
    <row r="5" spans="1:37" ht="3" customHeight="1"/>
    <row r="6" spans="1:37" s="50" customFormat="1" ht="12">
      <c r="A6" s="10" t="s">
        <v>47</v>
      </c>
      <c r="B6" s="124"/>
      <c r="D6" s="320" t="s">
        <v>26</v>
      </c>
      <c r="E6" s="321"/>
      <c r="F6" s="322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3" t="s">
        <v>39</v>
      </c>
      <c r="I7" s="324"/>
      <c r="J7" s="324"/>
      <c r="K7" s="325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1" t="s">
        <v>79</v>
      </c>
      <c r="C9" s="172"/>
      <c r="D9" s="159">
        <f>+E9</f>
        <v>6246</v>
      </c>
      <c r="E9" s="173">
        <v>6246</v>
      </c>
      <c r="F9" s="177">
        <f t="shared" ref="F9:F15" si="0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>2439.7-380</f>
        <v>2059.6999999999998</v>
      </c>
      <c r="E10" s="173">
        <f>ROUND(_xll.HPVAL($A10,$A$1,$A$2,$A$3,$A$4,$A$6)/1000,1)</f>
        <v>2439.6999999999998</v>
      </c>
      <c r="F10" s="143">
        <f t="shared" si="0"/>
        <v>380</v>
      </c>
      <c r="G10" s="52"/>
      <c r="H10" s="251" t="s">
        <v>154</v>
      </c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>+E11+1000+120+200</f>
        <v>1424.1</v>
      </c>
      <c r="E11" s="173">
        <f>ROUND(_xll.HPVAL($A11,$A$1,$A$2,$A$3,$A$4,$A$6)/1000,1)</f>
        <v>104.1</v>
      </c>
      <c r="F11" s="143">
        <f t="shared" si="0"/>
        <v>-1320</v>
      </c>
      <c r="G11" s="52"/>
      <c r="H11" s="251" t="s">
        <v>105</v>
      </c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>+E12</f>
        <v>892.1</v>
      </c>
      <c r="E12" s="173">
        <f>ROUND(_xll.HPVAL($A12,$A$1,$A$2,$A$3,$A$4,$A$6)/1000,1)</f>
        <v>892.1</v>
      </c>
      <c r="F12" s="143">
        <f t="shared" si="0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>+E13+250</f>
        <v>1893.5</v>
      </c>
      <c r="E13" s="173">
        <f>ROUND(_xll.HPVAL($A13,$A$1,$A$2,$A$3,$A$4,$A$6)/1000,1)</f>
        <v>1643.5</v>
      </c>
      <c r="F13" s="143">
        <f t="shared" si="0"/>
        <v>-250</v>
      </c>
      <c r="G13" s="52"/>
      <c r="H13" s="251" t="s">
        <v>155</v>
      </c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>+E14</f>
        <v>896.12600000000009</v>
      </c>
      <c r="E14" s="173">
        <f>2000.4-487.223-649.533+32.482</f>
        <v>896.12600000000009</v>
      </c>
      <c r="F14" s="177">
        <f t="shared" si="0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98</v>
      </c>
      <c r="C15" s="172"/>
      <c r="D15" s="159">
        <v>1525</v>
      </c>
      <c r="E15" s="173">
        <v>0</v>
      </c>
      <c r="F15" s="177">
        <f t="shared" si="0"/>
        <v>-1525</v>
      </c>
      <c r="G15" s="52"/>
      <c r="H15" s="251" t="s">
        <v>153</v>
      </c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29" t="s">
        <v>2</v>
      </c>
      <c r="C16" s="50"/>
      <c r="D16" s="159">
        <v>750</v>
      </c>
      <c r="E16" s="142">
        <v>0</v>
      </c>
      <c r="F16" s="143">
        <f>E16-D16</f>
        <v>-750</v>
      </c>
      <c r="G16" s="52"/>
      <c r="H16" s="251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2:37" ht="3" customHeight="1">
      <c r="B17" s="129"/>
      <c r="C17" s="50"/>
      <c r="D17" s="141"/>
      <c r="E17" s="142"/>
      <c r="F17" s="143"/>
      <c r="G17" s="52"/>
      <c r="H17" s="144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2:37" ht="11.25" customHeight="1">
      <c r="B18" s="51" t="s">
        <v>115</v>
      </c>
      <c r="C18" s="50"/>
      <c r="D18" s="56">
        <f>SUM(D9:D17)</f>
        <v>15686.526000000002</v>
      </c>
      <c r="E18" s="57">
        <f>SUM(E9:E17)</f>
        <v>12221.526000000002</v>
      </c>
      <c r="F18" s="183">
        <f>SUM(F9:F17)</f>
        <v>-3465</v>
      </c>
      <c r="G18" s="52"/>
      <c r="H18" s="53"/>
      <c r="I18" s="54"/>
      <c r="J18" s="54"/>
      <c r="K18" s="5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2:37" ht="3" customHeight="1">
      <c r="B19" s="129"/>
      <c r="C19" s="50"/>
      <c r="D19" s="141"/>
      <c r="E19" s="142"/>
      <c r="F19" s="143"/>
      <c r="G19" s="52"/>
      <c r="H19" s="144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2:37" ht="13.5" customHeight="1">
      <c r="B20" s="171" t="s">
        <v>99</v>
      </c>
      <c r="C20" s="172"/>
      <c r="D20" s="159">
        <f>2873</f>
        <v>2873</v>
      </c>
      <c r="E20" s="173">
        <v>1385</v>
      </c>
      <c r="F20" s="177">
        <f>E20-D20</f>
        <v>-1488</v>
      </c>
      <c r="G20" s="52"/>
      <c r="H20" s="251" t="s">
        <v>147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2:37" ht="13.5" customHeight="1">
      <c r="B21" s="171" t="s">
        <v>100</v>
      </c>
      <c r="C21" s="172"/>
      <c r="D21" s="159">
        <f>2044+525</f>
        <v>2569</v>
      </c>
      <c r="E21" s="173">
        <v>1536</v>
      </c>
      <c r="F21" s="177">
        <f>E21-D21</f>
        <v>-1033</v>
      </c>
      <c r="G21" s="52"/>
      <c r="H21" s="251" t="s">
        <v>151</v>
      </c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2:37" ht="13.5" customHeight="1">
      <c r="B22" s="171" t="s">
        <v>101</v>
      </c>
      <c r="C22" s="172"/>
      <c r="D22" s="159">
        <v>1056</v>
      </c>
      <c r="E22" s="173">
        <f>1601</f>
        <v>1601</v>
      </c>
      <c r="F22" s="177">
        <f>E22-D22</f>
        <v>545</v>
      </c>
      <c r="G22" s="52"/>
      <c r="H22" s="251" t="s">
        <v>111</v>
      </c>
      <c r="I22" s="145"/>
      <c r="J22" s="145"/>
      <c r="K22" s="146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2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2:37" ht="11.25" customHeight="1">
      <c r="B24" s="51" t="s">
        <v>106</v>
      </c>
      <c r="C24" s="50"/>
      <c r="D24" s="56">
        <f>SUM(D20:D23)</f>
        <v>6498</v>
      </c>
      <c r="E24" s="57">
        <f>SUM(E20:E23)</f>
        <v>4522</v>
      </c>
      <c r="F24" s="183">
        <f>SUM(F20:F23)</f>
        <v>-1976</v>
      </c>
      <c r="G24" s="52"/>
      <c r="H24" s="53"/>
      <c r="I24" s="54"/>
      <c r="J24" s="54"/>
      <c r="K24" s="5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2:37" ht="3" customHeight="1">
      <c r="B25" s="129"/>
      <c r="C25" s="50"/>
      <c r="D25" s="141"/>
      <c r="E25" s="142"/>
      <c r="F25" s="143"/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2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2:37" ht="11.25" customHeight="1">
      <c r="B27" s="51" t="s">
        <v>7</v>
      </c>
      <c r="C27" s="50"/>
      <c r="D27" s="56">
        <f>+D18+D24</f>
        <v>22184.526000000002</v>
      </c>
      <c r="E27" s="57">
        <f>+E18+E24</f>
        <v>16743.526000000002</v>
      </c>
      <c r="F27" s="183">
        <f>+F18+F24</f>
        <v>-5441</v>
      </c>
      <c r="G27" s="52"/>
      <c r="H27" s="53"/>
      <c r="I27" s="54"/>
      <c r="J27" s="54"/>
      <c r="K27" s="55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2:37" ht="3" customHeight="1">
      <c r="B28" s="129"/>
      <c r="C28" s="50"/>
      <c r="D28" s="141"/>
      <c r="E28" s="142"/>
      <c r="F28" s="143"/>
      <c r="G28" s="52"/>
      <c r="H28" s="144"/>
      <c r="I28" s="145"/>
      <c r="J28" s="145"/>
      <c r="K28" s="146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2:37" ht="13.5" customHeight="1">
      <c r="B29" s="129" t="s">
        <v>23</v>
      </c>
      <c r="C29" s="50"/>
      <c r="D29" s="141">
        <f>26030+'CapChrg-AllocExp'!M29+1188-998.93+12.872+4103</f>
        <v>30934.941999999999</v>
      </c>
      <c r="E29" s="142">
        <f>26030+1188-998.93+12.872+4103</f>
        <v>30334.941999999999</v>
      </c>
      <c r="F29" s="143">
        <f>E29-D29</f>
        <v>-600</v>
      </c>
      <c r="G29" s="52"/>
      <c r="H29" s="251" t="s">
        <v>110</v>
      </c>
      <c r="I29" s="145"/>
      <c r="J29" s="145"/>
      <c r="K29" s="146"/>
      <c r="L29" s="3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2:37" ht="13.5" customHeight="1">
      <c r="B30" s="129" t="s">
        <v>10</v>
      </c>
      <c r="C30" s="50"/>
      <c r="D30" s="141">
        <v>0</v>
      </c>
      <c r="E30" s="142">
        <v>0</v>
      </c>
      <c r="F30" s="143">
        <f>E30-D30</f>
        <v>0</v>
      </c>
      <c r="G30" s="52"/>
      <c r="H30" s="144"/>
      <c r="I30" s="145"/>
      <c r="J30" s="145"/>
      <c r="K30" s="146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2:37" ht="3" customHeight="1">
      <c r="B31" s="129"/>
      <c r="C31" s="50"/>
      <c r="D31" s="141"/>
      <c r="E31" s="142"/>
      <c r="F31" s="143"/>
      <c r="G31" s="52"/>
      <c r="H31" s="144"/>
      <c r="I31" s="145"/>
      <c r="J31" s="145"/>
      <c r="K31" s="146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2:37" s="50" customFormat="1" ht="13.5" customHeight="1">
      <c r="B32" s="51" t="s">
        <v>7</v>
      </c>
      <c r="D32" s="47">
        <f>SUM(D27:D30)</f>
        <v>53119.468000000001</v>
      </c>
      <c r="E32" s="48">
        <f>SUM(E27:E30)</f>
        <v>47078.468000000001</v>
      </c>
      <c r="F32" s="49">
        <f>SUM(F27:F30)</f>
        <v>-6041</v>
      </c>
      <c r="G32" s="52"/>
      <c r="H32" s="53"/>
      <c r="I32" s="54"/>
      <c r="J32" s="54"/>
      <c r="K32" s="55"/>
      <c r="L32" s="31"/>
    </row>
    <row r="33" spans="1:37" ht="3" customHeight="1">
      <c r="B33" s="147"/>
      <c r="C33" s="50"/>
      <c r="D33" s="148"/>
      <c r="E33" s="149"/>
      <c r="F33" s="150"/>
      <c r="G33" s="50"/>
      <c r="H33" s="148"/>
      <c r="I33" s="149"/>
      <c r="J33" s="149"/>
      <c r="K33" s="150"/>
      <c r="L33" s="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33" customFormat="1" ht="3" customHeight="1">
      <c r="A34" s="65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idden="1">
      <c r="B35" s="85"/>
      <c r="C35" s="31"/>
      <c r="D35" s="329" t="s">
        <v>49</v>
      </c>
      <c r="E35" s="330"/>
      <c r="F35" s="331"/>
      <c r="G35" s="31"/>
      <c r="H35" s="91"/>
      <c r="I35" s="92"/>
      <c r="J35" s="92"/>
      <c r="K35" s="93"/>
      <c r="L35" s="3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idden="1">
      <c r="B36" s="94" t="s">
        <v>9</v>
      </c>
      <c r="C36" s="31"/>
      <c r="D36" s="88" t="s">
        <v>6</v>
      </c>
      <c r="E36" s="89" t="s">
        <v>8</v>
      </c>
      <c r="F36" s="90" t="s">
        <v>12</v>
      </c>
      <c r="G36" s="31"/>
      <c r="H36" s="317" t="s">
        <v>39</v>
      </c>
      <c r="I36" s="318"/>
      <c r="J36" s="318"/>
      <c r="K36" s="319"/>
      <c r="L36" s="3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50" customFormat="1" ht="12" hidden="1">
      <c r="B37" s="124"/>
      <c r="D37" s="151">
        <v>0</v>
      </c>
      <c r="E37" s="152">
        <v>0</v>
      </c>
      <c r="F37" s="153">
        <f>E37-D37</f>
        <v>0</v>
      </c>
      <c r="H37" s="125"/>
      <c r="I37" s="126"/>
      <c r="J37" s="126"/>
      <c r="K37" s="127"/>
    </row>
    <row r="38" spans="1:37" s="50" customFormat="1" ht="12" hidden="1">
      <c r="B38" s="129"/>
      <c r="D38" s="141">
        <v>0</v>
      </c>
      <c r="E38" s="142">
        <v>0</v>
      </c>
      <c r="F38" s="143">
        <f>E38-D38</f>
        <v>0</v>
      </c>
      <c r="H38" s="144"/>
      <c r="I38" s="145"/>
      <c r="J38" s="145"/>
      <c r="K38" s="146"/>
    </row>
    <row r="39" spans="1:37" s="50" customFormat="1" ht="12" hidden="1">
      <c r="B39" s="147"/>
      <c r="D39" s="154">
        <v>0</v>
      </c>
      <c r="E39" s="155">
        <v>0</v>
      </c>
      <c r="F39" s="156">
        <f>E39-D39</f>
        <v>0</v>
      </c>
      <c r="H39" s="148"/>
      <c r="I39" s="149"/>
      <c r="J39" s="149"/>
      <c r="K39" s="150"/>
    </row>
    <row r="40" spans="1:37">
      <c r="D40" s="69"/>
      <c r="E40" s="69"/>
      <c r="F40" s="1"/>
      <c r="G40" s="1"/>
      <c r="H40" s="1"/>
      <c r="I40" s="1"/>
      <c r="J40" s="1"/>
      <c r="K40" s="1"/>
      <c r="L40" s="1"/>
      <c r="M40" s="1" t="s">
        <v>63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>
      <c r="D41" s="6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>
      <c r="D42" s="69"/>
      <c r="E42" s="1"/>
      <c r="F42" s="26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>
      <c r="D43" s="6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D53" s="1"/>
      <c r="E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D55" s="1"/>
      <c r="E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D56" s="1"/>
      <c r="E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</sheetData>
  <mergeCells count="7">
    <mergeCell ref="H36:K36"/>
    <mergeCell ref="D6:F6"/>
    <mergeCell ref="H7:K7"/>
    <mergeCell ref="B2:K2"/>
    <mergeCell ref="B3:K3"/>
    <mergeCell ref="B4:K4"/>
    <mergeCell ref="D35:F35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5"/>
  <sheetViews>
    <sheetView topLeftCell="A2" zoomScaleNormal="100" workbookViewId="0">
      <selection activeCell="G18" sqref="G18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26" t="s">
        <v>70</v>
      </c>
      <c r="B2" s="326"/>
      <c r="C2" s="326"/>
      <c r="D2" s="326"/>
      <c r="E2" s="326"/>
      <c r="F2" s="326"/>
      <c r="G2" s="326"/>
      <c r="H2" s="326"/>
      <c r="I2" s="326"/>
      <c r="J2" s="326"/>
    </row>
    <row r="3" spans="1:33" ht="15">
      <c r="A3" s="327" t="s">
        <v>96</v>
      </c>
      <c r="B3" s="327"/>
      <c r="C3" s="327"/>
      <c r="D3" s="327"/>
      <c r="E3" s="327"/>
      <c r="F3" s="327"/>
      <c r="G3" s="327"/>
      <c r="H3" s="327"/>
      <c r="I3" s="327"/>
      <c r="J3" s="327"/>
    </row>
    <row r="4" spans="1:33">
      <c r="A4" s="328" t="str">
        <f>+Expenses!B4</f>
        <v>Results based on activity through December 7, 2000</v>
      </c>
      <c r="B4" s="328"/>
      <c r="C4" s="328"/>
      <c r="D4" s="328"/>
      <c r="E4" s="328"/>
      <c r="F4" s="328"/>
      <c r="G4" s="328"/>
      <c r="H4" s="328"/>
      <c r="I4" s="328"/>
      <c r="J4" s="328"/>
    </row>
    <row r="5" spans="1:33" ht="3" customHeight="1"/>
    <row r="6" spans="1:33" s="31" customFormat="1">
      <c r="A6" s="124"/>
      <c r="B6" s="50"/>
      <c r="C6" s="320" t="s">
        <v>26</v>
      </c>
      <c r="D6" s="321"/>
      <c r="E6" s="322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3" t="s">
        <v>39</v>
      </c>
      <c r="H7" s="324"/>
      <c r="I7" s="324"/>
      <c r="J7" s="325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79</v>
      </c>
      <c r="B9" s="50"/>
      <c r="C9" s="141">
        <f>+Expenses!D9-[3]Expenses!D9</f>
        <v>0</v>
      </c>
      <c r="D9" s="142">
        <f>+Expenses!E9-[3]Expenses!E9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+Expenses!D10-[3]Expenses!D10</f>
        <v>0</v>
      </c>
      <c r="D10" s="142">
        <f>+Expenses!E10-[3]Expenses!E10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+Expenses!D11-[3]Expenses!D11</f>
        <v>200</v>
      </c>
      <c r="D11" s="142">
        <f>+Expenses!E11-[3]Expenses!E11</f>
        <v>0</v>
      </c>
      <c r="E11" s="143">
        <f t="shared" si="0"/>
        <v>-200</v>
      </c>
      <c r="F11" s="52"/>
      <c r="G11" s="251" t="s">
        <v>105</v>
      </c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+Expenses!D12-[3]Expenses!D12</f>
        <v>0</v>
      </c>
      <c r="D12" s="142">
        <f>+Expenses!E12-[3]Expenses!E12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+Expenses!D13-[3]Expenses!D13</f>
        <v>250</v>
      </c>
      <c r="D13" s="142">
        <f>+Expenses!E13-[3]Expenses!E13</f>
        <v>0</v>
      </c>
      <c r="E13" s="143">
        <f t="shared" si="0"/>
        <v>-250</v>
      </c>
      <c r="F13" s="52"/>
      <c r="G13" s="251" t="s">
        <v>155</v>
      </c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9" t="s">
        <v>50</v>
      </c>
      <c r="B14" s="50"/>
      <c r="C14" s="141">
        <f>+Expenses!D14-[3]Expenses!D14</f>
        <v>0</v>
      </c>
      <c r="D14" s="142">
        <f>+Expenses!E14-[3]Expenses!E14</f>
        <v>0</v>
      </c>
      <c r="E14" s="143">
        <f t="shared" si="0"/>
        <v>0</v>
      </c>
      <c r="F14" s="52"/>
      <c r="G14" s="251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29" t="s">
        <v>98</v>
      </c>
      <c r="B15" s="50"/>
      <c r="C15" s="141">
        <f>+Expenses!D15-[3]Expenses!D15</f>
        <v>255</v>
      </c>
      <c r="D15" s="142">
        <f>+Expenses!E15-[3]Expenses!E15</f>
        <v>0</v>
      </c>
      <c r="E15" s="143">
        <f t="shared" si="0"/>
        <v>-255</v>
      </c>
      <c r="F15" s="52"/>
      <c r="G15" s="251" t="s">
        <v>153</v>
      </c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29" t="s">
        <v>2</v>
      </c>
      <c r="B16" s="50"/>
      <c r="C16" s="141">
        <f>+Expenses!D16-[3]Expenses!D16</f>
        <v>0</v>
      </c>
      <c r="D16" s="142">
        <f>+Expenses!E16-[3]Expenses!E16</f>
        <v>0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" customHeight="1">
      <c r="A17" s="129"/>
      <c r="B17" s="50"/>
      <c r="C17" s="141"/>
      <c r="D17" s="142"/>
      <c r="E17" s="143"/>
      <c r="F17" s="52"/>
      <c r="G17" s="144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1.25" customHeight="1">
      <c r="A18" s="262" t="s">
        <v>115</v>
      </c>
      <c r="B18" s="50"/>
      <c r="C18" s="47">
        <f>SUM(C9:C17)</f>
        <v>705</v>
      </c>
      <c r="D18" s="48">
        <f>SUM(D9:D17)</f>
        <v>0</v>
      </c>
      <c r="E18" s="49">
        <f>SUM(E9:E17)</f>
        <v>-705</v>
      </c>
      <c r="F18" s="52"/>
      <c r="G18" s="144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3" customHeight="1">
      <c r="A19" s="129"/>
      <c r="B19" s="50"/>
      <c r="C19" s="141"/>
      <c r="D19" s="142"/>
      <c r="E19" s="143"/>
      <c r="F19" s="52"/>
      <c r="G19" s="144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99</v>
      </c>
      <c r="B20" s="50"/>
      <c r="C20" s="141">
        <f>+Expenses!D20-[3]Expenses!D20</f>
        <v>0</v>
      </c>
      <c r="D20" s="142">
        <f>+Expenses!E20-[3]Expenses!E20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9" t="s">
        <v>100</v>
      </c>
      <c r="B21" s="50"/>
      <c r="C21" s="141">
        <f>+Expenses!D21-[3]Expenses!D21</f>
        <v>0</v>
      </c>
      <c r="D21" s="142">
        <f>+Expenses!E21-[3]Expenses!E21</f>
        <v>0</v>
      </c>
      <c r="E21" s="143">
        <f>D21-C21</f>
        <v>0</v>
      </c>
      <c r="F21" s="52"/>
      <c r="G21" s="251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3.5" customHeight="1">
      <c r="A22" s="129" t="s">
        <v>101</v>
      </c>
      <c r="B22" s="50"/>
      <c r="C22" s="141">
        <f>+Expenses!D22-[3]Expenses!D22</f>
        <v>0</v>
      </c>
      <c r="D22" s="142">
        <f>+Expenses!E22-[3]Expenses!E22</f>
        <v>0</v>
      </c>
      <c r="E22" s="143">
        <f>D22-C22</f>
        <v>0</v>
      </c>
      <c r="F22" s="52"/>
      <c r="G22" s="251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1.25" customHeight="1">
      <c r="A24" s="262" t="s">
        <v>106</v>
      </c>
      <c r="B24" s="50"/>
      <c r="C24" s="47">
        <f>SUM(C20:C23)</f>
        <v>0</v>
      </c>
      <c r="D24" s="48">
        <f>SUM(D20:D23)</f>
        <v>0</v>
      </c>
      <c r="E24" s="49">
        <f>SUM(E20:E23)</f>
        <v>0</v>
      </c>
      <c r="F24" s="52"/>
      <c r="G24" s="144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" customHeight="1">
      <c r="A25" s="129"/>
      <c r="B25" s="50"/>
      <c r="C25" s="141"/>
      <c r="D25" s="142"/>
      <c r="E25" s="143"/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1.25" customHeight="1">
      <c r="A27" s="51" t="s">
        <v>7</v>
      </c>
      <c r="B27" s="50"/>
      <c r="C27" s="47">
        <f>+C18+C24</f>
        <v>705</v>
      </c>
      <c r="D27" s="48">
        <f>+D18+D24</f>
        <v>0</v>
      </c>
      <c r="E27" s="49">
        <f>+E18+E24</f>
        <v>-705</v>
      </c>
      <c r="F27" s="52"/>
      <c r="G27" s="144"/>
      <c r="H27" s="145"/>
      <c r="I27" s="145"/>
      <c r="J27" s="14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3" customHeight="1">
      <c r="A28" s="129"/>
      <c r="B28" s="50"/>
      <c r="C28" s="141"/>
      <c r="D28" s="142"/>
      <c r="E28" s="143"/>
      <c r="F28" s="52"/>
      <c r="G28" s="144"/>
      <c r="H28" s="145"/>
      <c r="I28" s="145"/>
      <c r="J28" s="14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3.5" customHeight="1">
      <c r="A29" s="129" t="s">
        <v>23</v>
      </c>
      <c r="B29" s="50"/>
      <c r="C29" s="141">
        <f>+Expenses!D29-[3]Expenses!D29</f>
        <v>0</v>
      </c>
      <c r="D29" s="142">
        <f>+Expenses!E29-[3]Expenses!E29</f>
        <v>0</v>
      </c>
      <c r="E29" s="143">
        <f>D29-C29</f>
        <v>0</v>
      </c>
      <c r="F29" s="52"/>
      <c r="G29" s="251"/>
      <c r="H29" s="145"/>
      <c r="I29" s="145"/>
      <c r="J29" s="14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3.5" customHeight="1">
      <c r="A30" s="129" t="s">
        <v>10</v>
      </c>
      <c r="B30" s="50"/>
      <c r="C30" s="141">
        <f>+Expenses!D30-[3]Expenses!D30</f>
        <v>0</v>
      </c>
      <c r="D30" s="142">
        <f>+Expenses!E30-[3]Expenses!E30</f>
        <v>0</v>
      </c>
      <c r="E30" s="143">
        <f>D30-C30</f>
        <v>0</v>
      </c>
      <c r="F30" s="52"/>
      <c r="G30" s="144"/>
      <c r="H30" s="145"/>
      <c r="I30" s="145"/>
      <c r="J30" s="14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3" customHeight="1">
      <c r="A31" s="129"/>
      <c r="B31" s="50"/>
      <c r="C31" s="141"/>
      <c r="D31" s="142"/>
      <c r="E31" s="143"/>
      <c r="F31" s="52"/>
      <c r="G31" s="144"/>
      <c r="H31" s="145"/>
      <c r="I31" s="145"/>
      <c r="J31" s="14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s="50" customFormat="1" ht="11.25" customHeight="1">
      <c r="A32" s="51" t="s">
        <v>7</v>
      </c>
      <c r="C32" s="47">
        <f>SUM(C27:C30)</f>
        <v>705</v>
      </c>
      <c r="D32" s="48">
        <f>SUM(D27:D30)</f>
        <v>0</v>
      </c>
      <c r="E32" s="49">
        <f>SUM(E27:E30)</f>
        <v>-705</v>
      </c>
      <c r="F32" s="52"/>
      <c r="G32" s="53"/>
      <c r="H32" s="54"/>
      <c r="I32" s="54"/>
      <c r="J32" s="55"/>
    </row>
    <row r="33" spans="1:33" ht="3" customHeight="1">
      <c r="A33" s="83"/>
      <c r="B33" s="31"/>
      <c r="C33" s="84"/>
      <c r="D33" s="81"/>
      <c r="E33" s="82"/>
      <c r="F33" s="31"/>
      <c r="G33" s="84"/>
      <c r="H33" s="81"/>
      <c r="I33" s="81"/>
      <c r="J33" s="8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33" customFormat="1" ht="3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s="50" customFormat="1" ht="12" hidden="1">
      <c r="A35" s="124"/>
      <c r="C35" s="320" t="s">
        <v>49</v>
      </c>
      <c r="D35" s="321"/>
      <c r="E35" s="322"/>
      <c r="G35" s="125"/>
      <c r="H35" s="126"/>
      <c r="I35" s="126"/>
      <c r="J35" s="127"/>
    </row>
    <row r="36" spans="1:33" s="50" customFormat="1" ht="12" hidden="1">
      <c r="A36" s="157" t="s">
        <v>9</v>
      </c>
      <c r="C36" s="86" t="s">
        <v>6</v>
      </c>
      <c r="D36" s="87" t="s">
        <v>8</v>
      </c>
      <c r="E36" s="74" t="s">
        <v>12</v>
      </c>
      <c r="G36" s="323" t="s">
        <v>39</v>
      </c>
      <c r="H36" s="324"/>
      <c r="I36" s="324"/>
      <c r="J36" s="325"/>
    </row>
    <row r="37" spans="1:33" s="50" customFormat="1" ht="12" hidden="1">
      <c r="A37" s="124"/>
      <c r="C37" s="141" t="e">
        <f>Expenses!D37-[3]Expenses!D35</f>
        <v>#VALUE!</v>
      </c>
      <c r="D37" s="142">
        <f>Expenses!E37-[3]Expenses!E35</f>
        <v>0</v>
      </c>
      <c r="E37" s="143" t="e">
        <f>D37-C37</f>
        <v>#VALUE!</v>
      </c>
      <c r="G37" s="125"/>
      <c r="H37" s="126"/>
      <c r="I37" s="126"/>
      <c r="J37" s="127"/>
    </row>
    <row r="38" spans="1:33" s="50" customFormat="1" ht="12" hidden="1">
      <c r="A38" s="129"/>
      <c r="C38" s="141" t="e">
        <f>Expenses!D38-[3]Expenses!D36</f>
        <v>#VALUE!</v>
      </c>
      <c r="D38" s="142" t="e">
        <f>Expenses!E38-[3]Expenses!E36</f>
        <v>#VALUE!</v>
      </c>
      <c r="E38" s="143" t="e">
        <f>D38-C38</f>
        <v>#VALUE!</v>
      </c>
      <c r="G38" s="144"/>
      <c r="H38" s="145"/>
      <c r="I38" s="145"/>
      <c r="J38" s="146"/>
    </row>
    <row r="39" spans="1:33" s="50" customFormat="1" ht="12" hidden="1">
      <c r="A39" s="147"/>
      <c r="C39" s="154">
        <f>Expenses!D39-[3]Expenses!D37</f>
        <v>0</v>
      </c>
      <c r="D39" s="155">
        <f>Expenses!E39-[3]Expenses!E37</f>
        <v>0</v>
      </c>
      <c r="E39" s="156">
        <f>D39-C39</f>
        <v>0</v>
      </c>
      <c r="G39" s="148"/>
      <c r="H39" s="149"/>
      <c r="I39" s="149"/>
      <c r="J39" s="150"/>
    </row>
    <row r="40" spans="1:33">
      <c r="A40" s="31"/>
      <c r="B40" s="31"/>
      <c r="C40" s="73"/>
      <c r="D40" s="73"/>
      <c r="E40" s="31"/>
      <c r="F40" s="31"/>
      <c r="G40" s="31"/>
      <c r="H40" s="31"/>
      <c r="I40" s="31"/>
      <c r="J40" s="31"/>
      <c r="K40" s="1"/>
      <c r="L40" s="1" t="s">
        <v>63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26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>
      <c r="C43" s="16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C54" s="1"/>
      <c r="D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C55" s="1"/>
      <c r="D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C56" s="1"/>
      <c r="D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3:3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3:3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3:3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3:3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</sheetData>
  <mergeCells count="7">
    <mergeCell ref="C35:E35"/>
    <mergeCell ref="G36:J36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T201"/>
  <sheetViews>
    <sheetView topLeftCell="B2" zoomScaleNormal="100" workbookViewId="0">
      <selection activeCell="N37" sqref="N37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326" t="s">
        <v>70</v>
      </c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t="s">
        <v>59</v>
      </c>
    </row>
    <row r="3" spans="1:20" ht="15">
      <c r="A3" s="10" t="s">
        <v>31</v>
      </c>
      <c r="B3" s="327" t="s">
        <v>97</v>
      </c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</row>
    <row r="4" spans="1:20">
      <c r="A4" s="11">
        <v>36861</v>
      </c>
      <c r="B4" s="328" t="str">
        <f>'Mgmt Summary'!A3</f>
        <v>Results based on activity through December 7, 2000</v>
      </c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3" t="s">
        <v>32</v>
      </c>
      <c r="E7" s="324"/>
      <c r="F7" s="324"/>
      <c r="G7" s="324"/>
      <c r="H7" s="324"/>
      <c r="I7" s="325"/>
      <c r="J7" s="50"/>
      <c r="K7" s="323" t="s">
        <v>55</v>
      </c>
      <c r="L7" s="324"/>
      <c r="M7" s="324"/>
      <c r="N7" s="324"/>
      <c r="O7" s="324"/>
      <c r="P7" s="325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32" t="s">
        <v>33</v>
      </c>
      <c r="H8" s="333"/>
      <c r="I8" s="334"/>
      <c r="J8" s="50"/>
      <c r="K8" s="86" t="s">
        <v>6</v>
      </c>
      <c r="L8" s="87" t="s">
        <v>8</v>
      </c>
      <c r="M8" s="74" t="s">
        <v>12</v>
      </c>
      <c r="N8" s="320" t="s">
        <v>33</v>
      </c>
      <c r="O8" s="321"/>
      <c r="P8" s="322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71" t="s">
        <v>79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L10+600</f>
        <v>8446</v>
      </c>
      <c r="L10" s="173">
        <v>7846</v>
      </c>
      <c r="M10" s="174">
        <f>L10-K10</f>
        <v>-600</v>
      </c>
      <c r="N10" s="2" t="s">
        <v>104</v>
      </c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v>658</v>
      </c>
      <c r="E11" s="173">
        <f>ROUND(_xll.HPVAL($A11,$A$1,$A$2,$A$4,$A$5,$A$6)/1000,1)</f>
        <v>847</v>
      </c>
      <c r="F11" s="158">
        <f t="shared" si="0"/>
        <v>189</v>
      </c>
      <c r="G11" s="145"/>
      <c r="H11" s="145"/>
      <c r="I11" s="146"/>
      <c r="J11" s="50"/>
      <c r="K11" s="159">
        <f>L11</f>
        <v>1960.2</v>
      </c>
      <c r="L11" s="173">
        <f>ROUND(_xll.HPVAL($A11,$A$1,$A$3,$A$4,$A$5,$A$6)/1000,1)</f>
        <v>1960.2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0</v>
      </c>
      <c r="E12" s="142">
        <f>ROUND(_xll.HPVAL($A12,$A$1,$A$2,$A$4,$A$5,$A$6)/1000,0)</f>
        <v>0</v>
      </c>
      <c r="F12" s="158">
        <f t="shared" si="0"/>
        <v>0</v>
      </c>
      <c r="G12" s="145"/>
      <c r="H12" s="145"/>
      <c r="I12" s="146"/>
      <c r="J12" s="50"/>
      <c r="K12" s="159">
        <f>L12</f>
        <v>274.5</v>
      </c>
      <c r="L12" s="173">
        <f>ROUND(_xll.HPVAL($A12,$A$1,$A$3,$A$4,$A$5,$A$6)/1000,1)</f>
        <v>274.5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f>ROUND(_xll.HPVAL($A13,$A$1,$A$2,$A$4,$A$5,$A$6)/1000,0)</f>
        <v>0</v>
      </c>
      <c r="F13" s="158">
        <f t="shared" si="0"/>
        <v>0</v>
      </c>
      <c r="G13" s="145"/>
      <c r="H13" s="145"/>
      <c r="I13" s="146"/>
      <c r="J13" s="50"/>
      <c r="K13" s="159">
        <f>L13</f>
        <v>822.7</v>
      </c>
      <c r="L13" s="173">
        <f>ROUND(_xll.HPVAL($A13,$A$1,$A$3,$A$4,$A$5,$A$6)/1000,1)</f>
        <v>822.7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f>ROUND(_xll.HPVAL($A14,$A$1,$A$2,$A$4,$A$5,$A$6)/1000,0)</f>
        <v>0</v>
      </c>
      <c r="F14" s="158">
        <f t="shared" si="0"/>
        <v>0</v>
      </c>
      <c r="G14" s="145"/>
      <c r="H14" s="145"/>
      <c r="I14" s="146"/>
      <c r="J14" s="50"/>
      <c r="K14" s="159">
        <f>L14</f>
        <v>36</v>
      </c>
      <c r="L14" s="173">
        <f>ROUND(_xll.HPVAL($A14,$A$1,$A$3,$A$4,$A$5,$A$6)/1000,1)</f>
        <v>36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f>ROUND(_xll.HPVAL($A15,$A$1,$A$2,$A$4,$A$5,$A$6)/1000,0)</f>
        <v>0</v>
      </c>
      <c r="F15" s="174">
        <f t="shared" si="0"/>
        <v>0</v>
      </c>
      <c r="G15" s="175"/>
      <c r="H15" s="175"/>
      <c r="I15" s="176"/>
      <c r="J15" s="172"/>
      <c r="K15" s="159">
        <f>L15</f>
        <v>911.0150000000001</v>
      </c>
      <c r="L15" s="173">
        <f>2090.152-193.079-998.93+12.872</f>
        <v>911.0150000000001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98</v>
      </c>
      <c r="C16" s="172"/>
      <c r="D16" s="159">
        <v>0</v>
      </c>
      <c r="E16" s="173">
        <v>0</v>
      </c>
      <c r="F16" s="174">
        <f>E16-D16</f>
        <v>0</v>
      </c>
      <c r="G16" s="175"/>
      <c r="H16" s="175"/>
      <c r="I16" s="176"/>
      <c r="J16" s="172"/>
      <c r="K16" s="159">
        <v>0</v>
      </c>
      <c r="L16" s="173">
        <v>0</v>
      </c>
      <c r="M16" s="174">
        <f>L16-K16</f>
        <v>0</v>
      </c>
      <c r="N16" s="145"/>
      <c r="O16" s="145"/>
      <c r="P16" s="79"/>
      <c r="Q16" s="1"/>
      <c r="R16" s="1"/>
      <c r="S16" s="1"/>
      <c r="T16" s="1"/>
    </row>
    <row r="17" spans="2:20" ht="11.25" customHeight="1">
      <c r="B17" s="262" t="s">
        <v>115</v>
      </c>
      <c r="C17" s="50"/>
      <c r="D17" s="56">
        <f>SUM(D10:D16)</f>
        <v>658</v>
      </c>
      <c r="E17" s="57">
        <f>SUM(E10:E16)</f>
        <v>847</v>
      </c>
      <c r="F17" s="57">
        <f>SUM(F10:F16)</f>
        <v>189</v>
      </c>
      <c r="G17" s="54"/>
      <c r="H17" s="54"/>
      <c r="I17" s="55"/>
      <c r="J17" s="50"/>
      <c r="K17" s="56">
        <f>SUM(K10:K16)</f>
        <v>12450.415000000001</v>
      </c>
      <c r="L17" s="57">
        <f>SUM(L10:L16)</f>
        <v>11850.415000000001</v>
      </c>
      <c r="M17" s="57">
        <f>SUM(M10:M16)</f>
        <v>-600</v>
      </c>
      <c r="N17" s="54"/>
      <c r="O17" s="54"/>
      <c r="P17" s="80"/>
      <c r="Q17" s="1"/>
      <c r="R17" s="1"/>
      <c r="S17" s="1"/>
      <c r="T17" s="1"/>
    </row>
    <row r="18" spans="2:20" ht="13.5" customHeight="1">
      <c r="B18" s="171" t="s">
        <v>99</v>
      </c>
      <c r="C18" s="172"/>
      <c r="D18" s="159">
        <f>-97</f>
        <v>-97</v>
      </c>
      <c r="E18" s="173">
        <f>-10-5</f>
        <v>-15</v>
      </c>
      <c r="F18" s="174">
        <f>E18-D18</f>
        <v>82</v>
      </c>
      <c r="G18" s="175"/>
      <c r="H18" s="175"/>
      <c r="I18" s="176"/>
      <c r="J18" s="172"/>
      <c r="K18" s="159">
        <v>0</v>
      </c>
      <c r="L18" s="173">
        <v>0</v>
      </c>
      <c r="M18" s="174">
        <f>L18-K18</f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100</v>
      </c>
      <c r="C19" s="172"/>
      <c r="D19" s="159">
        <f>+E19</f>
        <v>652</v>
      </c>
      <c r="E19" s="173">
        <v>652</v>
      </c>
      <c r="F19" s="174">
        <f>E19-D19</f>
        <v>0</v>
      </c>
      <c r="G19" s="175"/>
      <c r="H19" s="175"/>
      <c r="I19" s="176"/>
      <c r="J19" s="172"/>
      <c r="K19" s="159">
        <v>0</v>
      </c>
      <c r="L19" s="173">
        <v>0</v>
      </c>
      <c r="M19" s="174">
        <f>L19-K19</f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101</v>
      </c>
      <c r="C20" s="172"/>
      <c r="D20" s="159">
        <v>0</v>
      </c>
      <c r="E20" s="173">
        <v>545</v>
      </c>
      <c r="F20" s="174">
        <f>E20-D20</f>
        <v>545</v>
      </c>
      <c r="G20" s="175"/>
      <c r="H20" s="175"/>
      <c r="I20" s="176"/>
      <c r="J20" s="172"/>
      <c r="K20" s="159">
        <v>0</v>
      </c>
      <c r="L20" s="173">
        <v>0</v>
      </c>
      <c r="M20" s="174">
        <f>L20-K20</f>
        <v>0</v>
      </c>
      <c r="N20" s="145"/>
      <c r="O20" s="145"/>
      <c r="P20" s="79"/>
      <c r="Q20" s="1"/>
      <c r="R20" s="1"/>
      <c r="S20" s="1"/>
      <c r="T20" s="1"/>
    </row>
    <row r="21" spans="2:20" ht="3" customHeight="1">
      <c r="B21" s="129"/>
      <c r="C21" s="50"/>
      <c r="D21" s="141"/>
      <c r="E21" s="142"/>
      <c r="F21" s="158"/>
      <c r="G21" s="145"/>
      <c r="H21" s="145"/>
      <c r="I21" s="146"/>
      <c r="J21" s="50"/>
      <c r="K21" s="141"/>
      <c r="L21" s="142"/>
      <c r="M21" s="158"/>
      <c r="N21" s="145"/>
      <c r="O21" s="145"/>
      <c r="P21" s="79"/>
      <c r="Q21" s="1"/>
      <c r="R21" s="1"/>
      <c r="S21" s="1"/>
      <c r="T21" s="1"/>
    </row>
    <row r="22" spans="2:20" ht="11.25" customHeight="1">
      <c r="B22" s="262" t="s">
        <v>106</v>
      </c>
      <c r="C22" s="50"/>
      <c r="D22" s="56">
        <f>SUM(D18:D21)</f>
        <v>555</v>
      </c>
      <c r="E22" s="57">
        <f>SUM(E18:E21)</f>
        <v>1182</v>
      </c>
      <c r="F22" s="57">
        <f>SUM(F18:F21)</f>
        <v>627</v>
      </c>
      <c r="G22" s="54"/>
      <c r="H22" s="54"/>
      <c r="I22" s="55"/>
      <c r="J22" s="50"/>
      <c r="K22" s="56">
        <f>SUM(K17:K20)</f>
        <v>12450.415000000001</v>
      </c>
      <c r="L22" s="57">
        <f>SUM(L17:L20)</f>
        <v>11850.415000000001</v>
      </c>
      <c r="M22" s="57">
        <f>SUM(M17:M20)</f>
        <v>-600</v>
      </c>
      <c r="N22" s="54"/>
      <c r="O22" s="54"/>
      <c r="P22" s="80"/>
      <c r="Q22" s="1"/>
      <c r="R22" s="1"/>
      <c r="S22" s="1"/>
      <c r="T22" s="1"/>
    </row>
    <row r="23" spans="2:20" ht="3" customHeight="1">
      <c r="B23" s="129"/>
      <c r="C23" s="50"/>
      <c r="D23" s="141"/>
      <c r="E23" s="142"/>
      <c r="F23" s="158"/>
      <c r="G23" s="145"/>
      <c r="H23" s="145"/>
      <c r="I23" s="146"/>
      <c r="J23" s="50"/>
      <c r="K23" s="141"/>
      <c r="L23" s="142"/>
      <c r="M23" s="158"/>
      <c r="N23" s="145"/>
      <c r="O23" s="145"/>
      <c r="P23" s="79"/>
      <c r="Q23" s="1"/>
      <c r="R23" s="1"/>
      <c r="S23" s="1"/>
      <c r="T23" s="1"/>
    </row>
    <row r="24" spans="2:20" ht="13.5" customHeight="1">
      <c r="B24" s="129" t="s">
        <v>2</v>
      </c>
      <c r="C24" s="50"/>
      <c r="D24" s="141">
        <v>0</v>
      </c>
      <c r="E24" s="142">
        <v>0</v>
      </c>
      <c r="F24" s="158">
        <f>E24-D24</f>
        <v>0</v>
      </c>
      <c r="G24" s="145"/>
      <c r="H24" s="145"/>
      <c r="I24" s="146"/>
      <c r="J24" s="50"/>
      <c r="K24" s="159">
        <f>L24</f>
        <v>0</v>
      </c>
      <c r="L24" s="142">
        <v>0</v>
      </c>
      <c r="M24" s="158">
        <f>L24-K24</f>
        <v>0</v>
      </c>
      <c r="N24" s="145"/>
      <c r="O24" s="145"/>
      <c r="P24" s="79"/>
      <c r="Q24" s="1"/>
      <c r="R24" s="1"/>
      <c r="S24" s="1"/>
      <c r="T24" s="1"/>
    </row>
    <row r="25" spans="2:20" ht="3" customHeight="1">
      <c r="B25" s="129"/>
      <c r="C25" s="50"/>
      <c r="D25" s="141"/>
      <c r="E25" s="142"/>
      <c r="F25" s="158"/>
      <c r="G25" s="145"/>
      <c r="H25" s="145"/>
      <c r="I25" s="146"/>
      <c r="J25" s="50"/>
      <c r="K25" s="141"/>
      <c r="L25" s="142"/>
      <c r="M25" s="158"/>
      <c r="N25" s="145"/>
      <c r="O25" s="145"/>
      <c r="P25" s="79"/>
      <c r="Q25" s="1"/>
      <c r="R25" s="1"/>
      <c r="S25" s="1"/>
      <c r="T25" s="1"/>
    </row>
    <row r="26" spans="2:20" ht="11.25" customHeight="1">
      <c r="B26" s="51" t="s">
        <v>7</v>
      </c>
      <c r="C26" s="50"/>
      <c r="D26" s="56">
        <f>+D17+D22</f>
        <v>1213</v>
      </c>
      <c r="E26" s="57">
        <f>+E17+E22</f>
        <v>2029</v>
      </c>
      <c r="F26" s="57">
        <f>+F17+F22</f>
        <v>816</v>
      </c>
      <c r="G26" s="54"/>
      <c r="H26" s="54"/>
      <c r="I26" s="55"/>
      <c r="J26" s="50"/>
      <c r="K26" s="56">
        <f>+K22+K24</f>
        <v>12450.415000000001</v>
      </c>
      <c r="L26" s="57">
        <f>+L22+L24</f>
        <v>11850.415000000001</v>
      </c>
      <c r="M26" s="57">
        <f>+M22+M24</f>
        <v>-600</v>
      </c>
      <c r="N26" s="54"/>
      <c r="O26" s="54"/>
      <c r="P26" s="80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ht="13.5" customHeight="1">
      <c r="B28" s="129" t="s">
        <v>69</v>
      </c>
      <c r="C28" s="50"/>
      <c r="D28" s="141">
        <f>-(D26)</f>
        <v>-1213</v>
      </c>
      <c r="E28" s="142">
        <f>-(E26)</f>
        <v>-2029</v>
      </c>
      <c r="F28" s="158">
        <f>E28-D28</f>
        <v>-816</v>
      </c>
      <c r="G28" s="145"/>
      <c r="H28" s="145"/>
      <c r="I28" s="146"/>
      <c r="J28" s="50"/>
      <c r="K28" s="141">
        <v>0</v>
      </c>
      <c r="L28" s="142">
        <v>0</v>
      </c>
      <c r="M28" s="158">
        <f>L28-K28</f>
        <v>0</v>
      </c>
      <c r="N28" s="145"/>
      <c r="O28" s="145"/>
      <c r="P28" s="79"/>
      <c r="Q28" s="1"/>
      <c r="R28" s="1"/>
      <c r="S28" s="1"/>
      <c r="T28" s="1"/>
    </row>
    <row r="29" spans="2:20" ht="13.5" customHeight="1">
      <c r="B29" s="129" t="s">
        <v>102</v>
      </c>
      <c r="C29" s="50"/>
      <c r="D29" s="141">
        <v>0</v>
      </c>
      <c r="E29" s="142">
        <v>0</v>
      </c>
      <c r="F29" s="158">
        <f>E29-D29</f>
        <v>0</v>
      </c>
      <c r="G29" s="145"/>
      <c r="H29" s="145"/>
      <c r="I29" s="146"/>
      <c r="J29" s="50"/>
      <c r="K29" s="141">
        <f>-K26</f>
        <v>-12450.415000000001</v>
      </c>
      <c r="L29" s="142">
        <f>-L26</f>
        <v>-11850.415000000001</v>
      </c>
      <c r="M29" s="158">
        <f>L29-K29</f>
        <v>600</v>
      </c>
      <c r="N29" s="145"/>
      <c r="O29" s="145"/>
      <c r="P29" s="79"/>
      <c r="Q29" s="1"/>
      <c r="R29" s="1"/>
      <c r="S29" s="1"/>
      <c r="T29" s="1"/>
    </row>
    <row r="30" spans="2:20" ht="3" customHeight="1">
      <c r="B30" s="129"/>
      <c r="C30" s="50"/>
      <c r="D30" s="141"/>
      <c r="E30" s="142"/>
      <c r="F30" s="158"/>
      <c r="G30" s="145"/>
      <c r="H30" s="145"/>
      <c r="I30" s="146"/>
      <c r="J30" s="50"/>
      <c r="K30" s="141"/>
      <c r="L30" s="142"/>
      <c r="M30" s="158"/>
      <c r="N30" s="145"/>
      <c r="O30" s="145"/>
      <c r="P30" s="79"/>
      <c r="Q30" s="1"/>
      <c r="R30" s="1"/>
      <c r="S30" s="1"/>
      <c r="T30" s="1"/>
    </row>
    <row r="31" spans="2:20" s="50" customFormat="1" ht="11.25" customHeight="1">
      <c r="B31" s="51" t="s">
        <v>7</v>
      </c>
      <c r="D31" s="47">
        <f>SUM(D26:D29)</f>
        <v>0</v>
      </c>
      <c r="E31" s="48">
        <f>SUM(E26:E29)</f>
        <v>0</v>
      </c>
      <c r="F31" s="48">
        <f>SUM(F26:F29)</f>
        <v>0</v>
      </c>
      <c r="G31" s="54"/>
      <c r="H31" s="54"/>
      <c r="I31" s="55"/>
      <c r="K31" s="47">
        <f>SUM(K26:K29)</f>
        <v>0</v>
      </c>
      <c r="L31" s="48">
        <f>SUM(L26:L29)</f>
        <v>0</v>
      </c>
      <c r="M31" s="48">
        <f>SUM(M26:M29)</f>
        <v>0</v>
      </c>
      <c r="N31" s="54"/>
      <c r="O31" s="54"/>
      <c r="P31" s="80"/>
    </row>
    <row r="32" spans="2:20" ht="3" customHeight="1">
      <c r="B32" s="147"/>
      <c r="C32" s="50"/>
      <c r="D32" s="154"/>
      <c r="E32" s="155"/>
      <c r="F32" s="155"/>
      <c r="G32" s="149"/>
      <c r="H32" s="149"/>
      <c r="I32" s="150"/>
      <c r="J32" s="50"/>
      <c r="K32" s="154"/>
      <c r="L32" s="155"/>
      <c r="M32" s="155"/>
      <c r="N32" s="149"/>
      <c r="O32" s="149"/>
      <c r="P32" s="82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 t="s">
        <v>63</v>
      </c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F45" s="3"/>
      <c r="G45" s="1"/>
      <c r="H45" s="1"/>
      <c r="I45" s="1"/>
      <c r="J45" s="1"/>
      <c r="K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F47" s="3"/>
      <c r="G47" s="1"/>
      <c r="H47" s="1"/>
      <c r="I47" s="1"/>
      <c r="J47" s="1"/>
      <c r="K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D52" s="3"/>
      <c r="E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D53" s="3"/>
      <c r="E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D54" s="3"/>
      <c r="E54" s="3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A58" s="3"/>
      <c r="B58" s="1"/>
      <c r="C58" s="1"/>
      <c r="D58" s="1"/>
      <c r="E58" s="1"/>
      <c r="F58" s="3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A59" s="3"/>
      <c r="B59" s="1"/>
      <c r="C59" s="1"/>
      <c r="D59" s="1"/>
      <c r="E59" s="1"/>
      <c r="F59" s="3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A60" s="3"/>
      <c r="B60" s="1"/>
      <c r="C60" s="1"/>
      <c r="D60" s="1"/>
      <c r="E60" s="1"/>
      <c r="F60" s="3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YTD Mgmt Summary</vt:lpstr>
      <vt:lpstr>Prior ENA Teams QTD Mgmt Summ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IntIncome-Expense</vt:lpstr>
      <vt:lpstr>Headcount</vt:lpstr>
      <vt:lpstr>'Prior ENA Teams QTD Mgmt Summ'!nr_Mgmt_Summary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'IntIncome-Expense'!Print_Area</vt:lpstr>
      <vt:lpstr>'Mgmt Summary'!Print_Area</vt:lpstr>
      <vt:lpstr>'Prior ENA Teams QTD Mgmt Summ'!Print_Area</vt:lpstr>
      <vt:lpstr>'QTD Mgmt Summary'!Print_Area</vt:lpstr>
      <vt:lpstr>'YTD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2000-12-01T20:43:26Z</cp:lastPrinted>
  <dcterms:created xsi:type="dcterms:W3CDTF">1999-10-18T12:36:30Z</dcterms:created>
  <dcterms:modified xsi:type="dcterms:W3CDTF">2023-09-17T00:07:35Z</dcterms:modified>
</cp:coreProperties>
</file>